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7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360" windowHeight="8085" tabRatio="753" firstSheet="13" activeTab="13"/>
  </bookViews>
  <sheets>
    <sheet name="1_Capa" sheetId="1" state="hidden" r:id="rId1"/>
    <sheet name="2_Índice" sheetId="2" state="hidden" r:id="rId2"/>
    <sheet name="3_Comp e Produtos" sheetId="3" state="hidden" r:id="rId3"/>
    <sheet name="4_Componente 1" sheetId="15" state="hidden" r:id="rId4"/>
    <sheet name="5_Componente 2" sheetId="16" state="hidden" r:id="rId5"/>
    <sheet name="6_Componente 3" sheetId="18" state="hidden" r:id="rId6"/>
    <sheet name="7_Componente 4" sheetId="17" state="hidden" r:id="rId7"/>
    <sheet name="8_ADM" sheetId="6" state="hidden" r:id="rId8"/>
    <sheet name="9_Consolidação Tipo Recurso" sheetId="7" state="hidden" r:id="rId9"/>
    <sheet name="10_Cronograma Físico" sheetId="8" state="hidden" r:id="rId10"/>
    <sheet name="11_Distribuição por Fonte" sheetId="9" state="hidden" r:id="rId11"/>
    <sheet name="12_Orçamento Global" sheetId="10" state="hidden" r:id="rId12"/>
    <sheet name="13_POA 18 meses" sheetId="11" state="hidden" r:id="rId13"/>
    <sheet name="PA Ago15" sheetId="19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xlnm.Print_Area_1">'1_Capa'!$A$1:$I$50</definedName>
    <definedName name="__xlnm.Print_Area_3">'3_Comp e Produtos'!$A$1:$F$26</definedName>
    <definedName name="__xlnm.Print_Area_4" localSheetId="5">'6_Componente 3'!$A$1:$W$16</definedName>
    <definedName name="__xlnm.Print_Area_4" localSheetId="6">'7_Componente 4'!$A$1:$W$18</definedName>
    <definedName name="__xlnm.Print_Area_4">#REF!</definedName>
    <definedName name="__xlnm.Print_Area_5" localSheetId="3">'4_Componente 1'!$A$1:$W$24</definedName>
    <definedName name="__xlnm.Print_Area_5" localSheetId="4">'5_Componente 2'!$A$1:$W$22</definedName>
    <definedName name="__xlnm.Print_Area_5" localSheetId="5">'[1]4_Componente 1'!$A$1:$W$55</definedName>
    <definedName name="__xlnm.Print_Area_5" localSheetId="6">'[2]4_Componente 1'!$A$1:$W$55</definedName>
    <definedName name="__xlnm.Print_Area_5">#REF!</definedName>
    <definedName name="__xlnm.Print_Area_6">'8_ADM'!$A$1:$W$20</definedName>
    <definedName name="__xlnm.Print_Area_7">'9_Consolidação Tipo Recurso'!$A$1:$H$37</definedName>
    <definedName name="__xlnm.Print_Area_8">'10_Cronograma Físico'!$A$1:$AC$25</definedName>
    <definedName name="__xlnm.Print_Titles_11">'13_POA 18 meses'!$1:$3</definedName>
    <definedName name="__xlnm.Print_Titles_3">'3_Comp e Produtos'!$1:$4</definedName>
    <definedName name="__xlnm.Print_Titles_4" localSheetId="3">('[3]5_Componente 2'!$A$1:$B$65530,'[3]5_Componente 2'!$A$1:$IV$4)</definedName>
    <definedName name="__xlnm.Print_Titles_4" localSheetId="4">('[3]5_Componente 2'!$A$1:$B$65530,'[3]5_Componente 2'!$A$1:$IV$4)</definedName>
    <definedName name="__xlnm.Print_Titles_4" localSheetId="5">('6_Componente 3'!$A$1:$B$65518,'6_Componente 3'!$1:$4)</definedName>
    <definedName name="__xlnm.Print_Titles_4" localSheetId="6">('7_Componente 4'!$A$1:$B$65520,'7_Componente 4'!$1:$4)</definedName>
    <definedName name="__xlnm.Print_Titles_4">(#REF!,#REF!)</definedName>
    <definedName name="__xlnm.Print_Titles_5" localSheetId="3">('4_Componente 1'!$A$1:$B$65468,'4_Componente 1'!$A$1:$IU$4)</definedName>
    <definedName name="__xlnm.Print_Titles_5" localSheetId="4">('5_Componente 2'!$A$1:$B$65466,'5_Componente 2'!$A$1:$IU$4)</definedName>
    <definedName name="__xlnm.Print_Titles_5" localSheetId="5">('[1]4_Componente 1'!$A$1:$B$65499,'[1]4_Componente 1'!$A$1:$IU$4)</definedName>
    <definedName name="__xlnm.Print_Titles_5" localSheetId="6">('[2]4_Componente 1'!$A$1:$B$65499,'[2]4_Componente 1'!$A$1:$IU$4)</definedName>
    <definedName name="__xlnm.Print_Titles_5">(#REF!,#REF!)</definedName>
    <definedName name="__xlnm.Print_Titles_6" localSheetId="3">('[3]8_ADM'!$A$1:$B$65536,'[3]8_ADM'!$A$1:$IV$4)</definedName>
    <definedName name="__xlnm.Print_Titles_6" localSheetId="4">('[3]8_ADM'!$A$1:$B$65536,'[3]8_ADM'!$A$1:$IV$4)</definedName>
    <definedName name="__xlnm.Print_Titles_6" localSheetId="5">('[4]8_ADM'!$A$1:$B$65536,'[4]8_ADM'!$A$1:$IV$4)</definedName>
    <definedName name="__xlnm.Print_Titles_6" localSheetId="6">('[5]8_ADM'!$A$1:$B$65536,'[5]8_ADM'!$A$1:$IV$4)</definedName>
    <definedName name="__xlnm.Print_Titles_6">('8_ADM'!$A:$B,'8_ADM'!$1:$4)</definedName>
    <definedName name="__xlnm.Print_Titles_8" localSheetId="3">('[3]10_Cronograma Físico'!$A$1:$A$65526,'[3]10_Cronograma Físico'!$A$1:$IV$4)</definedName>
    <definedName name="__xlnm.Print_Titles_8" localSheetId="4">('[3]10_Cronograma Físico'!$A$1:$A$65526,'[3]10_Cronograma Físico'!$A$1:$IV$4)</definedName>
    <definedName name="__xlnm.Print_Titles_8" localSheetId="5">('[4]10_Cronograma Físico'!$A$1:$A$65526,'[4]10_Cronograma Físico'!$A$1:$IV$4)</definedName>
    <definedName name="__xlnm.Print_Titles_8" localSheetId="6">('[5]10_Cronograma Físico'!$A$1:$A$65526,'[5]10_Cronograma Físico'!$A$1:$IV$4)</definedName>
    <definedName name="__xlnm.Print_Titles_8">('10_Cronograma Físico'!$A$1:$A$65526,'10_Cronograma Físico'!$1:$4)</definedName>
    <definedName name="__xlnm.Print_Titles_9" localSheetId="3">('[3]11_Distribuição por Fonte'!$A$1:$A$65522,'[3]11_Distribuição por Fonte'!$A$1:$IV$3)</definedName>
    <definedName name="__xlnm.Print_Titles_9" localSheetId="4">('[3]11_Distribuição por Fonte'!$A$1:$A$65522,'[3]11_Distribuição por Fonte'!$A$1:$IV$3)</definedName>
    <definedName name="__xlnm.Print_Titles_9" localSheetId="5">('[4]11_Distribuição por Fonte'!$A$1:$A$65522,'[4]11_Distribuição por Fonte'!$A$1:$IV$3)</definedName>
    <definedName name="__xlnm.Print_Titles_9" localSheetId="6">('[5]11_Distribuição por Fonte'!$A$1:$A$65522,'[5]11_Distribuição por Fonte'!$A$1:$IV$3)</definedName>
    <definedName name="__xlnm.Print_Titles_9">('11_Distribuição por Fonte'!$A$1:$A$65527,'11_Distribuição por Fonte'!$1:$3)</definedName>
    <definedName name="Cronogr_2">NA()</definedName>
    <definedName name="Excel_BuiltIn_Print_Titles_4_1" localSheetId="3">('4_Componente 1'!$A$1:$B$65468,'4_Componente 1'!$A$1:$IU$4)</definedName>
    <definedName name="Excel_BuiltIn_Print_Titles_4_1" localSheetId="4">('5_Componente 2'!$A$1:$B$65466,'5_Componente 2'!$A$1:$IU$4)</definedName>
    <definedName name="Excel_BuiltIn_Print_Titles_4_1" localSheetId="5">('[1]4_Componente 1'!$A$1:$B$65499,'[1]4_Componente 1'!$A$1:$IU$4)</definedName>
    <definedName name="Excel_BuiltIn_Print_Titles_4_1" localSheetId="6">('[2]4_Componente 1'!$A$1:$B$65499,'[2]4_Componente 1'!$A$1:$IU$4)</definedName>
    <definedName name="Excel_BuiltIn_Print_Titles_4_1">(#REF!,#REF!)</definedName>
    <definedName name="Excel_BuiltIn_Print_Titles_5" localSheetId="3">('[3]5_Componente 2'!$A$1:$B$65530,'[3]5_Componente 2'!$A$1:$IV$4)</definedName>
    <definedName name="Excel_BuiltIn_Print_Titles_5" localSheetId="4">('[3]5_Componente 2'!$A$1:$B$65530,'[3]5_Componente 2'!$A$1:$IV$4)</definedName>
    <definedName name="Excel_BuiltIn_Print_Titles_5" localSheetId="5">('6_Componente 3'!$A$1:$B$65518,'6_Componente 3'!$1:$4)</definedName>
    <definedName name="Excel_BuiltIn_Print_Titles_5" localSheetId="6">('7_Componente 4'!$A$1:$B$65520,'7_Componente 4'!$1:$4)</definedName>
    <definedName name="Excel_BuiltIn_Print_Titles_5">(#REF!,#REF!)</definedName>
    <definedName name="Excel_BuiltIn_Print_Titles_5_1" localSheetId="3">('[3]5_Componente 2'!$A$1:$B$65534,'[3]5_Componente 2'!$A$1:$IV$4)</definedName>
    <definedName name="Excel_BuiltIn_Print_Titles_5_1" localSheetId="4">('[3]5_Componente 2'!$A$1:$B$65534,'[3]5_Componente 2'!$A$1:$IV$4)</definedName>
    <definedName name="Excel_BuiltIn_Print_Titles_5_1" localSheetId="5">('6_Componente 3'!$A$1:$B$65522,'6_Componente 3'!$1:$4)</definedName>
    <definedName name="Excel_BuiltIn_Print_Titles_5_1" localSheetId="6">('7_Componente 4'!$A$1:$B$65524,'7_Componente 4'!$1:$4)</definedName>
    <definedName name="Excel_BuiltIn_Print_Titles_5_1">(#REF!,#REF!)</definedName>
    <definedName name="Excel_BuiltIn_Print_Titles_8" localSheetId="3">('[3]10_Cronograma Físico'!$A$1:$A$65526,'[3]10_Cronograma Físico'!$A$1:$IV$4)</definedName>
    <definedName name="Excel_BuiltIn_Print_Titles_8" localSheetId="4">('[3]10_Cronograma Físico'!$A$1:$A$65526,'[3]10_Cronograma Físico'!$A$1:$IV$4)</definedName>
    <definedName name="Excel_BuiltIn_Print_Titles_8" localSheetId="5">('[4]10_Cronograma Físico'!$A$1:$A$65526,'[4]10_Cronograma Físico'!$A$1:$IV$4)</definedName>
    <definedName name="Excel_BuiltIn_Print_Titles_8" localSheetId="6">('[5]10_Cronograma Físico'!$A$1:$A$65526,'[5]10_Cronograma Físico'!$A$1:$IV$4)</definedName>
    <definedName name="Excel_BuiltIn_Print_Titles_8">('10_Cronograma Físico'!$A$1:$A$65526,'10_Cronograma Físico'!$1:$4)</definedName>
    <definedName name="Excel_BuiltIn_Print_Titles_9" localSheetId="3">('[3]11_Distribuição por Fonte'!$A$1:$A$65522,'[3]11_Distribuição por Fonte'!$A$1:$IV$3)</definedName>
    <definedName name="Excel_BuiltIn_Print_Titles_9" localSheetId="4">('[3]11_Distribuição por Fonte'!$A$1:$A$65522,'[3]11_Distribuição por Fonte'!$A$1:$IV$3)</definedName>
    <definedName name="Excel_BuiltIn_Print_Titles_9" localSheetId="5">('[4]11_Distribuição por Fonte'!$A$1:$A$65522,'[4]11_Distribuição por Fonte'!$A$1:$IV$3)</definedName>
    <definedName name="Excel_BuiltIn_Print_Titles_9" localSheetId="6">('[5]11_Distribuição por Fonte'!$A$1:$A$65522,'[5]11_Distribuição por Fonte'!$A$1:$IV$3)</definedName>
    <definedName name="Excel_BuiltIn_Print_Titles_9">('11_Distribuição por Fonte'!$A$1:$A$65527,'11_Distribuição por Fonte'!$1:$3)</definedName>
    <definedName name="_xlnm.Print_Area" localSheetId="0">'1_Capa'!$A$1:$I$50</definedName>
    <definedName name="_xlnm.Print_Area" localSheetId="9">'10_Cronograma Físico'!$A$1:$AC$25</definedName>
    <definedName name="_xlnm.Print_Area" localSheetId="2">'3_Comp e Produtos'!$A$1:$F$26</definedName>
    <definedName name="_xlnm.Print_Area" localSheetId="3">'4_Componente 1'!$A$1:$W$24</definedName>
    <definedName name="_xlnm.Print_Area" localSheetId="4">'5_Componente 2'!$A$1:$W$22</definedName>
    <definedName name="_xlnm.Print_Area" localSheetId="5">'6_Componente 3'!$A$1:$W$16</definedName>
    <definedName name="_xlnm.Print_Area" localSheetId="6">'7_Componente 4'!$A$1:$W$19</definedName>
    <definedName name="_xlnm.Print_Area" localSheetId="7">'8_ADM'!$A$1:$W$20</definedName>
    <definedName name="_xlnm.Print_Area" localSheetId="8">'9_Consolidação Tipo Recurso'!$A$1:$H$37</definedName>
    <definedName name="_xlnm.Print_Titles" localSheetId="9">('10_Cronograma Físico'!$A:$A,'10_Cronograma Físico'!$1:$4)</definedName>
    <definedName name="_xlnm.Print_Titles" localSheetId="10">'11_Distribuição por Fonte'!$A:$A,'11_Distribuição por Fonte'!$1:$3</definedName>
    <definedName name="_xlnm.Print_Titles" localSheetId="12">'13_POA 18 meses'!$1:$3</definedName>
    <definedName name="_xlnm.Print_Titles" localSheetId="2">'3_Comp e Produtos'!$1:$4</definedName>
    <definedName name="_xlnm.Print_Titles" localSheetId="3">('4_Componente 1'!$A:$B,'4_Componente 1'!$1:$4)</definedName>
    <definedName name="_xlnm.Print_Titles" localSheetId="4">('5_Componente 2'!$A:$B,'5_Componente 2'!$1:$4)</definedName>
    <definedName name="_xlnm.Print_Titles" localSheetId="5">('6_Componente 3'!$A:$B,'6_Componente 3'!$1:$4)</definedName>
    <definedName name="_xlnm.Print_Titles" localSheetId="6">('7_Componente 4'!$A:$B,'7_Componente 4'!$1:$4)</definedName>
    <definedName name="_xlnm.Print_Titles" localSheetId="7">('8_ADM'!$A:$B,'8_ADM'!$1:$4)</definedName>
    <definedName name="Trimestres">"#REF!"</definedName>
  </definedNames>
  <calcPr calcId="152511" fullPrecision="0"/>
</workbook>
</file>

<file path=xl/calcChain.xml><?xml version="1.0" encoding="utf-8"?>
<calcChain xmlns="http://schemas.openxmlformats.org/spreadsheetml/2006/main">
  <c r="F88" i="19" l="1"/>
  <c r="G88" i="19"/>
  <c r="C88" i="19"/>
  <c r="C86" i="19"/>
  <c r="F86" i="19" s="1"/>
  <c r="G86" i="19" s="1"/>
  <c r="C77" i="19"/>
  <c r="C52" i="19"/>
  <c r="F52" i="19" s="1"/>
  <c r="G52" i="19" l="1"/>
  <c r="C16" i="19"/>
  <c r="C67" i="19" l="1"/>
  <c r="F67" i="19" s="1"/>
  <c r="G67" i="19" s="1"/>
  <c r="C19" i="19"/>
  <c r="L45" i="19"/>
  <c r="A15" i="3"/>
  <c r="A15" i="8"/>
  <c r="U15" i="8" s="1"/>
  <c r="AX15" i="8" s="1"/>
  <c r="S15" i="8"/>
  <c r="AU15" i="8" s="1"/>
  <c r="I7" i="8"/>
  <c r="AI7" i="8" s="1"/>
  <c r="L8" i="8"/>
  <c r="I9" i="8"/>
  <c r="AI9" i="8" s="1"/>
  <c r="I12" i="8"/>
  <c r="AI12" i="8"/>
  <c r="I13" i="8"/>
  <c r="AI13" i="8" s="1"/>
  <c r="I14" i="8"/>
  <c r="AI14" i="8" s="1"/>
  <c r="I16" i="8"/>
  <c r="AI16" i="8" s="1"/>
  <c r="I18" i="8"/>
  <c r="AI18" i="8" s="1"/>
  <c r="I20" i="8"/>
  <c r="AI20" i="8" s="1"/>
  <c r="I21" i="8"/>
  <c r="AI21" i="8" s="1"/>
  <c r="I22" i="8"/>
  <c r="AI22" i="8" s="1"/>
  <c r="I23" i="8"/>
  <c r="AI23" i="8" s="1"/>
  <c r="D8" i="8"/>
  <c r="R8" i="8" s="1"/>
  <c r="M8" i="8"/>
  <c r="D10" i="8"/>
  <c r="D25" i="8"/>
  <c r="M25" i="8" s="1"/>
  <c r="O25" i="9"/>
  <c r="L25" i="9"/>
  <c r="I25" i="9"/>
  <c r="I16" i="9"/>
  <c r="I15" i="9"/>
  <c r="I8" i="9"/>
  <c r="I7" i="9"/>
  <c r="F25" i="9"/>
  <c r="F16" i="9"/>
  <c r="F14" i="9"/>
  <c r="F8" i="9"/>
  <c r="F7" i="9"/>
  <c r="C25" i="9"/>
  <c r="C14" i="9"/>
  <c r="C12" i="9"/>
  <c r="C8" i="9"/>
  <c r="U12" i="9"/>
  <c r="A25" i="9"/>
  <c r="O19" i="9"/>
  <c r="L19" i="9"/>
  <c r="I19" i="9"/>
  <c r="F19" i="9"/>
  <c r="C19" i="9"/>
  <c r="H20" i="7"/>
  <c r="G33" i="7"/>
  <c r="Y24" i="8"/>
  <c r="Z24" i="8"/>
  <c r="AA24" i="8"/>
  <c r="AB24" i="8"/>
  <c r="U24" i="8"/>
  <c r="V24" i="8"/>
  <c r="W24" i="8"/>
  <c r="X24" i="8"/>
  <c r="Q24" i="8"/>
  <c r="R24" i="8"/>
  <c r="S24" i="8"/>
  <c r="T24" i="8"/>
  <c r="M24" i="8"/>
  <c r="N24" i="8"/>
  <c r="O24" i="8"/>
  <c r="P24" i="8"/>
  <c r="I24" i="8"/>
  <c r="J24" i="8"/>
  <c r="K24" i="8"/>
  <c r="L24" i="8"/>
  <c r="V26" i="9"/>
  <c r="T26" i="9"/>
  <c r="A8" i="9"/>
  <c r="A9" i="9"/>
  <c r="A7" i="9"/>
  <c r="A10" i="9"/>
  <c r="U10" i="9"/>
  <c r="K6" i="15"/>
  <c r="K8" i="15" s="1"/>
  <c r="K24" i="15" s="1"/>
  <c r="C5" i="7" s="1"/>
  <c r="G8" i="6"/>
  <c r="A8" i="6" s="1"/>
  <c r="B20" i="6" s="1"/>
  <c r="K8" i="6"/>
  <c r="C12" i="7" s="1"/>
  <c r="O8" i="6"/>
  <c r="D12" i="7"/>
  <c r="S8" i="6"/>
  <c r="E12" i="7" s="1"/>
  <c r="W8" i="6"/>
  <c r="F12" i="7" s="1"/>
  <c r="N8" i="6"/>
  <c r="M8" i="6"/>
  <c r="O8" i="18"/>
  <c r="V5" i="18"/>
  <c r="O12" i="18"/>
  <c r="O16" i="18"/>
  <c r="O17" i="18" s="1"/>
  <c r="D7" i="7" s="1"/>
  <c r="D26" i="7" s="1"/>
  <c r="W8" i="18"/>
  <c r="S8" i="18"/>
  <c r="G8" i="18"/>
  <c r="A8" i="18" s="1"/>
  <c r="D16" i="3" s="1"/>
  <c r="E16" i="3" s="1"/>
  <c r="W11" i="18"/>
  <c r="S11" i="18"/>
  <c r="O11" i="18"/>
  <c r="G11" i="18"/>
  <c r="W16" i="18"/>
  <c r="W17" i="18" s="1"/>
  <c r="F7" i="7" s="1"/>
  <c r="F26" i="7" s="1"/>
  <c r="S16" i="18"/>
  <c r="S17" i="18" s="1"/>
  <c r="E7" i="7" s="1"/>
  <c r="E26" i="7" s="1"/>
  <c r="G16" i="18"/>
  <c r="K16" i="18"/>
  <c r="K11" i="18"/>
  <c r="K8" i="18"/>
  <c r="V19" i="16"/>
  <c r="V21" i="16" s="1"/>
  <c r="S12" i="16"/>
  <c r="O21" i="16"/>
  <c r="F7" i="16"/>
  <c r="G23" i="15"/>
  <c r="O23" i="15"/>
  <c r="C45" i="19"/>
  <c r="D17" i="8"/>
  <c r="N17" i="8"/>
  <c r="Q17" i="8"/>
  <c r="U13" i="9"/>
  <c r="U21" i="9"/>
  <c r="U20" i="9"/>
  <c r="O15" i="9"/>
  <c r="O6" i="9"/>
  <c r="O5" i="9" s="1"/>
  <c r="O4" i="9" s="1"/>
  <c r="O24" i="9"/>
  <c r="L15" i="9"/>
  <c r="C15" i="9"/>
  <c r="R6" i="9"/>
  <c r="L6" i="9"/>
  <c r="I6" i="9"/>
  <c r="R11" i="9"/>
  <c r="R5" i="9"/>
  <c r="O11" i="9"/>
  <c r="L11" i="9"/>
  <c r="I11" i="9"/>
  <c r="F11" i="9"/>
  <c r="A23" i="9"/>
  <c r="A22" i="9"/>
  <c r="A21" i="9"/>
  <c r="A20" i="9"/>
  <c r="A18" i="9"/>
  <c r="A17" i="9"/>
  <c r="A16" i="9"/>
  <c r="A13" i="9"/>
  <c r="A12" i="9"/>
  <c r="D23" i="8"/>
  <c r="D12" i="8"/>
  <c r="L12" i="8"/>
  <c r="D7" i="8"/>
  <c r="A11" i="10"/>
  <c r="A19" i="8"/>
  <c r="J19" i="8"/>
  <c r="A11" i="8"/>
  <c r="O11" i="8" s="1"/>
  <c r="A6" i="8"/>
  <c r="S18" i="16"/>
  <c r="S22" i="16" s="1"/>
  <c r="E6" i="7" s="1"/>
  <c r="E25" i="7" s="1"/>
  <c r="G18" i="16"/>
  <c r="K12" i="16"/>
  <c r="G12" i="16"/>
  <c r="A19" i="3"/>
  <c r="A8" i="7"/>
  <c r="A27" i="7" s="1"/>
  <c r="A11" i="3"/>
  <c r="A10" i="10" s="1"/>
  <c r="A6" i="3"/>
  <c r="G7" i="17"/>
  <c r="K7" i="17"/>
  <c r="O7" i="17"/>
  <c r="O11" i="17"/>
  <c r="S7" i="17"/>
  <c r="W7" i="17"/>
  <c r="W11" i="17" s="1"/>
  <c r="K11" i="17"/>
  <c r="S11" i="17"/>
  <c r="O12" i="17"/>
  <c r="O14" i="17"/>
  <c r="K14" i="17"/>
  <c r="S14" i="17"/>
  <c r="K18" i="17"/>
  <c r="O18" i="17"/>
  <c r="A18" i="17" s="1"/>
  <c r="D23" i="3" s="1"/>
  <c r="E23" i="3" s="1"/>
  <c r="AC23" i="8" s="1"/>
  <c r="S18" i="17"/>
  <c r="W18" i="17"/>
  <c r="O13" i="16"/>
  <c r="O18" i="16"/>
  <c r="N18" i="16"/>
  <c r="K18" i="16"/>
  <c r="M18" i="16"/>
  <c r="W18" i="16"/>
  <c r="G21" i="16"/>
  <c r="K21" i="16"/>
  <c r="L21" i="16"/>
  <c r="M21" i="16"/>
  <c r="N21" i="16"/>
  <c r="P21" i="16"/>
  <c r="Q21" i="16"/>
  <c r="R21" i="16"/>
  <c r="T21" i="16"/>
  <c r="U21" i="16"/>
  <c r="W21" i="16"/>
  <c r="M8" i="15"/>
  <c r="N8" i="15"/>
  <c r="O8" i="15"/>
  <c r="S8" i="15"/>
  <c r="W8" i="15"/>
  <c r="W24" i="15" s="1"/>
  <c r="F5" i="7" s="1"/>
  <c r="O9" i="15"/>
  <c r="O13" i="15"/>
  <c r="O24" i="15" s="1"/>
  <c r="D5" i="7" s="1"/>
  <c r="D24" i="7" s="1"/>
  <c r="K13" i="15"/>
  <c r="M13" i="15"/>
  <c r="N13" i="15"/>
  <c r="S13" i="15"/>
  <c r="W13" i="15"/>
  <c r="G18" i="15"/>
  <c r="K18" i="15"/>
  <c r="L18" i="15"/>
  <c r="M18" i="15"/>
  <c r="N18" i="15"/>
  <c r="P18" i="15"/>
  <c r="Q18" i="15"/>
  <c r="R18" i="15"/>
  <c r="S18" i="15"/>
  <c r="T18" i="15"/>
  <c r="U18" i="15"/>
  <c r="V18" i="15"/>
  <c r="W18" i="15"/>
  <c r="O22" i="15"/>
  <c r="H23" i="15"/>
  <c r="I23" i="15"/>
  <c r="J23" i="15"/>
  <c r="K23" i="15"/>
  <c r="A9" i="11"/>
  <c r="P23" i="15"/>
  <c r="Q23" i="15"/>
  <c r="R23" i="15"/>
  <c r="S23" i="15"/>
  <c r="T23" i="15"/>
  <c r="U23" i="15"/>
  <c r="V23" i="15"/>
  <c r="W23" i="15"/>
  <c r="C21" i="3"/>
  <c r="C22" i="3"/>
  <c r="C23" i="3"/>
  <c r="C26" i="3"/>
  <c r="C19" i="3"/>
  <c r="C25" i="3"/>
  <c r="C17" i="3"/>
  <c r="C20" i="3"/>
  <c r="C18" i="3"/>
  <c r="D18" i="8"/>
  <c r="K18" i="8" s="1"/>
  <c r="D19" i="8"/>
  <c r="D20" i="8"/>
  <c r="M20" i="8" s="1"/>
  <c r="D21" i="8"/>
  <c r="D22" i="8"/>
  <c r="J22" i="8"/>
  <c r="D24" i="8"/>
  <c r="A38" i="11"/>
  <c r="E38" i="11" s="1"/>
  <c r="D9" i="8"/>
  <c r="D11" i="8"/>
  <c r="I24" i="9"/>
  <c r="V19" i="8"/>
  <c r="L24" i="9"/>
  <c r="AA19" i="8"/>
  <c r="A14" i="9"/>
  <c r="R24" i="9"/>
  <c r="R4" i="9" s="1"/>
  <c r="U9" i="9"/>
  <c r="U17" i="9"/>
  <c r="U18" i="9"/>
  <c r="U22" i="9"/>
  <c r="U23" i="9"/>
  <c r="U26" i="9"/>
  <c r="C6" i="10" s="1"/>
  <c r="W27" i="9"/>
  <c r="A5" i="10"/>
  <c r="A27" i="10" s="1"/>
  <c r="A6" i="10"/>
  <c r="A28" i="10" s="1"/>
  <c r="D7" i="10"/>
  <c r="E13" i="10"/>
  <c r="B15" i="10"/>
  <c r="C15" i="10"/>
  <c r="D16" i="10"/>
  <c r="A7" i="11"/>
  <c r="B7" i="11" s="1"/>
  <c r="A8" i="11"/>
  <c r="B8" i="11"/>
  <c r="D9" i="11"/>
  <c r="A10" i="11"/>
  <c r="E10" i="11" s="1"/>
  <c r="A11" i="11"/>
  <c r="E11" i="11" s="1"/>
  <c r="A12" i="11"/>
  <c r="F12" i="11" s="1"/>
  <c r="A13" i="11"/>
  <c r="F13" i="11"/>
  <c r="A14" i="11"/>
  <c r="A15" i="11"/>
  <c r="A16" i="11"/>
  <c r="F16" i="11"/>
  <c r="A17" i="11"/>
  <c r="E7" i="8"/>
  <c r="AD7" i="8" s="1"/>
  <c r="F7" i="8"/>
  <c r="G7" i="8"/>
  <c r="AF7" i="8" s="1"/>
  <c r="H7" i="8"/>
  <c r="AG7" i="8"/>
  <c r="E8" i="8"/>
  <c r="AD8" i="8" s="1"/>
  <c r="F8" i="8"/>
  <c r="AE8" i="8"/>
  <c r="G8" i="8"/>
  <c r="AF8" i="8" s="1"/>
  <c r="H8" i="8"/>
  <c r="AG8" i="8"/>
  <c r="J9" i="11"/>
  <c r="AD12" i="8"/>
  <c r="AE12" i="8"/>
  <c r="AH12" i="8" s="1"/>
  <c r="AF12" i="8"/>
  <c r="AG12" i="8"/>
  <c r="J11" i="11"/>
  <c r="G11" i="11"/>
  <c r="J10" i="11"/>
  <c r="E14" i="8"/>
  <c r="AD14" i="8"/>
  <c r="F14" i="8"/>
  <c r="AE14" i="8" s="1"/>
  <c r="G14" i="8"/>
  <c r="H14" i="8"/>
  <c r="AG14" i="8"/>
  <c r="J12" i="11"/>
  <c r="I6" i="11"/>
  <c r="K6" i="11"/>
  <c r="K37" i="11"/>
  <c r="K39" i="11" s="1"/>
  <c r="K40" i="11" s="1"/>
  <c r="D7" i="11"/>
  <c r="B12" i="11"/>
  <c r="B13" i="11"/>
  <c r="E13" i="11"/>
  <c r="G13" i="11"/>
  <c r="J13" i="11"/>
  <c r="H13" i="11" s="1"/>
  <c r="G14" i="11"/>
  <c r="J14" i="11"/>
  <c r="H14" i="11"/>
  <c r="H15" i="11"/>
  <c r="G15" i="11" s="1"/>
  <c r="J15" i="11"/>
  <c r="H16" i="11"/>
  <c r="G16" i="11" s="1"/>
  <c r="J16" i="11"/>
  <c r="G17" i="11"/>
  <c r="J17" i="11"/>
  <c r="H17" i="11" s="1"/>
  <c r="A19" i="11"/>
  <c r="A20" i="11"/>
  <c r="E20" i="11"/>
  <c r="A21" i="11"/>
  <c r="B21" i="11" s="1"/>
  <c r="A22" i="11"/>
  <c r="D22" i="11"/>
  <c r="A23" i="11"/>
  <c r="A24" i="11"/>
  <c r="A25" i="11"/>
  <c r="F26" i="11"/>
  <c r="F27" i="11"/>
  <c r="A28" i="11"/>
  <c r="A29" i="11"/>
  <c r="A30" i="11"/>
  <c r="G18" i="11"/>
  <c r="H18" i="11"/>
  <c r="I18" i="11"/>
  <c r="J19" i="11"/>
  <c r="J20" i="11"/>
  <c r="J21" i="11"/>
  <c r="J22" i="11"/>
  <c r="J23" i="11"/>
  <c r="J24" i="11"/>
  <c r="K18" i="11"/>
  <c r="B22" i="11"/>
  <c r="D24" i="11"/>
  <c r="B25" i="11"/>
  <c r="J25" i="11"/>
  <c r="A26" i="11"/>
  <c r="D26" i="11"/>
  <c r="J26" i="11"/>
  <c r="A27" i="11"/>
  <c r="J28" i="11"/>
  <c r="J29" i="11"/>
  <c r="J30" i="11"/>
  <c r="A31" i="11"/>
  <c r="F32" i="11"/>
  <c r="F31" i="11"/>
  <c r="J32" i="11"/>
  <c r="J31" i="11" s="1"/>
  <c r="H33" i="11"/>
  <c r="H34" i="11"/>
  <c r="H35" i="11"/>
  <c r="H36" i="11"/>
  <c r="G36" i="11" s="1"/>
  <c r="I31" i="11"/>
  <c r="K31" i="11"/>
  <c r="A32" i="11"/>
  <c r="B32" i="11" s="1"/>
  <c r="D32" i="11"/>
  <c r="E32" i="11"/>
  <c r="A33" i="11"/>
  <c r="B33" i="11" s="1"/>
  <c r="D33" i="11"/>
  <c r="E33" i="11"/>
  <c r="F33" i="11"/>
  <c r="J33" i="11"/>
  <c r="A34" i="11"/>
  <c r="B34" i="11" s="1"/>
  <c r="D34" i="11"/>
  <c r="E34" i="11"/>
  <c r="F34" i="11"/>
  <c r="J34" i="11"/>
  <c r="A35" i="11"/>
  <c r="D35" i="11"/>
  <c r="E35" i="11"/>
  <c r="F35" i="11"/>
  <c r="J35" i="11"/>
  <c r="A36" i="11"/>
  <c r="D36" i="11"/>
  <c r="E36" i="11"/>
  <c r="F36" i="11"/>
  <c r="J36" i="11"/>
  <c r="A37" i="11"/>
  <c r="H38" i="11"/>
  <c r="I37" i="11"/>
  <c r="D38" i="11"/>
  <c r="C14" i="3"/>
  <c r="C10" i="3"/>
  <c r="C9" i="3"/>
  <c r="C8" i="3"/>
  <c r="C7" i="3"/>
  <c r="A2" i="6"/>
  <c r="G19" i="6"/>
  <c r="B13" i="7" s="1"/>
  <c r="B32" i="7" s="1"/>
  <c r="K19" i="6"/>
  <c r="C13" i="7" s="1"/>
  <c r="O19" i="6"/>
  <c r="D13" i="7"/>
  <c r="S19" i="6"/>
  <c r="E13" i="7" s="1"/>
  <c r="E32" i="7" s="1"/>
  <c r="W19" i="6"/>
  <c r="F13" i="7"/>
  <c r="F32" i="7" s="1"/>
  <c r="A12" i="7"/>
  <c r="A31" i="7" s="1"/>
  <c r="A13" i="7"/>
  <c r="A32" i="7" s="1"/>
  <c r="A21" i="7"/>
  <c r="E9" i="8"/>
  <c r="AD9" i="8"/>
  <c r="F9" i="8"/>
  <c r="AE9" i="8" s="1"/>
  <c r="G9" i="8"/>
  <c r="AF9" i="8"/>
  <c r="H9" i="8"/>
  <c r="AG9" i="8" s="1"/>
  <c r="E10" i="8"/>
  <c r="AD10" i="8"/>
  <c r="F10" i="8"/>
  <c r="AE10" i="8" s="1"/>
  <c r="G10" i="8"/>
  <c r="AF10" i="8"/>
  <c r="H10" i="8"/>
  <c r="E13" i="8"/>
  <c r="AD13" i="8" s="1"/>
  <c r="F13" i="8"/>
  <c r="AE13" i="8" s="1"/>
  <c r="G13" i="8"/>
  <c r="H13" i="8"/>
  <c r="AG13" i="8"/>
  <c r="E18" i="8"/>
  <c r="AD18" i="8" s="1"/>
  <c r="F18" i="8"/>
  <c r="G18" i="8"/>
  <c r="AF18" i="8" s="1"/>
  <c r="G19" i="8"/>
  <c r="AF19" i="8" s="1"/>
  <c r="AF20" i="8"/>
  <c r="H18" i="8"/>
  <c r="AG18" i="8" s="1"/>
  <c r="F19" i="8"/>
  <c r="E20" i="8"/>
  <c r="AD20" i="8"/>
  <c r="F20" i="8"/>
  <c r="AE20" i="8" s="1"/>
  <c r="G20" i="8"/>
  <c r="H20" i="8"/>
  <c r="AG20" i="8" s="1"/>
  <c r="E21" i="8"/>
  <c r="AD21" i="8" s="1"/>
  <c r="AE21" i="8"/>
  <c r="F21" i="8"/>
  <c r="G21" i="8"/>
  <c r="AF21" i="8" s="1"/>
  <c r="H21" i="8"/>
  <c r="AG21" i="8" s="1"/>
  <c r="E22" i="8"/>
  <c r="AD22" i="8" s="1"/>
  <c r="F22" i="8"/>
  <c r="AE22" i="8" s="1"/>
  <c r="G22" i="8"/>
  <c r="AF22" i="8" s="1"/>
  <c r="H22" i="8"/>
  <c r="AG22" i="8"/>
  <c r="E24" i="8"/>
  <c r="F24" i="8"/>
  <c r="AE24" i="8" s="1"/>
  <c r="AE23" i="8" s="1"/>
  <c r="AE25" i="8"/>
  <c r="G24" i="8"/>
  <c r="AF24" i="8" s="1"/>
  <c r="H24" i="8"/>
  <c r="H23" i="8" s="1"/>
  <c r="H25" i="8"/>
  <c r="AG25" i="8" s="1"/>
  <c r="E25" i="8"/>
  <c r="AD25" i="8" s="1"/>
  <c r="F25" i="8"/>
  <c r="G25" i="8"/>
  <c r="AF25" i="8"/>
  <c r="D15" i="8"/>
  <c r="D13" i="8"/>
  <c r="J13" i="8"/>
  <c r="D16" i="8"/>
  <c r="K16" i="8" s="1"/>
  <c r="D14" i="8"/>
  <c r="E16" i="8"/>
  <c r="AD16" i="8" s="1"/>
  <c r="AE16" i="8"/>
  <c r="F16" i="8"/>
  <c r="G16" i="8"/>
  <c r="AF16" i="8" s="1"/>
  <c r="H16" i="8"/>
  <c r="AG16" i="8" s="1"/>
  <c r="Z19" i="8"/>
  <c r="M11" i="8"/>
  <c r="G32" i="11"/>
  <c r="G31" i="11" s="1"/>
  <c r="G9" i="11"/>
  <c r="E29" i="11"/>
  <c r="D25" i="11"/>
  <c r="C24" i="11"/>
  <c r="C22" i="11"/>
  <c r="T16" i="8"/>
  <c r="AV16" i="8" s="1"/>
  <c r="R16" i="8"/>
  <c r="AT16" i="8" s="1"/>
  <c r="Y16" i="8"/>
  <c r="BC16" i="8" s="1"/>
  <c r="W16" i="8"/>
  <c r="AZ16" i="8" s="1"/>
  <c r="X16" i="8"/>
  <c r="BA16" i="8" s="1"/>
  <c r="G23" i="8"/>
  <c r="A15" i="9"/>
  <c r="A7" i="7"/>
  <c r="A26" i="7" s="1"/>
  <c r="A18" i="11"/>
  <c r="U17" i="8"/>
  <c r="AA17" i="8"/>
  <c r="S17" i="8"/>
  <c r="V17" i="8"/>
  <c r="C19" i="11"/>
  <c r="B38" i="11"/>
  <c r="C38" i="11"/>
  <c r="G33" i="11"/>
  <c r="C26" i="11"/>
  <c r="E26" i="11"/>
  <c r="C16" i="11"/>
  <c r="B36" i="11"/>
  <c r="C36" i="11"/>
  <c r="B16" i="11"/>
  <c r="D12" i="11"/>
  <c r="C7" i="11"/>
  <c r="Q9" i="8"/>
  <c r="A19" i="9"/>
  <c r="A12" i="10"/>
  <c r="L5" i="9"/>
  <c r="L4" i="9"/>
  <c r="K15" i="8"/>
  <c r="L15" i="8"/>
  <c r="H15" i="8"/>
  <c r="AG15" i="8"/>
  <c r="M15" i="8"/>
  <c r="O15" i="8"/>
  <c r="N15" i="8"/>
  <c r="C27" i="11"/>
  <c r="B27" i="11"/>
  <c r="D27" i="11"/>
  <c r="E27" i="11"/>
  <c r="AG24" i="8"/>
  <c r="AG23" i="8" s="1"/>
  <c r="AE19" i="8"/>
  <c r="B19" i="6"/>
  <c r="B28" i="11"/>
  <c r="D28" i="11"/>
  <c r="E28" i="11"/>
  <c r="C28" i="11"/>
  <c r="F28" i="11"/>
  <c r="B24" i="11"/>
  <c r="F24" i="11"/>
  <c r="E24" i="11"/>
  <c r="D20" i="11"/>
  <c r="J15" i="8"/>
  <c r="E15" i="8"/>
  <c r="AD15" i="8"/>
  <c r="F15" i="8"/>
  <c r="AE15" i="8" s="1"/>
  <c r="P15" i="8"/>
  <c r="G15" i="8"/>
  <c r="AF15" i="8"/>
  <c r="I15" i="8"/>
  <c r="F23" i="8"/>
  <c r="Y18" i="8"/>
  <c r="BC18" i="8"/>
  <c r="H37" i="11"/>
  <c r="C17" i="11"/>
  <c r="D17" i="11"/>
  <c r="B17" i="11"/>
  <c r="C14" i="11"/>
  <c r="B35" i="11"/>
  <c r="C35" i="11"/>
  <c r="B9" i="11"/>
  <c r="C9" i="11"/>
  <c r="L19" i="8"/>
  <c r="R19" i="8"/>
  <c r="X19" i="8"/>
  <c r="AB19" i="8"/>
  <c r="E19" i="8"/>
  <c r="E17" i="8"/>
  <c r="P19" i="8"/>
  <c r="M19" i="8"/>
  <c r="T19" i="8"/>
  <c r="U19" i="8"/>
  <c r="D15" i="10"/>
  <c r="I5" i="9"/>
  <c r="I4" i="9"/>
  <c r="W26" i="9"/>
  <c r="B6" i="10"/>
  <c r="E21" i="11"/>
  <c r="R18" i="8"/>
  <c r="AT18" i="8"/>
  <c r="AA18" i="8"/>
  <c r="BE18" i="8" s="1"/>
  <c r="S18" i="8"/>
  <c r="AU18" i="8"/>
  <c r="X18" i="8"/>
  <c r="BA18" i="8" s="1"/>
  <c r="Q18" i="8"/>
  <c r="V18" i="8"/>
  <c r="AY18" i="8" s="1"/>
  <c r="T18" i="8"/>
  <c r="AV18" i="8"/>
  <c r="U18" i="8"/>
  <c r="AX18" i="8" s="1"/>
  <c r="E19" i="11"/>
  <c r="W18" i="8"/>
  <c r="AZ18" i="8"/>
  <c r="AB18" i="8"/>
  <c r="BF18" i="8" s="1"/>
  <c r="Z18" i="8"/>
  <c r="BD18" i="8"/>
  <c r="R17" i="8"/>
  <c r="Y17" i="8"/>
  <c r="Z17" i="8"/>
  <c r="W17" i="8"/>
  <c r="T17" i="8"/>
  <c r="E8" i="11"/>
  <c r="E7" i="11"/>
  <c r="W22" i="16"/>
  <c r="F6" i="7" s="1"/>
  <c r="F25" i="7" s="1"/>
  <c r="W11" i="8"/>
  <c r="Y11" i="8"/>
  <c r="F11" i="8"/>
  <c r="AE11" i="8" s="1"/>
  <c r="E11" i="8"/>
  <c r="AD11" i="8"/>
  <c r="G11" i="8"/>
  <c r="AF11" i="8" s="1"/>
  <c r="H11" i="8"/>
  <c r="AG11" i="8"/>
  <c r="T11" i="8"/>
  <c r="L11" i="8"/>
  <c r="A6" i="7"/>
  <c r="A25" i="7" s="1"/>
  <c r="A11" i="9"/>
  <c r="R11" i="8"/>
  <c r="Z11" i="8"/>
  <c r="X11" i="8"/>
  <c r="Q11" i="8"/>
  <c r="U11" i="8"/>
  <c r="V11" i="8"/>
  <c r="N11" i="8"/>
  <c r="K11" i="8"/>
  <c r="AB11" i="8"/>
  <c r="P11" i="8"/>
  <c r="AA11" i="8"/>
  <c r="S11" i="8"/>
  <c r="A9" i="10"/>
  <c r="E6" i="8"/>
  <c r="Q11" i="9"/>
  <c r="S11" i="9"/>
  <c r="U19" i="9"/>
  <c r="C12" i="10"/>
  <c r="C34" i="10" s="1"/>
  <c r="D23" i="10"/>
  <c r="C29" i="10" s="1"/>
  <c r="G17" i="18"/>
  <c r="B7" i="7"/>
  <c r="B26" i="7" s="1"/>
  <c r="D22" i="3"/>
  <c r="E22" i="3" s="1"/>
  <c r="AC22" i="8" s="1"/>
  <c r="O19" i="17"/>
  <c r="D8" i="7"/>
  <c r="D27" i="7" s="1"/>
  <c r="A14" i="17"/>
  <c r="AD19" i="8"/>
  <c r="C33" i="11"/>
  <c r="D10" i="11"/>
  <c r="Y19" i="8"/>
  <c r="N19" i="8"/>
  <c r="K19" i="8"/>
  <c r="Z25" i="8"/>
  <c r="X25" i="8"/>
  <c r="U25" i="8"/>
  <c r="W25" i="8"/>
  <c r="T25" i="8"/>
  <c r="AA25" i="8"/>
  <c r="R25" i="8"/>
  <c r="N25" i="8"/>
  <c r="V25" i="8"/>
  <c r="S25" i="8"/>
  <c r="Q25" i="8"/>
  <c r="P25" i="8"/>
  <c r="K25" i="8"/>
  <c r="J25" i="8"/>
  <c r="K23" i="8"/>
  <c r="K20" i="8"/>
  <c r="L16" i="8"/>
  <c r="P23" i="8"/>
  <c r="AQ23" i="8" s="1"/>
  <c r="O20" i="8"/>
  <c r="P18" i="8"/>
  <c r="O18" i="8"/>
  <c r="M17" i="8"/>
  <c r="P13" i="8"/>
  <c r="AQ13" i="8"/>
  <c r="O12" i="8"/>
  <c r="O9" i="8"/>
  <c r="U12" i="8"/>
  <c r="Y25" i="8"/>
  <c r="E12" i="11"/>
  <c r="X17" i="8"/>
  <c r="Q16" i="8"/>
  <c r="U16" i="8"/>
  <c r="AX16" i="8" s="1"/>
  <c r="S19" i="8"/>
  <c r="Z16" i="8"/>
  <c r="BD16" i="8" s="1"/>
  <c r="H19" i="8"/>
  <c r="C34" i="11"/>
  <c r="C32" i="11"/>
  <c r="C10" i="11"/>
  <c r="Q19" i="8"/>
  <c r="AB22" i="8"/>
  <c r="BF22" i="8" s="1"/>
  <c r="U22" i="8"/>
  <c r="W22" i="8"/>
  <c r="AZ22" i="8" s="1"/>
  <c r="Y22" i="8"/>
  <c r="BC22" i="8"/>
  <c r="S22" i="8"/>
  <c r="AU22" i="8" s="1"/>
  <c r="AA22" i="8"/>
  <c r="BE22" i="8"/>
  <c r="X22" i="8"/>
  <c r="BA22" i="8" s="1"/>
  <c r="Q22" i="8"/>
  <c r="Z22" i="8"/>
  <c r="BD22" i="8" s="1"/>
  <c r="V22" i="8"/>
  <c r="AY22" i="8"/>
  <c r="R22" i="8"/>
  <c r="M22" i="8"/>
  <c r="AN22" i="8" s="1"/>
  <c r="T22" i="8"/>
  <c r="AV22" i="8"/>
  <c r="L22" i="8"/>
  <c r="AL22" i="8" s="1"/>
  <c r="I19" i="8"/>
  <c r="G24" i="15"/>
  <c r="B5" i="7" s="1"/>
  <c r="B24" i="7" s="1"/>
  <c r="Y7" i="8"/>
  <c r="BC7" i="8"/>
  <c r="BE7" i="8"/>
  <c r="AA7" i="8"/>
  <c r="Z7" i="8"/>
  <c r="BD7" i="8"/>
  <c r="AB7" i="8"/>
  <c r="BF7" i="8" s="1"/>
  <c r="V7" i="8"/>
  <c r="AY7" i="8"/>
  <c r="X7" i="8"/>
  <c r="BA7" i="8"/>
  <c r="S7" i="8"/>
  <c r="AU7" i="8" s="1"/>
  <c r="W7" i="8"/>
  <c r="AZ7" i="8"/>
  <c r="Q7" i="8"/>
  <c r="R7" i="8"/>
  <c r="AT7" i="8" s="1"/>
  <c r="N7" i="8"/>
  <c r="T7" i="8"/>
  <c r="AV7" i="8" s="1"/>
  <c r="M7" i="8"/>
  <c r="P7" i="8"/>
  <c r="AB17" i="8"/>
  <c r="L23" i="8"/>
  <c r="AL23" i="8" s="1"/>
  <c r="K22" i="8"/>
  <c r="L18" i="8"/>
  <c r="J17" i="8"/>
  <c r="P22" i="8"/>
  <c r="O17" i="8"/>
  <c r="O7" i="8"/>
  <c r="T23" i="8"/>
  <c r="AV23" i="8" s="1"/>
  <c r="M16" i="8"/>
  <c r="N16" i="8"/>
  <c r="Z9" i="8"/>
  <c r="BD9" i="8" s="1"/>
  <c r="AB9" i="8"/>
  <c r="BC9" i="8" s="1"/>
  <c r="AA9" i="8"/>
  <c r="BE9" i="8" s="1"/>
  <c r="BG9" i="8" s="1"/>
  <c r="BF9" i="8"/>
  <c r="U9" i="8"/>
  <c r="V9" i="8"/>
  <c r="AY9" i="8" s="1"/>
  <c r="X9" i="8"/>
  <c r="BA9" i="8"/>
  <c r="S9" i="8"/>
  <c r="W9" i="8"/>
  <c r="AZ9" i="8" s="1"/>
  <c r="T9" i="8"/>
  <c r="M9" i="8"/>
  <c r="P9" i="8"/>
  <c r="R9" i="8"/>
  <c r="N9" i="8"/>
  <c r="L9" i="8"/>
  <c r="Z21" i="8"/>
  <c r="BD21" i="8" s="1"/>
  <c r="S21" i="8"/>
  <c r="AU21" i="8" s="1"/>
  <c r="X21" i="8"/>
  <c r="BA21" i="8"/>
  <c r="Y12" i="8"/>
  <c r="AB12" i="8"/>
  <c r="BF12" i="8" s="1"/>
  <c r="Z12" i="8"/>
  <c r="BD12" i="8"/>
  <c r="W12" i="8"/>
  <c r="V12" i="8"/>
  <c r="Q12" i="8"/>
  <c r="P12" i="8"/>
  <c r="T12" i="8"/>
  <c r="R12" i="8"/>
  <c r="S12" i="8"/>
  <c r="M12" i="8"/>
  <c r="AA12" i="8"/>
  <c r="BE12" i="8" s="1"/>
  <c r="P17" i="8"/>
  <c r="K17" i="8"/>
  <c r="Z10" i="8"/>
  <c r="BD10" i="8" s="1"/>
  <c r="AB10" i="8"/>
  <c r="BF10" i="8"/>
  <c r="BG10" i="8" s="1"/>
  <c r="BC10" i="8"/>
  <c r="Y10" i="8"/>
  <c r="AA10" i="8"/>
  <c r="BE10" i="8" s="1"/>
  <c r="U10" i="8"/>
  <c r="AX10" i="8" s="1"/>
  <c r="W10" i="8"/>
  <c r="AZ10" i="8"/>
  <c r="X10" i="8"/>
  <c r="BA10" i="8" s="1"/>
  <c r="Q10" i="8"/>
  <c r="AS10" i="8"/>
  <c r="M10" i="8"/>
  <c r="S10" i="8"/>
  <c r="AU10" i="8" s="1"/>
  <c r="AT10" i="8"/>
  <c r="V10" i="8"/>
  <c r="AY10" i="8" s="1"/>
  <c r="R10" i="8"/>
  <c r="O10" i="8"/>
  <c r="AP10" i="8"/>
  <c r="T10" i="8"/>
  <c r="AV10" i="8" s="1"/>
  <c r="P10" i="8"/>
  <c r="AQ10" i="8" s="1"/>
  <c r="J10" i="8"/>
  <c r="L10" i="8"/>
  <c r="L17" i="8"/>
  <c r="J16" i="8"/>
  <c r="AC16" i="8"/>
  <c r="AJ16" i="8"/>
  <c r="K12" i="8"/>
  <c r="I10" i="8"/>
  <c r="J9" i="8"/>
  <c r="L7" i="8"/>
  <c r="O22" i="8"/>
  <c r="P16" i="8"/>
  <c r="O16" i="8"/>
  <c r="AP16" i="8"/>
  <c r="AN16" i="8"/>
  <c r="AQ16" i="8"/>
  <c r="Z14" i="8"/>
  <c r="BD14" i="8"/>
  <c r="P14" i="8"/>
  <c r="AQ14" i="8" s="1"/>
  <c r="AA14" i="8"/>
  <c r="BE14" i="8" s="1"/>
  <c r="BE11" i="8" s="1"/>
  <c r="X14" i="8"/>
  <c r="BA14" i="8" s="1"/>
  <c r="T14" i="8"/>
  <c r="AV14" i="8"/>
  <c r="N14" i="8"/>
  <c r="Z13" i="8"/>
  <c r="BD13" i="8"/>
  <c r="AB13" i="8"/>
  <c r="BF13" i="8" s="1"/>
  <c r="U13" i="8"/>
  <c r="AX13" i="8"/>
  <c r="AY13" i="8"/>
  <c r="R13" i="8"/>
  <c r="AT13" i="8"/>
  <c r="AA13" i="8"/>
  <c r="BE13" i="8"/>
  <c r="X13" i="8"/>
  <c r="BA13" i="8" s="1"/>
  <c r="S13" i="8"/>
  <c r="AU13" i="8" s="1"/>
  <c r="AS13" i="8"/>
  <c r="N13" i="8"/>
  <c r="Y13" i="8"/>
  <c r="BC13" i="8"/>
  <c r="V13" i="8"/>
  <c r="Q13" i="8"/>
  <c r="W13" i="8"/>
  <c r="AZ13" i="8" s="1"/>
  <c r="T13" i="8"/>
  <c r="AV13" i="8" s="1"/>
  <c r="M13" i="8"/>
  <c r="K13" i="8"/>
  <c r="AB20" i="8"/>
  <c r="BF20" i="8"/>
  <c r="U20" i="8"/>
  <c r="AX20" i="8" s="1"/>
  <c r="W20" i="8"/>
  <c r="AZ20" i="8" s="1"/>
  <c r="Y20" i="8"/>
  <c r="BC20" i="8" s="1"/>
  <c r="Z20" i="8"/>
  <c r="BD20" i="8"/>
  <c r="X20" i="8"/>
  <c r="BA20" i="8" s="1"/>
  <c r="BA19" i="8" s="1"/>
  <c r="S20" i="8"/>
  <c r="AU20" i="8"/>
  <c r="AA20" i="8"/>
  <c r="BE20" i="8"/>
  <c r="R20" i="8"/>
  <c r="AT20" i="8"/>
  <c r="V20" i="8"/>
  <c r="AY20" i="8"/>
  <c r="Q20" i="8"/>
  <c r="AS20" i="8"/>
  <c r="N20" i="8"/>
  <c r="L20" i="8"/>
  <c r="N18" i="8"/>
  <c r="M18" i="8"/>
  <c r="Z23" i="8"/>
  <c r="BD23" i="8" s="1"/>
  <c r="AA23" i="8"/>
  <c r="BE23" i="8"/>
  <c r="U23" i="8"/>
  <c r="AX23" i="8" s="1"/>
  <c r="BB23" i="8" s="1"/>
  <c r="M23" i="9" s="1"/>
  <c r="K23" i="9" s="1"/>
  <c r="V23" i="8"/>
  <c r="AY23" i="8" s="1"/>
  <c r="AB23" i="8"/>
  <c r="BF23" i="8"/>
  <c r="Q23" i="8"/>
  <c r="Y23" i="8"/>
  <c r="BC23" i="8" s="1"/>
  <c r="BG23" i="8" s="1"/>
  <c r="P23" i="9" s="1"/>
  <c r="N23" i="9" s="1"/>
  <c r="W23" i="8"/>
  <c r="AZ23" i="8" s="1"/>
  <c r="R23" i="8"/>
  <c r="AT23" i="8"/>
  <c r="S23" i="8"/>
  <c r="AU23" i="8"/>
  <c r="O23" i="8"/>
  <c r="J23" i="8"/>
  <c r="Y8" i="8"/>
  <c r="BC8" i="8"/>
  <c r="BC6" i="8" s="1"/>
  <c r="S8" i="8"/>
  <c r="Z8" i="8"/>
  <c r="BD8" i="8"/>
  <c r="AB8" i="8"/>
  <c r="BF8" i="8"/>
  <c r="V8" i="8"/>
  <c r="AY8" i="8" s="1"/>
  <c r="X8" i="8"/>
  <c r="BA8" i="8" s="1"/>
  <c r="BA6" i="8" s="1"/>
  <c r="AA8" i="8"/>
  <c r="BE8" i="8"/>
  <c r="T8" i="8"/>
  <c r="N8" i="8"/>
  <c r="P8" i="8"/>
  <c r="U8" i="8"/>
  <c r="AX8" i="8" s="1"/>
  <c r="BB8" i="8" s="1"/>
  <c r="M8" i="9" s="1"/>
  <c r="K8" i="9" s="1"/>
  <c r="O8" i="8"/>
  <c r="I8" i="8"/>
  <c r="K8" i="8"/>
  <c r="W8" i="8"/>
  <c r="AZ8" i="8"/>
  <c r="Q8" i="8"/>
  <c r="L25" i="8"/>
  <c r="J20" i="8"/>
  <c r="J18" i="8"/>
  <c r="L13" i="8"/>
  <c r="J12" i="8"/>
  <c r="K10" i="8"/>
  <c r="J8" i="8"/>
  <c r="K7" i="8"/>
  <c r="P20" i="8"/>
  <c r="AQ20" i="8" s="1"/>
  <c r="N22" i="8"/>
  <c r="AO22" i="8"/>
  <c r="M23" i="8"/>
  <c r="AN23" i="8" s="1"/>
  <c r="M21" i="8"/>
  <c r="O13" i="8"/>
  <c r="N12" i="8"/>
  <c r="T20" i="8"/>
  <c r="AV20" i="8" s="1"/>
  <c r="S14" i="8"/>
  <c r="AU14" i="8"/>
  <c r="X12" i="8"/>
  <c r="Y15" i="8"/>
  <c r="BC15" i="8"/>
  <c r="AA15" i="8"/>
  <c r="BE15" i="8"/>
  <c r="V15" i="8"/>
  <c r="AY15" i="8"/>
  <c r="X15" i="8"/>
  <c r="BA15" i="8"/>
  <c r="C38" i="10"/>
  <c r="D38" i="10"/>
  <c r="B38" i="10"/>
  <c r="C28" i="10"/>
  <c r="D28" i="10" s="1"/>
  <c r="B28" i="10"/>
  <c r="C24" i="7"/>
  <c r="AS16" i="8"/>
  <c r="AK16" i="8"/>
  <c r="AL16" i="8"/>
  <c r="AM16" i="8"/>
  <c r="D16" i="9" s="1"/>
  <c r="AH15" i="8"/>
  <c r="C32" i="7"/>
  <c r="B23" i="11"/>
  <c r="C23" i="11"/>
  <c r="F23" i="11"/>
  <c r="D23" i="11"/>
  <c r="E23" i="11"/>
  <c r="AF13" i="8"/>
  <c r="AH13" i="8"/>
  <c r="BF21" i="8"/>
  <c r="AH22" i="8"/>
  <c r="J18" i="11"/>
  <c r="C30" i="11"/>
  <c r="D30" i="11"/>
  <c r="E30" i="11"/>
  <c r="F30" i="11"/>
  <c r="AJ23" i="8"/>
  <c r="AM23" i="8" s="1"/>
  <c r="D23" i="9" s="1"/>
  <c r="B23" i="9" s="1"/>
  <c r="AK23" i="8"/>
  <c r="D25" i="3"/>
  <c r="E25" i="3" s="1"/>
  <c r="AC25" i="8" s="1"/>
  <c r="D6" i="10"/>
  <c r="B30" i="11"/>
  <c r="A6" i="11"/>
  <c r="A5" i="7"/>
  <c r="A24" i="7"/>
  <c r="A6" i="9"/>
  <c r="E31" i="7"/>
  <c r="E34" i="7"/>
  <c r="B12" i="7"/>
  <c r="AP23" i="8"/>
  <c r="AS23" i="8"/>
  <c r="BG18" i="8"/>
  <c r="B14" i="11"/>
  <c r="D14" i="11"/>
  <c r="E14" i="11"/>
  <c r="F14" i="11"/>
  <c r="F11" i="11"/>
  <c r="C11" i="11"/>
  <c r="D11" i="11"/>
  <c r="B11" i="11"/>
  <c r="W21" i="8"/>
  <c r="AZ21" i="8" s="1"/>
  <c r="L21" i="8"/>
  <c r="AA21" i="8"/>
  <c r="BE21" i="8"/>
  <c r="BE19" i="8"/>
  <c r="Q21" i="8"/>
  <c r="AS21" i="8"/>
  <c r="U21" i="8"/>
  <c r="AX21" i="8"/>
  <c r="AB21" i="8"/>
  <c r="T21" i="8"/>
  <c r="AV21" i="8"/>
  <c r="R21" i="8"/>
  <c r="AT21" i="8"/>
  <c r="N21" i="8"/>
  <c r="Y21" i="8"/>
  <c r="BC21" i="8"/>
  <c r="J21" i="8"/>
  <c r="K21" i="8"/>
  <c r="E22" i="11"/>
  <c r="V21" i="8"/>
  <c r="AY21" i="8" s="1"/>
  <c r="BB21" i="8" s="1"/>
  <c r="M21" i="9" s="1"/>
  <c r="O21" i="8"/>
  <c r="P21" i="8"/>
  <c r="AQ21" i="8" s="1"/>
  <c r="B24" i="6"/>
  <c r="K19" i="17"/>
  <c r="C8" i="7"/>
  <c r="C27" i="7"/>
  <c r="N23" i="8"/>
  <c r="AO23" i="8" s="1"/>
  <c r="X23" i="8"/>
  <c r="BA23" i="8" s="1"/>
  <c r="A8" i="15"/>
  <c r="N10" i="8"/>
  <c r="E9" i="11"/>
  <c r="C20" i="11"/>
  <c r="B20" i="11"/>
  <c r="A13" i="15"/>
  <c r="D8" i="3" s="1"/>
  <c r="E8" i="3" s="1"/>
  <c r="AC8" i="8" s="1"/>
  <c r="K22" i="16"/>
  <c r="C6" i="7"/>
  <c r="C25" i="7"/>
  <c r="A21" i="16"/>
  <c r="J7" i="8"/>
  <c r="U7" i="8"/>
  <c r="AX7" i="8"/>
  <c r="BB7" i="8" s="1"/>
  <c r="M7" i="9" s="1"/>
  <c r="C12" i="11"/>
  <c r="B26" i="11"/>
  <c r="D8" i="11"/>
  <c r="E16" i="11"/>
  <c r="D16" i="11"/>
  <c r="S24" i="15"/>
  <c r="E5" i="7"/>
  <c r="E24" i="7" s="1"/>
  <c r="G22" i="16"/>
  <c r="B6" i="7"/>
  <c r="B25" i="7"/>
  <c r="O19" i="8"/>
  <c r="W19" i="8"/>
  <c r="U14" i="9"/>
  <c r="U11" i="9"/>
  <c r="C10" i="10"/>
  <c r="C32" i="10" s="1"/>
  <c r="C11" i="9"/>
  <c r="I39" i="11"/>
  <c r="I40" i="11"/>
  <c r="G34" i="11"/>
  <c r="C15" i="3"/>
  <c r="C11" i="3" s="1"/>
  <c r="C6" i="3" s="1"/>
  <c r="A12" i="16"/>
  <c r="D12" i="3" s="1"/>
  <c r="E12" i="3" s="1"/>
  <c r="A16" i="18"/>
  <c r="A11" i="18"/>
  <c r="D17" i="3"/>
  <c r="E17" i="3" s="1"/>
  <c r="C24" i="9"/>
  <c r="J38" i="11"/>
  <c r="G38" i="11" s="1"/>
  <c r="G37" i="11" s="1"/>
  <c r="F15" i="9"/>
  <c r="U16" i="9"/>
  <c r="U15" i="9"/>
  <c r="C11" i="10" s="1"/>
  <c r="C33" i="10" s="1"/>
  <c r="O25" i="8"/>
  <c r="I25" i="8"/>
  <c r="AB15" i="8"/>
  <c r="BF15" i="8"/>
  <c r="W15" i="8"/>
  <c r="AZ15" i="8"/>
  <c r="BB15" i="8" s="1"/>
  <c r="R15" i="8"/>
  <c r="AT15" i="8" s="1"/>
  <c r="T15" i="8"/>
  <c r="AV15" i="8" s="1"/>
  <c r="B10" i="11"/>
  <c r="G11" i="17"/>
  <c r="G19" i="17"/>
  <c r="B8" i="7" s="1"/>
  <c r="A11" i="17"/>
  <c r="D21" i="3" s="1"/>
  <c r="E21" i="3" s="1"/>
  <c r="AC21" i="8" s="1"/>
  <c r="D14" i="3"/>
  <c r="E14" i="3" s="1"/>
  <c r="AC14" i="8" s="1"/>
  <c r="D7" i="3"/>
  <c r="E7" i="3" s="1"/>
  <c r="AC7" i="8" s="1"/>
  <c r="D18" i="3"/>
  <c r="E18" i="3"/>
  <c r="AC18" i="8" s="1"/>
  <c r="B17" i="18"/>
  <c r="P18" i="9"/>
  <c r="N18" i="9"/>
  <c r="S16" i="9"/>
  <c r="G12" i="7"/>
  <c r="Q16" i="9"/>
  <c r="D15" i="3"/>
  <c r="S19" i="17"/>
  <c r="E8" i="7" s="1"/>
  <c r="A7" i="17"/>
  <c r="BG21" i="8"/>
  <c r="AW21" i="8"/>
  <c r="J21" i="9"/>
  <c r="BF19" i="8"/>
  <c r="B31" i="7"/>
  <c r="B15" i="7"/>
  <c r="AH20" i="8"/>
  <c r="AD17" i="8"/>
  <c r="AG10" i="8"/>
  <c r="H6" i="8"/>
  <c r="AG6" i="8"/>
  <c r="AH9" i="8"/>
  <c r="G13" i="7"/>
  <c r="D32" i="7"/>
  <c r="G32" i="7"/>
  <c r="G35" i="11"/>
  <c r="H31" i="11"/>
  <c r="AF14" i="8"/>
  <c r="AH14" i="8" s="1"/>
  <c r="G6" i="8"/>
  <c r="AH8" i="8"/>
  <c r="AD6" i="8"/>
  <c r="AE7" i="8"/>
  <c r="F6" i="8"/>
  <c r="F15" i="11"/>
  <c r="D15" i="11"/>
  <c r="C15" i="11"/>
  <c r="E15" i="11"/>
  <c r="B15" i="11"/>
  <c r="BD19" i="8"/>
  <c r="BD11" i="8"/>
  <c r="AZ6" i="8"/>
  <c r="BE6" i="8"/>
  <c r="BG22" i="8"/>
  <c r="AG19" i="8"/>
  <c r="H17" i="8"/>
  <c r="AK22" i="8"/>
  <c r="AQ22" i="8"/>
  <c r="AP22" i="8"/>
  <c r="BB18" i="8"/>
  <c r="M18" i="9"/>
  <c r="K18" i="9" s="1"/>
  <c r="L14" i="8"/>
  <c r="AL14" i="8" s="1"/>
  <c r="AB14" i="8"/>
  <c r="BF14" i="8" s="1"/>
  <c r="J14" i="8"/>
  <c r="Q14" i="8"/>
  <c r="AS14" i="8"/>
  <c r="Y14" i="8"/>
  <c r="BC14" i="8"/>
  <c r="U14" i="8"/>
  <c r="AX14" i="8"/>
  <c r="AY14" i="8"/>
  <c r="M14" i="8"/>
  <c r="AN14" i="8" s="1"/>
  <c r="K14" i="8"/>
  <c r="W14" i="8"/>
  <c r="AZ14" i="8" s="1"/>
  <c r="V14" i="8"/>
  <c r="R14" i="8"/>
  <c r="AT14" i="8" s="1"/>
  <c r="AW14" i="8" s="1"/>
  <c r="O14" i="8"/>
  <c r="AP14" i="8" s="1"/>
  <c r="F24" i="7"/>
  <c r="AW23" i="8"/>
  <c r="J23" i="9"/>
  <c r="H23" i="9" s="1"/>
  <c r="BF6" i="8"/>
  <c r="AT22" i="8"/>
  <c r="AF6" i="8"/>
  <c r="C31" i="7"/>
  <c r="C34" i="7"/>
  <c r="C15" i="7"/>
  <c r="BG8" i="8"/>
  <c r="AU19" i="8"/>
  <c r="BG7" i="8"/>
  <c r="S7" i="9" s="1"/>
  <c r="BD6" i="8"/>
  <c r="AJ22" i="8"/>
  <c r="AM22" i="8" s="1"/>
  <c r="D22" i="9" s="1"/>
  <c r="AH16" i="8"/>
  <c r="AH10" i="8"/>
  <c r="B19" i="11"/>
  <c r="D19" i="11"/>
  <c r="F31" i="7"/>
  <c r="F34" i="7"/>
  <c r="F15" i="7"/>
  <c r="J8" i="11"/>
  <c r="C6" i="9"/>
  <c r="C5" i="9"/>
  <c r="C4" i="9" s="1"/>
  <c r="U8" i="9"/>
  <c r="F6" i="9"/>
  <c r="F5" i="9"/>
  <c r="F4" i="9" s="1"/>
  <c r="F24" i="9"/>
  <c r="U7" i="9"/>
  <c r="U6" i="9"/>
  <c r="J7" i="11"/>
  <c r="J6" i="11"/>
  <c r="U25" i="9"/>
  <c r="AD24" i="8"/>
  <c r="E23" i="8"/>
  <c r="F17" i="8"/>
  <c r="AE18" i="8"/>
  <c r="B29" i="11"/>
  <c r="C29" i="11"/>
  <c r="D29" i="11"/>
  <c r="F29" i="11"/>
  <c r="F25" i="11"/>
  <c r="E25" i="11"/>
  <c r="C25" i="11"/>
  <c r="D21" i="11"/>
  <c r="C21" i="11"/>
  <c r="Y9" i="8"/>
  <c r="K9" i="8"/>
  <c r="A23" i="15"/>
  <c r="D10" i="3"/>
  <c r="E10" i="3" s="1"/>
  <c r="AC10" i="8" s="1"/>
  <c r="A18" i="16"/>
  <c r="O22" i="16"/>
  <c r="D6" i="7"/>
  <c r="K17" i="18"/>
  <c r="C7" i="7"/>
  <c r="G7" i="7" s="1"/>
  <c r="AF23" i="8"/>
  <c r="F17" i="11"/>
  <c r="E17" i="11"/>
  <c r="A18" i="15"/>
  <c r="D9" i="3" s="1"/>
  <c r="D15" i="7"/>
  <c r="D31" i="7"/>
  <c r="D34" i="7" s="1"/>
  <c r="Q15" i="8"/>
  <c r="AS15" i="8" s="1"/>
  <c r="AW15" i="8"/>
  <c r="Z15" i="8"/>
  <c r="BD15" i="8"/>
  <c r="D13" i="11"/>
  <c r="C8" i="11"/>
  <c r="C13" i="11"/>
  <c r="U24" i="9"/>
  <c r="C5" i="10"/>
  <c r="BG6" i="8"/>
  <c r="P7" i="9"/>
  <c r="S8" i="9"/>
  <c r="Q8" i="9" s="1"/>
  <c r="P8" i="9"/>
  <c r="N8" i="9"/>
  <c r="BG14" i="8"/>
  <c r="P14" i="9"/>
  <c r="N14" i="9" s="1"/>
  <c r="AH7" i="8"/>
  <c r="AE6" i="8"/>
  <c r="P21" i="9"/>
  <c r="S22" i="9"/>
  <c r="Q22" i="9" s="1"/>
  <c r="E27" i="7"/>
  <c r="E28" i="7" s="1"/>
  <c r="E9" i="7"/>
  <c r="K7" i="9"/>
  <c r="D25" i="7"/>
  <c r="D28" i="7" s="1"/>
  <c r="D9" i="7"/>
  <c r="G6" i="7"/>
  <c r="B22" i="9"/>
  <c r="J14" i="9"/>
  <c r="H14" i="9" s="1"/>
  <c r="AD23" i="8"/>
  <c r="AD5" i="8" s="1"/>
  <c r="B34" i="7"/>
  <c r="G31" i="7"/>
  <c r="AE17" i="8"/>
  <c r="AH18" i="8"/>
  <c r="AH19" i="8"/>
  <c r="S23" i="9"/>
  <c r="P22" i="9"/>
  <c r="N22" i="9"/>
  <c r="N19" i="9" s="1"/>
  <c r="D20" i="3"/>
  <c r="B19" i="17"/>
  <c r="D13" i="3"/>
  <c r="D11" i="3" s="1"/>
  <c r="B22" i="16"/>
  <c r="AH24" i="8"/>
  <c r="C9" i="10"/>
  <c r="C31" i="10" s="1"/>
  <c r="C30" i="10" s="1"/>
  <c r="U5" i="9"/>
  <c r="U4" i="9" s="1"/>
  <c r="G15" i="7"/>
  <c r="C16" i="7" s="1"/>
  <c r="AR22" i="8"/>
  <c r="G22" i="9" s="1"/>
  <c r="E22" i="9" s="1"/>
  <c r="AG17" i="8"/>
  <c r="AG5" i="8" s="1"/>
  <c r="AT19" i="8"/>
  <c r="AC12" i="8"/>
  <c r="BA12" i="8" s="1"/>
  <c r="BA11" i="8" s="1"/>
  <c r="AJ12" i="8"/>
  <c r="AS12" i="8"/>
  <c r="AZ12" i="8"/>
  <c r="AZ11" i="8" s="1"/>
  <c r="AV12" i="8"/>
  <c r="AV11" i="8" s="1"/>
  <c r="E20" i="3"/>
  <c r="E19" i="3" s="1"/>
  <c r="D19" i="3"/>
  <c r="G34" i="7"/>
  <c r="G35" i="7" s="1"/>
  <c r="G25" i="7"/>
  <c r="Q7" i="9"/>
  <c r="E13" i="3"/>
  <c r="AC13" i="8" s="1"/>
  <c r="D17" i="7"/>
  <c r="AE5" i="8"/>
  <c r="E9" i="3"/>
  <c r="D6" i="3"/>
  <c r="D29" i="3" s="1"/>
  <c r="H31" i="7"/>
  <c r="C8" i="10"/>
  <c r="G16" i="7"/>
  <c r="H12" i="7"/>
  <c r="D16" i="7"/>
  <c r="D36" i="7"/>
  <c r="N7" i="9"/>
  <c r="C4" i="10"/>
  <c r="C13" i="10" s="1"/>
  <c r="C17" i="10" s="1"/>
  <c r="C27" i="10"/>
  <c r="C26" i="10" s="1"/>
  <c r="C35" i="10" s="1"/>
  <c r="G26" i="7"/>
  <c r="E35" i="7"/>
  <c r="C35" i="7"/>
  <c r="D35" i="7"/>
  <c r="AC9" i="8"/>
  <c r="AS9" i="8" s="1"/>
  <c r="E6" i="3"/>
  <c r="E11" i="3"/>
  <c r="AC20" i="8"/>
  <c r="AN20" i="8" s="1"/>
  <c r="F21" i="11"/>
  <c r="AL20" i="8"/>
  <c r="AJ9" i="8"/>
  <c r="AP9" i="8"/>
  <c r="AL9" i="8"/>
  <c r="AU9" i="8"/>
  <c r="AT9" i="8"/>
  <c r="AX9" i="8"/>
  <c r="BB9" i="8" s="1"/>
  <c r="AO9" i="8"/>
  <c r="AV9" i="8"/>
  <c r="AK9" i="8"/>
  <c r="AM9" i="8" s="1"/>
  <c r="D9" i="9" s="1"/>
  <c r="B9" i="9" s="1"/>
  <c r="AX6" i="8"/>
  <c r="AW9" i="8"/>
  <c r="J9" i="9" s="1"/>
  <c r="H9" i="9" s="1"/>
  <c r="C26" i="19" l="1"/>
  <c r="F26" i="19" s="1"/>
  <c r="G26" i="19" s="1"/>
  <c r="C39" i="10"/>
  <c r="AJ13" i="8"/>
  <c r="AK13" i="8"/>
  <c r="AL13" i="8"/>
  <c r="AO13" i="8"/>
  <c r="AP13" i="8"/>
  <c r="M9" i="9"/>
  <c r="AN13" i="8"/>
  <c r="AR13" i="8" s="1"/>
  <c r="G13" i="9" s="1"/>
  <c r="E13" i="9" s="1"/>
  <c r="E36" i="7"/>
  <c r="AN10" i="8"/>
  <c r="AK10" i="8"/>
  <c r="F9" i="11"/>
  <c r="AI10" i="8"/>
  <c r="AJ10" i="8"/>
  <c r="AL10" i="8"/>
  <c r="AO10" i="8"/>
  <c r="AC19" i="8"/>
  <c r="F20" i="11" s="1"/>
  <c r="AK20" i="8"/>
  <c r="AL12" i="8"/>
  <c r="AL11" i="8" s="1"/>
  <c r="AP12" i="8"/>
  <c r="AP11" i="8" s="1"/>
  <c r="B24" i="15"/>
  <c r="BG15" i="8"/>
  <c r="BB14" i="8"/>
  <c r="M14" i="9" s="1"/>
  <c r="K14" i="9" s="1"/>
  <c r="B9" i="7"/>
  <c r="B27" i="7"/>
  <c r="B28" i="7" s="1"/>
  <c r="AC17" i="8"/>
  <c r="E15" i="3"/>
  <c r="E29" i="3" s="1"/>
  <c r="BC19" i="8"/>
  <c r="BG19" i="8" s="1"/>
  <c r="S17" i="9" s="1"/>
  <c r="BG20" i="8"/>
  <c r="BG13" i="8"/>
  <c r="P13" i="9" s="1"/>
  <c r="N13" i="9" s="1"/>
  <c r="BF11" i="8"/>
  <c r="BB10" i="8"/>
  <c r="M10" i="9" s="1"/>
  <c r="K10" i="9" s="1"/>
  <c r="AY6" i="8"/>
  <c r="P9" i="9"/>
  <c r="S9" i="9"/>
  <c r="AC6" i="8"/>
  <c r="AQ9" i="8"/>
  <c r="AN9" i="8"/>
  <c r="AC11" i="8"/>
  <c r="AJ20" i="8"/>
  <c r="AP20" i="8"/>
  <c r="H32" i="7"/>
  <c r="H34" i="7" s="1"/>
  <c r="AS11" i="8"/>
  <c r="B16" i="7"/>
  <c r="F16" i="7"/>
  <c r="B35" i="7"/>
  <c r="AO12" i="8"/>
  <c r="C9" i="7"/>
  <c r="AK14" i="8"/>
  <c r="AL7" i="8"/>
  <c r="AO7" i="8"/>
  <c r="AS7" i="8"/>
  <c r="F7" i="11"/>
  <c r="AQ7" i="8"/>
  <c r="AN7" i="8"/>
  <c r="AP7" i="8"/>
  <c r="AK7" i="8"/>
  <c r="AJ7" i="8"/>
  <c r="B16" i="9"/>
  <c r="AQ19" i="8"/>
  <c r="AZ19" i="8"/>
  <c r="AZ5" i="8" s="1"/>
  <c r="BB20" i="8"/>
  <c r="M20" i="9" s="1"/>
  <c r="BB13" i="8"/>
  <c r="M13" i="9" s="1"/>
  <c r="K13" i="9" s="1"/>
  <c r="P10" i="9"/>
  <c r="N10" i="9" s="1"/>
  <c r="S10" i="9"/>
  <c r="Q10" i="9" s="1"/>
  <c r="AT12" i="8"/>
  <c r="AT11" i="8" s="1"/>
  <c r="AY12" i="8"/>
  <c r="AY11" i="8" s="1"/>
  <c r="AU12" i="8"/>
  <c r="AU11" i="8" s="1"/>
  <c r="AN12" i="8"/>
  <c r="AK12" i="8"/>
  <c r="AO14" i="8"/>
  <c r="AR14" i="8" s="1"/>
  <c r="G14" i="9" s="1"/>
  <c r="E14" i="9" s="1"/>
  <c r="AJ14" i="8"/>
  <c r="BC25" i="8"/>
  <c r="AN25" i="8"/>
  <c r="BA25" i="8"/>
  <c r="BA24" i="8" s="1"/>
  <c r="AQ25" i="8"/>
  <c r="AQ24" i="8" s="1"/>
  <c r="BE25" i="8"/>
  <c r="BE24" i="8" s="1"/>
  <c r="BD25" i="8"/>
  <c r="BD24" i="8" s="1"/>
  <c r="BD5" i="8" s="1"/>
  <c r="AC24" i="8"/>
  <c r="F38" i="11" s="1"/>
  <c r="F37" i="11" s="1"/>
  <c r="AL25" i="8"/>
  <c r="AL24" i="8" s="1"/>
  <c r="AX25" i="8"/>
  <c r="AK25" i="8"/>
  <c r="AK24" i="8" s="1"/>
  <c r="AZ25" i="8"/>
  <c r="AZ24" i="8" s="1"/>
  <c r="AI25" i="8"/>
  <c r="AV25" i="8"/>
  <c r="AV24" i="8" s="1"/>
  <c r="BF25" i="8"/>
  <c r="BF24" i="8" s="1"/>
  <c r="AP25" i="8"/>
  <c r="AP24" i="8" s="1"/>
  <c r="AO25" i="8"/>
  <c r="AO24" i="8" s="1"/>
  <c r="AT25" i="8"/>
  <c r="AT24" i="8" s="1"/>
  <c r="AS25" i="8"/>
  <c r="AY25" i="8"/>
  <c r="AY24" i="8" s="1"/>
  <c r="AU25" i="8"/>
  <c r="AU24" i="8" s="1"/>
  <c r="AJ25" i="8"/>
  <c r="AJ24" i="8" s="1"/>
  <c r="AW20" i="8"/>
  <c r="J20" i="9" s="1"/>
  <c r="AV19" i="8"/>
  <c r="AR23" i="8"/>
  <c r="G23" i="9" s="1"/>
  <c r="BA5" i="8"/>
  <c r="AW13" i="8"/>
  <c r="J13" i="9" s="1"/>
  <c r="H13" i="9" s="1"/>
  <c r="AO20" i="8"/>
  <c r="F35" i="7"/>
  <c r="AX12" i="8"/>
  <c r="BC12" i="8"/>
  <c r="F10" i="11"/>
  <c r="AQ12" i="8"/>
  <c r="AQ11" i="8" s="1"/>
  <c r="H13" i="7"/>
  <c r="H15" i="7" s="1"/>
  <c r="C26" i="7"/>
  <c r="C28" i="7" s="1"/>
  <c r="AP18" i="8"/>
  <c r="AJ18" i="8"/>
  <c r="AO18" i="8"/>
  <c r="AS18" i="8"/>
  <c r="AW18" i="8" s="1"/>
  <c r="J18" i="9" s="1"/>
  <c r="H18" i="9" s="1"/>
  <c r="AL18" i="8"/>
  <c r="AN18" i="8"/>
  <c r="AQ18" i="8"/>
  <c r="AK18" i="8"/>
  <c r="F19" i="11"/>
  <c r="F18" i="11" s="1"/>
  <c r="AJ21" i="8"/>
  <c r="F22" i="11"/>
  <c r="AL21" i="8"/>
  <c r="AL19" i="8" s="1"/>
  <c r="AN21" i="8"/>
  <c r="AR21" i="8" s="1"/>
  <c r="G21" i="9" s="1"/>
  <c r="E21" i="9" s="1"/>
  <c r="AK21" i="8"/>
  <c r="AP21" i="8"/>
  <c r="AO21" i="8"/>
  <c r="AI8" i="8"/>
  <c r="F8" i="11"/>
  <c r="AN8" i="8"/>
  <c r="AV8" i="8"/>
  <c r="AV6" i="8" s="1"/>
  <c r="AV5" i="8" s="1"/>
  <c r="AJ8" i="8"/>
  <c r="AO8" i="8"/>
  <c r="AL8" i="8"/>
  <c r="AU8" i="8"/>
  <c r="AU6" i="8" s="1"/>
  <c r="AU5" i="8" s="1"/>
  <c r="AP8" i="8"/>
  <c r="AK8" i="8"/>
  <c r="AS8" i="8"/>
  <c r="AQ8" i="8"/>
  <c r="AT8" i="8"/>
  <c r="AT6" i="8" s="1"/>
  <c r="AT5" i="8" s="1"/>
  <c r="BE5" i="8"/>
  <c r="AY19" i="8"/>
  <c r="W13" i="17"/>
  <c r="W19" i="17"/>
  <c r="F8" i="7" s="1"/>
  <c r="G8" i="7" s="1"/>
  <c r="AI19" i="8"/>
  <c r="AI11" i="8"/>
  <c r="J37" i="11"/>
  <c r="J39" i="11" s="1"/>
  <c r="J40" i="11" s="1"/>
  <c r="G5" i="7"/>
  <c r="AO16" i="8"/>
  <c r="AX22" i="8"/>
  <c r="BB22" i="8" s="1"/>
  <c r="M22" i="9" s="1"/>
  <c r="K22" i="9" s="1"/>
  <c r="K19" i="9" s="1"/>
  <c r="AS22" i="8"/>
  <c r="AF17" i="8"/>
  <c r="AF5" i="8" s="1"/>
  <c r="AW10" i="8"/>
  <c r="J10" i="9" s="1"/>
  <c r="H10" i="9" s="1"/>
  <c r="AH11" i="8"/>
  <c r="AH6" i="8" s="1"/>
  <c r="AH25" i="8"/>
  <c r="AH23" i="8" s="1"/>
  <c r="AH21" i="8"/>
  <c r="AH17" i="8" s="1"/>
  <c r="E15" i="7"/>
  <c r="B29" i="10"/>
  <c r="D29" i="10" s="1"/>
  <c r="S16" i="8"/>
  <c r="AU16" i="8" s="1"/>
  <c r="AW16" i="8" s="1"/>
  <c r="J16" i="9" s="1"/>
  <c r="AB16" i="8"/>
  <c r="BF16" i="8" s="1"/>
  <c r="AA16" i="8"/>
  <c r="BE16" i="8" s="1"/>
  <c r="BG16" i="8" s="1"/>
  <c r="P16" i="9" s="1"/>
  <c r="V16" i="8"/>
  <c r="AY16" i="8" s="1"/>
  <c r="BB16" i="8" s="1"/>
  <c r="M16" i="9" s="1"/>
  <c r="G17" i="8"/>
  <c r="G27" i="7" l="1"/>
  <c r="K16" i="9"/>
  <c r="AH5" i="8"/>
  <c r="AM21" i="8"/>
  <c r="D21" i="9" s="1"/>
  <c r="AR18" i="8"/>
  <c r="G18" i="9" s="1"/>
  <c r="E18" i="9" s="1"/>
  <c r="AM18" i="8"/>
  <c r="D18" i="9" s="1"/>
  <c r="E23" i="9"/>
  <c r="T23" i="9" s="1"/>
  <c r="V23" i="9"/>
  <c r="AI24" i="8"/>
  <c r="AM24" i="8" s="1"/>
  <c r="D25" i="9" s="1"/>
  <c r="AM25" i="8"/>
  <c r="G12" i="11"/>
  <c r="H12" i="11" s="1"/>
  <c r="AM14" i="8"/>
  <c r="D14" i="9" s="1"/>
  <c r="AX19" i="8"/>
  <c r="BB19" i="8" s="1"/>
  <c r="AR7" i="8"/>
  <c r="AN6" i="8"/>
  <c r="AO6" i="8"/>
  <c r="AR9" i="8"/>
  <c r="G9" i="9" s="1"/>
  <c r="N9" i="9"/>
  <c r="N6" i="9" s="1"/>
  <c r="P6" i="9"/>
  <c r="BF5" i="8"/>
  <c r="AK19" i="8"/>
  <c r="AR10" i="8"/>
  <c r="G10" i="9" s="1"/>
  <c r="E10" i="9" s="1"/>
  <c r="M6" i="9"/>
  <c r="K9" i="9"/>
  <c r="K6" i="9" s="1"/>
  <c r="G24" i="7"/>
  <c r="G9" i="7"/>
  <c r="H5" i="7"/>
  <c r="AM8" i="8"/>
  <c r="D8" i="9" s="1"/>
  <c r="G8" i="11"/>
  <c r="H8" i="11" s="1"/>
  <c r="AI6" i="8"/>
  <c r="AO19" i="8"/>
  <c r="G7" i="11"/>
  <c r="AM7" i="8"/>
  <c r="AJ6" i="8"/>
  <c r="AQ6" i="8"/>
  <c r="AL6" i="8"/>
  <c r="AO11" i="8"/>
  <c r="AP19" i="8"/>
  <c r="AY5" i="8"/>
  <c r="AQ17" i="8"/>
  <c r="AQ15" i="8" s="1"/>
  <c r="BF17" i="8"/>
  <c r="AZ17" i="8"/>
  <c r="AC15" i="8"/>
  <c r="AI17" i="8"/>
  <c r="AL17" i="8"/>
  <c r="AL15" i="8" s="1"/>
  <c r="AK17" i="8"/>
  <c r="AK15" i="8" s="1"/>
  <c r="AU17" i="8"/>
  <c r="BE17" i="8"/>
  <c r="AO17" i="8"/>
  <c r="AO15" i="8" s="1"/>
  <c r="AN17" i="8"/>
  <c r="AP17" i="8"/>
  <c r="AP15" i="8" s="1"/>
  <c r="BA17" i="8"/>
  <c r="AS17" i="8"/>
  <c r="AX17" i="8"/>
  <c r="BB17" i="8" s="1"/>
  <c r="M17" i="9" s="1"/>
  <c r="K17" i="9" s="1"/>
  <c r="BD17" i="8"/>
  <c r="AV17" i="8"/>
  <c r="AY17" i="8"/>
  <c r="AT17" i="8"/>
  <c r="BC17" i="8"/>
  <c r="AJ17" i="8"/>
  <c r="AJ15" i="8" s="1"/>
  <c r="AM10" i="8"/>
  <c r="D10" i="9" s="1"/>
  <c r="AR20" i="8"/>
  <c r="G20" i="9" s="1"/>
  <c r="H16" i="9"/>
  <c r="F27" i="7"/>
  <c r="F28" i="7" s="1"/>
  <c r="F9" i="7"/>
  <c r="AS19" i="8"/>
  <c r="AW19" i="8" s="1"/>
  <c r="AW22" i="8"/>
  <c r="J22" i="9" s="1"/>
  <c r="C36" i="7"/>
  <c r="BC11" i="8"/>
  <c r="BG12" i="8"/>
  <c r="P12" i="9" s="1"/>
  <c r="J19" i="9"/>
  <c r="AS24" i="8"/>
  <c r="AW24" i="8" s="1"/>
  <c r="AW25" i="8"/>
  <c r="AR25" i="8"/>
  <c r="AN24" i="8"/>
  <c r="AR24" i="8" s="1"/>
  <c r="G10" i="11"/>
  <c r="H10" i="11" s="1"/>
  <c r="AM12" i="8"/>
  <c r="D12" i="9" s="1"/>
  <c r="AK11" i="8"/>
  <c r="M19" i="9"/>
  <c r="AK6" i="8"/>
  <c r="F6" i="11"/>
  <c r="F39" i="11" s="1"/>
  <c r="F40" i="11" s="1"/>
  <c r="AJ19" i="8"/>
  <c r="AM19" i="8" s="1"/>
  <c r="AM20" i="8"/>
  <c r="D20" i="9" s="1"/>
  <c r="AC5" i="8"/>
  <c r="S18" i="9"/>
  <c r="Q18" i="9" s="1"/>
  <c r="P20" i="9"/>
  <c r="P19" i="9" s="1"/>
  <c r="B36" i="7"/>
  <c r="AW12" i="8"/>
  <c r="J12" i="9" s="1"/>
  <c r="AN19" i="8"/>
  <c r="N16" i="9"/>
  <c r="E17" i="7"/>
  <c r="E16" i="7"/>
  <c r="AW8" i="8"/>
  <c r="J8" i="9" s="1"/>
  <c r="H8" i="9" s="1"/>
  <c r="AR8" i="8"/>
  <c r="G8" i="9" s="1"/>
  <c r="E8" i="9" s="1"/>
  <c r="AX11" i="8"/>
  <c r="BB12" i="8"/>
  <c r="M12" i="9" s="1"/>
  <c r="AX24" i="8"/>
  <c r="BB24" i="8" s="1"/>
  <c r="BB25" i="8"/>
  <c r="BC24" i="8"/>
  <c r="BG24" i="8" s="1"/>
  <c r="BG25" i="8"/>
  <c r="S26" i="9" s="1"/>
  <c r="Q26" i="9" s="1"/>
  <c r="AN11" i="8"/>
  <c r="AR11" i="8" s="1"/>
  <c r="AR12" i="8"/>
  <c r="G12" i="9" s="1"/>
  <c r="AP6" i="8"/>
  <c r="AW7" i="8"/>
  <c r="AS6" i="8"/>
  <c r="AS5" i="8" s="1"/>
  <c r="C17" i="7"/>
  <c r="C10" i="7"/>
  <c r="AW11" i="8"/>
  <c r="Q9" i="9"/>
  <c r="Q6" i="9" s="1"/>
  <c r="Q5" i="9" s="1"/>
  <c r="S6" i="9"/>
  <c r="S5" i="9" s="1"/>
  <c r="AR16" i="8"/>
  <c r="G16" i="9" s="1"/>
  <c r="Q17" i="9"/>
  <c r="S15" i="9"/>
  <c r="B17" i="7"/>
  <c r="B10" i="7"/>
  <c r="BB6" i="8"/>
  <c r="AM13" i="8"/>
  <c r="D13" i="9" s="1"/>
  <c r="AJ11" i="8"/>
  <c r="AM11" i="8" s="1"/>
  <c r="AJ5" i="8" l="1"/>
  <c r="AO5" i="8"/>
  <c r="B14" i="9"/>
  <c r="T14" i="9" s="1"/>
  <c r="V14" i="9"/>
  <c r="W14" i="9" s="1"/>
  <c r="B21" i="9"/>
  <c r="T21" i="9" s="1"/>
  <c r="V21" i="9"/>
  <c r="M15" i="9"/>
  <c r="D19" i="9"/>
  <c r="B20" i="9"/>
  <c r="V20" i="9"/>
  <c r="F36" i="7"/>
  <c r="AR17" i="8"/>
  <c r="G17" i="9" s="1"/>
  <c r="E17" i="9" s="1"/>
  <c r="AN15" i="8"/>
  <c r="AR15" i="8" s="1"/>
  <c r="AR19" i="8"/>
  <c r="P11" i="9"/>
  <c r="N12" i="9"/>
  <c r="N11" i="9" s="1"/>
  <c r="H22" i="9"/>
  <c r="V22" i="9"/>
  <c r="W22" i="9" s="1"/>
  <c r="V10" i="9"/>
  <c r="W10" i="9" s="1"/>
  <c r="B10" i="9"/>
  <c r="T10" i="9" s="1"/>
  <c r="AW17" i="8"/>
  <c r="J17" i="9" s="1"/>
  <c r="D7" i="9"/>
  <c r="AM6" i="8"/>
  <c r="H6" i="7"/>
  <c r="H9" i="7" s="1"/>
  <c r="G10" i="7"/>
  <c r="G17" i="7"/>
  <c r="B18" i="7" s="1"/>
  <c r="H7" i="7"/>
  <c r="D10" i="7"/>
  <c r="H16" i="7"/>
  <c r="E10" i="7"/>
  <c r="AN5" i="8"/>
  <c r="K15" i="9"/>
  <c r="M11" i="9"/>
  <c r="M5" i="9" s="1"/>
  <c r="M4" i="9" s="1"/>
  <c r="K12" i="9"/>
  <c r="K11" i="9" s="1"/>
  <c r="K5" i="9" s="1"/>
  <c r="K4" i="9" s="1"/>
  <c r="G25" i="9"/>
  <c r="G24" i="9" s="1"/>
  <c r="E25" i="9"/>
  <c r="E24" i="9" s="1"/>
  <c r="P25" i="9"/>
  <c r="S25" i="9"/>
  <c r="AW6" i="8"/>
  <c r="AW5" i="8" s="1"/>
  <c r="J7" i="9"/>
  <c r="E12" i="9"/>
  <c r="E11" i="9" s="1"/>
  <c r="G11" i="9"/>
  <c r="E18" i="7"/>
  <c r="H12" i="9"/>
  <c r="H11" i="9" s="1"/>
  <c r="J11" i="9"/>
  <c r="B12" i="9"/>
  <c r="D11" i="9"/>
  <c r="V12" i="9"/>
  <c r="BC5" i="8"/>
  <c r="BG11" i="8"/>
  <c r="BG5" i="8" s="1"/>
  <c r="AM17" i="8"/>
  <c r="D17" i="9" s="1"/>
  <c r="AI15" i="8"/>
  <c r="AM15" i="8" s="1"/>
  <c r="AL5" i="8"/>
  <c r="G6" i="11"/>
  <c r="G39" i="11" s="1"/>
  <c r="G40" i="11" s="1"/>
  <c r="H7" i="11"/>
  <c r="H6" i="11" s="1"/>
  <c r="H39" i="11" s="1"/>
  <c r="H40" i="11" s="1"/>
  <c r="G28" i="7"/>
  <c r="H24" i="7" s="1"/>
  <c r="G7" i="9"/>
  <c r="AR6" i="8"/>
  <c r="AR5" i="8" s="1"/>
  <c r="V18" i="9"/>
  <c r="W18" i="9" s="1"/>
  <c r="B18" i="9"/>
  <c r="T18" i="9" s="1"/>
  <c r="H8" i="7"/>
  <c r="B13" i="9"/>
  <c r="T13" i="9" s="1"/>
  <c r="V13" i="9"/>
  <c r="BB11" i="8"/>
  <c r="BB5" i="8" s="1"/>
  <c r="AX5" i="8"/>
  <c r="E16" i="9"/>
  <c r="G15" i="9"/>
  <c r="V16" i="9"/>
  <c r="AP5" i="8"/>
  <c r="M25" i="9"/>
  <c r="M24" i="9" s="1"/>
  <c r="K25" i="9"/>
  <c r="K24" i="9" s="1"/>
  <c r="AK5" i="8"/>
  <c r="H25" i="9"/>
  <c r="H24" i="9" s="1"/>
  <c r="J25" i="9"/>
  <c r="J24" i="9" s="1"/>
  <c r="F10" i="7"/>
  <c r="F17" i="7"/>
  <c r="F18" i="7" s="1"/>
  <c r="G19" i="9"/>
  <c r="E20" i="9"/>
  <c r="E19" i="9" s="1"/>
  <c r="BG17" i="8"/>
  <c r="P17" i="9" s="1"/>
  <c r="AQ5" i="8"/>
  <c r="B8" i="9"/>
  <c r="T8" i="9" s="1"/>
  <c r="V8" i="9"/>
  <c r="W8" i="9" s="1"/>
  <c r="E9" i="9"/>
  <c r="T9" i="9" s="1"/>
  <c r="V9" i="9"/>
  <c r="W9" i="9" s="1"/>
  <c r="D24" i="9"/>
  <c r="B25" i="9"/>
  <c r="B24" i="9" s="1"/>
  <c r="AH3" i="8"/>
  <c r="H27" i="7"/>
  <c r="N17" i="9" l="1"/>
  <c r="N15" i="9" s="1"/>
  <c r="N5" i="9" s="1"/>
  <c r="P15" i="9"/>
  <c r="P5" i="9" s="1"/>
  <c r="E7" i="9"/>
  <c r="E6" i="9" s="1"/>
  <c r="G6" i="9"/>
  <c r="G5" i="9" s="1"/>
  <c r="G4" i="9" s="1"/>
  <c r="B17" i="9"/>
  <c r="V17" i="9"/>
  <c r="W17" i="9" s="1"/>
  <c r="D15" i="9"/>
  <c r="W12" i="9"/>
  <c r="V11" i="9"/>
  <c r="H7" i="9"/>
  <c r="H6" i="9" s="1"/>
  <c r="J6" i="9"/>
  <c r="V25" i="9"/>
  <c r="N25" i="9"/>
  <c r="P24" i="9"/>
  <c r="AI5" i="8"/>
  <c r="V19" i="9"/>
  <c r="E15" i="9"/>
  <c r="T16" i="9"/>
  <c r="D18" i="7"/>
  <c r="G18" i="7"/>
  <c r="AM5" i="8"/>
  <c r="B19" i="9"/>
  <c r="T20" i="9"/>
  <c r="B11" i="9"/>
  <c r="T12" i="9"/>
  <c r="T11" i="9" s="1"/>
  <c r="B10" i="10" s="1"/>
  <c r="V7" i="9"/>
  <c r="D6" i="9"/>
  <c r="D5" i="9" s="1"/>
  <c r="D4" i="9" s="1"/>
  <c r="B7" i="9"/>
  <c r="F37" i="7"/>
  <c r="W16" i="9"/>
  <c r="V15" i="9"/>
  <c r="G36" i="7"/>
  <c r="H25" i="7"/>
  <c r="H26" i="7"/>
  <c r="G29" i="7"/>
  <c r="D29" i="7"/>
  <c r="H35" i="7"/>
  <c r="H28" i="7"/>
  <c r="E29" i="7"/>
  <c r="C29" i="7"/>
  <c r="B29" i="7"/>
  <c r="Q25" i="9"/>
  <c r="Q24" i="9" s="1"/>
  <c r="Q4" i="9" s="1"/>
  <c r="S24" i="9"/>
  <c r="S4" i="9" s="1"/>
  <c r="H17" i="9"/>
  <c r="H15" i="9" s="1"/>
  <c r="J15" i="9"/>
  <c r="H19" i="9"/>
  <c r="T22" i="9"/>
  <c r="F29" i="7"/>
  <c r="C18" i="7"/>
  <c r="D37" i="7" l="1"/>
  <c r="G37" i="7"/>
  <c r="E37" i="7"/>
  <c r="B37" i="7"/>
  <c r="C37" i="7"/>
  <c r="B6" i="9"/>
  <c r="T7" i="9"/>
  <c r="T6" i="9" s="1"/>
  <c r="W25" i="9"/>
  <c r="W24" i="9" s="1"/>
  <c r="V24" i="9"/>
  <c r="T19" i="9"/>
  <c r="B12" i="10" s="1"/>
  <c r="J5" i="9"/>
  <c r="J4" i="9" s="1"/>
  <c r="E5" i="9"/>
  <c r="E4" i="9" s="1"/>
  <c r="W7" i="9"/>
  <c r="W6" i="9" s="1"/>
  <c r="V6" i="9"/>
  <c r="V5" i="9" s="1"/>
  <c r="H5" i="9"/>
  <c r="H4" i="9" s="1"/>
  <c r="P4" i="9"/>
  <c r="B32" i="10"/>
  <c r="D10" i="10"/>
  <c r="D32" i="10" s="1"/>
  <c r="T25" i="9"/>
  <c r="N24" i="9"/>
  <c r="T17" i="9"/>
  <c r="T15" i="9" s="1"/>
  <c r="B11" i="10" s="1"/>
  <c r="B15" i="9"/>
  <c r="N4" i="9"/>
  <c r="B33" i="10" l="1"/>
  <c r="D11" i="10"/>
  <c r="D33" i="10" s="1"/>
  <c r="T24" i="9"/>
  <c r="B5" i="10"/>
  <c r="T5" i="9"/>
  <c r="T4" i="9" s="1"/>
  <c r="B9" i="10"/>
  <c r="W5" i="9"/>
  <c r="W4" i="9" s="1"/>
  <c r="V4" i="9"/>
  <c r="B34" i="10"/>
  <c r="D12" i="10"/>
  <c r="D34" i="10" s="1"/>
  <c r="B5" i="9"/>
  <c r="B4" i="9" s="1"/>
  <c r="B4" i="10" l="1"/>
  <c r="B27" i="10"/>
  <c r="D5" i="10"/>
  <c r="D9" i="10"/>
  <c r="B8" i="10"/>
  <c r="B31" i="10"/>
  <c r="B30" i="10" s="1"/>
  <c r="D8" i="10" l="1"/>
  <c r="F8" i="10" s="1"/>
  <c r="D31" i="10"/>
  <c r="D30" i="10" s="1"/>
  <c r="D27" i="10"/>
  <c r="B26" i="10"/>
  <c r="B13" i="10"/>
  <c r="D4" i="10"/>
  <c r="B17" i="10" l="1"/>
  <c r="D26" i="10"/>
  <c r="D35" i="10" s="1"/>
  <c r="B35" i="10"/>
  <c r="D13" i="10"/>
  <c r="F4" i="10"/>
  <c r="B36" i="10" l="1"/>
  <c r="B39" i="10"/>
  <c r="D39" i="10"/>
  <c r="C40" i="10" s="1"/>
  <c r="C36" i="10"/>
  <c r="F13" i="10"/>
  <c r="C14" i="10"/>
  <c r="D17" i="10"/>
  <c r="C18" i="10" s="1"/>
  <c r="B14" i="10"/>
  <c r="B40" i="10" l="1"/>
  <c r="B18" i="10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NÃO INCLUIR OU EXCLUIR LINHAS NAS PLANILHAS. ESSAS AÇÕES PODEM QUEBRAR TODOS OS VÍNCULOS DE CÁLCULO AUTOMÁTICO</t>
        </r>
      </text>
    </comment>
    <comment ref="E4" authorId="0">
      <text>
        <r>
          <rPr>
            <sz val="10"/>
            <rFont val="Arial"/>
            <family val="2"/>
          </rPr>
          <t>Antes de iniciar o preenchimento desta planilha  a equipe de projeto deve definir e preencher as planilhas (22A, 22B, 22C e 22D) dos “Parâmetros de Custos”, que irão nortear as equipes na alocação dos recursos do Projeto</t>
        </r>
      </text>
    </comment>
    <comment ref="F4" authorId="0">
      <text>
        <r>
          <rPr>
            <sz val="10"/>
            <rFont val="Arial"/>
            <family val="2"/>
          </rPr>
          <t>Esta coluna só deve ser preenchida durante a elaboração do Projeto, após a elaboração do Marco de Resultados do Projeto.</t>
        </r>
      </text>
    </comment>
    <comment ref="B6" authorId="0">
      <text>
        <r>
          <rPr>
            <sz val="10"/>
            <rFont val="Arial"/>
            <family val="2"/>
          </rPr>
          <t xml:space="preserve">Nesta planilha devem ser descritos os PRODUTOS que serão desenvolvidas no âmbito do Projeto Estadual. O PRODUTO deve ser descrito como uma "ação concluída": Modelo de gestão por resultados definido aprovado, divulgado e implantado. 
</t>
        </r>
      </text>
    </comment>
    <comment ref="F6" authorId="0">
      <text>
        <r>
          <rPr>
            <sz val="10"/>
            <rFont val="Arial"/>
            <family val="2"/>
          </rPr>
          <t>Nesta coluna devem ser indicados os produtos com ionício de execução programada para os primeiros 18 meses de execução do Projeto, de acordo com o Cronograma Físico da planilha 18.</t>
        </r>
      </text>
    </comment>
    <comment ref="B7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F7" authorId="0">
      <text>
        <r>
          <rPr>
            <sz val="10"/>
            <rFont val="Arial"/>
            <family val="2"/>
          </rPr>
          <t>Deve ser selecionada a opção SIM para que o Produto seja incluído no Plano Operacional (POA) - 18 meses do Projeto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4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4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3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4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3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4" authorId="0">
      <text>
        <r>
          <rPr>
            <sz val="10"/>
            <rFont val="Arial"/>
            <family val="2"/>
          </rPr>
          <t>Indicar o tipo de reforma ou adequação física</t>
        </r>
      </text>
    </comment>
    <comment ref="E15" authorId="0">
      <text>
        <r>
          <rPr>
            <b/>
            <sz val="9"/>
            <color indexed="8"/>
            <rFont val="Tahoma"/>
            <family val="2"/>
            <charset val="1"/>
          </rPr>
          <t>Quantidade de cursos</t>
        </r>
      </text>
    </comment>
    <comment ref="E17" authorId="0">
      <text>
        <r>
          <rPr>
            <b/>
            <sz val="9"/>
            <color indexed="8"/>
            <rFont val="Tahoma"/>
            <family val="2"/>
            <charset val="1"/>
          </rPr>
          <t>Quantidade de cursos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4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2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2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</commentList>
</comments>
</file>

<file path=xl/sharedStrings.xml><?xml version="1.0" encoding="utf-8"?>
<sst xmlns="http://schemas.openxmlformats.org/spreadsheetml/2006/main" count="832" uniqueCount="424">
  <si>
    <t>ÍNDICE</t>
  </si>
  <si>
    <t>Planilha</t>
  </si>
  <si>
    <t>Assunto</t>
  </si>
  <si>
    <t>Capa</t>
  </si>
  <si>
    <t>Índice</t>
  </si>
  <si>
    <t>Componentes e Produtos</t>
  </si>
  <si>
    <t xml:space="preserve">COMPONENTE 1 </t>
  </si>
  <si>
    <t>COMPONENTE 2</t>
  </si>
  <si>
    <t>ADM</t>
  </si>
  <si>
    <t>Consolidação por Tipo de Recurso</t>
  </si>
  <si>
    <t>Cronograma Físico e Financeiro</t>
  </si>
  <si>
    <t>Distribuição por Fonte</t>
  </si>
  <si>
    <t>Orçamento Global</t>
  </si>
  <si>
    <t>Taxa de Câmbio:</t>
  </si>
  <si>
    <t xml:space="preserve">1 US$ </t>
  </si>
  <si>
    <t>IV- COMPONENTES E PRODUTOS</t>
  </si>
  <si>
    <t>COMPONENTES</t>
  </si>
  <si>
    <t>PRODUTOS</t>
  </si>
  <si>
    <t>Prior.</t>
  </si>
  <si>
    <t>US$</t>
  </si>
  <si>
    <t>R$</t>
  </si>
  <si>
    <t>POA/PA</t>
  </si>
  <si>
    <t>Líder</t>
  </si>
  <si>
    <t>Coordenadoria</t>
  </si>
  <si>
    <t>Ramal</t>
  </si>
  <si>
    <t>E-mail</t>
  </si>
  <si>
    <t>CUSTOS DIRETOS</t>
  </si>
  <si>
    <t>Sim</t>
  </si>
  <si>
    <t>Não</t>
  </si>
  <si>
    <t>ADMINISTRAÇÃO</t>
  </si>
  <si>
    <t>A1 - Gestão do Projeto</t>
  </si>
  <si>
    <t>A2 -Avaliação Independente</t>
  </si>
  <si>
    <t>V- PRODUTOS, ATIVIDADES E RECURSOS</t>
  </si>
  <si>
    <t>Produtos</t>
  </si>
  <si>
    <t>Atividades</t>
  </si>
  <si>
    <t>Meta e Linha de Base</t>
  </si>
  <si>
    <t>Capacitação</t>
  </si>
  <si>
    <t>Valores em R$</t>
  </si>
  <si>
    <t>Consultoria</t>
  </si>
  <si>
    <t>Eq e Sistemas de Informação</t>
  </si>
  <si>
    <t>Serviços Técnicos que nâo Consultoria</t>
  </si>
  <si>
    <t>Deslocamentos</t>
  </si>
  <si>
    <t>Especificação</t>
  </si>
  <si>
    <t>Qt. Part.</t>
  </si>
  <si>
    <t>Unitário</t>
  </si>
  <si>
    <t>Total</t>
  </si>
  <si>
    <t>Área</t>
  </si>
  <si>
    <t>Dias</t>
  </si>
  <si>
    <t>Tipo</t>
  </si>
  <si>
    <t>Qt.</t>
  </si>
  <si>
    <t>Descrição</t>
  </si>
  <si>
    <t>Computadoes, impressoras e notebooks</t>
  </si>
  <si>
    <t>Total..........</t>
  </si>
  <si>
    <t>TOTAL</t>
  </si>
  <si>
    <t>Subtotal</t>
  </si>
  <si>
    <t>ESTA PLANILHA NÃO DEVE SER PREENCHIDA. CONSOLIDA OS RECURSOS DOS COMPONENTES E SUBCOMPONENTES.</t>
  </si>
  <si>
    <t xml:space="preserve">COMPONENTE </t>
  </si>
  <si>
    <t>Equip e Sistemas de Informação</t>
  </si>
  <si>
    <t>%</t>
  </si>
  <si>
    <t>SUBTOTAL CUSTOS DIRETOS</t>
  </si>
  <si>
    <t xml:space="preserve">% </t>
  </si>
  <si>
    <t xml:space="preserve">IMPREVISTOS </t>
  </si>
  <si>
    <t>SUBTOTAL ADMINISTRAÇÃO</t>
  </si>
  <si>
    <t>TOTAL GERAL</t>
  </si>
  <si>
    <t xml:space="preserve">1 US$ = </t>
  </si>
  <si>
    <t>Valores em US$</t>
  </si>
  <si>
    <t>COMPONENTE / SUBCOMPONENTE</t>
  </si>
  <si>
    <t>VII- CRONOGRAMA FÍSICO E FINANCEIRO</t>
  </si>
  <si>
    <t>Início do Projeto:</t>
  </si>
  <si>
    <t>Data início</t>
  </si>
  <si>
    <t>Duração (meses)</t>
  </si>
  <si>
    <t>Data Término</t>
  </si>
  <si>
    <t>Ano 1/12</t>
  </si>
  <si>
    <t>Ano 1</t>
  </si>
  <si>
    <t>Ano 2</t>
  </si>
  <si>
    <t>Ano 3</t>
  </si>
  <si>
    <t>Ano 4</t>
  </si>
  <si>
    <t>Ano 5</t>
  </si>
  <si>
    <t>Produto</t>
  </si>
  <si>
    <t>VIII- DISTRIBUIÇÃO POR FONTE</t>
  </si>
  <si>
    <t>COMPONENTES E PRODUTOS</t>
  </si>
  <si>
    <t>Ano 6</t>
  </si>
  <si>
    <t>BID</t>
  </si>
  <si>
    <t>Local</t>
  </si>
  <si>
    <t>CUSTOS TOTAIS (DIRETOS+ADM)</t>
  </si>
  <si>
    <t>X- ORÇAMENTO GLOBAL (R$)</t>
  </si>
  <si>
    <t>ITENS</t>
  </si>
  <si>
    <t>Programação Desembolso</t>
  </si>
  <si>
    <t>Diferença</t>
  </si>
  <si>
    <t>A. Administração</t>
  </si>
  <si>
    <t>A3 - Equipe de Projeto</t>
  </si>
  <si>
    <t>B. Custos Diretos</t>
  </si>
  <si>
    <t xml:space="preserve">C. Imprevistos </t>
  </si>
  <si>
    <t>D. Custos Financeiros</t>
  </si>
  <si>
    <t>TOTAL DO PROJETO</t>
  </si>
  <si>
    <t>X - ORÇAMENTO GLOBAL (US$)</t>
  </si>
  <si>
    <t>1 US$ =</t>
  </si>
  <si>
    <t>COMPONENTES
SUBCOMPONENTES E PRODUTOS</t>
  </si>
  <si>
    <t>Data Início</t>
  </si>
  <si>
    <t>Vlr Total</t>
  </si>
  <si>
    <t>Valor 18M</t>
  </si>
  <si>
    <t>Financiamento BID</t>
  </si>
  <si>
    <t>Contrapartida</t>
  </si>
  <si>
    <t>Ressarc.</t>
  </si>
  <si>
    <t>Antecipada</t>
  </si>
  <si>
    <t>REAIS (R$)</t>
  </si>
  <si>
    <t xml:space="preserve">R$ </t>
  </si>
  <si>
    <t>DÓLARES (US$)</t>
  </si>
  <si>
    <t>BRASIL</t>
  </si>
  <si>
    <t xml:space="preserve">PLANO DE AQUISIÇÕES (PA) - 18 MESES </t>
  </si>
  <si>
    <t>Nº</t>
  </si>
  <si>
    <t>Descrição do Contrato</t>
  </si>
  <si>
    <t>Custo</t>
  </si>
  <si>
    <t>Método</t>
  </si>
  <si>
    <t>Revisão</t>
  </si>
  <si>
    <t>Fonte</t>
  </si>
  <si>
    <t>Datas Estimadas</t>
  </si>
  <si>
    <t>Status</t>
  </si>
  <si>
    <t>Comentário</t>
  </si>
  <si>
    <t>Aquisição</t>
  </si>
  <si>
    <t>Publicação</t>
  </si>
  <si>
    <t>Término</t>
  </si>
  <si>
    <t>(1)</t>
  </si>
  <si>
    <t>(2)</t>
  </si>
  <si>
    <t>(%)</t>
  </si>
  <si>
    <t>Anúncio</t>
  </si>
  <si>
    <t>Contrato</t>
  </si>
  <si>
    <t>(3)</t>
  </si>
  <si>
    <t>1. SERVIÇOS DE CONSULTORIA</t>
  </si>
  <si>
    <t>SQC</t>
  </si>
  <si>
    <t>SBQC</t>
  </si>
  <si>
    <t>PE</t>
  </si>
  <si>
    <t>CP</t>
  </si>
  <si>
    <t>SECRETARIA DA JUSTIÇA E DOS DIREITOS HUMANOS - SJDH/RS</t>
  </si>
  <si>
    <t>PROGRAMA DE OPORTUNIDADES E DIREITOS - POD</t>
  </si>
  <si>
    <t>AGOSTO DE 2012</t>
  </si>
  <si>
    <t>COMPONENTE 3</t>
  </si>
  <si>
    <t>COMPONENTE 4</t>
  </si>
  <si>
    <t>PLANO DE AÇÃO E DE INVESTIMENTOS (PAI) 
PLANO OPERACIONAL (POA)
PLANO DE AQUISIÇÕES (PA)</t>
  </si>
  <si>
    <t xml:space="preserve">Plano de Aquisições - 60 meses </t>
  </si>
  <si>
    <t xml:space="preserve">1.1 Construção de 06 (seis) Centros POD Juventude </t>
  </si>
  <si>
    <t xml:space="preserve">1.2 Ações voltadas ao sistema educativo e à inclusão ao mercado de trabalho para aumento de escolaridade e inserção laboral </t>
  </si>
  <si>
    <t>1.3 Criação ou fortalecimento de 06 núcleos de gestão da rede de atenção a juventude nos territórios</t>
  </si>
  <si>
    <t>1.4  Reforma de espaços públicos com acessibilidade para pessoas com deficiência</t>
  </si>
  <si>
    <t>2.2  Implantação de serviços de analise criminologico</t>
  </si>
  <si>
    <t>2.3  Implementação do policiamento comunitário e fortalecimento e integração do efetivo policial com a comunidade</t>
  </si>
  <si>
    <t>3.1  Construção de 03 (três) novos Centros de Atendimento Socioeducativo (CASE), que respeitem as diretrizes do Sistema Nacional de Socioeducação (SINASE), 01 (um) no município de Osório e 01 (um) em Santa Cruz do Sul e 01 (um) em Porto Alegre, incluindo a implantação de um Centro de Profissionalização para a formação profissional e atividades culturais para os adolescentes, familiares e a comunidade do entorno; Implantar um Sistema de Vídeo-monitoramento das Unidades da FASE, entre outras medidas;</t>
  </si>
  <si>
    <t xml:space="preserve">3.2  A elaboração e implementação de um plano de formação continuada dos servidores da Fundação, visando o fortalecimento do vínculo com os adolescentes, suas famílias e a comunidade de origem. Acompanhamento do progresso individual de cada adolescente (educativo, psicossocial e de saúde); </t>
  </si>
  <si>
    <t xml:space="preserve">3.3  Aprimorar o Sistema de Gestão da FASE com ênfase as diretorias de Socioeducação e de Qualificação Profissional, Diretoria Administrativa, Diretoria Sócio Educativa, implantar sistema de avaliação do atendimento prestado, incluindo a informatização dos prontuários dos adolescentes e servidores, para monitorar o progresso individual de ambos, melhorando a eficiência do gasto e diminuindo o custo da prestação do serviço. </t>
  </si>
  <si>
    <t>4.1  Plano Estratégico e Planos Operacionais Integrados para a prevenção e controle do crime violento no território</t>
  </si>
  <si>
    <t>4.2  Sistema de Gestão de Processos e Monitoramento</t>
  </si>
  <si>
    <t xml:space="preserve">4.3  Sistema de Monitoramento dos Serviços de Proteção dos Direitos dos Jovens (Observatório)    </t>
  </si>
  <si>
    <t>4.4  Mecanismo de articulação, coordenação, informação e consulta entre as entidades participantes</t>
  </si>
  <si>
    <t>2.1   Formação continuada de efetivos policiais que atuarão no policiamento comunitário das áreas abrangidas pelo Programa (POA, Viamao, Alvorada)</t>
  </si>
  <si>
    <t xml:space="preserve">TOTAL </t>
  </si>
  <si>
    <t>Obra de reforma da estrutura física da sede da FADERS</t>
  </si>
  <si>
    <r>
      <t>LINHA BASE:</t>
    </r>
    <r>
      <rPr>
        <sz val="8"/>
        <color indexed="8"/>
        <rFont val="Arial"/>
        <family val="2"/>
      </rPr>
      <t xml:space="preserve"> Instalações inadequadas da estrutura física da sede da FADERS e ausência de acessibilidade ao local. 
</t>
    </r>
    <r>
      <rPr>
        <b/>
        <sz val="8"/>
        <color indexed="8"/>
        <rFont val="Arial"/>
        <family val="2"/>
      </rPr>
      <t xml:space="preserve">METAS: </t>
    </r>
    <r>
      <rPr>
        <sz val="8"/>
        <color indexed="8"/>
        <rFont val="Arial"/>
        <family val="2"/>
      </rPr>
      <t>Instalações e equipamentos adequados para acessibilidade às pessoas com deficiência.</t>
    </r>
  </si>
  <si>
    <t xml:space="preserve">Projeto com mapeamento das adequações </t>
  </si>
  <si>
    <t xml:space="preserve">1.4. Reforma de espaços públicos com acessibilidade para pessoas com deficiência </t>
  </si>
  <si>
    <t xml:space="preserve">Realizar intercâmbio de melhores práticas em experiências de segurança cidadã, protagonismo juvenil e comunitário. </t>
  </si>
  <si>
    <t xml:space="preserve">Capacitação continuada de todos os envolvidos na gestão da rede de atenção social para avaliar o impacto e fortalecer a implementação de boas práticas baseadas na evidência </t>
  </si>
  <si>
    <t>Desenvolvimento de um Sistema de Gestão Comunitária com Seminários, Oficinas e Reuniões periódicas para avaliar o progresso e a necessidade de fortalecimento das redes</t>
  </si>
  <si>
    <r>
      <t xml:space="preserve">LINHA BASE: </t>
    </r>
    <r>
      <rPr>
        <sz val="8"/>
        <color indexed="8"/>
        <rFont val="Arial"/>
        <family val="2"/>
      </rPr>
      <t xml:space="preserve">Desarticulação das redes de atenção social à juventude que atuam nos territórios com altos índices de vitimização juvenil. 
</t>
    </r>
    <r>
      <rPr>
        <b/>
        <sz val="8"/>
        <color indexed="8"/>
        <rFont val="Arial"/>
        <family val="2"/>
      </rPr>
      <t xml:space="preserve">
METAS:
</t>
    </r>
    <r>
      <rPr>
        <sz val="8"/>
        <color indexed="8"/>
        <rFont val="Arial"/>
        <family val="2"/>
      </rPr>
      <t xml:space="preserve">Prover melhor articulação das redes de atendimento, municipal, estadual, públicas e privadas, com criação de quadro de gestores e desenvolvendo um sistema de gestão comunitária. </t>
    </r>
  </si>
  <si>
    <t>Criação de quadro de gestores que apoiarão as redes de atenção social nos territórios da paz</t>
  </si>
  <si>
    <t>1.3 Criação ou fortalecimento de 6 Núcleos de Gestão da Rede de Atenção à Juventude nos territórios</t>
  </si>
  <si>
    <t xml:space="preserve">Implementação do POD Legal - Programa Aprendizagem Empresa-Escola </t>
  </si>
  <si>
    <r>
      <t xml:space="preserve">LINHA BASE: </t>
    </r>
    <r>
      <rPr>
        <sz val="8"/>
        <color indexed="8"/>
        <rFont val="Arial"/>
        <family val="2"/>
      </rPr>
      <t xml:space="preserve">Ausência de ações focadas na superação dos altos índices de evasão escolar da juventude, com reflexos na dificuldade de inclusão no mercador formal de trabalho. 
</t>
    </r>
    <r>
      <rPr>
        <b/>
        <sz val="8"/>
        <color indexed="8"/>
        <rFont val="Arial"/>
        <family val="2"/>
      </rPr>
      <t>METAS:</t>
    </r>
    <r>
      <rPr>
        <sz val="8"/>
        <color indexed="8"/>
        <rFont val="Arial"/>
        <family val="2"/>
      </rPr>
      <t xml:space="preserve"> Diminuição do índice de evasão escolar e aumento da empregabilidade dos jovents na faixa etária de 15 a 24 anos. </t>
    </r>
  </si>
  <si>
    <t>Implementação do Programa de Voluntariado nas Escolas</t>
  </si>
  <si>
    <t xml:space="preserve">1.2. Ações voltadas ao sistema Educativo e à Inclusão ao Mercado de Trabalho para o aumento da escolaridade e inserção laboral </t>
  </si>
  <si>
    <t xml:space="preserve">Gestão e TI </t>
  </si>
  <si>
    <t>Implantação de sistema de gestão da informação dos Centros</t>
  </si>
  <si>
    <t xml:space="preserve">Material de manutenção e consumo </t>
  </si>
  <si>
    <t xml:space="preserve">Implantação de serviços socioeducativos de formação, qualificação laboral, reforço educativo, inclusão cultural, esportiva, de promoção de valores de uma cultura de paz para o desenvolvimento integral de adolescentes e jovens </t>
  </si>
  <si>
    <t>Construção, implantação e equipagem de 6 Centros POD Juventude</t>
  </si>
  <si>
    <r>
      <t xml:space="preserve">LINHA BASE: </t>
    </r>
    <r>
      <rPr>
        <sz val="8"/>
        <color indexed="8"/>
        <rFont val="Arial"/>
        <family val="2"/>
      </rPr>
      <t xml:space="preserve">Ausência de espaços públicos para convivência da juventude                               </t>
    </r>
    <r>
      <rPr>
        <b/>
        <sz val="8"/>
        <color indexed="8"/>
        <rFont val="Arial"/>
        <family val="2"/>
      </rPr>
      <t>METAS:</t>
    </r>
    <r>
      <rPr>
        <sz val="8"/>
        <color indexed="8"/>
        <rFont val="Arial"/>
        <family val="2"/>
      </rPr>
      <t xml:space="preserve"> Construção de 06 Centros POD Juventude com o objetivo de diminuição do índice de criminalidade no Rio Grande do Sul, especialmente na faixa etária de 15 a 24 anos e aumento no atendimento "in loco"</t>
    </r>
  </si>
  <si>
    <t>1.1. Construção de 6 Centros POD Juventude</t>
  </si>
  <si>
    <t xml:space="preserve">Implantação de Bases Comunitárias </t>
  </si>
  <si>
    <r>
      <t xml:space="preserve">LINHA BASE: </t>
    </r>
    <r>
      <rPr>
        <sz val="8"/>
        <color indexed="8"/>
        <rFont val="Arial"/>
        <family val="2"/>
      </rPr>
      <t xml:space="preserve">Ausência de base comunitária e de delegacia cidadã nos territórios do Programa. 
</t>
    </r>
    <r>
      <rPr>
        <b/>
        <sz val="8"/>
        <color indexed="8"/>
        <rFont val="Arial"/>
        <family val="2"/>
      </rPr>
      <t xml:space="preserve">
METAS:
</t>
    </r>
    <r>
      <rPr>
        <sz val="8"/>
        <color indexed="8"/>
        <rFont val="Arial"/>
        <family val="2"/>
      </rPr>
      <t xml:space="preserve">Prover os territórios do programa de bases comunitárias e delegacia cidadã </t>
    </r>
  </si>
  <si>
    <t xml:space="preserve">1.3 Implementação do Policiamento Comunitário e Fortalecimento e Integração do Efetivo policial com a comunidade </t>
  </si>
  <si>
    <t xml:space="preserve">Recursos instrucionais </t>
  </si>
  <si>
    <t>Aquisição e desenvolvimento de solução para georeferenciamento, via web, para as instituição vinculadas à SSP</t>
  </si>
  <si>
    <t xml:space="preserve">Formação de Recursos Humanos </t>
  </si>
  <si>
    <t xml:space="preserve">Formação de multiplicadores </t>
  </si>
  <si>
    <r>
      <t xml:space="preserve">LINHA BASE: </t>
    </r>
    <r>
      <rPr>
        <sz val="8"/>
        <color indexed="8"/>
        <rFont val="Arial"/>
        <family val="2"/>
      </rPr>
      <t xml:space="preserve">Ausência de consolidação e interpretação dos dados de criminalidade em prejuízo do conhecimento do mapa da violência e de suas causas nos territórios 
</t>
    </r>
    <r>
      <rPr>
        <b/>
        <sz val="8"/>
        <color indexed="8"/>
        <rFont val="Arial"/>
        <family val="2"/>
      </rPr>
      <t>METAS:</t>
    </r>
    <r>
      <rPr>
        <sz val="8"/>
        <color indexed="8"/>
        <rFont val="Arial"/>
        <family val="2"/>
      </rPr>
      <t xml:space="preserve"> Qualificação da análise criminológica e aperfeiçoamento da inteligência da segurança pública para a prevenção da violência e segurança cidadã. </t>
    </r>
  </si>
  <si>
    <t xml:space="preserve">1.2. Implantação de serviços de análise criminológica </t>
  </si>
  <si>
    <t xml:space="preserve">Contratação de pessoa física ou jurídica </t>
  </si>
  <si>
    <t xml:space="preserve">Elaboração técnico-pedagógica </t>
  </si>
  <si>
    <t xml:space="preserve">Preparação para os cursos de capacitação </t>
  </si>
  <si>
    <r>
      <t xml:space="preserve">LINHA BASE: </t>
    </r>
    <r>
      <rPr>
        <sz val="8"/>
        <color indexed="8"/>
        <rFont val="Arial"/>
        <family val="2"/>
      </rPr>
      <t xml:space="preserve">Ausência de formação com foco na interação entre os policiais e a comunidade local.                                               </t>
    </r>
    <r>
      <rPr>
        <b/>
        <sz val="8"/>
        <color indexed="8"/>
        <rFont val="Arial"/>
        <family val="2"/>
      </rPr>
      <t>METAS:</t>
    </r>
    <r>
      <rPr>
        <sz val="8"/>
        <color indexed="8"/>
        <rFont val="Arial"/>
        <family val="2"/>
      </rPr>
      <t xml:space="preserve"> Formação de aproximadamente 1.500 profissionais da segurança e participação de aproximadamente 1.000 pessoas da sociedade no Seminário Internacional. </t>
    </r>
  </si>
  <si>
    <t xml:space="preserve">1.1. Formação Continuada dos efetivos policiais que atuarão no policiamento comunitário das áreas abrangidas pelo Programa </t>
  </si>
  <si>
    <t xml:space="preserve">Contratação de pessoa física ou jurídica para serviço especializado </t>
  </si>
  <si>
    <t xml:space="preserve">2.4.3-Relatório para análise e apoio à coordenação e aos participantes </t>
  </si>
  <si>
    <t xml:space="preserve">2.4.2-Materiais de divulgação do programa </t>
  </si>
  <si>
    <r>
      <t xml:space="preserve">LINHA BASE: </t>
    </r>
    <r>
      <rPr>
        <sz val="8"/>
        <rFont val="Arial"/>
        <family val="2"/>
      </rPr>
      <t xml:space="preserve">Desarticulação das redes de atenção social à juventude que atuam nos territórios com altos índices de vitimização juvenil. </t>
    </r>
    <r>
      <rPr>
        <b/>
        <sz val="8"/>
        <rFont val="Arial"/>
        <family val="2"/>
      </rPr>
      <t>METAS:</t>
    </r>
    <r>
      <rPr>
        <sz val="8"/>
        <rFont val="Arial"/>
        <family val="2"/>
      </rPr>
      <t xml:space="preserve">
Prover melhor articulação das redes de atendimento, garantindo a participação das entidades </t>
    </r>
  </si>
  <si>
    <t xml:space="preserve">2.4.1-Encontros técnicos de articulação, coordenação, formação e consulta entre os participantes  </t>
  </si>
  <si>
    <t xml:space="preserve">2.4 Mecanismo de articulação, coordenação, informação e consulta entre as entidades participantes </t>
  </si>
  <si>
    <t xml:space="preserve">2.3.2. Implantação e execução do sistema de monitoramento </t>
  </si>
  <si>
    <r>
      <t>LINHA DE BASE:</t>
    </r>
    <r>
      <rPr>
        <sz val="8"/>
        <rFont val="Arial"/>
        <family val="2"/>
      </rPr>
      <t xml:space="preserve"> Inexistência de sistema de monitoramento de serviços de proteção dos direitos dos jovens  
</t>
    </r>
    <r>
      <rPr>
        <b/>
        <sz val="8"/>
        <rFont val="Arial"/>
        <family val="2"/>
      </rPr>
      <t xml:space="preserve">
METAS: </t>
    </r>
    <r>
      <rPr>
        <sz val="8"/>
        <rFont val="Arial"/>
        <family val="2"/>
      </rPr>
      <t xml:space="preserve">Implantação e execução do sistema para subsidiar a construção de políticas públicas para a juventude. </t>
    </r>
  </si>
  <si>
    <t xml:space="preserve">2.3.1. Desenho do sistema de monitoramento </t>
  </si>
  <si>
    <t xml:space="preserve">2.3 Implantação de Sistema de Monitoramento de Serviços de Proteção dos Direitos dos Jovens (Observatório) </t>
  </si>
  <si>
    <t xml:space="preserve">2.2.3-Capacitação dos gestores da SJDH em TIC </t>
  </si>
  <si>
    <t xml:space="preserve">aquisição de bens e equipamentos </t>
  </si>
  <si>
    <t xml:space="preserve">2.2.2-Aquisição de bens e serviços em TIC </t>
  </si>
  <si>
    <r>
      <t xml:space="preserve">LINHA DE BASE: </t>
    </r>
    <r>
      <rPr>
        <sz val="8"/>
        <rFont val="Arial"/>
        <family val="2"/>
      </rPr>
      <t xml:space="preserve">Ausência de tecnologia de informação adequada para o processamento das informações geradas na execução dos programas </t>
    </r>
    <r>
      <rPr>
        <b/>
        <sz val="8"/>
        <rFont val="Arial"/>
        <family val="2"/>
      </rPr>
      <t xml:space="preserve">
METAS: </t>
    </r>
    <r>
      <rPr>
        <sz val="8"/>
        <rFont val="Arial"/>
        <family val="2"/>
      </rPr>
      <t>modernização dos processos de gestão e monitoramento dos programas</t>
    </r>
    <r>
      <rPr>
        <b/>
        <sz val="8"/>
        <rFont val="Arial"/>
        <family val="2"/>
      </rPr>
      <t xml:space="preserve"> </t>
    </r>
  </si>
  <si>
    <t xml:space="preserve">2.2.1 -Mapeamento das necessidades de TIC do Programa na SJDH </t>
  </si>
  <si>
    <t xml:space="preserve">2.2 Implantação de Sistema de Gestão de Processos e Monitoramento </t>
  </si>
  <si>
    <r>
      <t>LINHA DE BASE:</t>
    </r>
    <r>
      <rPr>
        <sz val="8"/>
        <rFont val="Arial"/>
        <family val="2"/>
      </rPr>
      <t xml:space="preserve"> Ausência de Plano Estratégico e Operacional Integrado </t>
    </r>
    <r>
      <rPr>
        <b/>
        <sz val="8"/>
        <rFont val="Arial"/>
        <family val="2"/>
      </rPr>
      <t xml:space="preserve">
METAS:</t>
    </r>
    <r>
      <rPr>
        <sz val="8"/>
        <rFont val="Arial"/>
        <family val="2"/>
      </rPr>
      <t xml:space="preserve"> Garantir a qualificação da gestão dos programas do POD Juventude </t>
    </r>
  </si>
  <si>
    <t xml:space="preserve">1.1. Plano Estratégico do POD e Plano Operacional Integrado  
1.2 Sistema de Gestão por Resultados </t>
  </si>
  <si>
    <t xml:space="preserve">1.1. Elaboração de Plano Estratégico e Planos Operacionais integrados para a prevenção e controle do crime violento no território </t>
  </si>
  <si>
    <t xml:space="preserve">COMPONENTE 4: FORTALECIMENTO INSTITUCIONAL DO EXECUTOR </t>
  </si>
  <si>
    <t>Obras e Reformas</t>
  </si>
  <si>
    <t>Valores em U$</t>
  </si>
  <si>
    <r>
      <t xml:space="preserve">COMPONENTE 1: </t>
    </r>
    <r>
      <rPr>
        <b/>
        <sz val="11"/>
        <rFont val="Arial"/>
        <family val="2"/>
      </rPr>
      <t>PREVENÇÃO SOCIAL DA VIOLÊNCIA</t>
    </r>
  </si>
  <si>
    <t xml:space="preserve">COMPONENTE 2: PREVENÇÃO SITUACIONAL E QUALIFICAÇÃO DA SEGURANÇA PÚBLICA </t>
  </si>
  <si>
    <t>VI- CONSOLIDAÇÃO POR TIPO DE RECURSO (US$)</t>
  </si>
  <si>
    <t>VI - CONSOLIDAÇÃO POR TIPO DE RECURSO (R$)</t>
  </si>
  <si>
    <t>Plano Operacional - POA 60 meses</t>
  </si>
  <si>
    <t>XI- PLANO OPERACIONAL (POA) - 18 MESES</t>
  </si>
  <si>
    <t>3.1  - Construção de Centros de Atendimento Socioeducativo (CASE), que respeitm as diretrizes do Sistema Nacional de Socioeducação (SINASE),  incluindo a implantação de um centro de Profissionalização para a formação profissional e atividades culturais para adolescentes, familiares e a comunidade do entorno; Implantar um sistema de videomonitoramento das unidaddes da FASE, entre outras medidas</t>
  </si>
  <si>
    <r>
      <rPr>
        <b/>
        <sz val="8"/>
        <rFont val="Arial"/>
        <family val="2"/>
      </rPr>
      <t>LINHA DE BASE</t>
    </r>
    <r>
      <rPr>
        <sz val="8"/>
        <rFont val="Arial"/>
        <family val="2"/>
      </rPr>
      <t xml:space="preserve">: adequação ao Sistema Nacional de Atendimento Socioeducativo (SINASE);    
</t>
    </r>
    <r>
      <rPr>
        <b/>
        <sz val="8"/>
        <rFont val="Arial"/>
        <family val="2"/>
      </rPr>
      <t>METAS:</t>
    </r>
    <r>
      <rPr>
        <sz val="8"/>
        <rFont val="Arial"/>
        <family val="2"/>
      </rPr>
      <t xml:space="preserve"> 03 (três) CASE´S construídos (com 60 vagas cada) 01 (um) no município de Osório, 01 (um) em Santa Cruz do Sul e 01 (um) em Porto Alegre e 01 (um) Centro Profissionalizante reformado e 01 (um) sistema de video monitoramento instalado</t>
    </r>
  </si>
  <si>
    <t>3.2 - Elaboração e Implantação de um Plano de Formação Continuada dos Servidores da Fundação, visando o fortalecimento do vínculo com os adolescentes, suas famílias e a comunidade de origem. Acompanhamento do progresso individual de cada adolescente (educativo, psicossocial  de saúde)</t>
  </si>
  <si>
    <r>
      <rPr>
        <b/>
        <sz val="8"/>
        <rFont val="Arial"/>
        <family val="2"/>
      </rPr>
      <t>LINHA DE BASE:</t>
    </r>
    <r>
      <rPr>
        <sz val="8"/>
        <rFont val="Arial"/>
        <family val="2"/>
      </rPr>
      <t xml:space="preserve">  Qualificação do Serviço Público e de atendimento socioeducativo
</t>
    </r>
    <r>
      <rPr>
        <b/>
        <sz val="8"/>
        <rFont val="Arial"/>
        <family val="2"/>
      </rPr>
      <t>METAS:</t>
    </r>
    <r>
      <rPr>
        <sz val="8"/>
        <rFont val="Arial"/>
        <family val="2"/>
      </rPr>
      <t xml:space="preserve"> Plano de formação continuado elaborado; 8 salas de vídeo conferência implantadas.</t>
    </r>
  </si>
  <si>
    <t>3.3 - Aprimorar o Sistema de Gestão da FASE com ênfase nas diretorias de socioeducação e de Qualificação Profissional, Diretoria Administrativa, Diretoria Socioeducativa, implantar sistema de avaliação do atendimento prestado, incluindo a informatização dos prontuários dos adolescentes e servidores para monitorar o progresso individual de ambos, melhorado a eficiência do gasto e diminuindo o custo da prestação do serviço</t>
  </si>
  <si>
    <r>
      <t>LINHA DE BASE:</t>
    </r>
    <r>
      <rPr>
        <sz val="10"/>
        <rFont val="Arial"/>
        <family val="2"/>
      </rPr>
      <t xml:space="preserve"> Qualificar o serviço prestado e a eficiência dos recursos públicos empregados
</t>
    </r>
    <r>
      <rPr>
        <b/>
        <sz val="10"/>
        <rFont val="Arial"/>
        <family val="2"/>
      </rPr>
      <t xml:space="preserve">
METAS: </t>
    </r>
    <r>
      <rPr>
        <sz val="10"/>
        <rFont val="Arial"/>
        <family val="2"/>
      </rPr>
      <t>Planejamento estratégico e de gestão concluídos e implantados</t>
    </r>
  </si>
  <si>
    <t>Planejamento e Gestão</t>
  </si>
  <si>
    <t>COMPONENTE 3: APRIMORAMENTO DO PROCESSO DE RESSOCIABILIZAÇÃO</t>
  </si>
  <si>
    <t>Valor R$</t>
  </si>
  <si>
    <t>COMPONENTE 1: PREVENÇÃO SOCIAL DA VIOLÊNCIA</t>
  </si>
  <si>
    <t>Programa POD JUVENTUDE</t>
  </si>
  <si>
    <t>Estimado</t>
  </si>
  <si>
    <t>1.1</t>
  </si>
  <si>
    <t>Legislação Local</t>
  </si>
  <si>
    <t>Ex-Post</t>
  </si>
  <si>
    <t>1.2</t>
  </si>
  <si>
    <t>Convênios com Entidades (ACM, CPCA, CESMAR e Canta Brasil)</t>
  </si>
  <si>
    <t>Ex-Ante</t>
  </si>
  <si>
    <t>1.3</t>
  </si>
  <si>
    <t>Convenio Parceiros Voluntários</t>
  </si>
  <si>
    <t xml:space="preserve">SQC </t>
  </si>
  <si>
    <t>Consultoria e Avaliação dos Mecanismos de Controle Interno e Externo da Atividade Policial nos Territórios</t>
  </si>
  <si>
    <t>Contrato com a UNODC</t>
  </si>
  <si>
    <t>EP</t>
  </si>
  <si>
    <t>Consultoria para desenvovimento e implantação de Sistema Informatizado de Gestão de Processos e Monitoramento (Mapeamento das necessidades de TIC do Programa na SJDH)</t>
  </si>
  <si>
    <t>Contratação de empresa de comunicação e marketing p/ elaboração e implementação de Plano de marketing do Programa</t>
  </si>
  <si>
    <t xml:space="preserve">3. OBRAS </t>
  </si>
  <si>
    <t>LPN</t>
  </si>
  <si>
    <t>4. BENS e EQUIPAMENTOS</t>
  </si>
  <si>
    <t>Aquisição de equipamentos e mobiliario para os 6 centros POD</t>
  </si>
  <si>
    <t>Aquisição de Equipamentos de Video Monitoramento</t>
  </si>
  <si>
    <t>Aquisição de equipamentos de Informatica para o observatório</t>
  </si>
  <si>
    <t>Aquisição de Radios Portateis</t>
  </si>
  <si>
    <t xml:space="preserve">Aquisição de Bens e Equipamentos p/  Implantação de Sistema de Gestão de Processos e Monitoramento </t>
  </si>
  <si>
    <t>5. SERVIÇOS TÉCNICOS (Serviços que não São de Consultoria)</t>
  </si>
  <si>
    <t>Realização de visitas técnicas, nacionais e internacionais (diárias e passagens) - Precursoria</t>
  </si>
  <si>
    <t xml:space="preserve"> Consultoria em Gestão e Implementação de Centros POD com apoio a sistematização</t>
  </si>
  <si>
    <t>Consultoria para execução de serviços socioeducativos</t>
  </si>
  <si>
    <t>Concessão de bolsas a jovens lideranças dos centros POD</t>
  </si>
  <si>
    <t>Implementação do Programa de Reforço Escolar e formação de lideranças juvenis nos centros POD</t>
  </si>
  <si>
    <t>Projeto executivo para reforma dos espaços</t>
  </si>
  <si>
    <t>Formação de Recursos humanos e Gestores para implantação do sistema de gestão de processos de monitoramento</t>
  </si>
  <si>
    <t>Aquisição dos equipamentos adequados para garantia de acessibilidade</t>
  </si>
  <si>
    <t>Contratação de empresas para organização de eventos de 6 nucleos POD</t>
  </si>
  <si>
    <t xml:space="preserve">Obra de reforma da estrutura física da sede da FADERS e Aquisição de equipamentos adequados e com acessibilidade para as pessoas com deficiência </t>
  </si>
  <si>
    <t>Formação continuada da rede de atendimento e gestores da FADERS em acessibilidade</t>
  </si>
  <si>
    <t>Capacitação em acessibilidade</t>
  </si>
  <si>
    <t>Consultoria e Avaliação dos mecanismos de controle interno e externo da atividade policial pela UNODC</t>
  </si>
  <si>
    <t>Consultoria para realização de pesquisa criminal e geração de indicadores</t>
  </si>
  <si>
    <t>Aquisição de viaturas e equipamentos de comunicação e mobiliario para as bases</t>
  </si>
  <si>
    <t>Aquisição de video monitoramentos nos territórios</t>
  </si>
  <si>
    <t>Implementação da formação continuada</t>
  </si>
  <si>
    <t>Aquisição de solução de video conferencia</t>
  </si>
  <si>
    <t>redes, software, sistemas aplicativos; Aquisição de mobiliario da Sede</t>
  </si>
  <si>
    <t>Aquisição de mobiliario das novas unidades</t>
  </si>
  <si>
    <t>Construção de novos centros CASE</t>
  </si>
  <si>
    <t>Comunicação e Marketing e plano de comunicação</t>
  </si>
  <si>
    <t>Formação de Recursos Humanos e Gestores  em TIC</t>
  </si>
  <si>
    <t>1.1. Administração, monitoramento e avaliação</t>
  </si>
  <si>
    <t>Consultoria em acompanhamento e avaliação do projeto</t>
  </si>
  <si>
    <t>Equipamentos para estruturação do escritório de projetos</t>
  </si>
  <si>
    <t>Eventos e Seminários de Avaliação do Projeto</t>
  </si>
  <si>
    <r>
      <t xml:space="preserve">LINHA BASE: </t>
    </r>
    <r>
      <rPr>
        <sz val="8"/>
        <color indexed="8"/>
        <rFont val="Arial"/>
        <family val="2"/>
      </rPr>
      <t xml:space="preserve">Dotar o escritório de projetos de condições para o acompanhamento e avaliação do andamento do projeto                              </t>
    </r>
  </si>
  <si>
    <t>Contratação de consultories para acompanhamento do projeto</t>
  </si>
  <si>
    <t>Contratação de Agencia de eventos para organização e execução de seminários e reuniões de acompanhamento do projeto</t>
  </si>
  <si>
    <t>Missões de precursoria e intercambio de melhores práticas</t>
  </si>
  <si>
    <t xml:space="preserve">Elaboração e publicação de anais e relatórios do projeto; Consultoria de diagnótico e avaliação do projeto </t>
  </si>
  <si>
    <t>Mobiliário, instalações, computadores, equipamentos e veiculos para o escritório de projetos</t>
  </si>
  <si>
    <t>X</t>
  </si>
  <si>
    <t>Ano 1/15</t>
  </si>
  <si>
    <t>Ano 2/16</t>
  </si>
  <si>
    <t>Ano 3/17</t>
  </si>
  <si>
    <t>Ano 4/18</t>
  </si>
  <si>
    <t>Ano 5/19</t>
  </si>
  <si>
    <t>Qualificação em registro policial (Ano 1 - 2 semestre)</t>
  </si>
  <si>
    <t>Precursoria de Cursos de capacitação e identificação de melhores práticas (Ano 1)</t>
  </si>
  <si>
    <t>Formação de multiplicadores em análise criminal através de cursos de extensão universitária (Ano 2 - 4 anos execução)</t>
  </si>
  <si>
    <t>Aquisição e desenvolvimento de solução para georeferenciamento, via web, para as instituição vinculadas à SSP (Ano 1 - 2 semestre)</t>
  </si>
  <si>
    <t>Contratação de consultoria para capacitação dos servidores e realização de pesquisa com indicadores criminais (Ano 1 - 5 anos execução)</t>
  </si>
  <si>
    <t>Produção de relatórios semestrais no período de 5 anos dos principais indicadores criminais com mapeamento da criminalidade e dos perfis da vítima e do infrator (Ano 1 - 2 semestre Consultoria, Equipamentos 2, Instrucao 3)</t>
  </si>
  <si>
    <t>Instalação de 6 bases comunitárias integrada com polícia militar, civil, guarda municipal e conselhos comunitários (Ano 2 + 3…)</t>
  </si>
  <si>
    <t>Elaboração de um Plano de Educação Continuada com conteúdo programático, metodologia e identificação de cursos iniciais especializados (Ano1 Consultoria, Ano 2 Capacitacao)</t>
  </si>
  <si>
    <t>Realização de Seminário Internacional de Boas Práticas em Segurança Pública (Ano 2)</t>
  </si>
  <si>
    <t>Adequação da unidade Padre Cacique (ano 2 - CECONP)</t>
  </si>
  <si>
    <t xml:space="preserve">Metodologia e conteúdo = PLANO DE FORMAÇAO </t>
  </si>
  <si>
    <t xml:space="preserve">Elaborar e Implementar o Plano de Formação Continuada (Consultoria 2015, Implantacao Ano 2) </t>
  </si>
  <si>
    <t>Implantar 8 salas de videoconferências  (Ano 1  - 2 semestre)</t>
  </si>
  <si>
    <t>Realização e implantação do Planejamento Estratégico e de Gestão (Ano 1  as 2  - Consultoria / 2 semestre)</t>
  </si>
  <si>
    <t>Equipamentos e instalação de solução de video monitoramento nas unidades ????</t>
  </si>
  <si>
    <t>Construção de 3 (três) CASE´s, Reforma do Centro Profissionalizante e Instalação do Sistema de videomonitoramento (Obras Ano 2 - 2016; Ano 1 - Prospecção U$ 15 + Consultoria p/ Projeto e Supervisão U$ 1milhão vão mandar + Sistema de Comunicação entre as Unidades - Video ano 2)</t>
  </si>
  <si>
    <t>TOTAL COMP. 1</t>
  </si>
  <si>
    <t>Concessão de bolsas para jovens lideranças do CPCA</t>
  </si>
  <si>
    <t>(US$)</t>
  </si>
  <si>
    <t>Ex-ante</t>
  </si>
  <si>
    <t>TOTAL COMP. 4</t>
  </si>
  <si>
    <t>TOTAL COMP. 2</t>
  </si>
  <si>
    <t>TOTAL COMP. 3</t>
  </si>
  <si>
    <t>Contrato de Empréstimo Nº: 3241/OC-BR</t>
  </si>
  <si>
    <t>Ex-post</t>
  </si>
  <si>
    <t>2. CAPACITAÇÃO</t>
  </si>
  <si>
    <t>Set-15</t>
  </si>
  <si>
    <t>Elaboração do Plano de formação continuada dos servidores da FASE, baseada em tecnologias / plataformas</t>
  </si>
  <si>
    <t>Consultoria para elaboração, implementação e acaompanhamento do Planejamento Estrtatégico da FASE - 2016/2019</t>
  </si>
  <si>
    <t>CI</t>
  </si>
  <si>
    <t>Out-15</t>
  </si>
  <si>
    <t>Formação de multiplicadores em Análise Criminal através de cursos de extensão universitária</t>
  </si>
  <si>
    <t>Aquisição de Mobiliario, Sistema de Audio, Vídeo e Climatização para Auditorio, Academia e Departamento de Ensino e Treinamento</t>
  </si>
  <si>
    <t>PE e Ata</t>
  </si>
  <si>
    <t xml:space="preserve">Aquisição da Solução QlikView </t>
  </si>
  <si>
    <t xml:space="preserve">Material e Logistica para os Cursos de Policiamento Comunitário e Mediação de Conflitos </t>
  </si>
  <si>
    <t>PE e CP</t>
  </si>
  <si>
    <t xml:space="preserve">Reestruturação Física do Auditorio da Secretaria de Segurança </t>
  </si>
  <si>
    <t>COMPONENTE 2 - SSP</t>
  </si>
  <si>
    <t>COMPONENTE 3 - FASE</t>
  </si>
  <si>
    <t>Contratação de CI para Comunicação Social</t>
  </si>
  <si>
    <t>PE 
Compras-RS</t>
  </si>
  <si>
    <t>PE 
Compras-RS
ou CP</t>
  </si>
  <si>
    <t xml:space="preserve">Adequação dos Projetos de engenharia e realização de Estudos para 01 Centro POD tipo </t>
  </si>
  <si>
    <t>COMPONENTE 1 - SJDH</t>
  </si>
  <si>
    <t>Contratação de CI para apoiar o Escritório de Projetos na adequação dos formulários de Gestão Financeira, extração de dados e integração com Finanças Publicas do Estado.</t>
  </si>
  <si>
    <t>Contratação de Curso para Formação de Pregoeiros.</t>
  </si>
  <si>
    <t>Consultoria em para aumento da escolarização e redução da evasão escolar.</t>
  </si>
  <si>
    <t>Seleção de Entidades para prestar serviços nos Centros de Juventude</t>
  </si>
  <si>
    <t>COMPONENTE 5 - Administração</t>
  </si>
  <si>
    <t>TOTAL COMP. 5</t>
  </si>
  <si>
    <t>Contrução de 03 Centro POD tipo</t>
  </si>
  <si>
    <t>Contratação de Ações de Mobilização junto as Comunidades - Foruns</t>
  </si>
  <si>
    <t>Aquisição de bens e equipamentos para o escritorio de projeto</t>
  </si>
  <si>
    <t xml:space="preserve">Cursos de capacitação, participação em evento e conferencias para equipe do EP/SJDH </t>
  </si>
  <si>
    <t>Consutorias individuais para apoio ao EP/SJDH</t>
  </si>
  <si>
    <t>Construção de 01 Delegacia Cidadã Lomba de Pinheiros</t>
  </si>
  <si>
    <t>Aquisição de equipamentos de informática e comunicação para 05 Bases Comunitárias e 01 Delegacia Cidadã</t>
  </si>
  <si>
    <t>Aquisição de mobiliário para 05 Bases Comunitárias e 01 Delegacia Cidadã</t>
  </si>
  <si>
    <t>Consultoria para elaboração dos Projetos e estudos para 01 Delegacia Cidadã</t>
  </si>
  <si>
    <t>set-17</t>
  </si>
  <si>
    <t>Aquisição Google Maps Premier</t>
  </si>
  <si>
    <t>Elaboração e Execução de Curso Introdutorio sobre SINASE para 300 servidores</t>
  </si>
  <si>
    <t>Consultoria para elaboração de Projetos Executivos e estudos para 1º CASE</t>
  </si>
  <si>
    <t>Construção do 1º CASE (Viamao)</t>
  </si>
  <si>
    <t>Aquisição e instalação de Equipamentos para Revista Humanizada e capacitação para uso para 12 Unidades.</t>
  </si>
  <si>
    <t>Aquisição e instalação de Equipamentos de Videomonitoramento para 13 Unidades.</t>
  </si>
  <si>
    <t>Realização de visitas técnicas, nacionais (diárias e passagens) - Precursoria</t>
  </si>
  <si>
    <t>Pagamento de Instrutores de Curso de Policiamento Comunitário e Mediação de Conflitos (300 alunos x 40 horas)</t>
  </si>
  <si>
    <t>Consultoria para elaboração dos Projetos e estudos para reformas 5 bases comunitarias da SSP.</t>
  </si>
  <si>
    <t>Atualização Nº: 4, de Setembro de 2015</t>
  </si>
  <si>
    <t>Convenio CPCA/ Legislação Local</t>
  </si>
  <si>
    <t>1.4</t>
  </si>
  <si>
    <t>1.5</t>
  </si>
  <si>
    <t>1.6</t>
  </si>
  <si>
    <t>1.7</t>
  </si>
  <si>
    <t>1.8</t>
  </si>
  <si>
    <t>Concessão de bolsas para jovens lideranças Atendidas pelo Programa</t>
  </si>
  <si>
    <t>2.10</t>
  </si>
  <si>
    <t>2.9</t>
  </si>
  <si>
    <t>2.8</t>
  </si>
  <si>
    <t>2.7</t>
  </si>
  <si>
    <t>2.6</t>
  </si>
  <si>
    <t>2.5</t>
  </si>
  <si>
    <t>2.4</t>
  </si>
  <si>
    <t>2.3</t>
  </si>
  <si>
    <t>2.2</t>
  </si>
  <si>
    <t>2.1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</si>
  <si>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</si>
  <si>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</si>
  <si>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</si>
  <si>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</si>
  <si>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</si>
  <si>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</si>
  <si>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</si>
  <si>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</si>
  <si>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</si>
  <si>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</si>
  <si>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</si>
  <si>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</si>
  <si>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</si>
  <si>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Consultoria para Elaboração de Plano Estratégico e Planos Operacionais integrados para a prevenção e controle do crime violento no território, incluindo implantação de Sistema de Gestão por Resultados.</t>
  </si>
  <si>
    <t>4.1</t>
  </si>
  <si>
    <t>4.2</t>
  </si>
  <si>
    <t>4.3</t>
  </si>
  <si>
    <t>CP  e Legisl. Local
ou CP</t>
  </si>
  <si>
    <t>5.1</t>
  </si>
  <si>
    <t>4.4</t>
  </si>
  <si>
    <t>4.5</t>
  </si>
  <si>
    <t>4.7</t>
  </si>
  <si>
    <t>5.2</t>
  </si>
  <si>
    <t>5.3</t>
  </si>
  <si>
    <t>5.4</t>
  </si>
  <si>
    <t>Total Geral do PA</t>
  </si>
  <si>
    <t>Total Geral deste PA</t>
  </si>
  <si>
    <r>
      <t xml:space="preserve">Adequação Física de 01 base comunitária integrada com polícia militar, civil, guarda municipal e conselhos comunitários - </t>
    </r>
    <r>
      <rPr>
        <b/>
        <sz val="12"/>
        <rFont val="Calibri"/>
        <family val="2"/>
      </rPr>
      <t>Rubem Berta/Centro Vida</t>
    </r>
  </si>
  <si>
    <t>Atualizado em:  pós Missão de Supervisão (11/9/15)</t>
  </si>
  <si>
    <t>Atualizado por: Equipe SJDH, SSP e FASE</t>
  </si>
  <si>
    <t>Notas:</t>
  </si>
  <si>
    <r>
      <rPr>
        <b/>
        <sz val="12"/>
        <color theme="1"/>
        <rFont val="Calibri"/>
        <family val="2"/>
        <scheme val="minor"/>
      </rPr>
      <t>Métodos de Aquisição</t>
    </r>
    <r>
      <rPr>
        <sz val="12"/>
        <color theme="1"/>
        <rFont val="Calibri"/>
        <family val="2"/>
        <scheme val="minor"/>
      </rPr>
      <t>: (</t>
    </r>
    <r>
      <rPr>
        <b/>
        <sz val="12"/>
        <color theme="1"/>
        <rFont val="Calibri"/>
        <family val="2"/>
        <scheme val="minor"/>
      </rPr>
      <t>a) BID: LPI:</t>
    </r>
    <r>
      <rPr>
        <sz val="12"/>
        <color theme="1"/>
        <rFont val="Calibri"/>
        <family val="2"/>
        <scheme val="minor"/>
      </rPr>
      <t xml:space="preserve"> Licitação Pública Internacional; </t>
    </r>
    <r>
      <rPr>
        <b/>
        <sz val="12"/>
        <color theme="1"/>
        <rFont val="Calibri"/>
        <family val="2"/>
        <scheme val="minor"/>
      </rPr>
      <t>LPN:</t>
    </r>
    <r>
      <rPr>
        <sz val="12"/>
        <color theme="1"/>
        <rFont val="Calibri"/>
        <family val="2"/>
        <scheme val="minor"/>
      </rPr>
      <t xml:space="preserve"> Licitação Pública Nacional; </t>
    </r>
    <r>
      <rPr>
        <b/>
        <sz val="12"/>
        <color theme="1"/>
        <rFont val="Calibri"/>
        <family val="2"/>
        <scheme val="minor"/>
      </rPr>
      <t>CP:</t>
    </r>
    <r>
      <rPr>
        <sz val="12"/>
        <color theme="1"/>
        <rFont val="Calibri"/>
        <family val="2"/>
        <scheme val="minor"/>
      </rPr>
      <t xml:space="preserve"> Comparação de Preços;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SBQC:</t>
    </r>
    <r>
      <rPr>
        <sz val="12"/>
        <color theme="1"/>
        <rFont val="Calibri"/>
        <family val="2"/>
        <scheme val="minor"/>
      </rPr>
      <t xml:space="preserve"> Seleção Baseada na Qualidade e Custo; </t>
    </r>
    <r>
      <rPr>
        <b/>
        <sz val="12"/>
        <color theme="1"/>
        <rFont val="Calibri"/>
        <family val="2"/>
        <scheme val="minor"/>
      </rPr>
      <t xml:space="preserve">SQC: </t>
    </r>
    <r>
      <rPr>
        <sz val="12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2"/>
        <color theme="1"/>
        <rFont val="Calibri"/>
        <family val="2"/>
        <scheme val="minor"/>
      </rPr>
      <t xml:space="preserve">SBMC: </t>
    </r>
    <r>
      <rPr>
        <sz val="12"/>
        <color theme="1"/>
        <rFont val="Calibri"/>
        <family val="2"/>
        <scheme val="minor"/>
      </rPr>
      <t xml:space="preserve">Seleção Baseada no Menor Custo; </t>
    </r>
    <r>
      <rPr>
        <b/>
        <sz val="12"/>
        <color theme="1"/>
        <rFont val="Calibri"/>
        <family val="2"/>
        <scheme val="minor"/>
      </rPr>
      <t xml:space="preserve">SBOF: </t>
    </r>
    <r>
      <rPr>
        <sz val="12"/>
        <color theme="1"/>
        <rFont val="Calibri"/>
        <family val="2"/>
        <scheme val="minor"/>
      </rPr>
      <t>Seleção Baseada em Orçamento Fixo;</t>
    </r>
    <r>
      <rPr>
        <b/>
        <sz val="12"/>
        <color theme="1"/>
        <rFont val="Calibri"/>
        <family val="2"/>
        <scheme val="minor"/>
      </rPr>
      <t xml:space="preserve"> SBQ</t>
    </r>
    <r>
      <rPr>
        <sz val="12"/>
        <color theme="1"/>
        <rFont val="Calibri"/>
        <family val="2"/>
        <scheme val="minor"/>
      </rPr>
      <t xml:space="preserve">: Seleção Baseada na Qualidade;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CI:</t>
    </r>
    <r>
      <rPr>
        <sz val="12"/>
        <color theme="1"/>
        <rFont val="Calibri"/>
        <family val="2"/>
        <scheme val="minor"/>
      </rPr>
      <t xml:space="preserve"> Consultor Individual;</t>
    </r>
    <r>
      <rPr>
        <b/>
        <sz val="12"/>
        <color theme="1"/>
        <rFont val="Calibri"/>
        <family val="2"/>
        <scheme val="minor"/>
      </rPr>
      <t xml:space="preserve"> CV</t>
    </r>
    <r>
      <rPr>
        <sz val="12"/>
        <color theme="1"/>
        <rFont val="Calibri"/>
        <family val="2"/>
        <scheme val="minor"/>
      </rPr>
      <t>: Convênio. (</t>
    </r>
    <r>
      <rPr>
        <b/>
        <sz val="12"/>
        <color theme="1"/>
        <rFont val="Calibri"/>
        <family val="2"/>
        <scheme val="minor"/>
      </rPr>
      <t xml:space="preserve">b) Lei 8.666: C: </t>
    </r>
    <r>
      <rPr>
        <sz val="12"/>
        <color theme="1"/>
        <rFont val="Calibri"/>
        <family val="2"/>
        <scheme val="minor"/>
      </rPr>
      <t>Carta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Convite; </t>
    </r>
    <r>
      <rPr>
        <b/>
        <sz val="12"/>
        <color theme="1"/>
        <rFont val="Calibri"/>
        <family val="2"/>
        <scheme val="minor"/>
      </rPr>
      <t>TP:</t>
    </r>
    <r>
      <rPr>
        <sz val="12"/>
        <color theme="1"/>
        <rFont val="Calibri"/>
        <family val="2"/>
        <scheme val="minor"/>
      </rPr>
      <t xml:space="preserve"> Tomada de Preço; </t>
    </r>
    <r>
      <rPr>
        <b/>
        <sz val="12"/>
        <color theme="1"/>
        <rFont val="Calibri"/>
        <family val="2"/>
        <scheme val="minor"/>
      </rPr>
      <t>CPN:</t>
    </r>
    <r>
      <rPr>
        <sz val="12"/>
        <color theme="1"/>
        <rFont val="Calibri"/>
        <family val="2"/>
        <scheme val="minor"/>
      </rPr>
      <t xml:space="preserve"> Concorrência Pública Nacional; </t>
    </r>
    <r>
      <rPr>
        <b/>
        <sz val="12"/>
        <color theme="1"/>
        <rFont val="Calibri"/>
        <family val="2"/>
        <scheme val="minor"/>
      </rPr>
      <t>PE:</t>
    </r>
    <r>
      <rPr>
        <sz val="12"/>
        <color theme="1"/>
        <rFont val="Calibri"/>
        <family val="2"/>
        <scheme val="minor"/>
      </rPr>
      <t xml:space="preserve"> Pregão Eletrônico; </t>
    </r>
    <r>
      <rPr>
        <b/>
        <sz val="12"/>
        <color theme="1"/>
        <rFont val="Calibri"/>
        <family val="2"/>
        <scheme val="minor"/>
      </rPr>
      <t>ARP:</t>
    </r>
    <r>
      <rPr>
        <sz val="12"/>
        <color theme="1"/>
        <rFont val="Calibri"/>
        <family val="2"/>
        <scheme val="minor"/>
      </rPr>
      <t xml:space="preserve"> Ata de Registro de Preços,</t>
    </r>
    <r>
      <rPr>
        <b/>
        <sz val="12"/>
        <color theme="1"/>
        <rFont val="Calibri"/>
        <family val="2"/>
        <scheme val="minor"/>
      </rPr>
      <t xml:space="preserve"> PP</t>
    </r>
    <r>
      <rPr>
        <sz val="12"/>
        <color theme="1"/>
        <rFont val="Calibri"/>
        <family val="2"/>
        <scheme val="minor"/>
      </rPr>
      <t xml:space="preserve">: Pregão Presencial, </t>
    </r>
    <r>
      <rPr>
        <b/>
        <sz val="12"/>
        <color theme="1"/>
        <rFont val="Calibri"/>
        <family val="2"/>
        <scheme val="minor"/>
      </rPr>
      <t>CD</t>
    </r>
    <r>
      <rPr>
        <sz val="12"/>
        <color theme="1"/>
        <rFont val="Calibri"/>
        <family val="2"/>
        <scheme val="minor"/>
      </rPr>
      <t xml:space="preserve">: Contratação Direta, </t>
    </r>
    <r>
      <rPr>
        <b/>
        <sz val="12"/>
        <color theme="1"/>
        <rFont val="Calibri"/>
        <family val="2"/>
        <scheme val="minor"/>
      </rPr>
      <t>CV</t>
    </r>
    <r>
      <rPr>
        <sz val="12"/>
        <color theme="1"/>
        <rFont val="Calibri"/>
        <family val="2"/>
        <scheme val="minor"/>
      </rPr>
      <t>: Convênio</t>
    </r>
  </si>
  <si>
    <r>
      <rPr>
        <b/>
        <sz val="12"/>
        <color theme="1"/>
        <rFont val="Calibri"/>
        <family val="2"/>
        <scheme val="minor"/>
      </rPr>
      <t>Revisões BID</t>
    </r>
    <r>
      <rPr>
        <sz val="12"/>
        <color theme="1"/>
        <rFont val="Calibri"/>
        <family val="2"/>
        <scheme val="minor"/>
      </rPr>
      <t>: EXA =</t>
    </r>
    <r>
      <rPr>
        <i/>
        <sz val="12"/>
        <color theme="1"/>
        <rFont val="Calibri"/>
        <family val="2"/>
        <scheme val="minor"/>
      </rPr>
      <t xml:space="preserve">Ex-ante </t>
    </r>
    <r>
      <rPr>
        <sz val="12"/>
        <color theme="1"/>
        <rFont val="Calibri"/>
        <family val="2"/>
        <scheme val="minor"/>
      </rPr>
      <t>e EXP=</t>
    </r>
    <r>
      <rPr>
        <i/>
        <sz val="12"/>
        <color theme="1"/>
        <rFont val="Calibri"/>
        <family val="2"/>
        <scheme val="minor"/>
      </rPr>
      <t xml:space="preserve"> Ex-post</t>
    </r>
  </si>
  <si>
    <r>
      <rPr>
        <b/>
        <sz val="12"/>
        <color theme="1"/>
        <rFont val="Calibri"/>
        <family val="2"/>
        <scheme val="minor"/>
      </rPr>
      <t>Status</t>
    </r>
    <r>
      <rPr>
        <sz val="12"/>
        <color theme="1"/>
        <rFont val="Calibri"/>
        <family val="2"/>
        <scheme val="minor"/>
      </rPr>
      <t>: Pendente (P); Em Processo  (EP); Adjudicado (A); Cancelado (C )</t>
    </r>
  </si>
  <si>
    <t>(4)</t>
  </si>
  <si>
    <r>
      <rPr>
        <b/>
        <sz val="12"/>
        <color theme="1"/>
        <rFont val="Calibri"/>
        <family val="2"/>
        <scheme val="minor"/>
      </rPr>
      <t>Alterações:</t>
    </r>
    <r>
      <rPr>
        <sz val="12"/>
        <color theme="1"/>
        <rFont val="Calibri"/>
        <family val="2"/>
        <scheme val="minor"/>
      </rPr>
      <t xml:space="preserve"> Indicar em vermelho as alterações feitas nas aquisições já constantes do PA</t>
    </r>
  </si>
  <si>
    <t>(5)</t>
  </si>
  <si>
    <r>
      <rPr>
        <b/>
        <sz val="12"/>
        <color theme="1"/>
        <rFont val="Calibri"/>
        <family val="2"/>
        <scheme val="minor"/>
      </rPr>
      <t>Inclusões:</t>
    </r>
    <r>
      <rPr>
        <sz val="12"/>
        <color theme="1"/>
        <rFont val="Calibri"/>
        <family val="2"/>
        <scheme val="minor"/>
      </rPr>
      <t xml:space="preserve"> Indicar em azul as aquisições agora incluídas no PA</t>
    </r>
  </si>
  <si>
    <t>(6)</t>
  </si>
  <si>
    <r>
      <rPr>
        <b/>
        <sz val="12"/>
        <color theme="1"/>
        <rFont val="Calibri"/>
        <family val="2"/>
        <scheme val="minor"/>
      </rPr>
      <t>Cancelamentos:</t>
    </r>
    <r>
      <rPr>
        <sz val="12"/>
        <color theme="1"/>
        <rFont val="Calibri"/>
        <family val="2"/>
        <scheme val="minor"/>
      </rPr>
      <t xml:space="preserve"> indicar em verde os cancelamentos das aquisições constantes do PA</t>
    </r>
  </si>
  <si>
    <t>(7)</t>
  </si>
  <si>
    <r>
      <rPr>
        <b/>
        <sz val="12"/>
        <color theme="1"/>
        <rFont val="Calibri"/>
        <family val="2"/>
        <scheme val="minor"/>
      </rPr>
      <t>Folha Anexa</t>
    </r>
    <r>
      <rPr>
        <sz val="12"/>
        <color theme="1"/>
        <rFont val="Calibri"/>
        <family val="2"/>
        <scheme val="minor"/>
      </rPr>
      <t>: Fazer comentários complementares ou esclarecedores , quando necessário, em folha anexa.</t>
    </r>
  </si>
  <si>
    <t>(8)</t>
  </si>
  <si>
    <r>
      <rPr>
        <b/>
        <sz val="12"/>
        <color theme="1"/>
        <rFont val="Calibri"/>
        <family val="2"/>
        <scheme val="minor"/>
      </rPr>
      <t>Histórico:</t>
    </r>
    <r>
      <rPr>
        <sz val="12"/>
        <color theme="1"/>
        <rFont val="Calibri"/>
        <family val="2"/>
        <scheme val="minor"/>
      </rPr>
      <t xml:space="preserve"> Manter no PA todas as aquisições adjudicadas e/ou canceladas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</si>
</sst>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#,##0.00\ ;&quot; (&quot;#,##0.00\);&quot; -&quot;#\ ;@\ "/>
    <numFmt numFmtId="166" formatCode="mm/yy"/>
    <numFmt numFmtId="167" formatCode="&quot;R$ &quot;#,##0.00"/>
    <numFmt numFmtId="168" formatCode="#,##0\ ;&quot; (&quot;#,##0\);&quot; -&quot;#\ ;@\ "/>
    <numFmt numFmtId="169" formatCode="#,##0.00\ ;\-#,##0.00\ ;&quot; -&quot;#\ ;@\ "/>
    <numFmt numFmtId="170" formatCode="#,##0.0\ ;&quot; (&quot;#,##0.0\);&quot; -&quot;#\ ;@\ "/>
    <numFmt numFmtId="171" formatCode="#,##0.00000"/>
    <numFmt numFmtId="172" formatCode="&quot;R$ &quot;#,##0.00\ ;[Red]&quot;(R$ &quot;#,##0.00\)"/>
    <numFmt numFmtId="173" formatCode="d/m/yyyy"/>
    <numFmt numFmtId="174" formatCode="dd/mm/yy"/>
    <numFmt numFmtId="175" formatCode="mmm\-yy;@"/>
    <numFmt numFmtId="176" formatCode="#,##0.000\ ;&quot; (&quot;#,##0.000\);&quot; -&quot;#\ ;@\ "/>
    <numFmt numFmtId="177" formatCode="#,##0.00&quot;   &quot;;\-#,##0.00&quot;   &quot;"/>
    <numFmt numFmtId="178" formatCode="#,##0.00000000\ ;&quot; (&quot;#,##0.00000000\);&quot; -&quot;#\ ;@\ "/>
    <numFmt numFmtId="179" formatCode="[$-416]mmm\-yy;@"/>
    <numFmt numFmtId="180" formatCode="0.0%"/>
  </numFmts>
  <fonts count="51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  <charset val="1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  <charset val="1"/>
    </font>
    <font>
      <b/>
      <sz val="10"/>
      <color indexed="3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6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45"/>
      </patternFill>
    </fill>
  </fills>
  <borders count="1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 style="medium">
        <color indexed="6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medium">
        <color indexed="63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  <diagonal/>
    </border>
    <border>
      <left style="thin">
        <color indexed="8"/>
      </left>
      <right/>
      <top style="thin">
        <color indexed="8"/>
      </top>
      <bottom style="medium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3"/>
      </bottom>
      <diagonal/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  <diagonal/>
    </border>
    <border>
      <left style="medium">
        <color indexed="8"/>
      </left>
      <right style="medium">
        <color indexed="63"/>
      </right>
      <top style="thin">
        <color indexed="8"/>
      </top>
      <bottom style="medium">
        <color indexed="63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3"/>
      </bottom>
      <diagonal/>
    </border>
    <border>
      <left/>
      <right style="thin">
        <color indexed="8"/>
      </right>
      <top/>
      <bottom style="medium">
        <color indexed="63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 style="thin">
        <color indexed="8"/>
      </right>
      <top style="thin">
        <color indexed="8"/>
      </top>
      <bottom style="medium">
        <color indexed="63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3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3"/>
      </left>
      <right style="thin">
        <color indexed="8"/>
      </right>
      <top style="medium">
        <color indexed="63"/>
      </top>
      <bottom/>
      <diagonal/>
    </border>
    <border>
      <left style="medium">
        <color indexed="63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17" fillId="0" borderId="0"/>
    <xf numFmtId="0" fontId="40" fillId="0" borderId="0"/>
    <xf numFmtId="9" fontId="32" fillId="0" borderId="0"/>
    <xf numFmtId="165" fontId="32" fillId="0" borderId="0"/>
    <xf numFmtId="165" fontId="32" fillId="0" borderId="0"/>
    <xf numFmtId="164" fontId="35" fillId="0" borderId="0" applyFont="0" applyFill="0" applyBorder="0" applyAlignment="0" applyProtection="0"/>
  </cellStyleXfs>
  <cellXfs count="100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5" fontId="32" fillId="0" borderId="0" xfId="4" applyFill="1" applyBorder="1" applyAlignment="1" applyProtection="1"/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5" fontId="12" fillId="0" borderId="6" xfId="4" applyFont="1" applyFill="1" applyBorder="1" applyAlignment="1" applyProtection="1">
      <alignment horizontal="center" vertical="center" wrapText="1"/>
    </xf>
    <xf numFmtId="167" fontId="12" fillId="0" borderId="6" xfId="4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65" fontId="0" fillId="0" borderId="0" xfId="4" applyFont="1" applyFill="1" applyBorder="1" applyAlignment="1" applyProtection="1"/>
    <xf numFmtId="0" fontId="14" fillId="0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Font="1" applyBorder="1"/>
    <xf numFmtId="168" fontId="3" fillId="3" borderId="9" xfId="4" applyNumberFormat="1" applyFont="1" applyFill="1" applyBorder="1" applyAlignment="1" applyProtection="1"/>
    <xf numFmtId="0" fontId="3" fillId="2" borderId="10" xfId="0" applyFont="1" applyFill="1" applyBorder="1" applyAlignment="1">
      <alignment vertical="top" wrapText="1"/>
    </xf>
    <xf numFmtId="0" fontId="0" fillId="0" borderId="0" xfId="0" applyFont="1" applyBorder="1" applyAlignment="1"/>
    <xf numFmtId="0" fontId="15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center" vertical="top" wrapText="1"/>
    </xf>
    <xf numFmtId="0" fontId="0" fillId="0" borderId="12" xfId="0" applyFont="1" applyBorder="1"/>
    <xf numFmtId="165" fontId="3" fillId="4" borderId="12" xfId="4" applyFont="1" applyFill="1" applyBorder="1" applyAlignment="1" applyProtection="1">
      <alignment horizontal="center"/>
    </xf>
    <xf numFmtId="0" fontId="12" fillId="4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/>
    </xf>
    <xf numFmtId="165" fontId="3" fillId="5" borderId="15" xfId="4" applyFont="1" applyFill="1" applyBorder="1" applyAlignment="1" applyProtection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5" fillId="6" borderId="17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0" fillId="0" borderId="18" xfId="0" applyFont="1" applyBorder="1"/>
    <xf numFmtId="168" fontId="0" fillId="6" borderId="18" xfId="4" applyNumberFormat="1" applyFont="1" applyFill="1" applyBorder="1" applyAlignment="1" applyProtection="1"/>
    <xf numFmtId="0" fontId="3" fillId="6" borderId="19" xfId="0" applyFont="1" applyFill="1" applyBorder="1" applyAlignment="1">
      <alignment vertical="top" wrapText="1"/>
    </xf>
    <xf numFmtId="168" fontId="0" fillId="6" borderId="20" xfId="4" applyNumberFormat="1" applyFont="1" applyFill="1" applyBorder="1" applyAlignment="1" applyProtection="1"/>
    <xf numFmtId="168" fontId="0" fillId="6" borderId="3" xfId="4" applyNumberFormat="1" applyFont="1" applyFill="1" applyBorder="1" applyAlignment="1" applyProtection="1"/>
    <xf numFmtId="168" fontId="0" fillId="6" borderId="21" xfId="4" applyNumberFormat="1" applyFont="1" applyFill="1" applyBorder="1" applyAlignment="1" applyProtection="1"/>
    <xf numFmtId="168" fontId="0" fillId="6" borderId="22" xfId="4" applyNumberFormat="1" applyFont="1" applyFill="1" applyBorder="1" applyAlignment="1" applyProtection="1"/>
    <xf numFmtId="0" fontId="3" fillId="2" borderId="18" xfId="0" applyFont="1" applyFill="1" applyBorder="1" applyAlignment="1">
      <alignment vertical="top" wrapText="1"/>
    </xf>
    <xf numFmtId="168" fontId="3" fillId="2" borderId="18" xfId="4" applyNumberFormat="1" applyFont="1" applyFill="1" applyBorder="1" applyAlignment="1" applyProtection="1"/>
    <xf numFmtId="0" fontId="3" fillId="2" borderId="19" xfId="0" applyFont="1" applyFill="1" applyBorder="1" applyAlignment="1">
      <alignment vertical="top" wrapText="1"/>
    </xf>
    <xf numFmtId="168" fontId="0" fillId="2" borderId="11" xfId="4" applyNumberFormat="1" applyFont="1" applyFill="1" applyBorder="1" applyAlignment="1" applyProtection="1"/>
    <xf numFmtId="168" fontId="0" fillId="2" borderId="23" xfId="4" applyNumberFormat="1" applyFont="1" applyFill="1" applyBorder="1" applyAlignment="1" applyProtection="1">
      <alignment wrapText="1"/>
    </xf>
    <xf numFmtId="168" fontId="0" fillId="2" borderId="12" xfId="4" applyNumberFormat="1" applyFont="1" applyFill="1" applyBorder="1" applyAlignment="1" applyProtection="1"/>
    <xf numFmtId="168" fontId="0" fillId="2" borderId="13" xfId="4" applyNumberFormat="1" applyFont="1" applyFill="1" applyBorder="1" applyAlignment="1" applyProtection="1"/>
    <xf numFmtId="0" fontId="15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4" fontId="16" fillId="0" borderId="18" xfId="4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8" fontId="0" fillId="0" borderId="17" xfId="4" applyNumberFormat="1" applyFont="1" applyFill="1" applyBorder="1" applyAlignment="1" applyProtection="1"/>
    <xf numFmtId="168" fontId="0" fillId="0" borderId="24" xfId="4" applyNumberFormat="1" applyFont="1" applyFill="1" applyBorder="1" applyAlignment="1" applyProtection="1">
      <alignment wrapText="1"/>
    </xf>
    <xf numFmtId="0" fontId="0" fillId="0" borderId="18" xfId="4" applyNumberFormat="1" applyFont="1" applyFill="1" applyBorder="1" applyAlignment="1" applyProtection="1">
      <alignment horizontal="center"/>
    </xf>
    <xf numFmtId="168" fontId="17" fillId="0" borderId="19" xfId="1" applyNumberFormat="1" applyFill="1" applyBorder="1" applyAlignment="1" applyProtection="1"/>
    <xf numFmtId="168" fontId="0" fillId="0" borderId="18" xfId="4" applyNumberFormat="1" applyFont="1" applyFill="1" applyBorder="1" applyAlignment="1" applyProtection="1">
      <alignment horizontal="center"/>
    </xf>
    <xf numFmtId="0" fontId="3" fillId="7" borderId="18" xfId="0" applyFont="1" applyFill="1" applyBorder="1" applyAlignment="1">
      <alignment vertical="center" wrapText="1"/>
    </xf>
    <xf numFmtId="0" fontId="0" fillId="7" borderId="18" xfId="0" applyFont="1" applyFill="1" applyBorder="1" applyAlignment="1">
      <alignment vertical="center"/>
    </xf>
    <xf numFmtId="0" fontId="0" fillId="7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4" applyNumberFormat="1" applyFont="1" applyFill="1" applyBorder="1" applyAlignment="1" applyProtection="1"/>
    <xf numFmtId="168" fontId="0" fillId="0" borderId="18" xfId="4" applyNumberFormat="1" applyFont="1" applyFill="1" applyBorder="1" applyAlignment="1" applyProtection="1">
      <alignment vertical="center"/>
    </xf>
    <xf numFmtId="0" fontId="3" fillId="6" borderId="18" xfId="0" applyFont="1" applyFill="1" applyBorder="1" applyAlignment="1">
      <alignment vertical="center" wrapText="1"/>
    </xf>
    <xf numFmtId="168" fontId="0" fillId="6" borderId="18" xfId="4" applyNumberFormat="1" applyFont="1" applyFill="1" applyBorder="1" applyAlignment="1" applyProtection="1">
      <alignment vertical="center"/>
    </xf>
    <xf numFmtId="0" fontId="3" fillId="6" borderId="19" xfId="0" applyFont="1" applyFill="1" applyBorder="1" applyAlignment="1">
      <alignment vertical="center" wrapText="1"/>
    </xf>
    <xf numFmtId="168" fontId="0" fillId="6" borderId="11" xfId="4" applyNumberFormat="1" applyFont="1" applyFill="1" applyBorder="1" applyAlignment="1" applyProtection="1"/>
    <xf numFmtId="168" fontId="0" fillId="6" borderId="23" xfId="4" applyNumberFormat="1" applyFont="1" applyFill="1" applyBorder="1" applyAlignment="1" applyProtection="1">
      <alignment wrapText="1"/>
    </xf>
    <xf numFmtId="168" fontId="0" fillId="6" borderId="12" xfId="4" applyNumberFormat="1" applyFont="1" applyFill="1" applyBorder="1" applyAlignment="1" applyProtection="1"/>
    <xf numFmtId="168" fontId="0" fillId="6" borderId="13" xfId="4" applyNumberFormat="1" applyFont="1" applyFill="1" applyBorder="1" applyAlignment="1" applyProtection="1"/>
    <xf numFmtId="0" fontId="15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vertical="center"/>
    </xf>
    <xf numFmtId="168" fontId="0" fillId="0" borderId="26" xfId="4" applyNumberFormat="1" applyFont="1" applyFill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8" fontId="0" fillId="0" borderId="25" xfId="4" applyNumberFormat="1" applyFont="1" applyFill="1" applyBorder="1" applyAlignment="1" applyProtection="1"/>
    <xf numFmtId="168" fontId="0" fillId="0" borderId="28" xfId="4" applyNumberFormat="1" applyFont="1" applyFill="1" applyBorder="1" applyAlignment="1" applyProtection="1">
      <alignment wrapText="1"/>
    </xf>
    <xf numFmtId="0" fontId="0" fillId="0" borderId="26" xfId="4" applyNumberFormat="1" applyFont="1" applyFill="1" applyBorder="1" applyAlignment="1" applyProtection="1"/>
    <xf numFmtId="168" fontId="17" fillId="0" borderId="27" xfId="1" applyNumberFormat="1" applyFill="1" applyBorder="1" applyAlignment="1" applyProtection="1"/>
    <xf numFmtId="9" fontId="0" fillId="0" borderId="0" xfId="3" applyFont="1" applyFill="1" applyBorder="1" applyAlignment="1" applyProtection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3" fontId="18" fillId="0" borderId="5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left" wrapText="1"/>
    </xf>
    <xf numFmtId="165" fontId="0" fillId="0" borderId="6" xfId="4" applyFont="1" applyFill="1" applyBorder="1" applyAlignment="1" applyProtection="1">
      <alignment horizontal="left"/>
    </xf>
    <xf numFmtId="3" fontId="0" fillId="0" borderId="6" xfId="0" applyNumberFormat="1" applyFill="1" applyBorder="1" applyAlignment="1">
      <alignment wrapText="1"/>
    </xf>
    <xf numFmtId="3" fontId="0" fillId="0" borderId="9" xfId="0" applyNumberFormat="1" applyFill="1" applyBorder="1" applyAlignment="1">
      <alignment wrapText="1"/>
    </xf>
    <xf numFmtId="165" fontId="0" fillId="0" borderId="29" xfId="4" applyFont="1" applyFill="1" applyBorder="1" applyAlignment="1" applyProtection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Alignment="1">
      <alignment vertical="center"/>
    </xf>
    <xf numFmtId="3" fontId="3" fillId="4" borderId="25" xfId="0" applyNumberFormat="1" applyFont="1" applyFill="1" applyBorder="1" applyAlignment="1">
      <alignment horizontal="center" vertical="top" wrapText="1"/>
    </xf>
    <xf numFmtId="3" fontId="3" fillId="4" borderId="26" xfId="4" applyNumberFormat="1" applyFont="1" applyFill="1" applyBorder="1" applyAlignment="1" applyProtection="1">
      <alignment horizontal="center" vertical="top" wrapText="1"/>
    </xf>
    <xf numFmtId="3" fontId="3" fillId="4" borderId="28" xfId="0" applyNumberFormat="1" applyFont="1" applyFill="1" applyBorder="1" applyAlignment="1">
      <alignment horizontal="center" vertical="top" wrapText="1"/>
    </xf>
    <xf numFmtId="3" fontId="3" fillId="4" borderId="28" xfId="4" applyNumberFormat="1" applyFont="1" applyFill="1" applyBorder="1" applyAlignment="1" applyProtection="1">
      <alignment horizontal="center" vertical="top" wrapText="1"/>
    </xf>
    <xf numFmtId="3" fontId="20" fillId="0" borderId="30" xfId="0" applyNumberFormat="1" applyFont="1" applyBorder="1" applyAlignment="1" applyProtection="1">
      <alignment vertical="top" wrapText="1"/>
      <protection locked="0"/>
    </xf>
    <xf numFmtId="168" fontId="20" fillId="0" borderId="31" xfId="4" applyNumberFormat="1" applyFont="1" applyFill="1" applyBorder="1" applyAlignment="1" applyProtection="1">
      <alignment horizontal="center" vertical="top"/>
      <protection locked="0"/>
    </xf>
    <xf numFmtId="168" fontId="20" fillId="0" borderId="32" xfId="4" applyNumberFormat="1" applyFont="1" applyFill="1" applyBorder="1" applyAlignment="1" applyProtection="1">
      <alignment vertical="top"/>
      <protection locked="0"/>
    </xf>
    <xf numFmtId="168" fontId="20" fillId="8" borderId="33" xfId="4" applyNumberFormat="1" applyFont="1" applyFill="1" applyBorder="1" applyAlignment="1" applyProtection="1">
      <alignment vertical="top"/>
    </xf>
    <xf numFmtId="3" fontId="20" fillId="0" borderId="31" xfId="4" applyNumberFormat="1" applyFont="1" applyFill="1" applyBorder="1" applyAlignment="1" applyProtection="1">
      <alignment horizontal="center" vertical="top"/>
      <protection locked="0"/>
    </xf>
    <xf numFmtId="3" fontId="20" fillId="0" borderId="32" xfId="4" applyNumberFormat="1" applyFont="1" applyFill="1" applyBorder="1" applyAlignment="1" applyProtection="1">
      <alignment vertical="top"/>
      <protection locked="0"/>
    </xf>
    <xf numFmtId="168" fontId="20" fillId="8" borderId="34" xfId="4" applyNumberFormat="1" applyFont="1" applyFill="1" applyBorder="1" applyAlignment="1" applyProtection="1">
      <alignment vertical="top"/>
    </xf>
    <xf numFmtId="3" fontId="20" fillId="0" borderId="17" xfId="0" applyNumberFormat="1" applyFont="1" applyBorder="1" applyAlignment="1" applyProtection="1">
      <alignment vertical="top" wrapText="1"/>
      <protection locked="0"/>
    </xf>
    <xf numFmtId="168" fontId="20" fillId="0" borderId="18" xfId="4" applyNumberFormat="1" applyFont="1" applyFill="1" applyBorder="1" applyAlignment="1" applyProtection="1">
      <alignment horizontal="center" vertical="top"/>
      <protection locked="0"/>
    </xf>
    <xf numFmtId="168" fontId="20" fillId="0" borderId="24" xfId="4" applyNumberFormat="1" applyFont="1" applyFill="1" applyBorder="1" applyAlignment="1" applyProtection="1">
      <alignment vertical="top"/>
      <protection locked="0"/>
    </xf>
    <xf numFmtId="168" fontId="20" fillId="8" borderId="19" xfId="4" applyNumberFormat="1" applyFont="1" applyFill="1" applyBorder="1" applyAlignment="1" applyProtection="1">
      <alignment vertical="top"/>
    </xf>
    <xf numFmtId="3" fontId="20" fillId="0" borderId="18" xfId="4" applyNumberFormat="1" applyFont="1" applyFill="1" applyBorder="1" applyAlignment="1" applyProtection="1">
      <alignment horizontal="center" vertical="top"/>
      <protection locked="0"/>
    </xf>
    <xf numFmtId="3" fontId="20" fillId="0" borderId="24" xfId="4" applyNumberFormat="1" applyFont="1" applyFill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168" fontId="20" fillId="8" borderId="35" xfId="4" applyNumberFormat="1" applyFont="1" applyFill="1" applyBorder="1" applyAlignment="1" applyProtection="1">
      <alignment vertical="top"/>
    </xf>
    <xf numFmtId="3" fontId="20" fillId="0" borderId="36" xfId="0" applyNumberFormat="1" applyFont="1" applyBorder="1" applyAlignment="1" applyProtection="1">
      <alignment vertical="top" wrapText="1"/>
      <protection locked="0"/>
    </xf>
    <xf numFmtId="3" fontId="20" fillId="0" borderId="37" xfId="4" applyNumberFormat="1" applyFont="1" applyFill="1" applyBorder="1" applyAlignment="1" applyProtection="1">
      <alignment horizontal="center" vertical="top"/>
      <protection locked="0"/>
    </xf>
    <xf numFmtId="3" fontId="20" fillId="0" borderId="2" xfId="4" applyNumberFormat="1" applyFont="1" applyFill="1" applyBorder="1" applyAlignment="1" applyProtection="1">
      <alignment vertical="top"/>
      <protection locked="0"/>
    </xf>
    <xf numFmtId="3" fontId="20" fillId="0" borderId="17" xfId="0" applyNumberFormat="1" applyFont="1" applyFill="1" applyBorder="1" applyAlignment="1" applyProtection="1">
      <alignment vertical="top" wrapText="1"/>
      <protection locked="0"/>
    </xf>
    <xf numFmtId="3" fontId="20" fillId="0" borderId="38" xfId="0" applyNumberFormat="1" applyFont="1" applyFill="1" applyBorder="1" applyAlignment="1" applyProtection="1">
      <alignment vertical="top" wrapText="1"/>
      <protection locked="0"/>
    </xf>
    <xf numFmtId="168" fontId="20" fillId="0" borderId="39" xfId="4" applyNumberFormat="1" applyFont="1" applyFill="1" applyBorder="1" applyAlignment="1" applyProtection="1">
      <alignment horizontal="center" vertical="top"/>
      <protection locked="0"/>
    </xf>
    <xf numFmtId="168" fontId="20" fillId="0" borderId="40" xfId="4" applyNumberFormat="1" applyFont="1" applyFill="1" applyBorder="1" applyAlignment="1" applyProtection="1">
      <alignment vertical="top"/>
      <protection locked="0"/>
    </xf>
    <xf numFmtId="168" fontId="20" fillId="8" borderId="41" xfId="4" applyNumberFormat="1" applyFont="1" applyFill="1" applyBorder="1" applyAlignment="1" applyProtection="1">
      <alignment vertical="top"/>
    </xf>
    <xf numFmtId="3" fontId="20" fillId="0" borderId="38" xfId="0" applyNumberFormat="1" applyFont="1" applyBorder="1" applyAlignment="1" applyProtection="1">
      <alignment vertical="top" wrapText="1"/>
      <protection locked="0"/>
    </xf>
    <xf numFmtId="3" fontId="20" fillId="0" borderId="39" xfId="4" applyNumberFormat="1" applyFont="1" applyFill="1" applyBorder="1" applyAlignment="1" applyProtection="1">
      <alignment horizontal="center" vertical="top"/>
      <protection locked="0"/>
    </xf>
    <xf numFmtId="3" fontId="20" fillId="0" borderId="40" xfId="4" applyNumberFormat="1" applyFont="1" applyFill="1" applyBorder="1" applyAlignment="1" applyProtection="1">
      <alignment vertical="top"/>
      <protection locked="0"/>
    </xf>
    <xf numFmtId="3" fontId="20" fillId="0" borderId="38" xfId="0" applyNumberFormat="1" applyFont="1" applyBorder="1" applyAlignment="1" applyProtection="1">
      <alignment vertical="top"/>
      <protection locked="0"/>
    </xf>
    <xf numFmtId="168" fontId="20" fillId="8" borderId="42" xfId="4" applyNumberFormat="1" applyFont="1" applyFill="1" applyBorder="1" applyAlignment="1" applyProtection="1">
      <alignment vertical="top"/>
    </xf>
    <xf numFmtId="3" fontId="19" fillId="9" borderId="31" xfId="0" applyNumberFormat="1" applyFont="1" applyFill="1" applyBorder="1" applyAlignment="1" applyProtection="1">
      <alignment horizontal="left" vertical="top" wrapText="1"/>
      <protection locked="0"/>
    </xf>
    <xf numFmtId="3" fontId="19" fillId="0" borderId="30" xfId="0" applyNumberFormat="1" applyFont="1" applyBorder="1" applyAlignment="1" applyProtection="1">
      <alignment vertical="top" wrapText="1"/>
      <protection locked="0"/>
    </xf>
    <xf numFmtId="168" fontId="20" fillId="0" borderId="32" xfId="4" applyNumberFormat="1" applyFont="1" applyFill="1" applyBorder="1" applyAlignment="1" applyProtection="1">
      <alignment horizontal="center" vertical="top"/>
      <protection locked="0"/>
    </xf>
    <xf numFmtId="3" fontId="19" fillId="9" borderId="18" xfId="0" applyNumberFormat="1" applyFont="1" applyFill="1" applyBorder="1" applyAlignment="1" applyProtection="1">
      <alignment horizontal="left" vertical="top" wrapText="1"/>
      <protection locked="0"/>
    </xf>
    <xf numFmtId="168" fontId="20" fillId="0" borderId="37" xfId="4" applyNumberFormat="1" applyFont="1" applyFill="1" applyBorder="1" applyAlignment="1" applyProtection="1">
      <alignment horizontal="center" vertical="top"/>
      <protection locked="0"/>
    </xf>
    <xf numFmtId="168" fontId="20" fillId="0" borderId="2" xfId="4" applyNumberFormat="1" applyFont="1" applyFill="1" applyBorder="1" applyAlignment="1" applyProtection="1">
      <alignment vertical="top"/>
      <protection locked="0"/>
    </xf>
    <xf numFmtId="3" fontId="19" fillId="0" borderId="17" xfId="0" applyNumberFormat="1" applyFont="1" applyBorder="1" applyAlignment="1" applyProtection="1">
      <alignment vertical="top" wrapText="1"/>
      <protection locked="0"/>
    </xf>
    <xf numFmtId="168" fontId="20" fillId="0" borderId="24" xfId="4" applyNumberFormat="1" applyFont="1" applyFill="1" applyBorder="1" applyAlignment="1" applyProtection="1">
      <alignment horizontal="center" vertical="top"/>
      <protection locked="0"/>
    </xf>
    <xf numFmtId="168" fontId="22" fillId="8" borderId="19" xfId="4" applyNumberFormat="1" applyFont="1" applyFill="1" applyBorder="1" applyAlignment="1" applyProtection="1">
      <alignment vertical="top"/>
    </xf>
    <xf numFmtId="3" fontId="20" fillId="0" borderId="17" xfId="0" applyNumberFormat="1" applyFont="1" applyBorder="1" applyAlignment="1" applyProtection="1">
      <alignment horizontal="left" vertical="top" wrapText="1"/>
      <protection locked="0"/>
    </xf>
    <xf numFmtId="3" fontId="23" fillId="0" borderId="18" xfId="4" applyNumberFormat="1" applyFont="1" applyFill="1" applyBorder="1" applyAlignment="1" applyProtection="1">
      <alignment horizontal="center" vertical="top" wrapText="1"/>
      <protection locked="0"/>
    </xf>
    <xf numFmtId="3" fontId="20" fillId="0" borderId="38" xfId="0" applyNumberFormat="1" applyFont="1" applyBorder="1" applyAlignment="1" applyProtection="1">
      <alignment horizontal="left" vertical="top" wrapText="1"/>
      <protection locked="0"/>
    </xf>
    <xf numFmtId="3" fontId="20" fillId="8" borderId="38" xfId="0" applyNumberFormat="1" applyFont="1" applyFill="1" applyBorder="1" applyAlignment="1" applyProtection="1">
      <alignment horizontal="left" vertical="top" wrapText="1"/>
      <protection locked="0"/>
    </xf>
    <xf numFmtId="3" fontId="20" fillId="8" borderId="43" xfId="0" applyNumberFormat="1" applyFont="1" applyFill="1" applyBorder="1" applyAlignment="1" applyProtection="1">
      <alignment horizontal="left" vertical="top" wrapText="1"/>
      <protection locked="0"/>
    </xf>
    <xf numFmtId="3" fontId="19" fillId="0" borderId="31" xfId="0" applyNumberFormat="1" applyFont="1" applyBorder="1" applyAlignment="1" applyProtection="1">
      <alignment horizontal="left" vertical="top" wrapText="1"/>
      <protection locked="0"/>
    </xf>
    <xf numFmtId="3" fontId="20" fillId="0" borderId="32" xfId="5" applyNumberFormat="1" applyFont="1" applyFill="1" applyBorder="1" applyAlignment="1" applyProtection="1">
      <alignment vertical="top"/>
      <protection locked="0"/>
    </xf>
    <xf numFmtId="3" fontId="20" fillId="0" borderId="31" xfId="0" applyNumberFormat="1" applyFont="1" applyBorder="1" applyAlignment="1">
      <alignment horizontal="left" vertical="top" wrapText="1"/>
    </xf>
    <xf numFmtId="3" fontId="23" fillId="0" borderId="31" xfId="4" applyNumberFormat="1" applyFont="1" applyFill="1" applyBorder="1" applyAlignment="1" applyProtection="1">
      <alignment horizontal="center" vertical="top" wrapText="1"/>
    </xf>
    <xf numFmtId="3" fontId="23" fillId="0" borderId="31" xfId="4" applyNumberFormat="1" applyFont="1" applyFill="1" applyBorder="1" applyAlignment="1" applyProtection="1">
      <alignment horizontal="right" vertical="top" wrapText="1"/>
    </xf>
    <xf numFmtId="170" fontId="20" fillId="0" borderId="31" xfId="4" applyNumberFormat="1" applyFont="1" applyFill="1" applyBorder="1" applyAlignment="1" applyProtection="1">
      <alignment horizontal="center" vertical="top"/>
      <protection locked="0"/>
    </xf>
    <xf numFmtId="3" fontId="19" fillId="0" borderId="18" xfId="0" applyNumberFormat="1" applyFont="1" applyBorder="1" applyAlignment="1" applyProtection="1">
      <alignment horizontal="left" vertical="top" wrapText="1"/>
      <protection locked="0"/>
    </xf>
    <xf numFmtId="3" fontId="20" fillId="0" borderId="24" xfId="5" applyNumberFormat="1" applyFont="1" applyFill="1" applyBorder="1" applyAlignment="1" applyProtection="1">
      <alignment vertical="top"/>
      <protection locked="0"/>
    </xf>
    <xf numFmtId="3" fontId="23" fillId="0" borderId="24" xfId="4" applyNumberFormat="1" applyFont="1" applyFill="1" applyBorder="1" applyAlignment="1" applyProtection="1">
      <alignment vertical="top"/>
      <protection locked="0"/>
    </xf>
    <xf numFmtId="3" fontId="23" fillId="0" borderId="18" xfId="0" applyNumberFormat="1" applyFont="1" applyFill="1" applyBorder="1" applyAlignment="1">
      <alignment wrapText="1"/>
    </xf>
    <xf numFmtId="3" fontId="23" fillId="0" borderId="18" xfId="4" applyNumberFormat="1" applyFont="1" applyFill="1" applyBorder="1" applyAlignment="1" applyProtection="1">
      <alignment horizontal="center"/>
    </xf>
    <xf numFmtId="3" fontId="23" fillId="0" borderId="18" xfId="4" applyNumberFormat="1" applyFont="1" applyFill="1" applyBorder="1" applyAlignment="1" applyProtection="1"/>
    <xf numFmtId="3" fontId="23" fillId="0" borderId="18" xfId="0" applyNumberFormat="1" applyFont="1" applyBorder="1" applyAlignment="1">
      <alignment horizontal="left" vertical="top" wrapText="1"/>
    </xf>
    <xf numFmtId="3" fontId="23" fillId="0" borderId="18" xfId="4" applyNumberFormat="1" applyFont="1" applyFill="1" applyBorder="1" applyAlignment="1" applyProtection="1">
      <alignment horizontal="center" vertical="top" wrapText="1"/>
    </xf>
    <xf numFmtId="3" fontId="23" fillId="0" borderId="18" xfId="4" applyNumberFormat="1" applyFont="1" applyFill="1" applyBorder="1" applyAlignment="1" applyProtection="1">
      <alignment horizontal="right" vertical="top" wrapText="1"/>
    </xf>
    <xf numFmtId="170" fontId="20" fillId="0" borderId="24" xfId="4" applyNumberFormat="1" applyFont="1" applyFill="1" applyBorder="1" applyAlignment="1" applyProtection="1">
      <alignment vertical="top"/>
      <protection locked="0"/>
    </xf>
    <xf numFmtId="3" fontId="19" fillId="0" borderId="39" xfId="0" applyNumberFormat="1" applyFont="1" applyBorder="1" applyAlignment="1" applyProtection="1">
      <alignment horizontal="left" vertical="top" wrapText="1"/>
      <protection locked="0"/>
    </xf>
    <xf numFmtId="3" fontId="20" fillId="8" borderId="38" xfId="0" applyNumberFormat="1" applyFont="1" applyFill="1" applyBorder="1" applyAlignment="1" applyProtection="1">
      <alignment vertical="top" wrapText="1"/>
      <protection locked="0"/>
    </xf>
    <xf numFmtId="3" fontId="22" fillId="8" borderId="38" xfId="0" applyNumberFormat="1" applyFont="1" applyFill="1" applyBorder="1" applyAlignment="1" applyProtection="1">
      <alignment vertical="top" wrapText="1"/>
      <protection locked="0"/>
    </xf>
    <xf numFmtId="3" fontId="20" fillId="8" borderId="43" xfId="0" applyNumberFormat="1" applyFont="1" applyFill="1" applyBorder="1" applyAlignment="1" applyProtection="1">
      <alignment vertical="top" wrapText="1"/>
      <protection locked="0"/>
    </xf>
    <xf numFmtId="3" fontId="19" fillId="0" borderId="31" xfId="0" applyNumberFormat="1" applyFont="1" applyFill="1" applyBorder="1" applyAlignment="1">
      <alignment horizontal="left" vertical="top" wrapText="1"/>
    </xf>
    <xf numFmtId="3" fontId="20" fillId="0" borderId="31" xfId="4" applyNumberFormat="1" applyFont="1" applyFill="1" applyBorder="1" applyAlignment="1" applyProtection="1">
      <alignment horizontal="center" vertical="top"/>
    </xf>
    <xf numFmtId="3" fontId="20" fillId="0" borderId="31" xfId="4" applyNumberFormat="1" applyFont="1" applyFill="1" applyBorder="1" applyAlignment="1" applyProtection="1">
      <alignment horizontal="right" vertical="top"/>
    </xf>
    <xf numFmtId="3" fontId="20" fillId="0" borderId="31" xfId="4" applyNumberFormat="1" applyFont="1" applyFill="1" applyBorder="1" applyAlignment="1" applyProtection="1">
      <alignment horizontal="center" vertical="top" wrapText="1"/>
    </xf>
    <xf numFmtId="3" fontId="23" fillId="0" borderId="18" xfId="0" applyNumberFormat="1" applyFont="1" applyFill="1" applyBorder="1" applyAlignment="1">
      <alignment horizontal="left" vertical="top" wrapText="1"/>
    </xf>
    <xf numFmtId="3" fontId="23" fillId="0" borderId="18" xfId="4" applyNumberFormat="1" applyFont="1" applyFill="1" applyBorder="1" applyAlignment="1" applyProtection="1">
      <alignment horizontal="center" vertical="top"/>
    </xf>
    <xf numFmtId="3" fontId="23" fillId="0" borderId="18" xfId="4" applyNumberFormat="1" applyFont="1" applyFill="1" applyBorder="1" applyAlignment="1" applyProtection="1">
      <alignment horizontal="right" vertical="top"/>
    </xf>
    <xf numFmtId="3" fontId="23" fillId="0" borderId="18" xfId="0" applyNumberFormat="1" applyFont="1" applyBorder="1" applyAlignment="1">
      <alignment wrapText="1"/>
    </xf>
    <xf numFmtId="3" fontId="20" fillId="0" borderId="39" xfId="5" applyNumberFormat="1" applyFont="1" applyFill="1" applyBorder="1" applyAlignment="1" applyProtection="1">
      <alignment horizontal="center" vertical="top"/>
      <protection locked="0"/>
    </xf>
    <xf numFmtId="3" fontId="20" fillId="0" borderId="40" xfId="5" applyNumberFormat="1" applyFont="1" applyFill="1" applyBorder="1" applyAlignment="1" applyProtection="1">
      <alignment vertical="top"/>
      <protection locked="0"/>
    </xf>
    <xf numFmtId="3" fontId="20" fillId="8" borderId="38" xfId="0" applyNumberFormat="1" applyFont="1" applyFill="1" applyBorder="1" applyAlignment="1" applyProtection="1">
      <alignment vertical="top"/>
      <protection locked="0"/>
    </xf>
    <xf numFmtId="3" fontId="22" fillId="8" borderId="38" xfId="0" applyNumberFormat="1" applyFont="1" applyFill="1" applyBorder="1" applyAlignment="1" applyProtection="1">
      <alignment vertical="top"/>
      <protection locked="0"/>
    </xf>
    <xf numFmtId="3" fontId="20" fillId="8" borderId="43" xfId="0" applyNumberFormat="1" applyFont="1" applyFill="1" applyBorder="1" applyAlignment="1" applyProtection="1">
      <alignment vertical="top"/>
      <protection locked="0"/>
    </xf>
    <xf numFmtId="168" fontId="20" fillId="8" borderId="44" xfId="4" applyNumberFormat="1" applyFont="1" applyFill="1" applyBorder="1" applyAlignment="1" applyProtection="1">
      <alignment vertical="top"/>
    </xf>
    <xf numFmtId="3" fontId="3" fillId="2" borderId="14" xfId="0" applyNumberFormat="1" applyFont="1" applyFill="1" applyBorder="1" applyAlignment="1">
      <alignment horizontal="right" vertical="top" wrapText="1"/>
    </xf>
    <xf numFmtId="4" fontId="3" fillId="2" borderId="15" xfId="4" applyNumberFormat="1" applyFont="1" applyFill="1" applyBorder="1" applyAlignment="1" applyProtection="1"/>
    <xf numFmtId="168" fontId="0" fillId="2" borderId="7" xfId="4" applyNumberFormat="1" applyFont="1" applyFill="1" applyBorder="1" applyAlignment="1" applyProtection="1">
      <alignment vertical="top"/>
    </xf>
    <xf numFmtId="168" fontId="20" fillId="2" borderId="7" xfId="4" applyNumberFormat="1" applyFont="1" applyFill="1" applyBorder="1" applyAlignment="1" applyProtection="1">
      <alignment vertical="top"/>
    </xf>
    <xf numFmtId="168" fontId="22" fillId="8" borderId="7" xfId="4" applyNumberFormat="1" applyFont="1" applyFill="1" applyBorder="1" applyAlignment="1" applyProtection="1">
      <alignment vertical="top"/>
    </xf>
    <xf numFmtId="168" fontId="20" fillId="8" borderId="7" xfId="4" applyNumberFormat="1" applyFont="1" applyFill="1" applyBorder="1" applyAlignment="1" applyProtection="1">
      <alignment vertical="top"/>
    </xf>
    <xf numFmtId="3" fontId="3" fillId="0" borderId="0" xfId="0" applyNumberFormat="1" applyFont="1"/>
    <xf numFmtId="171" fontId="0" fillId="0" borderId="0" xfId="0" applyNumberFormat="1"/>
    <xf numFmtId="4" fontId="0" fillId="0" borderId="0" xfId="0" applyNumberFormat="1"/>
    <xf numFmtId="3" fontId="3" fillId="0" borderId="26" xfId="4" applyNumberFormat="1" applyFont="1" applyFill="1" applyBorder="1" applyAlignment="1" applyProtection="1">
      <alignment horizontal="center" vertical="top" wrapText="1"/>
    </xf>
    <xf numFmtId="3" fontId="3" fillId="0" borderId="28" xfId="4" applyNumberFormat="1" applyFont="1" applyFill="1" applyBorder="1" applyAlignment="1" applyProtection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top" wrapText="1"/>
    </xf>
    <xf numFmtId="3" fontId="3" fillId="0" borderId="27" xfId="4" applyNumberFormat="1" applyFont="1" applyFill="1" applyBorder="1" applyAlignment="1" applyProtection="1">
      <alignment horizontal="center" vertical="top" wrapText="1"/>
    </xf>
    <xf numFmtId="3" fontId="24" fillId="0" borderId="18" xfId="0" applyNumberFormat="1" applyFont="1" applyBorder="1" applyAlignment="1" applyProtection="1">
      <alignment horizontal="left" vertical="top" wrapText="1"/>
      <protection locked="0"/>
    </xf>
    <xf numFmtId="3" fontId="0" fillId="0" borderId="36" xfId="0" applyNumberFormat="1" applyFont="1" applyBorder="1" applyAlignment="1" applyProtection="1">
      <alignment vertical="top" wrapText="1"/>
      <protection locked="0"/>
    </xf>
    <xf numFmtId="168" fontId="0" fillId="0" borderId="24" xfId="4" applyNumberFormat="1" applyFont="1" applyFill="1" applyBorder="1" applyAlignment="1" applyProtection="1">
      <alignment vertical="top"/>
      <protection locked="0"/>
    </xf>
    <xf numFmtId="3" fontId="32" fillId="0" borderId="37" xfId="4" applyNumberFormat="1" applyFill="1" applyBorder="1" applyAlignment="1" applyProtection="1">
      <alignment horizontal="center" vertical="top"/>
      <protection locked="0"/>
    </xf>
    <xf numFmtId="4" fontId="32" fillId="0" borderId="2" xfId="4" applyNumberFormat="1" applyFill="1" applyBorder="1" applyAlignment="1" applyProtection="1">
      <alignment vertical="top"/>
      <protection locked="0"/>
    </xf>
    <xf numFmtId="3" fontId="32" fillId="0" borderId="2" xfId="4" applyNumberFormat="1" applyFill="1" applyBorder="1" applyAlignment="1" applyProtection="1">
      <alignment vertical="top"/>
      <protection locked="0"/>
    </xf>
    <xf numFmtId="3" fontId="0" fillId="0" borderId="17" xfId="0" applyNumberFormat="1" applyFont="1" applyBorder="1" applyAlignment="1" applyProtection="1">
      <alignment vertical="top" wrapText="1"/>
      <protection locked="0"/>
    </xf>
    <xf numFmtId="168" fontId="0" fillId="2" borderId="19" xfId="4" applyNumberFormat="1" applyFont="1" applyFill="1" applyBorder="1" applyAlignment="1" applyProtection="1">
      <alignment vertical="top"/>
    </xf>
    <xf numFmtId="3" fontId="0" fillId="0" borderId="17" xfId="0" applyNumberFormat="1" applyBorder="1" applyAlignment="1" applyProtection="1">
      <alignment vertical="top" wrapText="1"/>
      <protection locked="0"/>
    </xf>
    <xf numFmtId="3" fontId="32" fillId="0" borderId="18" xfId="4" applyNumberFormat="1" applyFill="1" applyBorder="1" applyAlignment="1" applyProtection="1">
      <alignment horizontal="center" vertical="top"/>
      <protection locked="0"/>
    </xf>
    <xf numFmtId="3" fontId="32" fillId="0" borderId="24" xfId="4" applyNumberFormat="1" applyFill="1" applyBorder="1" applyAlignment="1" applyProtection="1">
      <alignment vertical="top"/>
      <protection locked="0"/>
    </xf>
    <xf numFmtId="3" fontId="0" fillId="0" borderId="17" xfId="0" applyNumberFormat="1" applyFont="1" applyBorder="1" applyAlignment="1" applyProtection="1">
      <alignment vertical="top"/>
      <protection locked="0"/>
    </xf>
    <xf numFmtId="3" fontId="0" fillId="0" borderId="17" xfId="0" applyNumberFormat="1" applyFont="1" applyFill="1" applyBorder="1" applyAlignment="1" applyProtection="1">
      <alignment vertical="top" wrapText="1"/>
      <protection locked="0"/>
    </xf>
    <xf numFmtId="3" fontId="0" fillId="0" borderId="17" xfId="0" applyNumberFormat="1" applyFill="1" applyBorder="1" applyAlignment="1" applyProtection="1">
      <alignment vertical="top" wrapText="1"/>
      <protection locked="0"/>
    </xf>
    <xf numFmtId="168" fontId="3" fillId="2" borderId="19" xfId="4" applyNumberFormat="1" applyFont="1" applyFill="1" applyBorder="1" applyAlignment="1" applyProtection="1">
      <alignment vertical="top"/>
    </xf>
    <xf numFmtId="3" fontId="26" fillId="0" borderId="17" xfId="0" applyNumberFormat="1" applyFont="1" applyBorder="1" applyAlignment="1" applyProtection="1">
      <alignment vertical="top" wrapText="1"/>
      <protection locked="0"/>
    </xf>
    <xf numFmtId="3" fontId="0" fillId="0" borderId="17" xfId="0" applyNumberFormat="1" applyFont="1" applyBorder="1" applyAlignment="1" applyProtection="1">
      <alignment horizontal="left" vertical="top" wrapText="1"/>
      <protection locked="0"/>
    </xf>
    <xf numFmtId="168" fontId="24" fillId="0" borderId="17" xfId="4" applyNumberFormat="1" applyFont="1" applyFill="1" applyBorder="1" applyAlignment="1" applyProtection="1">
      <alignment horizontal="right" vertical="top" wrapText="1"/>
    </xf>
    <xf numFmtId="3" fontId="26" fillId="0" borderId="18" xfId="0" applyNumberFormat="1" applyFont="1" applyBorder="1" applyAlignment="1">
      <alignment horizontal="left" vertical="top" wrapText="1"/>
    </xf>
    <xf numFmtId="3" fontId="27" fillId="0" borderId="18" xfId="4" applyNumberFormat="1" applyFont="1" applyFill="1" applyBorder="1" applyAlignment="1" applyProtection="1">
      <alignment horizontal="center" vertical="top" wrapText="1"/>
    </xf>
    <xf numFmtId="3" fontId="27" fillId="0" borderId="18" xfId="4" applyNumberFormat="1" applyFont="1" applyFill="1" applyBorder="1" applyAlignment="1" applyProtection="1">
      <alignment horizontal="right" vertical="top" wrapText="1"/>
    </xf>
    <xf numFmtId="3" fontId="26" fillId="0" borderId="36" xfId="0" applyNumberFormat="1" applyFont="1" applyBorder="1" applyAlignment="1" applyProtection="1">
      <alignment vertical="top" wrapText="1"/>
      <protection locked="0"/>
    </xf>
    <xf numFmtId="3" fontId="32" fillId="0" borderId="24" xfId="5" applyNumberFormat="1" applyFill="1" applyBorder="1" applyAlignment="1" applyProtection="1">
      <alignment vertical="top"/>
      <protection locked="0"/>
    </xf>
    <xf numFmtId="3" fontId="27" fillId="0" borderId="18" xfId="4" applyNumberFormat="1" applyFont="1" applyFill="1" applyBorder="1" applyAlignment="1" applyProtection="1">
      <alignment horizontal="center" vertical="top" wrapText="1"/>
      <protection locked="0"/>
    </xf>
    <xf numFmtId="3" fontId="27" fillId="0" borderId="24" xfId="4" applyNumberFormat="1" applyFont="1" applyFill="1" applyBorder="1" applyAlignment="1" applyProtection="1">
      <alignment vertical="top"/>
      <protection locked="0"/>
    </xf>
    <xf numFmtId="3" fontId="27" fillId="0" borderId="18" xfId="0" applyNumberFormat="1" applyFont="1" applyFill="1" applyBorder="1" applyAlignment="1">
      <alignment wrapText="1"/>
    </xf>
    <xf numFmtId="3" fontId="27" fillId="0" borderId="18" xfId="4" applyNumberFormat="1" applyFont="1" applyFill="1" applyBorder="1" applyAlignment="1" applyProtection="1">
      <alignment horizontal="center"/>
    </xf>
    <xf numFmtId="3" fontId="27" fillId="0" borderId="18" xfId="4" applyNumberFormat="1" applyFont="1" applyFill="1" applyBorder="1" applyAlignment="1" applyProtection="1"/>
    <xf numFmtId="3" fontId="27" fillId="0" borderId="18" xfId="0" applyNumberFormat="1" applyFont="1" applyBorder="1" applyAlignment="1">
      <alignment horizontal="left" vertical="top" wrapText="1"/>
    </xf>
    <xf numFmtId="3" fontId="27" fillId="0" borderId="18" xfId="0" applyNumberFormat="1" applyFont="1" applyFill="1" applyBorder="1" applyAlignment="1">
      <alignment horizontal="left" vertical="top" wrapText="1"/>
    </xf>
    <xf numFmtId="3" fontId="27" fillId="0" borderId="18" xfId="4" applyNumberFormat="1" applyFont="1" applyFill="1" applyBorder="1" applyAlignment="1" applyProtection="1">
      <alignment horizontal="center" vertical="top"/>
    </xf>
    <xf numFmtId="3" fontId="27" fillId="0" borderId="18" xfId="4" applyNumberFormat="1" applyFont="1" applyFill="1" applyBorder="1" applyAlignment="1" applyProtection="1">
      <alignment horizontal="right" vertical="top"/>
    </xf>
    <xf numFmtId="3" fontId="0" fillId="0" borderId="18" xfId="0" applyNumberFormat="1" applyFont="1" applyBorder="1" applyAlignment="1">
      <alignment horizontal="left" vertical="top" wrapText="1"/>
    </xf>
    <xf numFmtId="3" fontId="32" fillId="0" borderId="18" xfId="5" applyNumberFormat="1" applyFill="1" applyBorder="1" applyAlignment="1" applyProtection="1">
      <alignment horizontal="center" vertical="top"/>
      <protection locked="0"/>
    </xf>
    <xf numFmtId="168" fontId="0" fillId="0" borderId="18" xfId="4" applyNumberFormat="1" applyFont="1" applyFill="1" applyBorder="1" applyAlignment="1" applyProtection="1">
      <alignment vertical="center"/>
      <protection locked="0"/>
    </xf>
    <xf numFmtId="3" fontId="3" fillId="2" borderId="16" xfId="4" applyNumberFormat="1" applyFont="1" applyFill="1" applyBorder="1" applyAlignment="1" applyProtection="1"/>
    <xf numFmtId="3" fontId="3" fillId="2" borderId="6" xfId="4" applyNumberFormat="1" applyFont="1" applyFill="1" applyBorder="1" applyAlignment="1" applyProtection="1">
      <alignment vertical="top" wrapText="1"/>
    </xf>
    <xf numFmtId="3" fontId="3" fillId="2" borderId="6" xfId="4" applyNumberFormat="1" applyFont="1" applyFill="1" applyBorder="1" applyAlignment="1" applyProtection="1">
      <alignment horizontal="center" vertical="top"/>
    </xf>
    <xf numFmtId="3" fontId="3" fillId="2" borderId="6" xfId="4" applyNumberFormat="1" applyFont="1" applyFill="1" applyBorder="1" applyAlignment="1" applyProtection="1">
      <alignment vertical="top"/>
    </xf>
    <xf numFmtId="3" fontId="3" fillId="2" borderId="5" xfId="4" applyNumberFormat="1" applyFont="1" applyFill="1" applyBorder="1" applyAlignment="1" applyProtection="1">
      <alignment vertical="top"/>
    </xf>
    <xf numFmtId="3" fontId="3" fillId="2" borderId="5" xfId="4" applyNumberFormat="1" applyFont="1" applyFill="1" applyBorder="1" applyAlignment="1" applyProtection="1">
      <alignment vertical="top" wrapText="1"/>
    </xf>
    <xf numFmtId="168" fontId="0" fillId="0" borderId="0" xfId="4" applyNumberFormat="1" applyFont="1" applyFill="1" applyBorder="1" applyAlignment="1" applyProtection="1"/>
    <xf numFmtId="168" fontId="0" fillId="0" borderId="0" xfId="4" applyNumberFormat="1" applyFont="1" applyFill="1" applyBorder="1" applyAlignment="1" applyProtection="1">
      <alignment horizontal="center"/>
    </xf>
    <xf numFmtId="165" fontId="0" fillId="0" borderId="0" xfId="4" applyNumberFormat="1" applyFont="1" applyFill="1" applyBorder="1" applyAlignment="1" applyProtection="1"/>
    <xf numFmtId="0" fontId="18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168" fontId="0" fillId="0" borderId="6" xfId="4" applyNumberFormat="1" applyFont="1" applyFill="1" applyBorder="1" applyAlignment="1" applyProtection="1"/>
    <xf numFmtId="165" fontId="0" fillId="0" borderId="6" xfId="4" applyFont="1" applyFill="1" applyBorder="1" applyAlignment="1" applyProtection="1"/>
    <xf numFmtId="0" fontId="0" fillId="0" borderId="6" xfId="0" applyFont="1" applyFill="1" applyBorder="1" applyAlignment="1">
      <alignment horizontal="left"/>
    </xf>
    <xf numFmtId="168" fontId="0" fillId="0" borderId="6" xfId="4" applyNumberFormat="1" applyFont="1" applyFill="1" applyBorder="1" applyAlignment="1" applyProtection="1">
      <alignment horizontal="center"/>
    </xf>
    <xf numFmtId="165" fontId="0" fillId="0" borderId="6" xfId="4" applyNumberFormat="1" applyFont="1" applyFill="1" applyBorder="1" applyAlignment="1" applyProtection="1">
      <alignment horizontal="left"/>
    </xf>
    <xf numFmtId="168" fontId="0" fillId="0" borderId="6" xfId="4" applyNumberFormat="1" applyFont="1" applyFill="1" applyBorder="1" applyAlignment="1" applyProtection="1">
      <alignment horizontal="left"/>
    </xf>
    <xf numFmtId="165" fontId="0" fillId="0" borderId="7" xfId="4" applyFont="1" applyFill="1" applyBorder="1" applyAlignment="1" applyProtection="1">
      <alignment horizontal="left"/>
    </xf>
    <xf numFmtId="0" fontId="3" fillId="0" borderId="4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wrapText="1"/>
    </xf>
    <xf numFmtId="168" fontId="0" fillId="0" borderId="9" xfId="4" applyNumberFormat="1" applyFont="1" applyFill="1" applyBorder="1" applyAlignment="1" applyProtection="1">
      <alignment wrapText="1"/>
    </xf>
    <xf numFmtId="165" fontId="0" fillId="0" borderId="9" xfId="4" applyFont="1" applyFill="1" applyBorder="1" applyAlignment="1" applyProtection="1">
      <alignment wrapText="1"/>
    </xf>
    <xf numFmtId="168" fontId="0" fillId="0" borderId="9" xfId="4" applyNumberFormat="1" applyFont="1" applyFill="1" applyBorder="1" applyAlignment="1" applyProtection="1">
      <alignment horizontal="center" wrapText="1"/>
    </xf>
    <xf numFmtId="165" fontId="0" fillId="0" borderId="9" xfId="4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8" xfId="0" applyFont="1" applyBorder="1" applyAlignment="1" applyProtection="1">
      <alignment horizontal="left" vertical="top" wrapText="1"/>
      <protection locked="0"/>
    </xf>
    <xf numFmtId="168" fontId="0" fillId="0" borderId="37" xfId="5" applyNumberFormat="1" applyFont="1" applyFill="1" applyBorder="1" applyAlignment="1" applyProtection="1">
      <alignment vertical="top"/>
      <protection locked="0"/>
    </xf>
    <xf numFmtId="168" fontId="0" fillId="0" borderId="2" xfId="5" applyNumberFormat="1" applyFont="1" applyFill="1" applyBorder="1" applyAlignment="1" applyProtection="1">
      <alignment vertical="top"/>
      <protection locked="0"/>
    </xf>
    <xf numFmtId="168" fontId="0" fillId="0" borderId="37" xfId="4" applyNumberFormat="1" applyFont="1" applyFill="1" applyBorder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168" fontId="0" fillId="0" borderId="18" xfId="5" applyNumberFormat="1" applyFont="1" applyFill="1" applyBorder="1" applyAlignment="1" applyProtection="1">
      <alignment vertical="top"/>
      <protection locked="0"/>
    </xf>
    <xf numFmtId="168" fontId="0" fillId="0" borderId="24" xfId="5" applyNumberFormat="1" applyFont="1" applyFill="1" applyBorder="1" applyAlignment="1" applyProtection="1">
      <alignment vertical="top"/>
      <protection locked="0"/>
    </xf>
    <xf numFmtId="168" fontId="0" fillId="0" borderId="18" xfId="4" applyNumberFormat="1" applyFont="1" applyFill="1" applyBorder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168" fontId="0" fillId="0" borderId="17" xfId="0" applyNumberFormat="1" applyFont="1" applyBorder="1" applyAlignment="1">
      <alignment horizontal="left" vertical="top" wrapText="1"/>
    </xf>
    <xf numFmtId="0" fontId="3" fillId="2" borderId="14" xfId="0" applyFont="1" applyFill="1" applyBorder="1" applyAlignment="1">
      <alignment horizontal="right" vertical="top" wrapText="1"/>
    </xf>
    <xf numFmtId="165" fontId="3" fillId="2" borderId="16" xfId="4" applyFont="1" applyFill="1" applyBorder="1" applyAlignment="1" applyProtection="1"/>
    <xf numFmtId="165" fontId="3" fillId="2" borderId="6" xfId="4" applyFont="1" applyFill="1" applyBorder="1" applyAlignment="1" applyProtection="1">
      <alignment vertical="top" wrapText="1"/>
    </xf>
    <xf numFmtId="168" fontId="3" fillId="2" borderId="6" xfId="4" applyNumberFormat="1" applyFont="1" applyFill="1" applyBorder="1" applyAlignment="1" applyProtection="1">
      <alignment vertical="top"/>
    </xf>
    <xf numFmtId="168" fontId="0" fillId="2" borderId="6" xfId="4" applyNumberFormat="1" applyFont="1" applyFill="1" applyBorder="1" applyAlignment="1" applyProtection="1">
      <alignment vertical="top"/>
    </xf>
    <xf numFmtId="165" fontId="3" fillId="2" borderId="5" xfId="4" applyFont="1" applyFill="1" applyBorder="1" applyAlignment="1" applyProtection="1">
      <alignment vertical="top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Border="1" applyAlignment="1" applyProtection="1">
      <alignment vertical="top" wrapText="1"/>
      <protection locked="0"/>
    </xf>
    <xf numFmtId="168" fontId="0" fillId="0" borderId="46" xfId="4" applyNumberFormat="1" applyFont="1" applyFill="1" applyBorder="1" applyAlignment="1" applyProtection="1">
      <alignment vertical="top"/>
      <protection locked="0"/>
    </xf>
    <xf numFmtId="0" fontId="0" fillId="0" borderId="3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168" fontId="32" fillId="0" borderId="24" xfId="5" applyNumberFormat="1" applyFill="1" applyBorder="1" applyAlignment="1" applyProtection="1">
      <alignment vertical="top"/>
      <protection locked="0"/>
    </xf>
    <xf numFmtId="168" fontId="3" fillId="2" borderId="47" xfId="4" applyNumberFormat="1" applyFont="1" applyFill="1" applyBorder="1" applyAlignment="1" applyProtection="1"/>
    <xf numFmtId="168" fontId="3" fillId="2" borderId="26" xfId="4" applyNumberFormat="1" applyFont="1" applyFill="1" applyBorder="1" applyAlignment="1" applyProtection="1"/>
    <xf numFmtId="10" fontId="0" fillId="0" borderId="0" xfId="3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top" wrapText="1"/>
    </xf>
    <xf numFmtId="168" fontId="3" fillId="0" borderId="18" xfId="4" applyNumberFormat="1" applyFont="1" applyFill="1" applyBorder="1" applyAlignment="1" applyProtection="1">
      <alignment horizontal="left" vertical="center" wrapText="1"/>
    </xf>
    <xf numFmtId="10" fontId="3" fillId="0" borderId="19" xfId="3" applyNumberFormat="1" applyFont="1" applyFill="1" applyBorder="1" applyAlignment="1" applyProtection="1">
      <alignment horizontal="right" vertical="center"/>
    </xf>
    <xf numFmtId="165" fontId="0" fillId="0" borderId="0" xfId="0" applyNumberFormat="1" applyProtection="1"/>
    <xf numFmtId="0" fontId="3" fillId="0" borderId="36" xfId="0" applyFont="1" applyFill="1" applyBorder="1" applyAlignment="1" applyProtection="1">
      <alignment horizontal="center" vertical="top" wrapText="1"/>
    </xf>
    <xf numFmtId="10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Protection="1"/>
    <xf numFmtId="0" fontId="3" fillId="0" borderId="0" xfId="0" applyFont="1" applyProtection="1"/>
    <xf numFmtId="0" fontId="3" fillId="0" borderId="45" xfId="0" applyFont="1" applyFill="1" applyBorder="1" applyAlignment="1" applyProtection="1">
      <alignment horizontal="center" vertical="top" wrapText="1"/>
    </xf>
    <xf numFmtId="10" fontId="3" fillId="0" borderId="46" xfId="3" applyNumberFormat="1" applyFont="1" applyFill="1" applyBorder="1" applyAlignment="1" applyProtection="1">
      <alignment horizontal="right"/>
    </xf>
    <xf numFmtId="10" fontId="3" fillId="0" borderId="48" xfId="3" applyNumberFormat="1" applyFont="1" applyFill="1" applyBorder="1" applyAlignment="1" applyProtection="1">
      <alignment horizontal="right" vertical="center"/>
    </xf>
    <xf numFmtId="168" fontId="0" fillId="0" borderId="18" xfId="4" applyNumberFormat="1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top" wrapText="1"/>
    </xf>
    <xf numFmtId="10" fontId="3" fillId="0" borderId="4" xfId="3" applyNumberFormat="1" applyFont="1" applyFill="1" applyBorder="1" applyAlignment="1" applyProtection="1">
      <alignment horizontal="right"/>
    </xf>
    <xf numFmtId="10" fontId="3" fillId="10" borderId="49" xfId="3" applyNumberFormat="1" applyFont="1" applyFill="1" applyBorder="1" applyAlignment="1" applyProtection="1">
      <alignment vertical="center"/>
    </xf>
    <xf numFmtId="0" fontId="3" fillId="10" borderId="17" xfId="0" applyFont="1" applyFill="1" applyBorder="1" applyAlignment="1" applyProtection="1">
      <alignment horizontal="center" vertical="top" wrapText="1"/>
    </xf>
    <xf numFmtId="168" fontId="3" fillId="10" borderId="18" xfId="4" applyNumberFormat="1" applyFont="1" applyFill="1" applyBorder="1" applyAlignment="1" applyProtection="1">
      <alignment vertical="top" wrapText="1"/>
    </xf>
    <xf numFmtId="0" fontId="3" fillId="10" borderId="25" xfId="0" applyFont="1" applyFill="1" applyBorder="1" applyAlignment="1" applyProtection="1">
      <alignment horizontal="center" vertical="top" wrapText="1"/>
    </xf>
    <xf numFmtId="10" fontId="3" fillId="10" borderId="26" xfId="3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Protection="1"/>
    <xf numFmtId="0" fontId="3" fillId="0" borderId="0" xfId="0" applyFont="1" applyFill="1" applyProtection="1"/>
    <xf numFmtId="0" fontId="18" fillId="0" borderId="5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right" vertical="center"/>
    </xf>
    <xf numFmtId="172" fontId="3" fillId="0" borderId="7" xfId="0" applyNumberFormat="1" applyFont="1" applyFill="1" applyBorder="1" applyAlignment="1" applyProtection="1">
      <alignment vertical="center"/>
      <protection locked="0"/>
    </xf>
    <xf numFmtId="0" fontId="3" fillId="11" borderId="14" xfId="0" applyFont="1" applyFill="1" applyBorder="1" applyAlignment="1" applyProtection="1">
      <alignment horizontal="center" vertical="center" wrapText="1"/>
    </xf>
    <xf numFmtId="0" fontId="3" fillId="11" borderId="15" xfId="0" applyFont="1" applyFill="1" applyBorder="1" applyAlignment="1" applyProtection="1">
      <alignment horizontal="center" vertical="center" wrapText="1"/>
    </xf>
    <xf numFmtId="0" fontId="3" fillId="11" borderId="16" xfId="0" applyFont="1" applyFill="1" applyBorder="1" applyAlignment="1" applyProtection="1">
      <alignment horizontal="center" vertical="center" wrapText="1"/>
    </xf>
    <xf numFmtId="0" fontId="3" fillId="9" borderId="17" xfId="0" applyFont="1" applyFill="1" applyBorder="1" applyAlignment="1" applyProtection="1">
      <alignment horizontal="left" vertical="top" wrapText="1"/>
    </xf>
    <xf numFmtId="10" fontId="3" fillId="9" borderId="19" xfId="3" applyNumberFormat="1" applyFont="1" applyFill="1" applyBorder="1" applyAlignment="1" applyProtection="1">
      <alignment horizontal="right" vertical="center"/>
    </xf>
    <xf numFmtId="0" fontId="3" fillId="9" borderId="36" xfId="0" applyFont="1" applyFill="1" applyBorder="1" applyAlignment="1" applyProtection="1">
      <alignment horizontal="center" vertical="top" wrapText="1"/>
    </xf>
    <xf numFmtId="0" fontId="3" fillId="9" borderId="45" xfId="0" applyFont="1" applyFill="1" applyBorder="1" applyAlignment="1" applyProtection="1">
      <alignment horizontal="center" vertical="top" wrapText="1"/>
    </xf>
    <xf numFmtId="10" fontId="3" fillId="9" borderId="46" xfId="3" applyNumberFormat="1" applyFont="1" applyFill="1" applyBorder="1" applyAlignment="1" applyProtection="1">
      <alignment horizontal="right"/>
    </xf>
    <xf numFmtId="10" fontId="3" fillId="9" borderId="48" xfId="3" applyNumberFormat="1" applyFont="1" applyFill="1" applyBorder="1" applyAlignment="1" applyProtection="1">
      <alignment horizontal="right" vertical="center"/>
    </xf>
    <xf numFmtId="168" fontId="0" fillId="0" borderId="0" xfId="0" applyNumberFormat="1" applyProtection="1"/>
    <xf numFmtId="168" fontId="0" fillId="0" borderId="0" xfId="0" applyNumberFormat="1" applyFont="1" applyProtection="1"/>
    <xf numFmtId="0" fontId="18" fillId="0" borderId="5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0" fontId="0" fillId="0" borderId="29" xfId="0" applyNumberFormat="1" applyBorder="1" applyAlignment="1"/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9" xfId="0" applyBorder="1" applyAlignment="1"/>
    <xf numFmtId="0" fontId="12" fillId="0" borderId="51" xfId="0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left" vertical="top"/>
    </xf>
    <xf numFmtId="0" fontId="12" fillId="0" borderId="52" xfId="0" applyFont="1" applyFill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2" fillId="0" borderId="51" xfId="0" applyFont="1" applyFill="1" applyBorder="1" applyAlignment="1">
      <alignment horizontal="left" vertical="top"/>
    </xf>
    <xf numFmtId="0" fontId="12" fillId="0" borderId="53" xfId="0" applyFont="1" applyFill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/>
    <xf numFmtId="0" fontId="0" fillId="0" borderId="53" xfId="0" applyBorder="1"/>
    <xf numFmtId="0" fontId="3" fillId="4" borderId="18" xfId="0" applyFont="1" applyFill="1" applyBorder="1" applyAlignment="1">
      <alignment horizontal="center" vertical="top" wrapText="1"/>
    </xf>
    <xf numFmtId="0" fontId="3" fillId="12" borderId="19" xfId="0" applyFont="1" applyFill="1" applyBorder="1" applyAlignment="1">
      <alignment horizontal="center" vertical="top" wrapText="1"/>
    </xf>
    <xf numFmtId="0" fontId="3" fillId="13" borderId="17" xfId="0" applyFont="1" applyFill="1" applyBorder="1" applyAlignment="1">
      <alignment horizontal="center" vertical="top" wrapText="1"/>
    </xf>
    <xf numFmtId="10" fontId="3" fillId="13" borderId="19" xfId="3" applyNumberFormat="1" applyFont="1" applyFill="1" applyBorder="1" applyAlignment="1" applyProtection="1">
      <alignment horizontal="center" vertical="top" wrapText="1"/>
    </xf>
    <xf numFmtId="0" fontId="3" fillId="13" borderId="18" xfId="0" applyFont="1" applyFill="1" applyBorder="1" applyAlignment="1">
      <alignment horizontal="center" vertical="top" wrapText="1"/>
    </xf>
    <xf numFmtId="0" fontId="3" fillId="13" borderId="19" xfId="0" applyFont="1" applyFill="1" applyBorder="1" applyAlignment="1">
      <alignment horizontal="center" vertical="top" wrapText="1"/>
    </xf>
    <xf numFmtId="0" fontId="3" fillId="13" borderId="24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174" fontId="3" fillId="6" borderId="18" xfId="0" applyNumberFormat="1" applyFont="1" applyFill="1" applyBorder="1" applyAlignment="1">
      <alignment horizontal="center" vertical="top" wrapText="1"/>
    </xf>
    <xf numFmtId="165" fontId="3" fillId="14" borderId="19" xfId="0" applyNumberFormat="1" applyFont="1" applyFill="1" applyBorder="1" applyAlignment="1">
      <alignment horizontal="left" vertical="top"/>
    </xf>
    <xf numFmtId="165" fontId="3" fillId="13" borderId="18" xfId="4" applyFont="1" applyFill="1" applyBorder="1" applyAlignment="1" applyProtection="1">
      <alignment horizontal="center" vertical="top" wrapText="1"/>
    </xf>
    <xf numFmtId="175" fontId="3" fillId="2" borderId="18" xfId="4" applyNumberFormat="1" applyFont="1" applyFill="1" applyBorder="1" applyAlignment="1" applyProtection="1">
      <alignment horizontal="center" vertical="top" wrapText="1"/>
    </xf>
    <xf numFmtId="0" fontId="3" fillId="2" borderId="18" xfId="4" applyNumberFormat="1" applyFont="1" applyFill="1" applyBorder="1" applyAlignment="1" applyProtection="1">
      <alignment horizontal="center" vertical="top" wrapText="1"/>
    </xf>
    <xf numFmtId="0" fontId="3" fillId="2" borderId="18" xfId="0" applyFont="1" applyFill="1" applyBorder="1" applyAlignment="1">
      <alignment horizontal="center" vertical="center"/>
    </xf>
    <xf numFmtId="165" fontId="3" fillId="15" borderId="19" xfId="0" applyNumberFormat="1" applyFont="1" applyFill="1" applyBorder="1" applyAlignment="1">
      <alignment horizontal="center" vertical="center"/>
    </xf>
    <xf numFmtId="165" fontId="3" fillId="2" borderId="54" xfId="4" applyFont="1" applyFill="1" applyBorder="1" applyAlignment="1" applyProtection="1">
      <alignment horizontal="center" vertical="center"/>
    </xf>
    <xf numFmtId="165" fontId="3" fillId="2" borderId="17" xfId="4" applyFont="1" applyFill="1" applyBorder="1" applyAlignment="1" applyProtection="1">
      <alignment horizontal="center" vertical="center"/>
    </xf>
    <xf numFmtId="175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5" applyNumberFormat="1" applyFont="1" applyFill="1" applyBorder="1" applyAlignment="1" applyProtection="1">
      <alignment horizontal="center" vertical="top" wrapText="1"/>
      <protection locked="0"/>
    </xf>
    <xf numFmtId="175" fontId="0" fillId="6" borderId="18" xfId="4" applyNumberFormat="1" applyFont="1" applyFill="1" applyBorder="1" applyAlignment="1" applyProtection="1">
      <alignment horizontal="center" vertical="top" wrapText="1"/>
    </xf>
    <xf numFmtId="0" fontId="3" fillId="6" borderId="18" xfId="0" applyFont="1" applyFill="1" applyBorder="1" applyAlignment="1">
      <alignment horizontal="center" vertical="center"/>
    </xf>
    <xf numFmtId="165" fontId="0" fillId="12" borderId="19" xfId="0" applyNumberFormat="1" applyFont="1" applyFill="1" applyBorder="1" applyAlignment="1">
      <alignment horizontal="center" vertical="center"/>
    </xf>
    <xf numFmtId="165" fontId="32" fillId="11" borderId="54" xfId="4" applyFill="1" applyBorder="1" applyAlignment="1" applyProtection="1">
      <alignment horizontal="center" vertical="center"/>
    </xf>
    <xf numFmtId="165" fontId="32" fillId="11" borderId="17" xfId="4" applyFill="1" applyBorder="1" applyAlignment="1" applyProtection="1">
      <alignment horizontal="center" vertical="center"/>
    </xf>
    <xf numFmtId="165" fontId="32" fillId="2" borderId="19" xfId="4" applyFill="1" applyBorder="1" applyAlignment="1" applyProtection="1">
      <alignment horizontal="center" vertical="center"/>
    </xf>
    <xf numFmtId="175" fontId="0" fillId="0" borderId="18" xfId="0" applyNumberFormat="1" applyFont="1" applyBorder="1" applyAlignment="1" applyProtection="1">
      <alignment horizontal="center" vertical="top" wrapText="1"/>
      <protection locked="0"/>
    </xf>
    <xf numFmtId="165" fontId="0" fillId="0" borderId="0" xfId="0" applyNumberFormat="1" applyFont="1"/>
    <xf numFmtId="165" fontId="32" fillId="11" borderId="55" xfId="4" applyFill="1" applyBorder="1" applyAlignment="1" applyProtection="1">
      <alignment horizontal="center" vertical="center"/>
    </xf>
    <xf numFmtId="165" fontId="32" fillId="11" borderId="25" xfId="4" applyFill="1" applyBorder="1" applyAlignment="1" applyProtection="1">
      <alignment horizontal="center" vertical="center"/>
    </xf>
    <xf numFmtId="165" fontId="32" fillId="2" borderId="27" xfId="4" applyFill="1" applyBorder="1" applyAlignment="1" applyProtection="1">
      <alignment horizontal="center" vertical="center"/>
    </xf>
    <xf numFmtId="175" fontId="0" fillId="0" borderId="26" xfId="0" applyNumberFormat="1" applyFont="1" applyBorder="1" applyAlignment="1" applyProtection="1">
      <alignment horizontal="center" vertical="top" wrapText="1"/>
      <protection locked="0"/>
    </xf>
    <xf numFmtId="0" fontId="0" fillId="0" borderId="26" xfId="5" applyNumberFormat="1" applyFont="1" applyFill="1" applyBorder="1" applyAlignment="1" applyProtection="1">
      <alignment horizontal="center" vertical="top" wrapText="1"/>
      <protection locked="0"/>
    </xf>
    <xf numFmtId="175" fontId="0" fillId="6" borderId="26" xfId="4" applyNumberFormat="1" applyFont="1" applyFill="1" applyBorder="1" applyAlignment="1" applyProtection="1">
      <alignment horizontal="center" vertical="top" wrapText="1"/>
    </xf>
    <xf numFmtId="0" fontId="3" fillId="6" borderId="26" xfId="0" applyFont="1" applyFill="1" applyBorder="1" applyAlignment="1">
      <alignment horizontal="center" vertical="center"/>
    </xf>
    <xf numFmtId="165" fontId="0" fillId="12" borderId="27" xfId="0" applyNumberFormat="1" applyFont="1" applyFill="1" applyBorder="1" applyAlignment="1">
      <alignment horizontal="center" vertical="center"/>
    </xf>
    <xf numFmtId="165" fontId="32" fillId="11" borderId="49" xfId="4" applyFill="1" applyBorder="1" applyAlignment="1" applyProtection="1">
      <alignment horizontal="center" vertical="center"/>
    </xf>
    <xf numFmtId="165" fontId="32" fillId="11" borderId="14" xfId="4" applyFill="1" applyBorder="1" applyAlignment="1" applyProtection="1">
      <alignment horizontal="center" vertical="center"/>
    </xf>
    <xf numFmtId="165" fontId="32" fillId="2" borderId="16" xfId="4" applyFill="1" applyBorder="1" applyAlignment="1" applyProtection="1">
      <alignment horizontal="center" vertical="center"/>
    </xf>
    <xf numFmtId="165" fontId="0" fillId="0" borderId="0" xfId="0" applyNumberFormat="1"/>
    <xf numFmtId="169" fontId="0" fillId="0" borderId="0" xfId="0" applyNumberFormat="1"/>
    <xf numFmtId="0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18" fillId="0" borderId="50" xfId="0" applyFont="1" applyBorder="1" applyAlignment="1" applyProtection="1">
      <alignment vertical="center" wrapText="1"/>
    </xf>
    <xf numFmtId="0" fontId="0" fillId="0" borderId="9" xfId="0" applyBorder="1" applyProtection="1"/>
    <xf numFmtId="0" fontId="0" fillId="0" borderId="29" xfId="0" applyBorder="1" applyProtection="1"/>
    <xf numFmtId="0" fontId="3" fillId="11" borderId="2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12" borderId="25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0" fontId="3" fillId="12" borderId="27" xfId="0" applyFont="1" applyFill="1" applyBorder="1" applyAlignment="1" applyProtection="1">
      <alignment horizontal="center"/>
    </xf>
    <xf numFmtId="168" fontId="0" fillId="0" borderId="0" xfId="0" applyNumberFormat="1" applyAlignment="1" applyProtection="1">
      <alignment vertical="top"/>
    </xf>
    <xf numFmtId="168" fontId="0" fillId="0" borderId="15" xfId="4" applyNumberFormat="1" applyFont="1" applyFill="1" applyBorder="1" applyAlignment="1" applyProtection="1">
      <alignment horizontal="center"/>
    </xf>
    <xf numFmtId="168" fontId="0" fillId="0" borderId="49" xfId="4" applyNumberFormat="1" applyFont="1" applyFill="1" applyBorder="1" applyAlignment="1" applyProtection="1">
      <alignment horizontal="center"/>
    </xf>
    <xf numFmtId="165" fontId="3" fillId="0" borderId="56" xfId="0" applyNumberFormat="1" applyFon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vertical="top"/>
    </xf>
    <xf numFmtId="0" fontId="0" fillId="0" borderId="0" xfId="0" applyFill="1" applyProtection="1"/>
    <xf numFmtId="168" fontId="3" fillId="0" borderId="0" xfId="0" applyNumberFormat="1" applyFont="1" applyAlignment="1" applyProtection="1">
      <alignment vertical="top"/>
    </xf>
    <xf numFmtId="168" fontId="0" fillId="15" borderId="18" xfId="4" applyNumberFormat="1" applyFont="1" applyFill="1" applyBorder="1" applyAlignment="1" applyProtection="1">
      <alignment vertical="center"/>
    </xf>
    <xf numFmtId="168" fontId="0" fillId="15" borderId="19" xfId="4" applyNumberFormat="1" applyFont="1" applyFill="1" applyBorder="1" applyAlignment="1" applyProtection="1">
      <alignment vertical="center"/>
    </xf>
    <xf numFmtId="168" fontId="0" fillId="15" borderId="57" xfId="4" applyNumberFormat="1" applyFont="1" applyFill="1" applyBorder="1" applyAlignment="1" applyProtection="1">
      <alignment vertical="center"/>
    </xf>
    <xf numFmtId="176" fontId="3" fillId="0" borderId="0" xfId="0" applyNumberFormat="1" applyFont="1" applyAlignment="1" applyProtection="1">
      <alignment vertical="top"/>
    </xf>
    <xf numFmtId="0" fontId="0" fillId="0" borderId="17" xfId="0" applyFont="1" applyBorder="1" applyAlignment="1" applyProtection="1">
      <alignment horizontal="left" vertical="top" wrapText="1"/>
    </xf>
    <xf numFmtId="168" fontId="0" fillId="4" borderId="18" xfId="4" applyNumberFormat="1" applyFont="1" applyFill="1" applyBorder="1" applyAlignment="1" applyProtection="1">
      <alignment vertical="center"/>
    </xf>
    <xf numFmtId="168" fontId="0" fillId="2" borderId="18" xfId="4" applyNumberFormat="1" applyFont="1" applyFill="1" applyBorder="1" applyAlignment="1" applyProtection="1">
      <alignment vertical="center"/>
    </xf>
    <xf numFmtId="168" fontId="0" fillId="2" borderId="19" xfId="4" applyNumberFormat="1" applyFont="1" applyFill="1" applyBorder="1" applyAlignment="1" applyProtection="1">
      <alignment vertical="center"/>
    </xf>
    <xf numFmtId="168" fontId="3" fillId="0" borderId="0" xfId="0" applyNumberFormat="1" applyFont="1" applyProtection="1"/>
    <xf numFmtId="168" fontId="0" fillId="0" borderId="0" xfId="4" applyNumberFormat="1" applyFont="1" applyFill="1" applyBorder="1" applyAlignment="1" applyProtection="1">
      <alignment vertical="top"/>
    </xf>
    <xf numFmtId="165" fontId="0" fillId="0" borderId="0" xfId="4" applyFont="1" applyFill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168" fontId="0" fillId="6" borderId="19" xfId="4" applyNumberFormat="1" applyFont="1" applyFill="1" applyBorder="1" applyAlignment="1" applyProtection="1">
      <alignment vertical="center"/>
    </xf>
    <xf numFmtId="165" fontId="3" fillId="6" borderId="58" xfId="4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168" fontId="0" fillId="4" borderId="26" xfId="4" applyNumberFormat="1" applyFont="1" applyFill="1" applyBorder="1" applyAlignment="1" applyProtection="1">
      <alignment vertical="center"/>
    </xf>
    <xf numFmtId="168" fontId="0" fillId="0" borderId="26" xfId="4" applyNumberFormat="1" applyFont="1" applyFill="1" applyBorder="1" applyAlignment="1" applyProtection="1">
      <alignment vertical="center"/>
      <protection locked="0"/>
    </xf>
    <xf numFmtId="168" fontId="0" fillId="2" borderId="26" xfId="4" applyNumberFormat="1" applyFont="1" applyFill="1" applyBorder="1" applyAlignment="1" applyProtection="1">
      <alignment vertical="center"/>
    </xf>
    <xf numFmtId="168" fontId="0" fillId="2" borderId="27" xfId="4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0" fillId="0" borderId="0" xfId="0" applyFont="1" applyBorder="1" applyProtection="1"/>
    <xf numFmtId="0" fontId="18" fillId="4" borderId="7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2" fillId="4" borderId="59" xfId="0" applyFont="1" applyFill="1" applyBorder="1" applyAlignment="1" applyProtection="1">
      <alignment horizontal="center" vertical="center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top" wrapText="1"/>
    </xf>
    <xf numFmtId="168" fontId="3" fillId="2" borderId="12" xfId="4" applyNumberFormat="1" applyFont="1" applyFill="1" applyBorder="1" applyAlignment="1" applyProtection="1">
      <alignment horizontal="right" vertical="center" wrapText="1"/>
    </xf>
    <xf numFmtId="168" fontId="3" fillId="2" borderId="13" xfId="4" applyNumberFormat="1" applyFont="1" applyFill="1" applyBorder="1" applyAlignment="1" applyProtection="1">
      <alignment horizontal="right" vertical="center" wrapText="1"/>
    </xf>
    <xf numFmtId="4" fontId="26" fillId="0" borderId="60" xfId="3" applyNumberFormat="1" applyFont="1" applyFill="1" applyBorder="1" applyAlignment="1" applyProtection="1">
      <alignment horizontal="right" vertical="center"/>
    </xf>
    <xf numFmtId="4" fontId="26" fillId="0" borderId="19" xfId="0" applyNumberFormat="1" applyFont="1" applyBorder="1" applyProtection="1"/>
    <xf numFmtId="168" fontId="0" fillId="2" borderId="24" xfId="4" applyNumberFormat="1" applyFont="1" applyFill="1" applyBorder="1" applyAlignment="1" applyProtection="1">
      <alignment horizontal="right" vertical="center" wrapText="1"/>
    </xf>
    <xf numFmtId="168" fontId="0" fillId="2" borderId="18" xfId="4" applyNumberFormat="1" applyFont="1" applyFill="1" applyBorder="1" applyAlignment="1" applyProtection="1">
      <alignment horizontal="right" vertical="center" wrapText="1"/>
    </xf>
    <xf numFmtId="168" fontId="0" fillId="2" borderId="44" xfId="4" applyNumberFormat="1" applyFont="1" applyFill="1" applyBorder="1" applyAlignment="1" applyProtection="1">
      <alignment horizontal="right" vertical="center" wrapText="1"/>
    </xf>
    <xf numFmtId="4" fontId="26" fillId="0" borderId="60" xfId="0" applyNumberFormat="1" applyFont="1" applyBorder="1" applyAlignment="1" applyProtection="1">
      <alignment horizontal="right" vertical="center"/>
    </xf>
    <xf numFmtId="168" fontId="0" fillId="2" borderId="19" xfId="4" applyNumberFormat="1" applyFont="1" applyFill="1" applyBorder="1" applyAlignment="1" applyProtection="1">
      <alignment horizontal="right" vertical="center" wrapText="1"/>
    </xf>
    <xf numFmtId="0" fontId="0" fillId="0" borderId="20" xfId="0" applyFont="1" applyBorder="1" applyAlignment="1" applyProtection="1">
      <alignment horizontal="left" vertical="top" wrapText="1"/>
    </xf>
    <xf numFmtId="168" fontId="0" fillId="2" borderId="3" xfId="4" applyNumberFormat="1" applyFont="1" applyFill="1" applyBorder="1" applyAlignment="1" applyProtection="1">
      <alignment horizontal="right" vertical="center" wrapText="1"/>
    </xf>
    <xf numFmtId="168" fontId="0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horizontal="left" vertical="top" wrapText="1"/>
    </xf>
    <xf numFmtId="168" fontId="3" fillId="2" borderId="18" xfId="4" applyNumberFormat="1" applyFont="1" applyFill="1" applyBorder="1" applyAlignment="1" applyProtection="1">
      <alignment horizontal="right" vertical="center" wrapText="1"/>
    </xf>
    <xf numFmtId="168" fontId="3" fillId="2" borderId="19" xfId="4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center" vertical="top" wrapText="1"/>
    </xf>
    <xf numFmtId="168" fontId="12" fillId="0" borderId="60" xfId="0" applyNumberFormat="1" applyFont="1" applyBorder="1" applyAlignment="1" applyProtection="1">
      <alignment horizontal="right" vertical="center"/>
    </xf>
    <xf numFmtId="168" fontId="12" fillId="0" borderId="19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36" xfId="0" applyFont="1" applyBorder="1" applyAlignment="1" applyProtection="1">
      <alignment horizontal="center" vertical="top" wrapText="1"/>
    </xf>
    <xf numFmtId="9" fontId="3" fillId="2" borderId="37" xfId="3" applyFont="1" applyFill="1" applyBorder="1" applyAlignment="1" applyProtection="1">
      <alignment horizontal="center" vertical="center" wrapText="1"/>
    </xf>
    <xf numFmtId="177" fontId="3" fillId="2" borderId="44" xfId="4" applyNumberFormat="1" applyFont="1" applyFill="1" applyBorder="1" applyAlignment="1" applyProtection="1">
      <alignment horizontal="right" vertical="center" wrapText="1"/>
    </xf>
    <xf numFmtId="4" fontId="12" fillId="0" borderId="60" xfId="0" applyNumberFormat="1" applyFont="1" applyBorder="1" applyAlignment="1" applyProtection="1">
      <alignment horizontal="right" vertical="center"/>
    </xf>
    <xf numFmtId="4" fontId="12" fillId="0" borderId="19" xfId="0" applyNumberFormat="1" applyFont="1" applyBorder="1" applyProtection="1"/>
    <xf numFmtId="0" fontId="3" fillId="2" borderId="17" xfId="0" applyFont="1" applyFill="1" applyBorder="1" applyAlignment="1" applyProtection="1">
      <alignment horizontal="left" vertical="top" wrapText="1"/>
    </xf>
    <xf numFmtId="0" fontId="3" fillId="2" borderId="25" xfId="0" applyFont="1" applyFill="1" applyBorder="1" applyAlignment="1" applyProtection="1">
      <alignment horizontal="left" vertical="top" wrapText="1"/>
    </xf>
    <xf numFmtId="177" fontId="3" fillId="2" borderId="26" xfId="4" applyNumberFormat="1" applyFont="1" applyFill="1" applyBorder="1" applyAlignment="1" applyProtection="1">
      <alignment horizontal="right" vertical="center" wrapText="1"/>
      <protection locked="0"/>
    </xf>
    <xf numFmtId="177" fontId="3" fillId="2" borderId="26" xfId="4" applyNumberFormat="1" applyFont="1" applyFill="1" applyBorder="1" applyAlignment="1" applyProtection="1">
      <alignment horizontal="right" vertical="center" wrapText="1"/>
    </xf>
    <xf numFmtId="165" fontId="0" fillId="2" borderId="27" xfId="4" applyFont="1" applyFill="1" applyBorder="1" applyAlignment="1" applyProtection="1">
      <alignment horizontal="right" vertical="center" wrapText="1"/>
    </xf>
    <xf numFmtId="168" fontId="3" fillId="2" borderId="37" xfId="4" applyNumberFormat="1" applyFont="1" applyFill="1" applyBorder="1" applyAlignment="1" applyProtection="1">
      <alignment horizontal="right" vertical="center" wrapText="1"/>
    </xf>
    <xf numFmtId="168" fontId="3" fillId="2" borderId="44" xfId="4" applyNumberFormat="1" applyFont="1" applyFill="1" applyBorder="1" applyAlignment="1" applyProtection="1">
      <alignment horizontal="right" vertical="center" wrapText="1"/>
    </xf>
    <xf numFmtId="168" fontId="26" fillId="0" borderId="0" xfId="0" applyNumberFormat="1" applyFont="1" applyBorder="1" applyProtection="1"/>
    <xf numFmtId="0" fontId="26" fillId="0" borderId="0" xfId="0" applyFont="1" applyBorder="1" applyProtection="1"/>
    <xf numFmtId="0" fontId="3" fillId="0" borderId="25" xfId="0" applyFont="1" applyFill="1" applyBorder="1" applyAlignment="1" applyProtection="1">
      <alignment horizontal="center" vertical="top" wrapText="1"/>
    </xf>
    <xf numFmtId="9" fontId="3" fillId="2" borderId="26" xfId="3" applyNumberFormat="1" applyFont="1" applyFill="1" applyBorder="1" applyAlignment="1" applyProtection="1">
      <alignment horizontal="center" vertical="center"/>
    </xf>
    <xf numFmtId="9" fontId="3" fillId="2" borderId="27" xfId="3" applyNumberFormat="1" applyFont="1" applyFill="1" applyBorder="1" applyAlignment="1" applyProtection="1">
      <alignment horizontal="center" vertical="center"/>
    </xf>
    <xf numFmtId="4" fontId="26" fillId="0" borderId="61" xfId="0" applyNumberFormat="1" applyFont="1" applyBorder="1" applyAlignment="1" applyProtection="1">
      <alignment horizontal="right" vertical="center"/>
    </xf>
    <xf numFmtId="4" fontId="26" fillId="0" borderId="27" xfId="0" applyNumberFormat="1" applyFont="1" applyBorder="1" applyProtection="1"/>
    <xf numFmtId="0" fontId="12" fillId="0" borderId="5" xfId="0" applyFont="1" applyFill="1" applyBorder="1" applyAlignment="1" applyProtection="1">
      <alignment vertical="center"/>
    </xf>
    <xf numFmtId="0" fontId="12" fillId="11" borderId="6" xfId="0" applyFont="1" applyFill="1" applyBorder="1" applyAlignment="1" applyProtection="1">
      <alignment horizontal="center" vertical="center"/>
    </xf>
    <xf numFmtId="0" fontId="12" fillId="11" borderId="6" xfId="0" applyFont="1" applyFill="1" applyBorder="1" applyAlignment="1" applyProtection="1">
      <alignment horizontal="right" vertical="center"/>
    </xf>
    <xf numFmtId="172" fontId="12" fillId="11" borderId="7" xfId="0" applyNumberFormat="1" applyFont="1" applyFill="1" applyBorder="1" applyAlignment="1" applyProtection="1">
      <alignment horizontal="left" vertical="center"/>
    </xf>
    <xf numFmtId="0" fontId="12" fillId="11" borderId="23" xfId="0" applyFont="1" applyFill="1" applyBorder="1" applyAlignment="1" applyProtection="1">
      <alignment horizontal="center"/>
    </xf>
    <xf numFmtId="0" fontId="3" fillId="11" borderId="52" xfId="0" applyFont="1" applyFill="1" applyBorder="1" applyAlignment="1" applyProtection="1">
      <alignment horizontal="center"/>
    </xf>
    <xf numFmtId="0" fontId="12" fillId="11" borderId="53" xfId="0" applyFont="1" applyFill="1" applyBorder="1" applyAlignment="1" applyProtection="1">
      <alignment horizontal="center"/>
    </xf>
    <xf numFmtId="0" fontId="3" fillId="11" borderId="56" xfId="0" applyFont="1" applyFill="1" applyBorder="1" applyAlignment="1" applyProtection="1">
      <alignment horizontal="center" vertical="top" wrapText="1"/>
    </xf>
    <xf numFmtId="0" fontId="3" fillId="11" borderId="21" xfId="0" applyFont="1" applyFill="1" applyBorder="1" applyAlignment="1" applyProtection="1">
      <alignment horizontal="center" vertical="top" wrapText="1"/>
    </xf>
    <xf numFmtId="0" fontId="3" fillId="11" borderId="22" xfId="0" applyFont="1" applyFill="1" applyBorder="1" applyAlignment="1" applyProtection="1">
      <alignment horizontal="center" vertical="top" wrapText="1"/>
    </xf>
    <xf numFmtId="178" fontId="32" fillId="0" borderId="0" xfId="4" applyNumberFormat="1" applyFill="1" applyBorder="1" applyAlignment="1" applyProtection="1"/>
    <xf numFmtId="168" fontId="3" fillId="2" borderId="24" xfId="4" applyNumberFormat="1" applyFont="1" applyFill="1" applyBorder="1" applyAlignment="1" applyProtection="1">
      <alignment horizontal="right" vertical="center" wrapText="1"/>
    </xf>
    <xf numFmtId="176" fontId="0" fillId="0" borderId="0" xfId="0" applyNumberFormat="1" applyFont="1" applyProtection="1"/>
    <xf numFmtId="168" fontId="3" fillId="2" borderId="22" xfId="4" applyNumberFormat="1" applyFont="1" applyFill="1" applyBorder="1" applyAlignment="1" applyProtection="1">
      <alignment horizontal="right" vertical="center" wrapText="1"/>
    </xf>
    <xf numFmtId="168" fontId="3" fillId="0" borderId="18" xfId="4" applyNumberFormat="1" applyFont="1" applyFill="1" applyBorder="1" applyAlignment="1" applyProtection="1">
      <alignment horizontal="right" vertical="center" wrapText="1"/>
      <protection locked="0"/>
    </xf>
    <xf numFmtId="168" fontId="3" fillId="0" borderId="24" xfId="4" applyNumberFormat="1" applyFont="1" applyFill="1" applyBorder="1" applyAlignment="1" applyProtection="1">
      <alignment horizontal="right" vertical="center" wrapText="1"/>
      <protection locked="0"/>
    </xf>
    <xf numFmtId="170" fontId="3" fillId="2" borderId="19" xfId="4" applyNumberFormat="1" applyFont="1" applyFill="1" applyBorder="1" applyAlignment="1" applyProtection="1">
      <alignment horizontal="right" vertical="center" wrapText="1"/>
    </xf>
    <xf numFmtId="0" fontId="3" fillId="2" borderId="45" xfId="0" applyFont="1" applyFill="1" applyBorder="1" applyAlignment="1" applyProtection="1">
      <alignment horizontal="left" vertical="top" wrapText="1"/>
    </xf>
    <xf numFmtId="170" fontId="0" fillId="2" borderId="46" xfId="4" applyNumberFormat="1" applyFont="1" applyFill="1" applyBorder="1" applyAlignment="1" applyProtection="1">
      <alignment horizontal="right" vertical="center" wrapText="1"/>
    </xf>
    <xf numFmtId="170" fontId="0" fillId="2" borderId="4" xfId="4" applyNumberFormat="1" applyFont="1" applyFill="1" applyBorder="1" applyAlignment="1" applyProtection="1">
      <alignment horizontal="right" vertical="center" wrapText="1"/>
    </xf>
    <xf numFmtId="170" fontId="0" fillId="2" borderId="48" xfId="4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165" fontId="32" fillId="0" borderId="9" xfId="4" applyFill="1" applyBorder="1" applyAlignment="1" applyProtection="1"/>
    <xf numFmtId="165" fontId="0" fillId="0" borderId="0" xfId="0" applyNumberFormat="1" applyFont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168" fontId="3" fillId="0" borderId="0" xfId="3" applyNumberFormat="1" applyFont="1" applyFill="1" applyBorder="1" applyAlignment="1" applyProtection="1">
      <alignment horizontal="center" vertical="center"/>
    </xf>
    <xf numFmtId="168" fontId="0" fillId="0" borderId="0" xfId="0" applyNumberFormat="1" applyFont="1" applyBorder="1" applyProtection="1"/>
    <xf numFmtId="2" fontId="0" fillId="0" borderId="0" xfId="0" applyNumberFormat="1" applyFont="1" applyBorder="1" applyProtection="1"/>
    <xf numFmtId="0" fontId="0" fillId="0" borderId="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68" fontId="3" fillId="0" borderId="15" xfId="4" applyNumberFormat="1" applyFont="1" applyFill="1" applyBorder="1" applyAlignment="1" applyProtection="1">
      <alignment horizontal="left" vertical="center"/>
    </xf>
    <xf numFmtId="168" fontId="3" fillId="0" borderId="16" xfId="4" applyNumberFormat="1" applyFont="1" applyFill="1" applyBorder="1" applyAlignment="1" applyProtection="1">
      <alignment horizontal="left" vertical="center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 applyProtection="1">
      <alignment horizontal="left" vertical="top" wrapText="1"/>
      <protection locked="0"/>
    </xf>
    <xf numFmtId="175" fontId="0" fillId="0" borderId="37" xfId="0" applyNumberFormat="1" applyFont="1" applyBorder="1" applyAlignment="1" applyProtection="1">
      <alignment horizontal="center" vertical="center" wrapText="1"/>
      <protection locked="0"/>
    </xf>
    <xf numFmtId="168" fontId="0" fillId="0" borderId="37" xfId="4" applyNumberFormat="1" applyFont="1" applyFill="1" applyBorder="1" applyAlignment="1" applyProtection="1">
      <alignment horizontal="center" vertical="center" wrapText="1"/>
      <protection locked="0"/>
    </xf>
    <xf numFmtId="168" fontId="0" fillId="0" borderId="37" xfId="4" applyNumberFormat="1" applyFont="1" applyFill="1" applyBorder="1" applyAlignment="1" applyProtection="1">
      <alignment horizontal="right" vertical="center" wrapText="1"/>
      <protection locked="0"/>
    </xf>
    <xf numFmtId="168" fontId="0" fillId="0" borderId="44" xfId="4" applyNumberFormat="1" applyFont="1" applyFill="1" applyBorder="1" applyAlignment="1" applyProtection="1">
      <alignment horizontal="right" vertical="center" wrapText="1"/>
      <protection locked="0"/>
    </xf>
    <xf numFmtId="175" fontId="0" fillId="0" borderId="18" xfId="0" applyNumberFormat="1" applyFont="1" applyBorder="1" applyAlignment="1" applyProtection="1">
      <alignment horizontal="center" vertical="center" wrapText="1"/>
      <protection locked="0"/>
    </xf>
    <xf numFmtId="168" fontId="0" fillId="0" borderId="18" xfId="4" applyNumberFormat="1" applyFont="1" applyFill="1" applyBorder="1" applyAlignment="1" applyProtection="1">
      <alignment horizontal="center" vertical="center" wrapText="1"/>
      <protection locked="0"/>
    </xf>
    <xf numFmtId="168" fontId="0" fillId="0" borderId="18" xfId="4" applyNumberFormat="1" applyFont="1" applyFill="1" applyBorder="1" applyAlignment="1" applyProtection="1">
      <alignment horizontal="right" vertical="center" wrapText="1"/>
      <protection locked="0"/>
    </xf>
    <xf numFmtId="168" fontId="0" fillId="0" borderId="19" xfId="4" applyNumberFormat="1" applyFont="1" applyFill="1" applyBorder="1" applyAlignment="1" applyProtection="1">
      <alignment horizontal="right" vertical="center" wrapText="1"/>
      <protection locked="0"/>
    </xf>
    <xf numFmtId="0" fontId="29" fillId="0" borderId="6" xfId="0" applyFont="1" applyFill="1" applyBorder="1" applyAlignment="1">
      <alignment wrapText="1"/>
    </xf>
    <xf numFmtId="168" fontId="3" fillId="0" borderId="15" xfId="4" applyNumberFormat="1" applyFont="1" applyFill="1" applyBorder="1" applyAlignment="1" applyProtection="1">
      <alignment wrapText="1"/>
    </xf>
    <xf numFmtId="168" fontId="3" fillId="0" borderId="16" xfId="4" applyNumberFormat="1" applyFont="1" applyFill="1" applyBorder="1" applyAlignment="1" applyProtection="1">
      <alignment wrapText="1"/>
    </xf>
    <xf numFmtId="0" fontId="0" fillId="0" borderId="62" xfId="0" applyFont="1" applyBorder="1" applyAlignment="1">
      <alignment horizontal="left" vertical="top" wrapText="1"/>
    </xf>
    <xf numFmtId="0" fontId="0" fillId="0" borderId="63" xfId="0" applyFont="1" applyBorder="1" applyAlignment="1" applyProtection="1">
      <alignment horizontal="left" vertical="top" wrapText="1"/>
      <protection locked="0"/>
    </xf>
    <xf numFmtId="175" fontId="0" fillId="0" borderId="63" xfId="0" applyNumberFormat="1" applyFont="1" applyBorder="1" applyAlignment="1" applyProtection="1">
      <alignment horizontal="center" vertical="center" wrapText="1"/>
      <protection locked="0"/>
    </xf>
    <xf numFmtId="168" fontId="0" fillId="0" borderId="63" xfId="4" applyNumberFormat="1" applyFont="1" applyFill="1" applyBorder="1" applyAlignment="1" applyProtection="1">
      <alignment horizontal="center" vertical="center" wrapText="1"/>
      <protection locked="0"/>
    </xf>
    <xf numFmtId="168" fontId="0" fillId="0" borderId="63" xfId="4" applyNumberFormat="1" applyFont="1" applyFill="1" applyBorder="1" applyAlignment="1" applyProtection="1">
      <alignment horizontal="right" vertical="center" wrapText="1"/>
      <protection locked="0"/>
    </xf>
    <xf numFmtId="168" fontId="0" fillId="0" borderId="64" xfId="4" applyNumberFormat="1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168" fontId="0" fillId="2" borderId="15" xfId="4" applyNumberFormat="1" applyFont="1" applyFill="1" applyBorder="1" applyAlignment="1" applyProtection="1">
      <alignment horizontal="center" vertical="center" wrapText="1"/>
    </xf>
    <xf numFmtId="168" fontId="3" fillId="2" borderId="15" xfId="4" applyNumberFormat="1" applyFont="1" applyFill="1" applyBorder="1" applyAlignment="1" applyProtection="1">
      <alignment horizontal="center" vertical="center" wrapText="1"/>
    </xf>
    <xf numFmtId="168" fontId="0" fillId="2" borderId="16" xfId="4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Protection="1">
      <protection locked="0"/>
    </xf>
    <xf numFmtId="3" fontId="32" fillId="0" borderId="6" xfId="4" applyNumberFormat="1" applyFont="1" applyFill="1" applyBorder="1" applyAlignment="1" applyProtection="1">
      <alignment horizontal="center"/>
    </xf>
    <xf numFmtId="3" fontId="32" fillId="0" borderId="6" xfId="4" applyNumberFormat="1" applyFont="1" applyFill="1" applyBorder="1" applyAlignment="1" applyProtection="1"/>
    <xf numFmtId="3" fontId="32" fillId="0" borderId="6" xfId="4" applyNumberFormat="1" applyFont="1" applyFill="1" applyBorder="1" applyAlignment="1" applyProtection="1">
      <alignment horizontal="left"/>
    </xf>
    <xf numFmtId="165" fontId="32" fillId="0" borderId="6" xfId="4" applyFont="1" applyFill="1" applyBorder="1" applyAlignment="1" applyProtection="1">
      <alignment horizontal="left"/>
    </xf>
    <xf numFmtId="3" fontId="32" fillId="0" borderId="6" xfId="4" applyNumberFormat="1" applyFont="1" applyFill="1" applyBorder="1" applyAlignment="1" applyProtection="1">
      <alignment horizontal="center" wrapText="1"/>
    </xf>
    <xf numFmtId="3" fontId="32" fillId="0" borderId="6" xfId="4" applyNumberFormat="1" applyFont="1" applyFill="1" applyBorder="1" applyAlignment="1" applyProtection="1">
      <alignment wrapText="1"/>
    </xf>
    <xf numFmtId="165" fontId="32" fillId="0" borderId="6" xfId="4" applyFont="1" applyFill="1" applyBorder="1" applyAlignment="1" applyProtection="1">
      <alignment wrapText="1"/>
    </xf>
    <xf numFmtId="3" fontId="32" fillId="0" borderId="9" xfId="4" applyNumberFormat="1" applyFont="1" applyFill="1" applyBorder="1" applyAlignment="1" applyProtection="1">
      <alignment horizontal="center" wrapText="1"/>
    </xf>
    <xf numFmtId="3" fontId="32" fillId="0" borderId="9" xfId="4" applyNumberFormat="1" applyFont="1" applyFill="1" applyBorder="1" applyAlignment="1" applyProtection="1">
      <alignment wrapText="1"/>
    </xf>
    <xf numFmtId="165" fontId="32" fillId="0" borderId="29" xfId="4" applyFont="1" applyFill="1" applyBorder="1" applyAlignment="1" applyProtection="1">
      <alignment wrapText="1"/>
    </xf>
    <xf numFmtId="168" fontId="32" fillId="0" borderId="37" xfId="4" applyNumberFormat="1" applyFont="1" applyFill="1" applyBorder="1" applyAlignment="1" applyProtection="1">
      <alignment horizontal="center" vertical="top"/>
      <protection locked="0"/>
    </xf>
    <xf numFmtId="168" fontId="32" fillId="0" borderId="24" xfId="4" applyNumberFormat="1" applyFont="1" applyFill="1" applyBorder="1" applyAlignment="1" applyProtection="1">
      <alignment vertical="top"/>
      <protection locked="0"/>
    </xf>
    <xf numFmtId="168" fontId="32" fillId="2" borderId="44" xfId="4" applyNumberFormat="1" applyFont="1" applyFill="1" applyBorder="1" applyAlignment="1" applyProtection="1">
      <alignment vertical="top"/>
    </xf>
    <xf numFmtId="168" fontId="32" fillId="0" borderId="2" xfId="4" applyNumberFormat="1" applyFont="1" applyFill="1" applyBorder="1" applyAlignment="1" applyProtection="1">
      <alignment vertical="top"/>
      <protection locked="0"/>
    </xf>
    <xf numFmtId="3" fontId="32" fillId="0" borderId="37" xfId="4" applyNumberFormat="1" applyFont="1" applyFill="1" applyBorder="1" applyAlignment="1" applyProtection="1">
      <alignment horizontal="center" vertical="top"/>
      <protection locked="0"/>
    </xf>
    <xf numFmtId="3" fontId="32" fillId="0" borderId="2" xfId="4" applyNumberFormat="1" applyFont="1" applyFill="1" applyBorder="1" applyAlignment="1" applyProtection="1">
      <alignment vertical="top"/>
      <protection locked="0"/>
    </xf>
    <xf numFmtId="168" fontId="32" fillId="0" borderId="18" xfId="4" applyNumberFormat="1" applyFont="1" applyFill="1" applyBorder="1" applyAlignment="1" applyProtection="1">
      <alignment horizontal="center" vertical="top"/>
      <protection locked="0"/>
    </xf>
    <xf numFmtId="168" fontId="32" fillId="2" borderId="19" xfId="4" applyNumberFormat="1" applyFont="1" applyFill="1" applyBorder="1" applyAlignment="1" applyProtection="1">
      <alignment vertical="top"/>
    </xf>
    <xf numFmtId="3" fontId="32" fillId="0" borderId="18" xfId="4" applyNumberFormat="1" applyFont="1" applyFill="1" applyBorder="1" applyAlignment="1" applyProtection="1">
      <alignment horizontal="center" vertical="top"/>
      <protection locked="0"/>
    </xf>
    <xf numFmtId="3" fontId="32" fillId="0" borderId="24" xfId="4" applyNumberFormat="1" applyFont="1" applyFill="1" applyBorder="1" applyAlignment="1" applyProtection="1">
      <alignment vertical="top"/>
      <protection locked="0"/>
    </xf>
    <xf numFmtId="168" fontId="32" fillId="0" borderId="24" xfId="4" applyNumberFormat="1" applyFont="1" applyFill="1" applyBorder="1" applyAlignment="1" applyProtection="1">
      <alignment horizontal="center" vertical="top"/>
      <protection locked="0"/>
    </xf>
    <xf numFmtId="168" fontId="32" fillId="2" borderId="19" xfId="4" applyNumberFormat="1" applyFont="1" applyFill="1" applyBorder="1" applyAlignment="1" applyProtection="1">
      <alignment horizontal="right" vertical="top"/>
    </xf>
    <xf numFmtId="3" fontId="32" fillId="0" borderId="24" xfId="5" applyNumberFormat="1" applyFont="1" applyFill="1" applyBorder="1" applyAlignment="1" applyProtection="1">
      <alignment vertical="top"/>
      <protection locked="0"/>
    </xf>
    <xf numFmtId="170" fontId="32" fillId="0" borderId="18" xfId="4" applyNumberFormat="1" applyFont="1" applyFill="1" applyBorder="1" applyAlignment="1" applyProtection="1">
      <alignment horizontal="center" vertical="top"/>
      <protection locked="0"/>
    </xf>
    <xf numFmtId="170" fontId="32" fillId="0" borderId="24" xfId="4" applyNumberFormat="1" applyFont="1" applyFill="1" applyBorder="1" applyAlignment="1" applyProtection="1">
      <alignment vertical="top"/>
      <protection locked="0"/>
    </xf>
    <xf numFmtId="3" fontId="32" fillId="0" borderId="18" xfId="5" applyNumberFormat="1" applyFont="1" applyFill="1" applyBorder="1" applyAlignment="1" applyProtection="1">
      <alignment horizontal="center" vertical="top"/>
      <protection locked="0"/>
    </xf>
    <xf numFmtId="3" fontId="32" fillId="0" borderId="18" xfId="4" applyNumberFormat="1" applyFont="1" applyFill="1" applyBorder="1" applyAlignment="1" applyProtection="1">
      <alignment horizontal="center" vertical="top" wrapText="1"/>
    </xf>
    <xf numFmtId="168" fontId="32" fillId="2" borderId="7" xfId="4" applyNumberFormat="1" applyFont="1" applyFill="1" applyBorder="1" applyAlignment="1" applyProtection="1">
      <alignment vertical="top"/>
    </xf>
    <xf numFmtId="3" fontId="32" fillId="0" borderId="0" xfId="4" applyNumberFormat="1" applyFont="1" applyFill="1" applyBorder="1" applyAlignment="1" applyProtection="1">
      <alignment horizontal="center"/>
    </xf>
    <xf numFmtId="3" fontId="32" fillId="0" borderId="0" xfId="4" applyNumberFormat="1" applyFont="1" applyFill="1" applyBorder="1" applyAlignment="1" applyProtection="1"/>
    <xf numFmtId="165" fontId="32" fillId="0" borderId="0" xfId="4" applyFont="1" applyFill="1" applyBorder="1" applyAlignment="1" applyProtection="1"/>
    <xf numFmtId="0" fontId="15" fillId="0" borderId="17" xfId="0" applyFont="1" applyFill="1" applyBorder="1" applyAlignment="1">
      <alignment vertical="center" wrapText="1"/>
    </xf>
    <xf numFmtId="0" fontId="15" fillId="0" borderId="17" xfId="1" applyNumberFormat="1" applyFont="1" applyFill="1" applyBorder="1" applyAlignment="1" applyProtection="1">
      <alignment vertical="center" wrapText="1"/>
    </xf>
    <xf numFmtId="3" fontId="19" fillId="9" borderId="39" xfId="0" applyNumberFormat="1" applyFont="1" applyFill="1" applyBorder="1" applyAlignment="1" applyProtection="1">
      <alignment horizontal="left" vertical="top" wrapText="1"/>
      <protection locked="0"/>
    </xf>
    <xf numFmtId="4" fontId="3" fillId="2" borderId="63" xfId="4" applyNumberFormat="1" applyFont="1" applyFill="1" applyBorder="1" applyAlignment="1" applyProtection="1"/>
    <xf numFmtId="3" fontId="33" fillId="0" borderId="38" xfId="0" applyNumberFormat="1" applyFont="1" applyBorder="1" applyAlignment="1" applyProtection="1">
      <alignment vertical="top"/>
      <protection locked="0"/>
    </xf>
    <xf numFmtId="3" fontId="19" fillId="0" borderId="65" xfId="0" applyNumberFormat="1" applyFont="1" applyBorder="1" applyAlignment="1" applyProtection="1">
      <alignment horizontal="left" vertical="top" wrapText="1"/>
      <protection locked="0"/>
    </xf>
    <xf numFmtId="3" fontId="33" fillId="0" borderId="17" xfId="0" applyNumberFormat="1" applyFont="1" applyBorder="1" applyAlignment="1" applyProtection="1">
      <alignment vertical="top"/>
      <protection locked="0"/>
    </xf>
    <xf numFmtId="168" fontId="20" fillId="8" borderId="66" xfId="4" applyNumberFormat="1" applyFont="1" applyFill="1" applyBorder="1" applyAlignment="1" applyProtection="1">
      <alignment vertical="top"/>
    </xf>
    <xf numFmtId="3" fontId="20" fillId="0" borderId="37" xfId="4" applyNumberFormat="1" applyFont="1" applyFill="1" applyBorder="1" applyAlignment="1" applyProtection="1">
      <alignment horizontal="center" vertical="top" wrapText="1"/>
    </xf>
    <xf numFmtId="3" fontId="20" fillId="0" borderId="37" xfId="0" applyNumberFormat="1" applyFont="1" applyBorder="1" applyAlignment="1">
      <alignment horizontal="left" vertical="top" wrapText="1"/>
    </xf>
    <xf numFmtId="3" fontId="20" fillId="0" borderId="37" xfId="4" applyNumberFormat="1" applyFont="1" applyFill="1" applyBorder="1" applyAlignment="1" applyProtection="1">
      <alignment horizontal="right" vertical="top"/>
    </xf>
    <xf numFmtId="3" fontId="20" fillId="0" borderId="37" xfId="4" applyNumberFormat="1" applyFont="1" applyFill="1" applyBorder="1" applyAlignment="1" applyProtection="1">
      <alignment horizontal="center" vertical="top"/>
    </xf>
    <xf numFmtId="3" fontId="19" fillId="0" borderId="37" xfId="0" applyNumberFormat="1" applyFont="1" applyFill="1" applyBorder="1" applyAlignment="1">
      <alignment horizontal="left" vertical="top" wrapText="1"/>
    </xf>
    <xf numFmtId="3" fontId="33" fillId="0" borderId="36" xfId="0" applyNumberFormat="1" applyFont="1" applyBorder="1" applyAlignment="1" applyProtection="1">
      <alignment vertical="top" wrapText="1"/>
      <protection locked="0"/>
    </xf>
    <xf numFmtId="3" fontId="20" fillId="0" borderId="2" xfId="5" applyNumberFormat="1" applyFont="1" applyFill="1" applyBorder="1" applyAlignment="1" applyProtection="1">
      <alignment vertical="top"/>
      <protection locked="0"/>
    </xf>
    <xf numFmtId="3" fontId="33" fillId="0" borderId="30" xfId="0" applyNumberFormat="1" applyFont="1" applyBorder="1" applyAlignment="1" applyProtection="1">
      <alignment vertical="top" wrapText="1"/>
      <protection locked="0"/>
    </xf>
    <xf numFmtId="3" fontId="33" fillId="0" borderId="38" xfId="0" applyNumberFormat="1" applyFont="1" applyFill="1" applyBorder="1" applyAlignment="1" applyProtection="1">
      <alignment vertical="top" wrapText="1"/>
      <protection locked="0"/>
    </xf>
    <xf numFmtId="3" fontId="33" fillId="0" borderId="17" xfId="0" applyNumberFormat="1" applyFont="1" applyBorder="1" applyAlignment="1" applyProtection="1">
      <alignment vertical="top" wrapText="1"/>
      <protection locked="0"/>
    </xf>
    <xf numFmtId="3" fontId="33" fillId="0" borderId="17" xfId="0" applyNumberFormat="1" applyFont="1" applyBorder="1" applyAlignment="1" applyProtection="1">
      <alignment horizontal="left" vertical="center" wrapText="1"/>
      <protection locked="0"/>
    </xf>
    <xf numFmtId="3" fontId="33" fillId="0" borderId="38" xfId="0" applyNumberFormat="1" applyFont="1" applyBorder="1" applyAlignment="1" applyProtection="1">
      <alignment horizontal="left" vertical="top" wrapText="1"/>
      <protection locked="0"/>
    </xf>
    <xf numFmtId="3" fontId="19" fillId="9" borderId="67" xfId="0" applyNumberFormat="1" applyFont="1" applyFill="1" applyBorder="1" applyAlignment="1" applyProtection="1">
      <alignment horizontal="left" vertical="top" wrapText="1"/>
      <protection locked="0"/>
    </xf>
    <xf numFmtId="3" fontId="11" fillId="0" borderId="68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11" fillId="0" borderId="65" xfId="0" applyNumberFormat="1" applyFont="1" applyFill="1" applyBorder="1" applyAlignment="1">
      <alignment horizontal="left" vertical="top" wrapText="1"/>
    </xf>
    <xf numFmtId="3" fontId="24" fillId="0" borderId="68" xfId="0" applyNumberFormat="1" applyFont="1" applyFill="1" applyBorder="1" applyAlignment="1">
      <alignment horizontal="left" vertical="center" wrapText="1"/>
    </xf>
    <xf numFmtId="3" fontId="11" fillId="0" borderId="68" xfId="0" applyNumberFormat="1" applyFont="1" applyFill="1" applyBorder="1" applyAlignment="1">
      <alignment horizontal="left" vertical="center"/>
    </xf>
    <xf numFmtId="3" fontId="3" fillId="4" borderId="48" xfId="4" applyNumberFormat="1" applyFont="1" applyFill="1" applyBorder="1" applyAlignment="1" applyProtection="1">
      <alignment horizontal="center" vertical="top" wrapText="1"/>
    </xf>
    <xf numFmtId="3" fontId="3" fillId="4" borderId="46" xfId="4" applyNumberFormat="1" applyFont="1" applyFill="1" applyBorder="1" applyAlignment="1" applyProtection="1">
      <alignment horizontal="center" vertical="top" wrapText="1"/>
    </xf>
    <xf numFmtId="3" fontId="3" fillId="4" borderId="45" xfId="0" applyNumberFormat="1" applyFont="1" applyFill="1" applyBorder="1" applyAlignment="1">
      <alignment horizontal="center" vertical="top" wrapText="1"/>
    </xf>
    <xf numFmtId="3" fontId="3" fillId="4" borderId="4" xfId="4" applyNumberFormat="1" applyFont="1" applyFill="1" applyBorder="1" applyAlignment="1" applyProtection="1">
      <alignment horizontal="center" vertical="top" wrapText="1"/>
    </xf>
    <xf numFmtId="3" fontId="3" fillId="4" borderId="4" xfId="0" applyNumberFormat="1" applyFont="1" applyFill="1" applyBorder="1" applyAlignment="1">
      <alignment horizontal="center" vertical="top" wrapText="1"/>
    </xf>
    <xf numFmtId="170" fontId="33" fillId="0" borderId="24" xfId="4" applyNumberFormat="1" applyFont="1" applyFill="1" applyBorder="1" applyAlignment="1" applyProtection="1">
      <alignment vertical="top"/>
      <protection locked="0"/>
    </xf>
    <xf numFmtId="3" fontId="20" fillId="0" borderId="36" xfId="0" applyNumberFormat="1" applyFont="1" applyBorder="1" applyAlignment="1" applyProtection="1">
      <alignment vertical="top"/>
      <protection locked="0"/>
    </xf>
    <xf numFmtId="3" fontId="20" fillId="0" borderId="69" xfId="0" applyNumberFormat="1" applyFont="1" applyBorder="1" applyAlignment="1" applyProtection="1">
      <alignment vertical="top" wrapText="1"/>
      <protection locked="0"/>
    </xf>
    <xf numFmtId="168" fontId="22" fillId="8" borderId="65" xfId="4" applyNumberFormat="1" applyFont="1" applyFill="1" applyBorder="1" applyAlignment="1" applyProtection="1">
      <alignment vertical="top"/>
    </xf>
    <xf numFmtId="3" fontId="32" fillId="0" borderId="65" xfId="4" applyNumberFormat="1" applyFont="1" applyFill="1" applyBorder="1" applyAlignment="1" applyProtection="1"/>
    <xf numFmtId="3" fontId="20" fillId="0" borderId="65" xfId="4" applyNumberFormat="1" applyFont="1" applyFill="1" applyBorder="1" applyAlignment="1" applyProtection="1">
      <alignment horizontal="center" vertical="top"/>
      <protection locked="0"/>
    </xf>
    <xf numFmtId="3" fontId="0" fillId="0" borderId="65" xfId="0" applyNumberFormat="1" applyBorder="1"/>
    <xf numFmtId="168" fontId="20" fillId="8" borderId="24" xfId="4" applyNumberFormat="1" applyFont="1" applyFill="1" applyBorder="1" applyAlignment="1" applyProtection="1">
      <alignment vertical="top"/>
    </xf>
    <xf numFmtId="168" fontId="20" fillId="16" borderId="24" xfId="4" applyNumberFormat="1" applyFont="1" applyFill="1" applyBorder="1" applyAlignment="1" applyProtection="1">
      <alignment horizontal="center" vertical="top"/>
      <protection locked="0"/>
    </xf>
    <xf numFmtId="168" fontId="20" fillId="16" borderId="18" xfId="4" applyNumberFormat="1" applyFont="1" applyFill="1" applyBorder="1" applyAlignment="1" applyProtection="1">
      <alignment horizontal="center" vertical="top"/>
      <protection locked="0"/>
    </xf>
    <xf numFmtId="3" fontId="19" fillId="17" borderId="39" xfId="0" applyNumberFormat="1" applyFont="1" applyFill="1" applyBorder="1" applyAlignment="1" applyProtection="1">
      <alignment horizontal="left" vertical="top" wrapText="1"/>
      <protection locked="0"/>
    </xf>
    <xf numFmtId="3" fontId="19" fillId="16" borderId="17" xfId="0" applyNumberFormat="1" applyFont="1" applyFill="1" applyBorder="1" applyAlignment="1" applyProtection="1">
      <alignment vertical="top" wrapText="1"/>
      <protection locked="0"/>
    </xf>
    <xf numFmtId="3" fontId="20" fillId="0" borderId="70" xfId="0" applyNumberFormat="1" applyFont="1" applyBorder="1" applyAlignment="1" applyProtection="1">
      <alignment vertical="top" wrapText="1"/>
      <protection locked="0"/>
    </xf>
    <xf numFmtId="168" fontId="20" fillId="8" borderId="65" xfId="4" applyNumberFormat="1" applyFont="1" applyFill="1" applyBorder="1" applyAlignment="1" applyProtection="1">
      <alignment vertical="top"/>
    </xf>
    <xf numFmtId="3" fontId="20" fillId="0" borderId="65" xfId="4" applyNumberFormat="1" applyFont="1" applyFill="1" applyBorder="1" applyAlignment="1" applyProtection="1">
      <alignment vertical="top"/>
      <protection locked="0"/>
    </xf>
    <xf numFmtId="3" fontId="20" fillId="0" borderId="65" xfId="0" applyNumberFormat="1" applyFont="1" applyBorder="1" applyAlignment="1" applyProtection="1">
      <alignment vertical="top"/>
      <protection locked="0"/>
    </xf>
    <xf numFmtId="168" fontId="20" fillId="8" borderId="32" xfId="4" applyNumberFormat="1" applyFont="1" applyFill="1" applyBorder="1" applyAlignment="1" applyProtection="1">
      <alignment vertical="top"/>
    </xf>
    <xf numFmtId="168" fontId="20" fillId="8" borderId="48" xfId="4" applyNumberFormat="1" applyFont="1" applyFill="1" applyBorder="1" applyAlignment="1" applyProtection="1">
      <alignment vertical="top"/>
    </xf>
    <xf numFmtId="3" fontId="20" fillId="0" borderId="4" xfId="4" applyNumberFormat="1" applyFont="1" applyFill="1" applyBorder="1" applyAlignment="1" applyProtection="1">
      <alignment vertical="top"/>
      <protection locked="0"/>
    </xf>
    <xf numFmtId="3" fontId="20" fillId="0" borderId="46" xfId="4" applyNumberFormat="1" applyFont="1" applyFill="1" applyBorder="1" applyAlignment="1" applyProtection="1">
      <alignment horizontal="center" vertical="top"/>
      <protection locked="0"/>
    </xf>
    <xf numFmtId="3" fontId="20" fillId="0" borderId="45" xfId="0" applyNumberFormat="1" applyFont="1" applyBorder="1" applyAlignment="1" applyProtection="1">
      <alignment vertical="top"/>
      <protection locked="0"/>
    </xf>
    <xf numFmtId="0" fontId="0" fillId="0" borderId="71" xfId="0" applyBorder="1" applyAlignment="1"/>
    <xf numFmtId="3" fontId="19" fillId="0" borderId="72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/>
    <xf numFmtId="3" fontId="0" fillId="0" borderId="0" xfId="0" applyNumberFormat="1" applyFill="1"/>
    <xf numFmtId="3" fontId="3" fillId="0" borderId="65" xfId="4" applyNumberFormat="1" applyFont="1" applyFill="1" applyBorder="1" applyAlignment="1" applyProtection="1">
      <alignment horizontal="center" vertical="top" wrapText="1"/>
    </xf>
    <xf numFmtId="3" fontId="3" fillId="0" borderId="65" xfId="0" applyNumberFormat="1" applyFont="1" applyFill="1" applyBorder="1" applyAlignment="1">
      <alignment horizontal="center" vertical="top" wrapText="1"/>
    </xf>
    <xf numFmtId="3" fontId="11" fillId="0" borderId="65" xfId="4" applyNumberFormat="1" applyFont="1" applyFill="1" applyBorder="1" applyAlignment="1" applyProtection="1">
      <alignment horizontal="left" vertical="top" wrapText="1"/>
    </xf>
    <xf numFmtId="3" fontId="32" fillId="0" borderId="65" xfId="4" applyNumberFormat="1" applyFont="1" applyFill="1" applyBorder="1" applyAlignment="1" applyProtection="1">
      <alignment horizontal="center" vertical="top" wrapText="1"/>
    </xf>
    <xf numFmtId="3" fontId="11" fillId="0" borderId="65" xfId="0" applyNumberFormat="1" applyFont="1" applyFill="1" applyBorder="1" applyAlignment="1">
      <alignment horizontal="left" vertical="center" wrapText="1"/>
    </xf>
    <xf numFmtId="3" fontId="11" fillId="0" borderId="65" xfId="4" applyNumberFormat="1" applyFont="1" applyFill="1" applyBorder="1" applyAlignment="1" applyProtection="1">
      <alignment horizontal="center" vertical="top" wrapText="1"/>
    </xf>
    <xf numFmtId="3" fontId="11" fillId="0" borderId="65" xfId="0" applyNumberFormat="1" applyFont="1" applyFill="1" applyBorder="1" applyAlignment="1">
      <alignment horizontal="center" vertical="top" wrapText="1"/>
    </xf>
    <xf numFmtId="3" fontId="34" fillId="0" borderId="65" xfId="0" applyNumberFormat="1" applyFont="1" applyFill="1" applyBorder="1" applyAlignment="1">
      <alignment horizontal="left" vertical="top" wrapText="1"/>
    </xf>
    <xf numFmtId="3" fontId="0" fillId="0" borderId="65" xfId="0" applyNumberFormat="1" applyFill="1" applyBorder="1"/>
    <xf numFmtId="3" fontId="3" fillId="0" borderId="3" xfId="4" applyNumberFormat="1" applyFont="1" applyFill="1" applyBorder="1" applyAlignment="1" applyProtection="1">
      <alignment horizontal="center" vertical="top" wrapText="1"/>
    </xf>
    <xf numFmtId="3" fontId="3" fillId="0" borderId="56" xfId="4" applyNumberFormat="1" applyFont="1" applyFill="1" applyBorder="1" applyAlignment="1" applyProtection="1">
      <alignment horizontal="center" vertical="top" wrapText="1"/>
    </xf>
    <xf numFmtId="3" fontId="24" fillId="0" borderId="36" xfId="0" applyNumberFormat="1" applyFont="1" applyBorder="1" applyAlignment="1" applyProtection="1">
      <alignment horizontal="left" vertical="center" wrapText="1"/>
      <protection locked="0"/>
    </xf>
    <xf numFmtId="3" fontId="32" fillId="0" borderId="18" xfId="4" applyNumberFormat="1" applyFont="1" applyFill="1" applyBorder="1" applyAlignment="1" applyProtection="1">
      <alignment horizontal="right" vertical="top" wrapText="1"/>
    </xf>
    <xf numFmtId="3" fontId="32" fillId="0" borderId="18" xfId="0" applyNumberFormat="1" applyFont="1" applyBorder="1" applyAlignment="1">
      <alignment horizontal="left" vertical="top" wrapText="1"/>
    </xf>
    <xf numFmtId="3" fontId="24" fillId="0" borderId="17" xfId="0" applyNumberFormat="1" applyFont="1" applyBorder="1" applyAlignment="1" applyProtection="1">
      <alignment vertical="top"/>
      <protection locked="0"/>
    </xf>
    <xf numFmtId="3" fontId="24" fillId="0" borderId="18" xfId="0" applyNumberFormat="1" applyFont="1" applyBorder="1" applyAlignment="1" applyProtection="1">
      <alignment horizontal="left" vertical="center" wrapText="1"/>
      <protection locked="0"/>
    </xf>
    <xf numFmtId="3" fontId="19" fillId="9" borderId="18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left" vertical="top" wrapText="1"/>
      <protection locked="0"/>
    </xf>
    <xf numFmtId="3" fontId="0" fillId="0" borderId="17" xfId="0" applyNumberFormat="1" applyBorder="1" applyAlignment="1" applyProtection="1">
      <alignment vertical="top"/>
      <protection locked="0"/>
    </xf>
    <xf numFmtId="3" fontId="0" fillId="0" borderId="69" xfId="0" applyNumberFormat="1" applyFont="1" applyBorder="1" applyAlignment="1" applyProtection="1">
      <alignment vertical="top" wrapText="1"/>
      <protection locked="0"/>
    </xf>
    <xf numFmtId="165" fontId="32" fillId="0" borderId="65" xfId="4" applyFont="1" applyFill="1" applyBorder="1" applyAlignment="1" applyProtection="1"/>
    <xf numFmtId="3" fontId="32" fillId="0" borderId="24" xfId="4" applyNumberFormat="1" applyFill="1" applyBorder="1" applyAlignment="1" applyProtection="1">
      <alignment horizontal="center" vertical="top"/>
      <protection locked="0"/>
    </xf>
    <xf numFmtId="3" fontId="0" fillId="0" borderId="36" xfId="0" applyNumberFormat="1" applyBorder="1" applyAlignment="1" applyProtection="1">
      <alignment horizontal="left" vertical="center" wrapText="1"/>
      <protection locked="0"/>
    </xf>
    <xf numFmtId="3" fontId="19" fillId="9" borderId="37" xfId="0" applyNumberFormat="1" applyFont="1" applyFill="1" applyBorder="1" applyAlignment="1" applyProtection="1">
      <alignment horizontal="left" vertical="center" wrapText="1"/>
      <protection locked="0"/>
    </xf>
    <xf numFmtId="168" fontId="3" fillId="2" borderId="48" xfId="4" applyNumberFormat="1" applyFont="1" applyFill="1" applyBorder="1" applyAlignment="1" applyProtection="1">
      <alignment vertical="top"/>
    </xf>
    <xf numFmtId="3" fontId="32" fillId="0" borderId="4" xfId="4" applyNumberFormat="1" applyFill="1" applyBorder="1" applyAlignment="1" applyProtection="1">
      <alignment vertical="top"/>
      <protection locked="0"/>
    </xf>
    <xf numFmtId="0" fontId="0" fillId="7" borderId="60" xfId="0" applyFont="1" applyFill="1" applyBorder="1" applyAlignment="1">
      <alignment vertical="center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3" fillId="7" borderId="65" xfId="0" applyFont="1" applyFill="1" applyBorder="1" applyAlignment="1">
      <alignment vertical="center" wrapText="1"/>
    </xf>
    <xf numFmtId="3" fontId="15" fillId="2" borderId="17" xfId="0" applyNumberFormat="1" applyFont="1" applyFill="1" applyBorder="1" applyAlignment="1">
      <alignment vertical="top" wrapText="1"/>
    </xf>
    <xf numFmtId="3" fontId="15" fillId="7" borderId="73" xfId="0" applyNumberFormat="1" applyFont="1" applyFill="1" applyBorder="1" applyAlignment="1">
      <alignment vertical="top" wrapText="1"/>
    </xf>
    <xf numFmtId="3" fontId="15" fillId="7" borderId="17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 applyProtection="1">
      <alignment horizontal="left" vertical="top" wrapText="1"/>
    </xf>
    <xf numFmtId="168" fontId="3" fillId="0" borderId="18" xfId="4" applyNumberFormat="1" applyFont="1" applyFill="1" applyBorder="1" applyAlignment="1" applyProtection="1">
      <alignment horizontal="right" vertical="center" wrapText="1"/>
    </xf>
    <xf numFmtId="168" fontId="3" fillId="0" borderId="37" xfId="4" applyNumberFormat="1" applyFont="1" applyFill="1" applyBorder="1" applyAlignment="1" applyProtection="1">
      <alignment horizontal="right" vertical="center" wrapText="1"/>
    </xf>
    <xf numFmtId="3" fontId="3" fillId="9" borderId="17" xfId="0" applyNumberFormat="1" applyFont="1" applyFill="1" applyBorder="1" applyAlignment="1" applyProtection="1">
      <alignment horizontal="left" vertical="top" wrapText="1"/>
    </xf>
    <xf numFmtId="168" fontId="3" fillId="9" borderId="18" xfId="4" applyNumberFormat="1" applyFont="1" applyFill="1" applyBorder="1" applyAlignment="1" applyProtection="1">
      <alignment horizontal="right" vertical="center" wrapText="1"/>
    </xf>
    <xf numFmtId="168" fontId="3" fillId="9" borderId="37" xfId="4" applyNumberFormat="1" applyFont="1" applyFill="1" applyBorder="1" applyAlignment="1" applyProtection="1">
      <alignment horizontal="right" vertical="center" wrapText="1"/>
    </xf>
    <xf numFmtId="3" fontId="20" fillId="8" borderId="38" xfId="0" applyNumberFormat="1" applyFont="1" applyFill="1" applyBorder="1" applyAlignment="1" applyProtection="1">
      <alignment horizontal="right" vertical="top" wrapText="1"/>
      <protection locked="0"/>
    </xf>
    <xf numFmtId="3" fontId="3" fillId="9" borderId="45" xfId="0" applyNumberFormat="1" applyFont="1" applyFill="1" applyBorder="1" applyAlignment="1">
      <alignment horizontal="center" vertical="top" wrapText="1"/>
    </xf>
    <xf numFmtId="3" fontId="3" fillId="9" borderId="46" xfId="4" applyNumberFormat="1" applyFont="1" applyFill="1" applyBorder="1" applyAlignment="1" applyProtection="1">
      <alignment horizontal="center" vertical="top" wrapText="1"/>
    </xf>
    <xf numFmtId="3" fontId="3" fillId="9" borderId="4" xfId="4" applyNumberFormat="1" applyFont="1" applyFill="1" applyBorder="1" applyAlignment="1" applyProtection="1">
      <alignment horizontal="center" vertical="top" wrapText="1"/>
    </xf>
    <xf numFmtId="3" fontId="3" fillId="18" borderId="4" xfId="0" applyNumberFormat="1" applyFont="1" applyFill="1" applyBorder="1" applyAlignment="1">
      <alignment horizontal="center" vertical="top" wrapText="1"/>
    </xf>
    <xf numFmtId="3" fontId="3" fillId="19" borderId="4" xfId="0" applyNumberFormat="1" applyFont="1" applyFill="1" applyBorder="1" applyAlignment="1">
      <alignment horizontal="center" vertical="top" wrapText="1"/>
    </xf>
    <xf numFmtId="3" fontId="3" fillId="20" borderId="4" xfId="4" applyNumberFormat="1" applyFont="1" applyFill="1" applyBorder="1" applyAlignment="1" applyProtection="1">
      <alignment horizontal="center" vertical="top" wrapText="1"/>
    </xf>
    <xf numFmtId="3" fontId="3" fillId="21" borderId="4" xfId="4" applyNumberFormat="1" applyFont="1" applyFill="1" applyBorder="1" applyAlignment="1" applyProtection="1">
      <alignment horizontal="center" vertical="top" wrapText="1"/>
    </xf>
    <xf numFmtId="3" fontId="3" fillId="19" borderId="4" xfId="4" applyNumberFormat="1" applyFont="1" applyFill="1" applyBorder="1" applyAlignment="1" applyProtection="1">
      <alignment horizontal="center" vertical="top" wrapText="1"/>
    </xf>
    <xf numFmtId="3" fontId="3" fillId="20" borderId="45" xfId="0" applyNumberFormat="1" applyFont="1" applyFill="1" applyBorder="1" applyAlignment="1">
      <alignment horizontal="center" vertical="top" wrapText="1"/>
    </xf>
    <xf numFmtId="3" fontId="3" fillId="20" borderId="46" xfId="4" applyNumberFormat="1" applyFont="1" applyFill="1" applyBorder="1" applyAlignment="1" applyProtection="1">
      <alignment horizontal="center" vertical="top" wrapText="1"/>
    </xf>
    <xf numFmtId="3" fontId="3" fillId="21" borderId="48" xfId="4" applyNumberFormat="1" applyFont="1" applyFill="1" applyBorder="1" applyAlignment="1" applyProtection="1">
      <alignment horizontal="center" vertical="top" wrapText="1"/>
    </xf>
    <xf numFmtId="3" fontId="0" fillId="20" borderId="17" xfId="0" applyNumberFormat="1" applyFont="1" applyFill="1" applyBorder="1" applyAlignment="1" applyProtection="1">
      <alignment vertical="top" wrapText="1"/>
      <protection locked="0"/>
    </xf>
    <xf numFmtId="168" fontId="32" fillId="20" borderId="18" xfId="4" applyNumberFormat="1" applyFont="1" applyFill="1" applyBorder="1" applyAlignment="1" applyProtection="1">
      <alignment horizontal="center" vertical="top"/>
      <protection locked="0"/>
    </xf>
    <xf numFmtId="168" fontId="32" fillId="20" borderId="24" xfId="4" applyNumberFormat="1" applyFont="1" applyFill="1" applyBorder="1" applyAlignment="1" applyProtection="1">
      <alignment vertical="top"/>
      <protection locked="0"/>
    </xf>
    <xf numFmtId="168" fontId="32" fillId="8" borderId="19" xfId="4" applyNumberFormat="1" applyFont="1" applyFill="1" applyBorder="1" applyAlignment="1" applyProtection="1">
      <alignment vertical="top"/>
    </xf>
    <xf numFmtId="3" fontId="0" fillId="20" borderId="17" xfId="0" applyNumberFormat="1" applyFill="1" applyBorder="1" applyAlignment="1" applyProtection="1">
      <alignment vertical="top" wrapText="1"/>
      <protection locked="0"/>
    </xf>
    <xf numFmtId="168" fontId="32" fillId="22" borderId="19" xfId="4" applyNumberFormat="1" applyFont="1" applyFill="1" applyBorder="1" applyAlignment="1" applyProtection="1">
      <alignment vertical="top"/>
    </xf>
    <xf numFmtId="3" fontId="32" fillId="20" borderId="18" xfId="4" applyNumberFormat="1" applyFill="1" applyBorder="1" applyAlignment="1" applyProtection="1">
      <alignment horizontal="center" vertical="top"/>
      <protection locked="0"/>
    </xf>
    <xf numFmtId="3" fontId="32" fillId="20" borderId="24" xfId="4" applyNumberFormat="1" applyFill="1" applyBorder="1" applyAlignment="1" applyProtection="1">
      <alignment vertical="top"/>
      <protection locked="0"/>
    </xf>
    <xf numFmtId="3" fontId="0" fillId="20" borderId="17" xfId="0" applyNumberFormat="1" applyFont="1" applyFill="1" applyBorder="1" applyAlignment="1" applyProtection="1">
      <alignment vertical="top"/>
      <protection locked="0"/>
    </xf>
    <xf numFmtId="168" fontId="3" fillId="22" borderId="19" xfId="4" applyNumberFormat="1" applyFont="1" applyFill="1" applyBorder="1" applyAlignment="1" applyProtection="1">
      <alignment vertical="top"/>
    </xf>
    <xf numFmtId="168" fontId="0" fillId="0" borderId="18" xfId="4" applyNumberFormat="1" applyFont="1" applyFill="1" applyBorder="1" applyAlignment="1" applyProtection="1">
      <alignment horizontal="center" vertical="top"/>
      <protection locked="0"/>
    </xf>
    <xf numFmtId="3" fontId="36" fillId="9" borderId="74" xfId="0" applyNumberFormat="1" applyFont="1" applyFill="1" applyBorder="1" applyAlignment="1">
      <alignment horizontal="left" vertical="center" wrapText="1"/>
    </xf>
    <xf numFmtId="3" fontId="3" fillId="19" borderId="4" xfId="4" applyNumberFormat="1" applyFont="1" applyFill="1" applyBorder="1" applyAlignment="1" applyProtection="1">
      <alignment horizontal="right" vertical="top" wrapText="1"/>
    </xf>
    <xf numFmtId="168" fontId="32" fillId="22" borderId="19" xfId="4" applyNumberFormat="1" applyFont="1" applyFill="1" applyBorder="1" applyAlignment="1" applyProtection="1">
      <alignment horizontal="right" vertical="top"/>
    </xf>
    <xf numFmtId="165" fontId="32" fillId="0" borderId="0" xfId="4"/>
    <xf numFmtId="4" fontId="21" fillId="0" borderId="75" xfId="4" applyNumberFormat="1" applyFont="1" applyFill="1" applyBorder="1" applyAlignment="1" applyProtection="1">
      <alignment horizontal="right" vertical="top" wrapText="1"/>
    </xf>
    <xf numFmtId="3" fontId="11" fillId="0" borderId="65" xfId="4" applyNumberFormat="1" applyFont="1" applyFill="1" applyBorder="1" applyAlignment="1" applyProtection="1">
      <alignment horizontal="right" vertical="top" wrapText="1"/>
    </xf>
    <xf numFmtId="3" fontId="32" fillId="0" borderId="65" xfId="4" applyNumberFormat="1" applyFont="1" applyFill="1" applyBorder="1" applyAlignment="1" applyProtection="1">
      <alignment horizontal="right" vertical="top" wrapText="1"/>
    </xf>
    <xf numFmtId="3" fontId="3" fillId="0" borderId="65" xfId="4" applyNumberFormat="1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6" borderId="51" xfId="0" applyFont="1" applyFill="1" applyBorder="1" applyAlignment="1" applyProtection="1">
      <alignment horizontal="left" vertical="top" wrapText="1"/>
    </xf>
    <xf numFmtId="0" fontId="3" fillId="15" borderId="73" xfId="0" applyFont="1" applyFill="1" applyBorder="1" applyAlignment="1" applyProtection="1">
      <alignment horizontal="left" vertical="top" wrapText="1"/>
    </xf>
    <xf numFmtId="0" fontId="0" fillId="0" borderId="73" xfId="0" applyFont="1" applyBorder="1" applyAlignment="1" applyProtection="1">
      <alignment horizontal="left" vertical="top" wrapText="1"/>
    </xf>
    <xf numFmtId="3" fontId="3" fillId="15" borderId="73" xfId="0" applyNumberFormat="1" applyFont="1" applyFill="1" applyBorder="1" applyAlignment="1" applyProtection="1">
      <alignment horizontal="left" vertical="top" wrapText="1"/>
    </xf>
    <xf numFmtId="0" fontId="3" fillId="6" borderId="73" xfId="0" applyFont="1" applyFill="1" applyBorder="1" applyAlignment="1" applyProtection="1">
      <alignment horizontal="left" vertical="top" wrapText="1"/>
    </xf>
    <xf numFmtId="0" fontId="0" fillId="0" borderId="76" xfId="0" applyFont="1" applyBorder="1" applyAlignment="1" applyProtection="1">
      <alignment horizontal="left" vertical="top" wrapText="1"/>
    </xf>
    <xf numFmtId="0" fontId="3" fillId="0" borderId="61" xfId="0" applyFont="1" applyFill="1" applyBorder="1" applyAlignment="1" applyProtection="1">
      <alignment horizontal="center"/>
    </xf>
    <xf numFmtId="168" fontId="0" fillId="0" borderId="57" xfId="4" applyNumberFormat="1" applyFont="1" applyFill="1" applyBorder="1" applyAlignment="1" applyProtection="1">
      <alignment horizontal="center"/>
    </xf>
    <xf numFmtId="168" fontId="0" fillId="15" borderId="60" xfId="4" applyNumberFormat="1" applyFont="1" applyFill="1" applyBorder="1" applyAlignment="1" applyProtection="1">
      <alignment vertical="center"/>
    </xf>
    <xf numFmtId="168" fontId="0" fillId="4" borderId="60" xfId="4" applyNumberFormat="1" applyFont="1" applyFill="1" applyBorder="1" applyAlignment="1" applyProtection="1">
      <alignment vertical="center"/>
    </xf>
    <xf numFmtId="168" fontId="0" fillId="6" borderId="60" xfId="4" applyNumberFormat="1" applyFont="1" applyFill="1" applyBorder="1" applyAlignment="1" applyProtection="1">
      <alignment vertical="center"/>
    </xf>
    <xf numFmtId="168" fontId="0" fillId="4" borderId="61" xfId="4" applyNumberFormat="1" applyFont="1" applyFill="1" applyBorder="1" applyAlignment="1" applyProtection="1">
      <alignment vertical="center"/>
    </xf>
    <xf numFmtId="0" fontId="3" fillId="11" borderId="77" xfId="0" applyFont="1" applyFill="1" applyBorder="1" applyAlignment="1" applyProtection="1">
      <alignment horizontal="center"/>
    </xf>
    <xf numFmtId="0" fontId="3" fillId="11" borderId="78" xfId="0" applyFont="1" applyFill="1" applyBorder="1" applyAlignment="1" applyProtection="1">
      <alignment horizontal="center"/>
    </xf>
    <xf numFmtId="168" fontId="0" fillId="0" borderId="79" xfId="4" applyNumberFormat="1" applyFont="1" applyFill="1" applyBorder="1" applyAlignment="1" applyProtection="1">
      <alignment horizontal="center"/>
    </xf>
    <xf numFmtId="168" fontId="0" fillId="0" borderId="80" xfId="4" applyNumberFormat="1" applyFont="1" applyFill="1" applyBorder="1" applyAlignment="1" applyProtection="1">
      <alignment horizontal="center"/>
    </xf>
    <xf numFmtId="168" fontId="0" fillId="6" borderId="81" xfId="4" applyNumberFormat="1" applyFont="1" applyFill="1" applyBorder="1" applyAlignment="1" applyProtection="1">
      <alignment vertical="center" wrapText="1"/>
    </xf>
    <xf numFmtId="168" fontId="0" fillId="15" borderId="82" xfId="4" applyNumberFormat="1" applyFont="1" applyFill="1" applyBorder="1" applyAlignment="1" applyProtection="1">
      <alignment vertical="center"/>
    </xf>
    <xf numFmtId="168" fontId="0" fillId="15" borderId="83" xfId="4" applyNumberFormat="1" applyFont="1" applyFill="1" applyBorder="1" applyAlignment="1" applyProtection="1">
      <alignment vertical="center"/>
    </xf>
    <xf numFmtId="168" fontId="0" fillId="4" borderId="82" xfId="4" applyNumberFormat="1" applyFont="1" applyFill="1" applyBorder="1" applyAlignment="1" applyProtection="1">
      <alignment vertical="center"/>
    </xf>
    <xf numFmtId="168" fontId="0" fillId="4" borderId="83" xfId="4" applyNumberFormat="1" applyFont="1" applyFill="1" applyBorder="1" applyAlignment="1" applyProtection="1">
      <alignment vertical="center"/>
    </xf>
    <xf numFmtId="168" fontId="0" fillId="6" borderId="82" xfId="4" applyNumberFormat="1" applyFont="1" applyFill="1" applyBorder="1" applyAlignment="1" applyProtection="1">
      <alignment vertical="center"/>
    </xf>
    <xf numFmtId="168" fontId="0" fillId="6" borderId="83" xfId="4" applyNumberFormat="1" applyFont="1" applyFill="1" applyBorder="1" applyAlignment="1" applyProtection="1">
      <alignment vertical="center"/>
    </xf>
    <xf numFmtId="168" fontId="0" fillId="4" borderId="84" xfId="4" applyNumberFormat="1" applyFont="1" applyFill="1" applyBorder="1" applyAlignment="1" applyProtection="1">
      <alignment vertical="center"/>
    </xf>
    <xf numFmtId="168" fontId="0" fillId="0" borderId="85" xfId="4" applyNumberFormat="1" applyFont="1" applyFill="1" applyBorder="1" applyAlignment="1" applyProtection="1">
      <alignment vertical="center"/>
      <protection locked="0"/>
    </xf>
    <xf numFmtId="168" fontId="0" fillId="4" borderId="86" xfId="4" applyNumberFormat="1" applyFont="1" applyFill="1" applyBorder="1" applyAlignment="1" applyProtection="1">
      <alignment vertical="center"/>
    </xf>
    <xf numFmtId="0" fontId="3" fillId="0" borderId="77" xfId="0" applyFont="1" applyFill="1" applyBorder="1" applyAlignment="1" applyProtection="1">
      <alignment horizontal="center"/>
    </xf>
    <xf numFmtId="0" fontId="3" fillId="0" borderId="78" xfId="0" applyFont="1" applyFill="1" applyBorder="1" applyAlignment="1" applyProtection="1">
      <alignment horizontal="center"/>
    </xf>
    <xf numFmtId="168" fontId="0" fillId="0" borderId="79" xfId="4" applyNumberFormat="1" applyFont="1" applyFill="1" applyBorder="1" applyAlignment="1" applyProtection="1">
      <alignment horizontal="right"/>
    </xf>
    <xf numFmtId="168" fontId="0" fillId="0" borderId="80" xfId="4" applyNumberFormat="1" applyFont="1" applyFill="1" applyBorder="1" applyAlignment="1" applyProtection="1">
      <alignment horizontal="right"/>
    </xf>
    <xf numFmtId="168" fontId="0" fillId="0" borderId="15" xfId="4" applyNumberFormat="1" applyFont="1" applyFill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left" vertical="top" wrapText="1"/>
    </xf>
    <xf numFmtId="168" fontId="0" fillId="0" borderId="14" xfId="4" applyNumberFormat="1" applyFont="1" applyFill="1" applyBorder="1" applyAlignment="1" applyProtection="1">
      <alignment horizontal="right"/>
    </xf>
    <xf numFmtId="168" fontId="0" fillId="0" borderId="49" xfId="4" applyNumberFormat="1" applyFont="1" applyFill="1" applyBorder="1" applyAlignment="1" applyProtection="1">
      <alignment horizontal="right"/>
    </xf>
    <xf numFmtId="168" fontId="3" fillId="2" borderId="23" xfId="4" applyNumberFormat="1" applyFont="1" applyFill="1" applyBorder="1" applyAlignment="1" applyProtection="1">
      <alignment horizontal="right" vertical="center" wrapText="1"/>
    </xf>
    <xf numFmtId="9" fontId="3" fillId="2" borderId="64" xfId="3" applyNumberFormat="1" applyFont="1" applyFill="1" applyBorder="1" applyAlignment="1" applyProtection="1">
      <alignment horizontal="center" vertical="center"/>
    </xf>
    <xf numFmtId="168" fontId="3" fillId="2" borderId="87" xfId="4" applyNumberFormat="1" applyFont="1" applyFill="1" applyBorder="1" applyAlignment="1" applyProtection="1">
      <alignment horizontal="right" vertical="center" wrapText="1"/>
    </xf>
    <xf numFmtId="0" fontId="30" fillId="0" borderId="0" xfId="2" applyFont="1" applyAlignment="1">
      <alignment horizontal="center" vertical="center"/>
    </xf>
    <xf numFmtId="0" fontId="40" fillId="0" borderId="0" xfId="2"/>
    <xf numFmtId="0" fontId="40" fillId="0" borderId="0" xfId="2" applyAlignment="1">
      <alignment horizontal="center" vertical="center"/>
    </xf>
    <xf numFmtId="179" fontId="40" fillId="0" borderId="0" xfId="2" applyNumberFormat="1"/>
    <xf numFmtId="0" fontId="31" fillId="0" borderId="0" xfId="2" applyFont="1"/>
    <xf numFmtId="4" fontId="40" fillId="0" borderId="0" xfId="2" applyNumberFormat="1"/>
    <xf numFmtId="168" fontId="3" fillId="0" borderId="15" xfId="4" applyNumberFormat="1" applyFont="1" applyFill="1" applyBorder="1" applyAlignment="1" applyProtection="1">
      <alignment horizontal="right" vertical="center"/>
    </xf>
    <xf numFmtId="3" fontId="19" fillId="9" borderId="93" xfId="0" applyNumberFormat="1" applyFont="1" applyFill="1" applyBorder="1" applyAlignment="1" applyProtection="1">
      <alignment horizontal="left" vertical="center" wrapText="1"/>
      <protection locked="0"/>
    </xf>
    <xf numFmtId="3" fontId="19" fillId="9" borderId="21" xfId="0" applyNumberFormat="1" applyFont="1" applyFill="1" applyBorder="1" applyAlignment="1" applyProtection="1">
      <alignment horizontal="left" vertical="center" wrapText="1"/>
      <protection locked="0"/>
    </xf>
    <xf numFmtId="3" fontId="38" fillId="20" borderId="17" xfId="0" applyNumberFormat="1" applyFont="1" applyFill="1" applyBorder="1" applyAlignment="1" applyProtection="1">
      <alignment vertical="top" wrapText="1"/>
      <protection locked="0"/>
    </xf>
    <xf numFmtId="0" fontId="40" fillId="20" borderId="0" xfId="2" applyFill="1"/>
    <xf numFmtId="0" fontId="39" fillId="0" borderId="0" xfId="2" applyFont="1"/>
    <xf numFmtId="0" fontId="40" fillId="24" borderId="0" xfId="2" applyFill="1"/>
    <xf numFmtId="0" fontId="40" fillId="0" borderId="0" xfId="2" applyFill="1"/>
    <xf numFmtId="0" fontId="42" fillId="0" borderId="88" xfId="2" applyFont="1" applyBorder="1" applyAlignment="1">
      <alignment horizontal="center"/>
    </xf>
    <xf numFmtId="0" fontId="42" fillId="0" borderId="89" xfId="2" applyFont="1" applyBorder="1" applyAlignment="1">
      <alignment horizontal="center"/>
    </xf>
    <xf numFmtId="0" fontId="42" fillId="0" borderId="90" xfId="2" applyFont="1" applyBorder="1" applyAlignment="1">
      <alignment horizontal="center" vertical="center"/>
    </xf>
    <xf numFmtId="179" fontId="42" fillId="0" borderId="90" xfId="2" applyNumberFormat="1" applyFont="1" applyBorder="1" applyAlignment="1">
      <alignment horizontal="center"/>
    </xf>
    <xf numFmtId="0" fontId="42" fillId="0" borderId="91" xfId="2" applyFont="1" applyBorder="1" applyAlignment="1">
      <alignment horizontal="center"/>
    </xf>
    <xf numFmtId="49" fontId="42" fillId="0" borderId="91" xfId="2" applyNumberFormat="1" applyFont="1" applyBorder="1" applyAlignment="1">
      <alignment horizontal="center"/>
    </xf>
    <xf numFmtId="0" fontId="42" fillId="0" borderId="91" xfId="2" applyFont="1" applyBorder="1" applyAlignment="1">
      <alignment horizontal="center" vertical="center"/>
    </xf>
    <xf numFmtId="179" fontId="42" fillId="0" borderId="91" xfId="2" applyNumberFormat="1" applyFont="1" applyBorder="1" applyAlignment="1">
      <alignment horizontal="center"/>
    </xf>
    <xf numFmtId="0" fontId="41" fillId="0" borderId="92" xfId="2" applyFont="1" applyBorder="1" applyAlignment="1">
      <alignment horizontal="center"/>
    </xf>
    <xf numFmtId="0" fontId="41" fillId="0" borderId="92" xfId="2" applyFont="1" applyBorder="1" applyAlignment="1">
      <alignment horizontal="justify" vertical="center" wrapText="1"/>
    </xf>
    <xf numFmtId="4" fontId="41" fillId="0" borderId="92" xfId="2" applyNumberFormat="1" applyFont="1" applyBorder="1" applyAlignment="1">
      <alignment horizontal="center"/>
    </xf>
    <xf numFmtId="0" fontId="41" fillId="0" borderId="92" xfId="2" applyFont="1" applyBorder="1" applyAlignment="1">
      <alignment horizontal="center" vertical="center" wrapText="1"/>
    </xf>
    <xf numFmtId="1" fontId="41" fillId="0" borderId="92" xfId="2" applyNumberFormat="1" applyFont="1" applyBorder="1" applyAlignment="1">
      <alignment horizontal="center"/>
    </xf>
    <xf numFmtId="179" fontId="41" fillId="0" borderId="92" xfId="2" applyNumberFormat="1" applyFont="1" applyBorder="1" applyAlignment="1">
      <alignment horizontal="center"/>
    </xf>
    <xf numFmtId="0" fontId="41" fillId="0" borderId="92" xfId="2" applyFont="1" applyBorder="1" applyAlignment="1">
      <alignment horizontal="center" wrapText="1"/>
    </xf>
    <xf numFmtId="0" fontId="41" fillId="20" borderId="92" xfId="2" applyFont="1" applyFill="1" applyBorder="1" applyAlignment="1">
      <alignment horizontal="center"/>
    </xf>
    <xf numFmtId="0" fontId="41" fillId="20" borderId="92" xfId="2" applyFont="1" applyFill="1" applyBorder="1" applyAlignment="1">
      <alignment horizontal="justify" vertical="center" wrapText="1"/>
    </xf>
    <xf numFmtId="4" fontId="41" fillId="20" borderId="92" xfId="2" applyNumberFormat="1" applyFont="1" applyFill="1" applyBorder="1" applyAlignment="1">
      <alignment horizontal="center"/>
    </xf>
    <xf numFmtId="0" fontId="41" fillId="20" borderId="92" xfId="2" applyFont="1" applyFill="1" applyBorder="1" applyAlignment="1">
      <alignment horizontal="center" vertical="center" wrapText="1"/>
    </xf>
    <xf numFmtId="1" fontId="41" fillId="20" borderId="92" xfId="2" applyNumberFormat="1" applyFont="1" applyFill="1" applyBorder="1" applyAlignment="1">
      <alignment horizontal="center"/>
    </xf>
    <xf numFmtId="179" fontId="41" fillId="20" borderId="92" xfId="2" applyNumberFormat="1" applyFont="1" applyFill="1" applyBorder="1" applyAlignment="1">
      <alignment horizontal="center"/>
    </xf>
    <xf numFmtId="0" fontId="41" fillId="20" borderId="92" xfId="2" applyFont="1" applyFill="1" applyBorder="1" applyAlignment="1">
      <alignment horizontal="center" wrapText="1"/>
    </xf>
    <xf numFmtId="0" fontId="41" fillId="0" borderId="92" xfId="2" applyFont="1" applyFill="1" applyBorder="1" applyAlignment="1">
      <alignment horizontal="justify" vertical="center" wrapText="1"/>
    </xf>
    <xf numFmtId="4" fontId="45" fillId="0" borderId="94" xfId="2" applyNumberFormat="1" applyFont="1" applyBorder="1" applyAlignment="1">
      <alignment horizontal="center" vertical="center"/>
    </xf>
    <xf numFmtId="4" fontId="45" fillId="0" borderId="95" xfId="2" applyNumberFormat="1" applyFont="1" applyBorder="1" applyAlignment="1">
      <alignment horizontal="center" vertical="center"/>
    </xf>
    <xf numFmtId="0" fontId="45" fillId="0" borderId="95" xfId="2" applyFont="1" applyBorder="1" applyAlignment="1">
      <alignment horizontal="center" vertical="center"/>
    </xf>
    <xf numFmtId="9" fontId="45" fillId="0" borderId="95" xfId="2" applyNumberFormat="1" applyFont="1" applyBorder="1" applyAlignment="1">
      <alignment horizontal="center" vertical="center"/>
    </xf>
    <xf numFmtId="0" fontId="45" fillId="0" borderId="96" xfId="2" applyFont="1" applyBorder="1" applyAlignment="1">
      <alignment horizontal="center" vertical="center"/>
    </xf>
    <xf numFmtId="0" fontId="45" fillId="0" borderId="98" xfId="2" applyFont="1" applyBorder="1" applyAlignment="1">
      <alignment horizontal="center" vertical="center"/>
    </xf>
    <xf numFmtId="0" fontId="45" fillId="0" borderId="97" xfId="2" applyFont="1" applyBorder="1" applyAlignment="1">
      <alignment horizontal="center" vertical="center"/>
    </xf>
    <xf numFmtId="0" fontId="41" fillId="0" borderId="97" xfId="2" applyFont="1" applyBorder="1" applyAlignment="1">
      <alignment horizontal="center" vertical="center"/>
    </xf>
    <xf numFmtId="0" fontId="41" fillId="0" borderId="99" xfId="2" applyFont="1" applyBorder="1" applyAlignment="1">
      <alignment horizontal="center" vertical="center"/>
    </xf>
    <xf numFmtId="2" fontId="41" fillId="0" borderId="92" xfId="2" applyNumberFormat="1" applyFont="1" applyBorder="1" applyAlignment="1">
      <alignment horizontal="center"/>
    </xf>
    <xf numFmtId="0" fontId="47" fillId="0" borderId="92" xfId="2" applyFont="1" applyBorder="1" applyAlignment="1">
      <alignment horizontal="justify" vertical="center" wrapText="1"/>
    </xf>
    <xf numFmtId="0" fontId="47" fillId="0" borderId="92" xfId="2" applyFont="1" applyBorder="1" applyAlignment="1">
      <alignment horizontal="center"/>
    </xf>
    <xf numFmtId="0" fontId="47" fillId="0" borderId="92" xfId="2" applyFont="1" applyBorder="1"/>
    <xf numFmtId="4" fontId="45" fillId="0" borderId="87" xfId="2" applyNumberFormat="1" applyFont="1" applyBorder="1" applyAlignment="1">
      <alignment horizontal="center" vertical="center"/>
    </xf>
    <xf numFmtId="180" fontId="45" fillId="0" borderId="95" xfId="2" applyNumberFormat="1" applyFont="1" applyBorder="1" applyAlignment="1">
      <alignment horizontal="center" vertical="center"/>
    </xf>
    <xf numFmtId="0" fontId="44" fillId="0" borderId="0" xfId="2" applyFont="1"/>
    <xf numFmtId="179" fontId="44" fillId="0" borderId="0" xfId="2" applyNumberFormat="1" applyFont="1"/>
    <xf numFmtId="180" fontId="45" fillId="0" borderId="87" xfId="2" applyNumberFormat="1" applyFont="1" applyBorder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45" fillId="0" borderId="0" xfId="2" applyFont="1"/>
    <xf numFmtId="49" fontId="4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4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3" fontId="21" fillId="0" borderId="101" xfId="0" applyNumberFormat="1" applyFont="1" applyBorder="1" applyAlignment="1" applyProtection="1">
      <alignment horizontal="left" vertical="center" wrapText="1"/>
      <protection locked="0"/>
    </xf>
    <xf numFmtId="3" fontId="21" fillId="0" borderId="22" xfId="0" applyNumberFormat="1" applyFont="1" applyBorder="1" applyAlignment="1" applyProtection="1">
      <alignment horizontal="left" vertical="center" wrapText="1"/>
      <protection locked="0"/>
    </xf>
    <xf numFmtId="3" fontId="21" fillId="0" borderId="71" xfId="0" applyNumberFormat="1" applyFont="1" applyBorder="1" applyAlignment="1" applyProtection="1">
      <alignment horizontal="left" vertical="center" wrapText="1"/>
      <protection locked="0"/>
    </xf>
    <xf numFmtId="3" fontId="19" fillId="0" borderId="102" xfId="0" applyNumberFormat="1" applyFont="1" applyBorder="1" applyAlignment="1">
      <alignment horizontal="left" vertical="center" wrapText="1"/>
    </xf>
    <xf numFmtId="3" fontId="19" fillId="0" borderId="103" xfId="0" applyNumberFormat="1" applyFont="1" applyBorder="1" applyAlignment="1">
      <alignment horizontal="left" vertical="center" wrapText="1"/>
    </xf>
    <xf numFmtId="3" fontId="19" fillId="0" borderId="104" xfId="0" applyNumberFormat="1" applyFont="1" applyBorder="1" applyAlignment="1">
      <alignment horizontal="left" vertical="center" wrapText="1"/>
    </xf>
    <xf numFmtId="3" fontId="21" fillId="0" borderId="105" xfId="0" applyNumberFormat="1" applyFont="1" applyBorder="1" applyAlignment="1" applyProtection="1">
      <alignment horizontal="left" vertical="center" wrapText="1"/>
      <protection locked="0"/>
    </xf>
    <xf numFmtId="3" fontId="21" fillId="0" borderId="106" xfId="0" applyNumberFormat="1" applyFont="1" applyBorder="1" applyAlignment="1" applyProtection="1">
      <alignment horizontal="left" vertical="center" wrapText="1"/>
      <protection locked="0"/>
    </xf>
    <xf numFmtId="3" fontId="21" fillId="0" borderId="107" xfId="0" applyNumberFormat="1" applyFont="1" applyBorder="1" applyAlignment="1" applyProtection="1">
      <alignment horizontal="left" vertical="center" wrapText="1"/>
      <protection locked="0"/>
    </xf>
    <xf numFmtId="3" fontId="19" fillId="0" borderId="108" xfId="0" applyNumberFormat="1" applyFont="1" applyBorder="1" applyAlignment="1">
      <alignment horizontal="left" vertical="center" wrapText="1"/>
    </xf>
    <xf numFmtId="3" fontId="19" fillId="0" borderId="109" xfId="0" applyNumberFormat="1" applyFont="1" applyBorder="1" applyAlignment="1">
      <alignment horizontal="left" vertical="center" wrapText="1"/>
    </xf>
    <xf numFmtId="3" fontId="19" fillId="0" borderId="100" xfId="0" applyNumberFormat="1" applyFont="1" applyBorder="1" applyAlignment="1">
      <alignment horizontal="left" vertical="center" wrapText="1"/>
    </xf>
    <xf numFmtId="3" fontId="19" fillId="9" borderId="46" xfId="0" applyNumberFormat="1" applyFont="1" applyFill="1" applyBorder="1" applyAlignment="1" applyProtection="1">
      <alignment horizontal="left" vertical="top" wrapText="1"/>
      <protection locked="0"/>
    </xf>
    <xf numFmtId="3" fontId="19" fillId="9" borderId="21" xfId="0" applyNumberFormat="1" applyFont="1" applyFill="1" applyBorder="1" applyAlignment="1" applyProtection="1">
      <alignment horizontal="left" vertical="top" wrapText="1"/>
      <protection locked="0"/>
    </xf>
    <xf numFmtId="3" fontId="19" fillId="9" borderId="67" xfId="0" applyNumberFormat="1" applyFont="1" applyFill="1" applyBorder="1" applyAlignment="1" applyProtection="1">
      <alignment horizontal="left" vertical="top" wrapText="1"/>
      <protection locked="0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3" xfId="4" applyNumberFormat="1" applyFont="1" applyFill="1" applyBorder="1" applyAlignment="1" applyProtection="1">
      <alignment horizontal="center" vertical="center"/>
    </xf>
    <xf numFmtId="3" fontId="3" fillId="4" borderId="51" xfId="0" applyNumberFormat="1" applyFont="1" applyFill="1" applyBorder="1" applyAlignment="1">
      <alignment horizontal="left" vertical="center" wrapText="1"/>
    </xf>
    <xf numFmtId="3" fontId="3" fillId="4" borderId="23" xfId="4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110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3" fontId="3" fillId="4" borderId="111" xfId="0" applyNumberFormat="1" applyFont="1" applyFill="1" applyBorder="1" applyAlignment="1">
      <alignment horizontal="center" vertical="center" wrapText="1"/>
    </xf>
    <xf numFmtId="0" fontId="0" fillId="0" borderId="22" xfId="0" applyBorder="1"/>
    <xf numFmtId="3" fontId="3" fillId="4" borderId="51" xfId="0" applyNumberFormat="1" applyFont="1" applyFill="1" applyBorder="1" applyAlignment="1">
      <alignment horizontal="center" vertical="center"/>
    </xf>
    <xf numFmtId="3" fontId="11" fillId="0" borderId="112" xfId="0" applyNumberFormat="1" applyFont="1" applyFill="1" applyBorder="1" applyAlignment="1">
      <alignment horizontal="center" vertical="center" wrapText="1"/>
    </xf>
    <xf numFmtId="3" fontId="11" fillId="0" borderId="74" xfId="0" applyNumberFormat="1" applyFont="1" applyFill="1" applyBorder="1" applyAlignment="1">
      <alignment horizontal="center" vertical="center" wrapText="1"/>
    </xf>
    <xf numFmtId="3" fontId="19" fillId="0" borderId="113" xfId="0" applyNumberFormat="1" applyFont="1" applyBorder="1" applyAlignment="1" applyProtection="1">
      <alignment horizontal="center" vertical="top" wrapText="1"/>
      <protection locked="0"/>
    </xf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3" fontId="19" fillId="0" borderId="65" xfId="0" applyNumberFormat="1" applyFont="1" applyBorder="1" applyAlignment="1">
      <alignment horizontal="left" vertical="center" wrapText="1"/>
    </xf>
    <xf numFmtId="0" fontId="0" fillId="0" borderId="65" xfId="0" applyBorder="1" applyAlignment="1">
      <alignment vertical="center"/>
    </xf>
    <xf numFmtId="3" fontId="21" fillId="0" borderId="114" xfId="0" applyNumberFormat="1" applyFont="1" applyBorder="1" applyAlignment="1" applyProtection="1">
      <alignment horizontal="left" vertical="center" wrapText="1"/>
      <protection locked="0"/>
    </xf>
    <xf numFmtId="0" fontId="0" fillId="0" borderId="114" xfId="0" applyBorder="1" applyAlignment="1">
      <alignment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0" borderId="13" xfId="4" applyNumberFormat="1" applyFont="1" applyFill="1" applyBorder="1" applyAlignment="1" applyProtection="1">
      <alignment horizontal="center" vertical="center"/>
    </xf>
    <xf numFmtId="168" fontId="32" fillId="2" borderId="48" xfId="4" applyNumberFormat="1" applyFont="1" applyFill="1" applyBorder="1" applyAlignment="1" applyProtection="1">
      <alignment horizontal="center" vertical="top"/>
    </xf>
    <xf numFmtId="168" fontId="32" fillId="2" borderId="22" xfId="4" applyNumberFormat="1" applyFont="1" applyFill="1" applyBorder="1" applyAlignment="1" applyProtection="1">
      <alignment horizontal="center" vertical="top"/>
    </xf>
    <xf numFmtId="168" fontId="32" fillId="2" borderId="44" xfId="4" applyNumberFormat="1" applyFont="1" applyFill="1" applyBorder="1" applyAlignment="1" applyProtection="1">
      <alignment horizontal="center" vertical="top"/>
    </xf>
    <xf numFmtId="170" fontId="32" fillId="0" borderId="46" xfId="4" applyNumberFormat="1" applyFont="1" applyFill="1" applyBorder="1" applyAlignment="1" applyProtection="1">
      <alignment horizontal="center" vertical="top"/>
      <protection locked="0"/>
    </xf>
    <xf numFmtId="170" fontId="32" fillId="0" borderId="21" xfId="4" applyNumberFormat="1" applyFont="1" applyFill="1" applyBorder="1" applyAlignment="1" applyProtection="1">
      <alignment horizontal="center" vertical="top"/>
      <protection locked="0"/>
    </xf>
    <xf numFmtId="170" fontId="32" fillId="0" borderId="37" xfId="4" applyNumberFormat="1" applyFont="1" applyFill="1" applyBorder="1" applyAlignment="1" applyProtection="1">
      <alignment horizontal="center" vertical="top"/>
      <protection locked="0"/>
    </xf>
    <xf numFmtId="168" fontId="32" fillId="2" borderId="48" xfId="4" applyNumberFormat="1" applyFont="1" applyFill="1" applyBorder="1" applyAlignment="1" applyProtection="1">
      <alignment horizontal="right" vertical="top"/>
    </xf>
    <xf numFmtId="168" fontId="32" fillId="2" borderId="22" xfId="4" applyNumberFormat="1" applyFont="1" applyFill="1" applyBorder="1" applyAlignment="1" applyProtection="1">
      <alignment horizontal="right" vertical="top"/>
    </xf>
    <xf numFmtId="168" fontId="32" fillId="2" borderId="44" xfId="4" applyNumberFormat="1" applyFont="1" applyFill="1" applyBorder="1" applyAlignment="1" applyProtection="1">
      <alignment horizontal="right" vertical="top"/>
    </xf>
    <xf numFmtId="3" fontId="3" fillId="0" borderId="11" xfId="0" applyNumberFormat="1" applyFont="1" applyBorder="1" applyAlignment="1">
      <alignment horizontal="center" vertical="center"/>
    </xf>
    <xf numFmtId="3" fontId="26" fillId="0" borderId="45" xfId="0" applyNumberFormat="1" applyFont="1" applyBorder="1" applyAlignment="1" applyProtection="1">
      <alignment horizontal="center" vertical="top" wrapText="1"/>
      <protection locked="0"/>
    </xf>
    <xf numFmtId="3" fontId="26" fillId="0" borderId="20" xfId="0" applyNumberFormat="1" applyFont="1" applyBorder="1" applyAlignment="1" applyProtection="1">
      <alignment horizontal="center" vertical="top" wrapText="1"/>
      <protection locked="0"/>
    </xf>
    <xf numFmtId="3" fontId="26" fillId="0" borderId="36" xfId="0" applyNumberFormat="1" applyFont="1" applyBorder="1" applyAlignment="1" applyProtection="1">
      <alignment horizontal="center" vertical="top" wrapText="1"/>
      <protection locked="0"/>
    </xf>
    <xf numFmtId="3" fontId="32" fillId="0" borderId="46" xfId="4" applyNumberFormat="1" applyFont="1" applyFill="1" applyBorder="1" applyAlignment="1" applyProtection="1">
      <alignment horizontal="center" vertical="top"/>
      <protection locked="0"/>
    </xf>
    <xf numFmtId="3" fontId="32" fillId="0" borderId="21" xfId="4" applyNumberFormat="1" applyFont="1" applyFill="1" applyBorder="1" applyAlignment="1" applyProtection="1">
      <alignment horizontal="center" vertical="top"/>
      <protection locked="0"/>
    </xf>
    <xf numFmtId="3" fontId="32" fillId="0" borderId="37" xfId="4" applyNumberFormat="1" applyFont="1" applyFill="1" applyBorder="1" applyAlignment="1" applyProtection="1">
      <alignment horizontal="center" vertical="top"/>
      <protection locked="0"/>
    </xf>
    <xf numFmtId="3" fontId="27" fillId="0" borderId="46" xfId="4" applyNumberFormat="1" applyFont="1" applyFill="1" applyBorder="1" applyAlignment="1" applyProtection="1">
      <alignment horizontal="center" vertical="top" wrapText="1"/>
    </xf>
    <xf numFmtId="3" fontId="27" fillId="0" borderId="21" xfId="4" applyNumberFormat="1" applyFont="1" applyFill="1" applyBorder="1" applyAlignment="1" applyProtection="1">
      <alignment horizontal="center" vertical="top" wrapText="1"/>
    </xf>
    <xf numFmtId="3" fontId="27" fillId="0" borderId="37" xfId="4" applyNumberFormat="1" applyFont="1" applyFill="1" applyBorder="1" applyAlignment="1" applyProtection="1">
      <alignment horizontal="center" vertical="top" wrapText="1"/>
    </xf>
    <xf numFmtId="3" fontId="24" fillId="9" borderId="115" xfId="0" applyNumberFormat="1" applyFont="1" applyFill="1" applyBorder="1" applyAlignment="1" applyProtection="1">
      <alignment horizontal="left" vertical="center" wrapText="1"/>
      <protection locked="0"/>
    </xf>
    <xf numFmtId="3" fontId="24" fillId="9" borderId="116" xfId="0" applyNumberFormat="1" applyFont="1" applyFill="1" applyBorder="1" applyAlignment="1" applyProtection="1">
      <alignment horizontal="left" vertical="center" wrapText="1"/>
      <protection locked="0"/>
    </xf>
    <xf numFmtId="3" fontId="24" fillId="9" borderId="117" xfId="0" applyNumberFormat="1" applyFont="1" applyFill="1" applyBorder="1" applyAlignment="1">
      <alignment horizontal="left" vertical="center" wrapText="1"/>
    </xf>
    <xf numFmtId="3" fontId="24" fillId="9" borderId="106" xfId="0" applyNumberFormat="1" applyFont="1" applyFill="1" applyBorder="1" applyAlignment="1">
      <alignment horizontal="left" vertical="center" wrapText="1"/>
    </xf>
    <xf numFmtId="3" fontId="24" fillId="9" borderId="118" xfId="0" applyNumberFormat="1" applyFont="1" applyFill="1" applyBorder="1" applyAlignment="1">
      <alignment horizontal="left" vertical="center" wrapText="1"/>
    </xf>
    <xf numFmtId="3" fontId="37" fillId="9" borderId="45" xfId="0" applyNumberFormat="1" applyFont="1" applyFill="1" applyBorder="1" applyAlignment="1">
      <alignment horizontal="left" vertical="top" wrapText="1"/>
    </xf>
    <xf numFmtId="3" fontId="24" fillId="9" borderId="45" xfId="0" applyNumberFormat="1" applyFont="1" applyFill="1" applyBorder="1" applyAlignment="1">
      <alignment horizontal="left" vertical="top" wrapText="1"/>
    </xf>
    <xf numFmtId="3" fontId="24" fillId="0" borderId="48" xfId="0" applyNumberFormat="1" applyFont="1" applyBorder="1" applyAlignment="1">
      <alignment horizontal="left" vertical="center" wrapText="1"/>
    </xf>
    <xf numFmtId="3" fontId="24" fillId="0" borderId="119" xfId="0" applyNumberFormat="1" applyFont="1" applyBorder="1" applyAlignment="1">
      <alignment horizontal="left" vertical="center" wrapText="1"/>
    </xf>
    <xf numFmtId="3" fontId="24" fillId="9" borderId="112" xfId="0" applyNumberFormat="1" applyFont="1" applyFill="1" applyBorder="1" applyAlignment="1">
      <alignment horizontal="center" vertical="center" wrapText="1"/>
    </xf>
    <xf numFmtId="3" fontId="24" fillId="9" borderId="120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 applyProtection="1">
      <alignment horizontal="left" vertical="top" wrapText="1"/>
      <protection locked="0"/>
    </xf>
    <xf numFmtId="3" fontId="37" fillId="0" borderId="17" xfId="0" applyNumberFormat="1" applyFont="1" applyBorder="1" applyAlignment="1">
      <alignment horizontal="left" vertical="top" wrapText="1"/>
    </xf>
    <xf numFmtId="3" fontId="24" fillId="0" borderId="46" xfId="0" applyNumberFormat="1" applyFont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3" fontId="24" fillId="0" borderId="37" xfId="0" applyNumberFormat="1" applyFont="1" applyBorder="1" applyAlignment="1" applyProtection="1">
      <alignment horizontal="center" vertical="center" wrapText="1"/>
      <protection locked="0"/>
    </xf>
    <xf numFmtId="3" fontId="26" fillId="0" borderId="45" xfId="0" applyNumberFormat="1" applyFont="1" applyBorder="1" applyAlignment="1">
      <alignment horizontal="center" vertical="top"/>
    </xf>
    <xf numFmtId="3" fontId="26" fillId="0" borderId="20" xfId="0" applyNumberFormat="1" applyFont="1" applyBorder="1" applyAlignment="1">
      <alignment horizontal="center" vertical="top"/>
    </xf>
    <xf numFmtId="3" fontId="26" fillId="0" borderId="36" xfId="0" applyNumberFormat="1" applyFont="1" applyBorder="1" applyAlignment="1">
      <alignment horizontal="center" vertical="top"/>
    </xf>
    <xf numFmtId="3" fontId="32" fillId="0" borderId="46" xfId="5" applyNumberFormat="1" applyFont="1" applyFill="1" applyBorder="1" applyAlignment="1" applyProtection="1">
      <alignment horizontal="center" vertical="top"/>
      <protection locked="0"/>
    </xf>
    <xf numFmtId="3" fontId="32" fillId="0" borderId="21" xfId="5" applyNumberFormat="1" applyFont="1" applyFill="1" applyBorder="1" applyAlignment="1" applyProtection="1">
      <alignment horizontal="center" vertical="top"/>
      <protection locked="0"/>
    </xf>
    <xf numFmtId="3" fontId="32" fillId="0" borderId="37" xfId="5" applyNumberFormat="1" applyFont="1" applyFill="1" applyBorder="1" applyAlignment="1" applyProtection="1">
      <alignment horizontal="center" vertical="top"/>
      <protection locked="0"/>
    </xf>
    <xf numFmtId="3" fontId="0" fillId="0" borderId="45" xfId="0" applyNumberFormat="1" applyBorder="1" applyAlignment="1" applyProtection="1">
      <alignment horizontal="center" vertical="top" wrapText="1"/>
      <protection locked="0"/>
    </xf>
    <xf numFmtId="3" fontId="0" fillId="0" borderId="20" xfId="0" applyNumberFormat="1" applyBorder="1" applyAlignment="1" applyProtection="1">
      <alignment horizontal="center" vertical="top" wrapText="1"/>
      <protection locked="0"/>
    </xf>
    <xf numFmtId="3" fontId="0" fillId="0" borderId="36" xfId="0" applyNumberFormat="1" applyBorder="1" applyAlignment="1" applyProtection="1">
      <alignment horizontal="center" vertical="top" wrapText="1"/>
      <protection locked="0"/>
    </xf>
    <xf numFmtId="168" fontId="0" fillId="0" borderId="46" xfId="4" applyNumberFormat="1" applyFont="1" applyFill="1" applyBorder="1" applyAlignment="1" applyProtection="1">
      <alignment horizontal="center" vertical="top"/>
      <protection locked="0"/>
    </xf>
    <xf numFmtId="168" fontId="32" fillId="0" borderId="21" xfId="4" applyNumberFormat="1" applyFont="1" applyFill="1" applyBorder="1" applyAlignment="1" applyProtection="1">
      <alignment horizontal="center" vertical="top"/>
      <protection locked="0"/>
    </xf>
    <xf numFmtId="168" fontId="32" fillId="0" borderId="37" xfId="4" applyNumberFormat="1" applyFont="1" applyFill="1" applyBorder="1" applyAlignment="1" applyProtection="1">
      <alignment horizontal="center" vertical="top"/>
      <protection locked="0"/>
    </xf>
    <xf numFmtId="3" fontId="37" fillId="0" borderId="121" xfId="0" applyNumberFormat="1" applyFont="1" applyBorder="1" applyAlignment="1" applyProtection="1">
      <alignment horizontal="center" vertical="top" wrapText="1"/>
      <protection locked="0"/>
    </xf>
    <xf numFmtId="3" fontId="37" fillId="0" borderId="8" xfId="0" applyNumberFormat="1" applyFont="1" applyBorder="1" applyAlignment="1" applyProtection="1">
      <alignment horizontal="center" vertical="top" wrapText="1"/>
      <protection locked="0"/>
    </xf>
    <xf numFmtId="3" fontId="37" fillId="0" borderId="122" xfId="0" applyNumberFormat="1" applyFont="1" applyBorder="1" applyAlignment="1" applyProtection="1">
      <alignment horizontal="center" vertical="top" wrapText="1"/>
      <protection locked="0"/>
    </xf>
    <xf numFmtId="168" fontId="32" fillId="0" borderId="46" xfId="4" applyNumberFormat="1" applyFont="1" applyFill="1" applyBorder="1" applyAlignment="1" applyProtection="1">
      <alignment horizontal="center" vertical="top"/>
      <protection locked="0"/>
    </xf>
    <xf numFmtId="3" fontId="0" fillId="0" borderId="46" xfId="5" applyNumberFormat="1" applyFont="1" applyFill="1" applyBorder="1" applyAlignment="1" applyProtection="1">
      <alignment horizontal="center" vertical="top"/>
      <protection locked="0"/>
    </xf>
    <xf numFmtId="168" fontId="0" fillId="2" borderId="48" xfId="4" applyNumberFormat="1" applyFont="1" applyFill="1" applyBorder="1" applyAlignment="1" applyProtection="1">
      <alignment horizontal="right" vertical="top"/>
    </xf>
    <xf numFmtId="3" fontId="24" fillId="0" borderId="123" xfId="0" applyNumberFormat="1" applyFont="1" applyBorder="1" applyAlignment="1">
      <alignment horizontal="left" vertical="center" wrapText="1"/>
    </xf>
    <xf numFmtId="3" fontId="24" fillId="0" borderId="124" xfId="0" applyNumberFormat="1" applyFont="1" applyBorder="1" applyAlignment="1">
      <alignment horizontal="left" vertical="center" wrapText="1"/>
    </xf>
    <xf numFmtId="3" fontId="24" fillId="0" borderId="65" xfId="0" applyNumberFormat="1" applyFont="1" applyBorder="1" applyAlignment="1" applyProtection="1">
      <alignment horizontal="left" vertical="center" wrapText="1"/>
      <protection locked="0"/>
    </xf>
    <xf numFmtId="3" fontId="25" fillId="0" borderId="59" xfId="0" applyNumberFormat="1" applyFont="1" applyBorder="1" applyAlignment="1" applyProtection="1">
      <alignment horizontal="left" vertical="top" wrapText="1"/>
      <protection locked="0"/>
    </xf>
    <xf numFmtId="3" fontId="24" fillId="0" borderId="45" xfId="0" applyNumberFormat="1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left" vertical="center" wrapText="1"/>
    </xf>
    <xf numFmtId="3" fontId="24" fillId="0" borderId="36" xfId="0" applyNumberFormat="1" applyFont="1" applyBorder="1" applyAlignment="1">
      <alignment horizontal="left" vertical="center" wrapText="1"/>
    </xf>
    <xf numFmtId="3" fontId="25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3" fontId="24" fillId="9" borderId="45" xfId="0" applyNumberFormat="1" applyFont="1" applyFill="1" applyBorder="1" applyAlignment="1">
      <alignment horizontal="left" vertical="center" wrapText="1"/>
    </xf>
    <xf numFmtId="3" fontId="24" fillId="9" borderId="20" xfId="0" applyNumberFormat="1" applyFont="1" applyFill="1" applyBorder="1" applyAlignment="1">
      <alignment horizontal="left" vertical="center" wrapText="1"/>
    </xf>
    <xf numFmtId="3" fontId="24" fillId="9" borderId="36" xfId="0" applyNumberFormat="1" applyFont="1" applyFill="1" applyBorder="1" applyAlignment="1">
      <alignment horizontal="left" vertical="center" wrapText="1"/>
    </xf>
    <xf numFmtId="3" fontId="25" fillId="0" borderId="44" xfId="0" applyNumberFormat="1" applyFont="1" applyBorder="1" applyAlignment="1" applyProtection="1">
      <alignment horizontal="left" vertical="top" wrapText="1"/>
      <protection locked="0"/>
    </xf>
    <xf numFmtId="3" fontId="19" fillId="9" borderId="18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18" fillId="0" borderId="49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right"/>
    </xf>
    <xf numFmtId="0" fontId="3" fillId="6" borderId="125" xfId="0" applyFont="1" applyFill="1" applyBorder="1" applyAlignment="1" applyProtection="1">
      <alignment horizontal="center" vertical="center" wrapText="1"/>
    </xf>
    <xf numFmtId="9" fontId="3" fillId="0" borderId="16" xfId="3" applyNumberFormat="1" applyFont="1" applyFill="1" applyBorder="1" applyAlignment="1" applyProtection="1">
      <alignment horizontal="center" vertical="center"/>
    </xf>
    <xf numFmtId="0" fontId="3" fillId="6" borderId="125" xfId="0" applyFont="1" applyFill="1" applyBorder="1" applyAlignment="1" applyProtection="1">
      <alignment horizontal="center" vertical="top" wrapText="1"/>
    </xf>
    <xf numFmtId="0" fontId="12" fillId="0" borderId="126" xfId="0" applyFont="1" applyBorder="1" applyAlignment="1" applyProtection="1">
      <alignment horizontal="center"/>
    </xf>
    <xf numFmtId="0" fontId="3" fillId="11" borderId="7" xfId="0" applyFont="1" applyFill="1" applyBorder="1" applyAlignment="1" applyProtection="1">
      <alignment horizontal="right"/>
    </xf>
    <xf numFmtId="0" fontId="3" fillId="25" borderId="125" xfId="0" applyFont="1" applyFill="1" applyBorder="1" applyAlignment="1" applyProtection="1">
      <alignment horizontal="center" vertical="center" wrapText="1"/>
    </xf>
    <xf numFmtId="0" fontId="3" fillId="25" borderId="125" xfId="0" applyFont="1" applyFill="1" applyBorder="1" applyAlignment="1" applyProtection="1">
      <alignment horizontal="center" vertical="top" wrapText="1"/>
    </xf>
    <xf numFmtId="173" fontId="12" fillId="0" borderId="52" xfId="0" applyNumberFormat="1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 wrapText="1"/>
    </xf>
    <xf numFmtId="0" fontId="3" fillId="13" borderId="1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top" wrapText="1"/>
    </xf>
    <xf numFmtId="0" fontId="3" fillId="4" borderId="127" xfId="0" applyFont="1" applyFill="1" applyBorder="1" applyAlignment="1">
      <alignment horizontal="center" vertical="top" wrapText="1"/>
    </xf>
    <xf numFmtId="0" fontId="3" fillId="4" borderId="60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12" borderId="125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11" borderId="128" xfId="0" applyFont="1" applyFill="1" applyBorder="1" applyAlignment="1" applyProtection="1">
      <alignment horizontal="center"/>
    </xf>
    <xf numFmtId="0" fontId="3" fillId="11" borderId="129" xfId="0" applyFont="1" applyFill="1" applyBorder="1" applyAlignment="1" applyProtection="1">
      <alignment horizontal="center"/>
    </xf>
    <xf numFmtId="0" fontId="3" fillId="11" borderId="130" xfId="0" applyFont="1" applyFill="1" applyBorder="1" applyAlignment="1" applyProtection="1">
      <alignment horizontal="center"/>
    </xf>
    <xf numFmtId="0" fontId="3" fillId="0" borderId="128" xfId="0" applyFont="1" applyFill="1" applyBorder="1" applyAlignment="1" applyProtection="1">
      <alignment horizontal="center"/>
    </xf>
    <xf numFmtId="0" fontId="3" fillId="0" borderId="129" xfId="0" applyFont="1" applyFill="1" applyBorder="1" applyAlignment="1" applyProtection="1">
      <alignment horizontal="center"/>
    </xf>
    <xf numFmtId="0" fontId="3" fillId="0" borderId="130" xfId="0" applyFont="1" applyFill="1" applyBorder="1" applyAlignment="1" applyProtection="1">
      <alignment horizontal="center"/>
    </xf>
    <xf numFmtId="0" fontId="3" fillId="11" borderId="131" xfId="0" applyFont="1" applyFill="1" applyBorder="1" applyAlignment="1" applyProtection="1">
      <alignment horizontal="center"/>
    </xf>
    <xf numFmtId="0" fontId="3" fillId="11" borderId="132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/>
    </xf>
    <xf numFmtId="0" fontId="3" fillId="11" borderId="110" xfId="0" applyFont="1" applyFill="1" applyBorder="1" applyAlignment="1" applyProtection="1">
      <alignment horizontal="center" vertical="top" wrapText="1"/>
    </xf>
    <xf numFmtId="0" fontId="29" fillId="0" borderId="5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2" fillId="0" borderId="140" xfId="2" applyFont="1" applyBorder="1" applyAlignment="1">
      <alignment horizontal="center" vertical="center"/>
    </xf>
    <xf numFmtId="0" fontId="43" fillId="0" borderId="140" xfId="2" applyFont="1" applyBorder="1" applyAlignment="1">
      <alignment horizontal="center" vertical="center"/>
    </xf>
    <xf numFmtId="0" fontId="45" fillId="0" borderId="92" xfId="2" applyFont="1" applyBorder="1" applyAlignment="1">
      <alignment horizontal="center" vertical="center"/>
    </xf>
    <xf numFmtId="0" fontId="46" fillId="0" borderId="92" xfId="2" applyFont="1" applyBorder="1" applyAlignment="1">
      <alignment horizontal="center" vertical="center"/>
    </xf>
    <xf numFmtId="0" fontId="45" fillId="0" borderId="98" xfId="2" applyFont="1" applyBorder="1" applyAlignment="1">
      <alignment horizontal="center" vertical="center"/>
    </xf>
    <xf numFmtId="0" fontId="45" fillId="0" borderId="97" xfId="2" applyFont="1" applyBorder="1" applyAlignment="1">
      <alignment horizontal="center" vertical="center"/>
    </xf>
    <xf numFmtId="0" fontId="41" fillId="0" borderId="97" xfId="2" applyFont="1" applyBorder="1" applyAlignment="1">
      <alignment horizontal="center" vertical="center"/>
    </xf>
    <xf numFmtId="0" fontId="41" fillId="0" borderId="99" xfId="2" applyFont="1" applyBorder="1" applyAlignment="1">
      <alignment horizontal="center" vertical="center"/>
    </xf>
    <xf numFmtId="0" fontId="45" fillId="23" borderId="98" xfId="2" applyFont="1" applyFill="1" applyBorder="1" applyAlignment="1">
      <alignment horizontal="center" vertical="center"/>
    </xf>
    <xf numFmtId="0" fontId="45" fillId="23" borderId="97" xfId="2" applyFont="1" applyFill="1" applyBorder="1" applyAlignment="1">
      <alignment horizontal="center" vertical="center"/>
    </xf>
    <xf numFmtId="0" fontId="45" fillId="23" borderId="99" xfId="2" applyFont="1" applyFill="1" applyBorder="1" applyAlignment="1">
      <alignment horizontal="center" vertical="center"/>
    </xf>
    <xf numFmtId="0" fontId="45" fillId="0" borderId="99" xfId="2" applyFont="1" applyBorder="1" applyAlignment="1">
      <alignment horizontal="center" vertical="center"/>
    </xf>
    <xf numFmtId="0" fontId="45" fillId="20" borderId="98" xfId="2" applyFont="1" applyFill="1" applyBorder="1" applyAlignment="1">
      <alignment horizontal="center" vertical="center"/>
    </xf>
    <xf numFmtId="0" fontId="45" fillId="20" borderId="97" xfId="2" applyFont="1" applyFill="1" applyBorder="1" applyAlignment="1">
      <alignment horizontal="center" vertical="center"/>
    </xf>
    <xf numFmtId="0" fontId="45" fillId="20" borderId="99" xfId="2" applyFont="1" applyFill="1" applyBorder="1" applyAlignment="1">
      <alignment horizontal="center" vertical="center"/>
    </xf>
    <xf numFmtId="0" fontId="45" fillId="0" borderId="133" xfId="2" applyFont="1" applyBorder="1" applyAlignment="1">
      <alignment horizontal="center" vertical="center"/>
    </xf>
    <xf numFmtId="0" fontId="45" fillId="0" borderId="95" xfId="2" applyFont="1" applyBorder="1" applyAlignment="1">
      <alignment horizontal="center" vertical="center"/>
    </xf>
    <xf numFmtId="0" fontId="45" fillId="0" borderId="134" xfId="2" applyFont="1" applyBorder="1" applyAlignment="1">
      <alignment horizontal="center" vertical="center"/>
    </xf>
    <xf numFmtId="0" fontId="45" fillId="0" borderId="135" xfId="2" applyFont="1" applyBorder="1" applyAlignment="1">
      <alignment horizontal="center" vertical="center"/>
    </xf>
    <xf numFmtId="0" fontId="45" fillId="0" borderId="136" xfId="2" applyFont="1" applyBorder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42" fillId="0" borderId="88" xfId="2" applyFont="1" applyBorder="1" applyAlignment="1">
      <alignment horizontal="center" vertical="top"/>
    </xf>
    <xf numFmtId="0" fontId="44" fillId="0" borderId="89" xfId="2" applyFont="1" applyBorder="1" applyAlignment="1">
      <alignment horizontal="center" vertical="top"/>
    </xf>
    <xf numFmtId="0" fontId="44" fillId="0" borderId="92" xfId="2" applyFont="1" applyBorder="1" applyAlignment="1">
      <alignment horizontal="center" vertical="center"/>
    </xf>
    <xf numFmtId="0" fontId="42" fillId="0" borderId="88" xfId="2" applyFont="1" applyBorder="1" applyAlignment="1">
      <alignment horizontal="center" vertical="center"/>
    </xf>
    <xf numFmtId="0" fontId="44" fillId="0" borderId="89" xfId="2" applyFont="1" applyBorder="1" applyAlignment="1">
      <alignment horizontal="center" vertical="center"/>
    </xf>
    <xf numFmtId="0" fontId="44" fillId="0" borderId="91" xfId="2" applyFont="1" applyBorder="1" applyAlignment="1">
      <alignment horizontal="center" vertical="center"/>
    </xf>
    <xf numFmtId="0" fontId="45" fillId="23" borderId="137" xfId="2" applyFont="1" applyFill="1" applyBorder="1" applyAlignment="1">
      <alignment horizontal="center" vertical="center"/>
    </xf>
    <xf numFmtId="0" fontId="45" fillId="23" borderId="138" xfId="2" applyFont="1" applyFill="1" applyBorder="1" applyAlignment="1">
      <alignment horizontal="center" vertical="center"/>
    </xf>
    <xf numFmtId="0" fontId="45" fillId="23" borderId="139" xfId="2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1" xfId="0" applyFont="1" applyBorder="1" applyAlignment="1">
      <alignment vertical="center" wrapText="1"/>
    </xf>
    <xf numFmtId="0" fontId="2" fillId="0" borderId="141" xfId="0" applyFont="1" applyBorder="1" applyAlignment="1">
      <alignment vertical="center"/>
    </xf>
    <xf numFmtId="0" fontId="50" fillId="0" borderId="0" xfId="0" applyFont="1" applyAlignment="1">
      <alignment vertical="center"/>
    </xf>
  </cellXfs>
  <cellStyles count="7">
    <cellStyle name="Comma" xfId="4" builtinId="3"/>
    <cellStyle name="Hyperlink" xfId="1" builtinId="8"/>
    <cellStyle name="Normal" xfId="0" builtinId="0"/>
    <cellStyle name="Normal 2" xfId="2"/>
    <cellStyle name="Percent" xfId="3" builtinId="5"/>
    <cellStyle name="Separador de milhares 11 2" xfId="5"/>
    <cellStyle name="Vírgula 2" xfId="6"/>
  </cellStyles>
  <dxfs count="6">
    <dxf>
      <font>
        <b val="0"/>
        <i val="0"/>
        <strike val="0"/>
        <condense val="0"/>
        <extend val="0"/>
        <u val="none"/>
        <sz val="10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u val="none"/>
        <sz val="10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u val="none"/>
        <sz val="10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C4BD97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FBFBF"/>
      <rgbColor rgb="00B3B3B3"/>
      <rgbColor rgb="00FFCC99"/>
      <rgbColor rgb="003333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7</xdr:row>
      <xdr:rowOff>85725</xdr:rowOff>
    </xdr:from>
    <xdr:to>
      <xdr:col>5</xdr:col>
      <xdr:colOff>219075</xdr:colOff>
      <xdr:row>11</xdr:row>
      <xdr:rowOff>152400</xdr:rowOff>
    </xdr:to>
    <xdr:pic>
      <xdr:nvPicPr>
        <xdr:cNvPr id="2355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1219200"/>
          <a:ext cx="1714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85725</xdr:rowOff>
    </xdr:from>
    <xdr:to>
      <xdr:col>1</xdr:col>
      <xdr:colOff>1800225</xdr:colOff>
      <xdr:row>6</xdr:row>
      <xdr:rowOff>142875</xdr:rowOff>
    </xdr:to>
    <xdr:pic>
      <xdr:nvPicPr>
        <xdr:cNvPr id="2457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409575"/>
          <a:ext cx="1704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1</xdr:col>
      <xdr:colOff>1524000</xdr:colOff>
      <xdr:row>3</xdr:row>
      <xdr:rowOff>63744</xdr:rowOff>
    </xdr:to>
    <xdr:pic>
      <xdr:nvPicPr>
        <xdr:cNvPr id="22529" name="Picture 3" descr="logo_email_portugu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47625"/>
          <a:ext cx="1285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Projeto%20BID%20Documenta&#231;&#245;es\anexos\Copia%20Base%20-%20Componente%201%20-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-herbertz\AppData\Local\Microsoft\Windows\Temporary%20Internet%20Files\Content.IE5\GQY6M71S\Copia%20Base%20-%20Componente%201%20-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-herbertz\AppData\Local\Microsoft\Windows\Temporary%20Internet%20Files\Content.IE5\GHJEJUNE\POD_RS%20PAI%20POA%20PA%2004082012%20v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Projeto%20BID%20Documenta&#231;&#245;es\anexos\POD_RS%20PAI%20POA%20PA%2004082012%20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-herbertz\AppData\Local\Microsoft\Windows\Temporary%20Internet%20Files\Content.IE5\GQY6M71S\POD_RS%20PAI%20POA%20PA%2004082012%20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Componente 1"/>
    </sheetNames>
    <sheetDataSet>
      <sheetData sheetId="0">
        <row r="1">
          <cell r="A1" t="str">
            <v>V- PRODUTOS, ATIVIDADES E RECURSOS</v>
          </cell>
        </row>
        <row r="2">
          <cell r="A2" t="str">
            <v>$'3_Comp e Produtos'.#R'file:///tmp/PS PAI POA PA 210612.xls'#'9_Cronograma Físico'.B6:AB32EF!#REF!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5">
          <cell r="A5" t="str">
            <v>1.1 Implementação de um novo modelo de planificação e gestão integrada de segurança pública, aumentando a eficácia policial</v>
          </cell>
          <cell r="B5" t="str">
            <v>somatória dos produtos 1.2 até 1.5</v>
          </cell>
          <cell r="C5" t="str">
            <v>?</v>
          </cell>
        </row>
        <row r="9">
          <cell r="A9">
            <v>0</v>
          </cell>
        </row>
        <row r="10">
          <cell r="A10" t="str">
            <v>1.2 Criação de um sistema integrado para produção de informação sobre o crime, articulando as unidades regionais de estatísticas e fortalecendo a análise e investigação criminal</v>
          </cell>
          <cell r="B10" t="str">
            <v xml:space="preserve">1.2.1-Desenvolvimento de um sistema integrado de informações entre as polícias ambiental, civil, militar e federal, corpo de bombeiros e Centros de Socioeducação (CENSE), integrando 28 unidades policiais regionais e todos os CENSEs;
</v>
          </cell>
          <cell r="C10" t="str">
            <v>LINHA BASE: Ausência de um sistema que integre as informações da segurança pública
METAS: Diminuição do índice de criminalidade no Paraná, especialmente na faixa etária de 15 a 24 anos e aumento no atendimento "in loco".</v>
          </cell>
          <cell r="G10">
            <v>0</v>
          </cell>
          <cell r="K10">
            <v>0</v>
          </cell>
          <cell r="L10" t="str">
            <v>Sistema Integrado de Informações, constituído por software de inserção, armazenamento, consulta e integração de dados de órgãos com funções correlatas à segurança pública</v>
          </cell>
          <cell r="M10">
            <v>1</v>
          </cell>
          <cell r="N10">
            <v>16425000</v>
          </cell>
          <cell r="O10">
            <v>16425000</v>
          </cell>
          <cell r="S10">
            <v>0</v>
          </cell>
          <cell r="W10">
            <v>0</v>
          </cell>
        </row>
        <row r="11">
          <cell r="B11" t="str">
            <v>1.2.2- Aquisição de 150 conjtuntos de acesso WEB contendo 1 tablet, 1 modem 4G e 1 dispositivo de coleta de impressão digital para acesso remoto</v>
          </cell>
          <cell r="G11">
            <v>0</v>
          </cell>
          <cell r="K11">
            <v>0</v>
          </cell>
          <cell r="L11" t="str">
            <v>Conjunto de instrumentos de Tecnologia de Informação e Comunicação para acesso remoto</v>
          </cell>
          <cell r="M11">
            <v>150</v>
          </cell>
          <cell r="N11">
            <v>3183</v>
          </cell>
          <cell r="O11">
            <v>477385</v>
          </cell>
          <cell r="S11">
            <v>0</v>
          </cell>
          <cell r="W11">
            <v>0</v>
          </cell>
        </row>
        <row r="12">
          <cell r="B12" t="str">
            <v>1.2.3-Aquisição de 34 conjunto de equipamentos de processamento de dados contendo 1 microcomputador Desktop, 1 impressora e 1 notebook;</v>
          </cell>
          <cell r="G12">
            <v>0</v>
          </cell>
          <cell r="K12">
            <v>0</v>
          </cell>
          <cell r="L12" t="str">
            <v>Computadoes, impressoras e notebooks</v>
          </cell>
          <cell r="M12">
            <v>34</v>
          </cell>
          <cell r="N12">
            <v>5848</v>
          </cell>
          <cell r="O12">
            <v>198815</v>
          </cell>
          <cell r="S12">
            <v>0</v>
          </cell>
          <cell r="W12">
            <v>0</v>
          </cell>
        </row>
        <row r="14">
          <cell r="A14">
            <v>17101200</v>
          </cell>
          <cell r="G14">
            <v>0</v>
          </cell>
          <cell r="K14">
            <v>0</v>
          </cell>
          <cell r="L14" t="str">
            <v>Total</v>
          </cell>
          <cell r="M14">
            <v>185</v>
          </cell>
          <cell r="N14">
            <v>16434031</v>
          </cell>
          <cell r="O14">
            <v>17101200</v>
          </cell>
          <cell r="S14">
            <v>0</v>
          </cell>
          <cell r="W14">
            <v>0</v>
          </cell>
        </row>
        <row r="15">
          <cell r="A15" t="str">
            <v>1.3 Reestruturação com  construção de delegacias cidadãs com serviços integrados de segurança publica, defensoria, assistência social e ministério público.</v>
          </cell>
          <cell r="B15" t="str">
            <v>1.3.1 Construção de 4  Delegacia referenciais cidadãs na RMC(Tamandaré/Colombo/Piraquara/SJPinhasi), 3 na região de fronteira(Fox/toledo/Cascavel) e 3 no eixo Londrina-Maringá(cornélio/Londrina/Maringá).</v>
          </cell>
          <cell r="C15" t="str">
            <v>LINHA BASE: Delegacias em más condições, adaptadas em edifícios não próprios e ou locações.
METAS:
Prover melhor atendimento com edifício multisetorial, com novas salas para policiais,  defensoria pública, assistência social, identificação civil, aumenta</v>
          </cell>
          <cell r="P15" t="str">
            <v>Construção de 10 Delegacias Cidadãs</v>
          </cell>
          <cell r="Q15">
            <v>10</v>
          </cell>
          <cell r="R15">
            <v>7456620</v>
          </cell>
          <cell r="S15">
            <v>74566199</v>
          </cell>
        </row>
        <row r="16">
          <cell r="B16" t="str">
            <v xml:space="preserve">1.3.2 Elaboração do Projeto Arquitetônico e complementares; </v>
          </cell>
          <cell r="P16" t="str">
            <v>Projetos Arquitetônicos e complementares</v>
          </cell>
          <cell r="Q16">
            <v>1</v>
          </cell>
          <cell r="R16">
            <v>113306</v>
          </cell>
          <cell r="S16">
            <v>113306</v>
          </cell>
        </row>
        <row r="17">
          <cell r="B17" t="str">
            <v>1.3.4-Aquisição de mobiliário e equipamentos para as 11 unidades policiais</v>
          </cell>
          <cell r="O17">
            <v>0</v>
          </cell>
          <cell r="P17" t="str">
            <v>Mobiliário e Equipamentos</v>
          </cell>
          <cell r="Q17">
            <v>11</v>
          </cell>
          <cell r="R17">
            <v>481966</v>
          </cell>
          <cell r="S17">
            <v>5301625</v>
          </cell>
        </row>
        <row r="18">
          <cell r="A18">
            <v>79981130</v>
          </cell>
          <cell r="G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22</v>
          </cell>
          <cell r="R18">
            <v>8051892</v>
          </cell>
          <cell r="S18">
            <v>79981130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1.4 Implementação de um novo modelo de polícia comunitária, definido como Sistema Modular de Policia Urbana distribuindo efetivos policias e meios materiais aos bairros com maior número de ocorrência, priorizando o desenvolvimento de uma polícia de proxim</v>
          </cell>
          <cell r="B19" t="str">
            <v>1.4.1-Aquisição de 303 conjuntos do Sistema Modular de Polícia Urbana
 1.4.2-Aquisição de 303 conjuntos de equipamentos contendo: Grafismo Polícia Militar, Luzes auxiliares, Mobiliário, Sistema Elétrico com Gerador, Farol de Busca, Compartimento de Preso,</v>
          </cell>
          <cell r="C19" t="str">
            <v xml:space="preserve">LINHA BASE: Falta de Sistemas Modulares de Polícia Urbana nas 27 cidades polo de criminalidade e em Curitiba.
METAS: Implantação de 303 Módulos Móveis contendo 1 Van, 1 Automóvel e 2 motocicletas, nas 27 cidades polo de criminalidade e em Curitiba, para </v>
          </cell>
          <cell r="L19" t="str">
            <v>Unidade com 01 VAN – POSTO MÓVEL COM GERADOR e outros equipamentos; 01 Auto Móvel CAMIONETA STATION WAGON 1.6 equipado com instrumentos; 02 MOTOCICLETAS 300 CILINDRADAS com rádio e capacetes especiais de comunicação.</v>
          </cell>
          <cell r="M19">
            <v>303</v>
          </cell>
          <cell r="N19">
            <v>149655.6</v>
          </cell>
          <cell r="O19">
            <v>45345647</v>
          </cell>
        </row>
        <row r="20">
          <cell r="L20" t="str">
            <v>Equipamentos: Grafismo, Luzes auxiliares, Gerador, Farol de busca, compartimento de preso, sinalizador wet, Rádio transceptor digital, rastreador, terminal de dados.</v>
          </cell>
          <cell r="M20">
            <v>303</v>
          </cell>
          <cell r="N20">
            <v>110128</v>
          </cell>
          <cell r="O20">
            <v>33368784</v>
          </cell>
        </row>
        <row r="21">
          <cell r="L21" t="str">
            <v>Equipamentos: Grafismo, Luzes auxiliares, Gerador, Farol de busca, compartimento de preso, sinalizador wet, Rádio transceptor digital, rastreador, terminal de dados.</v>
          </cell>
          <cell r="M21">
            <v>303</v>
          </cell>
          <cell r="N21">
            <v>110128</v>
          </cell>
          <cell r="O21">
            <v>33368784</v>
          </cell>
        </row>
        <row r="22">
          <cell r="A22">
            <v>78714431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str">
            <v>Total</v>
          </cell>
          <cell r="M22">
            <v>303</v>
          </cell>
          <cell r="N22">
            <v>259784</v>
          </cell>
          <cell r="O22">
            <v>78714431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 t="str">
            <v xml:space="preserve">1.5 Estruturação, na Polícia Civil, de uma DHPP - Divisão de Homicídios e Proteção a Pessoas, para o acompanhamento e investigação de homicídios e atentados contra a vida humana. </v>
          </cell>
          <cell r="B23" t="str">
            <v xml:space="preserve">1.5.1-Construção e Estruturação de edifício com 1630,99 m2; </v>
          </cell>
          <cell r="C23" t="str">
            <v>LINHA BASE: Delegacia de Homicídios de Curitiba  em más condições, adaptada em edifício não próprio, locado.
METAS:
Prover melhor atendimento com edifício multisetorial, com novas salas para policiais,  defensoria pública, assistência social, identificaç</v>
          </cell>
          <cell r="P23" t="str">
            <v>Construção de DHPP 1630,99 m2 em curitiba/PR</v>
          </cell>
          <cell r="Q23">
            <v>1631</v>
          </cell>
          <cell r="R23">
            <v>5139.3999999999996</v>
          </cell>
          <cell r="S23">
            <v>8219212</v>
          </cell>
        </row>
        <row r="24">
          <cell r="B24" t="str">
            <v xml:space="preserve">1.5.2-Elaboração do Projeto Arquitetônico e complementares; </v>
          </cell>
          <cell r="P24" t="str">
            <v>Projeto Arquitetônico e auxiliares</v>
          </cell>
          <cell r="Q24">
            <v>1</v>
          </cell>
          <cell r="R24">
            <v>11331</v>
          </cell>
          <cell r="S24">
            <v>11331</v>
          </cell>
        </row>
        <row r="25">
          <cell r="B25" t="str">
            <v>1.5.3-Aquisição de mobiliário, equipamentos e veículos;</v>
          </cell>
          <cell r="P25" t="str">
            <v>Mobiliários e Equipamentos</v>
          </cell>
          <cell r="Q25">
            <v>1</v>
          </cell>
          <cell r="R25">
            <v>633493</v>
          </cell>
          <cell r="S25">
            <v>633493</v>
          </cell>
        </row>
        <row r="26">
          <cell r="A26">
            <v>8864036</v>
          </cell>
          <cell r="S26">
            <v>8864036</v>
          </cell>
        </row>
        <row r="27">
          <cell r="A27" t="str">
            <v>1.6 Capacitação das polícias em atendimento comunitário, direitos humanos, mediação de conflitos e análise criminal.</v>
          </cell>
          <cell r="B27" t="str">
            <v xml:space="preserve">1.6.1-Desenvolvimento de 4 cursos que envolvam disciplinas para Policiamento e Atendimento Comunitário; 1.6.2-Curso de especialização e capacitação continuada para os profissionais envolvidos na execução do projeto;
</v>
          </cell>
          <cell r="C27" t="str">
            <v>META:
Capacitar 6.154 policiais e 40 funcionários do CENSE</v>
          </cell>
          <cell r="D27" t="str">
            <v>Cursos para Policia militar, civil, perícias, bombeiros, Secretaria de Família.</v>
          </cell>
          <cell r="E27">
            <v>6194</v>
          </cell>
          <cell r="F27">
            <v>603.32000000000005</v>
          </cell>
          <cell r="G27">
            <v>3736960</v>
          </cell>
        </row>
        <row r="28">
          <cell r="B28" t="str">
            <v xml:space="preserve">1.6.1-Curso de especialização e capacitação continuada para os profissionais envolvidos na execução do projeto; </v>
          </cell>
          <cell r="D28" t="str">
            <v>Curso de Especialização</v>
          </cell>
          <cell r="E28">
            <v>240</v>
          </cell>
          <cell r="F28">
            <v>2500</v>
          </cell>
          <cell r="G28">
            <v>600000</v>
          </cell>
        </row>
        <row r="29">
          <cell r="A29">
            <v>3736961</v>
          </cell>
          <cell r="D29" t="str">
            <v>Curso de Especialização</v>
          </cell>
          <cell r="E29">
            <v>215</v>
          </cell>
          <cell r="F29">
            <v>2475</v>
          </cell>
          <cell r="G29">
            <v>532125</v>
          </cell>
        </row>
        <row r="30">
          <cell r="A30">
            <v>3736962</v>
          </cell>
          <cell r="D30" t="str">
            <v>Curso de Especialização</v>
          </cell>
          <cell r="E30">
            <v>216</v>
          </cell>
          <cell r="F30">
            <v>2476</v>
          </cell>
          <cell r="G30">
            <v>534816</v>
          </cell>
        </row>
        <row r="31">
          <cell r="A31">
            <v>3736963</v>
          </cell>
          <cell r="D31" t="str">
            <v>Curso de Especialização</v>
          </cell>
          <cell r="E31">
            <v>217</v>
          </cell>
          <cell r="F31">
            <v>2477</v>
          </cell>
          <cell r="G31">
            <v>537509</v>
          </cell>
        </row>
        <row r="32">
          <cell r="A32">
            <v>3736964</v>
          </cell>
          <cell r="D32" t="str">
            <v>Curso de Especialização</v>
          </cell>
          <cell r="E32">
            <v>218</v>
          </cell>
          <cell r="F32">
            <v>2478</v>
          </cell>
          <cell r="G32">
            <v>540204</v>
          </cell>
        </row>
        <row r="33">
          <cell r="A33">
            <v>3736965</v>
          </cell>
          <cell r="D33" t="str">
            <v>Curso de Especialização</v>
          </cell>
          <cell r="E33">
            <v>219</v>
          </cell>
          <cell r="F33">
            <v>2479</v>
          </cell>
          <cell r="G33">
            <v>542901</v>
          </cell>
        </row>
        <row r="34">
          <cell r="A34">
            <v>3736966</v>
          </cell>
          <cell r="D34" t="str">
            <v>Curso de Especialização</v>
          </cell>
          <cell r="E34">
            <v>220</v>
          </cell>
          <cell r="F34">
            <v>2480</v>
          </cell>
          <cell r="G34">
            <v>545600</v>
          </cell>
        </row>
        <row r="35">
          <cell r="A35">
            <v>3736967</v>
          </cell>
          <cell r="D35" t="str">
            <v>Curso de Especialização</v>
          </cell>
          <cell r="E35">
            <v>221</v>
          </cell>
          <cell r="F35">
            <v>2481</v>
          </cell>
          <cell r="G35">
            <v>548301</v>
          </cell>
        </row>
        <row r="36">
          <cell r="A36">
            <v>3736968</v>
          </cell>
          <cell r="D36" t="str">
            <v>Curso de Especialização</v>
          </cell>
          <cell r="E36">
            <v>222</v>
          </cell>
          <cell r="F36">
            <v>2482</v>
          </cell>
          <cell r="G36">
            <v>551004</v>
          </cell>
        </row>
        <row r="37">
          <cell r="A37">
            <v>3736969</v>
          </cell>
          <cell r="D37" t="str">
            <v>Curso de Especialização</v>
          </cell>
          <cell r="E37">
            <v>223</v>
          </cell>
          <cell r="F37">
            <v>2483</v>
          </cell>
          <cell r="G37">
            <v>553709</v>
          </cell>
        </row>
        <row r="38">
          <cell r="A38">
            <v>3736970</v>
          </cell>
          <cell r="D38" t="str">
            <v>Curso de Especialização</v>
          </cell>
          <cell r="E38">
            <v>224</v>
          </cell>
          <cell r="F38">
            <v>2484</v>
          </cell>
          <cell r="G38">
            <v>556416</v>
          </cell>
        </row>
        <row r="39">
          <cell r="A39">
            <v>3736971</v>
          </cell>
          <cell r="D39" t="str">
            <v>Curso de Especialização</v>
          </cell>
          <cell r="E39">
            <v>225</v>
          </cell>
          <cell r="F39">
            <v>2485</v>
          </cell>
          <cell r="G39">
            <v>559125</v>
          </cell>
        </row>
        <row r="40">
          <cell r="A40">
            <v>3736972</v>
          </cell>
          <cell r="D40" t="str">
            <v>Curso de Especialização</v>
          </cell>
          <cell r="E40">
            <v>226</v>
          </cell>
          <cell r="F40">
            <v>2486</v>
          </cell>
          <cell r="G40">
            <v>561836</v>
          </cell>
        </row>
        <row r="41">
          <cell r="A41">
            <v>3736973</v>
          </cell>
          <cell r="D41" t="str">
            <v>Curso de Especialização</v>
          </cell>
          <cell r="E41">
            <v>227</v>
          </cell>
          <cell r="F41">
            <v>2487</v>
          </cell>
          <cell r="G41">
            <v>564549</v>
          </cell>
        </row>
        <row r="42">
          <cell r="A42">
            <v>3736974</v>
          </cell>
          <cell r="D42" t="str">
            <v>Curso de Especialização</v>
          </cell>
          <cell r="E42">
            <v>228</v>
          </cell>
          <cell r="F42">
            <v>2488</v>
          </cell>
          <cell r="G42">
            <v>567264</v>
          </cell>
        </row>
        <row r="43">
          <cell r="A43">
            <v>3736975</v>
          </cell>
          <cell r="D43" t="str">
            <v>Curso de Especialização</v>
          </cell>
          <cell r="E43">
            <v>229</v>
          </cell>
          <cell r="F43">
            <v>2489</v>
          </cell>
          <cell r="G43">
            <v>569981</v>
          </cell>
        </row>
        <row r="44">
          <cell r="A44">
            <v>3736976</v>
          </cell>
          <cell r="D44" t="str">
            <v>Curso de Especialização</v>
          </cell>
          <cell r="E44">
            <v>230</v>
          </cell>
          <cell r="F44">
            <v>2490</v>
          </cell>
          <cell r="G44">
            <v>572700</v>
          </cell>
        </row>
        <row r="45">
          <cell r="A45">
            <v>3736977</v>
          </cell>
          <cell r="D45" t="str">
            <v>Curso de Especialização</v>
          </cell>
          <cell r="E45">
            <v>231</v>
          </cell>
          <cell r="F45">
            <v>2491</v>
          </cell>
          <cell r="G45">
            <v>575421</v>
          </cell>
        </row>
        <row r="46">
          <cell r="A46">
            <v>3736978</v>
          </cell>
          <cell r="D46" t="str">
            <v>Curso de Especialização</v>
          </cell>
          <cell r="E46">
            <v>232</v>
          </cell>
          <cell r="F46">
            <v>2492</v>
          </cell>
          <cell r="G46">
            <v>578144</v>
          </cell>
        </row>
        <row r="47">
          <cell r="A47">
            <v>3736979</v>
          </cell>
          <cell r="D47" t="str">
            <v>Curso de Especialização</v>
          </cell>
          <cell r="E47">
            <v>233</v>
          </cell>
          <cell r="F47">
            <v>2493</v>
          </cell>
          <cell r="G47">
            <v>580869</v>
          </cell>
        </row>
        <row r="48">
          <cell r="A48">
            <v>3736980</v>
          </cell>
          <cell r="D48" t="str">
            <v>Curso de Especialização</v>
          </cell>
          <cell r="E48">
            <v>234</v>
          </cell>
          <cell r="F48">
            <v>2494</v>
          </cell>
          <cell r="G48">
            <v>583596</v>
          </cell>
        </row>
        <row r="49">
          <cell r="A49">
            <v>3736981</v>
          </cell>
          <cell r="D49" t="str">
            <v>Curso de Especialização</v>
          </cell>
          <cell r="E49">
            <v>235</v>
          </cell>
          <cell r="F49">
            <v>2495</v>
          </cell>
          <cell r="G49">
            <v>586325</v>
          </cell>
        </row>
        <row r="50">
          <cell r="A50">
            <v>3736982</v>
          </cell>
          <cell r="D50" t="str">
            <v>Curso de Especialização</v>
          </cell>
          <cell r="E50">
            <v>236</v>
          </cell>
          <cell r="F50">
            <v>2496</v>
          </cell>
          <cell r="G50">
            <v>589056</v>
          </cell>
        </row>
        <row r="51">
          <cell r="A51">
            <v>3736983</v>
          </cell>
          <cell r="D51" t="str">
            <v>Curso de Especialização</v>
          </cell>
          <cell r="E51">
            <v>237</v>
          </cell>
          <cell r="F51">
            <v>2497</v>
          </cell>
          <cell r="G51">
            <v>591789</v>
          </cell>
        </row>
        <row r="52">
          <cell r="A52">
            <v>3736984</v>
          </cell>
          <cell r="D52" t="str">
            <v>Curso de Especialização</v>
          </cell>
          <cell r="E52">
            <v>238</v>
          </cell>
          <cell r="F52">
            <v>2498</v>
          </cell>
          <cell r="G52">
            <v>594524</v>
          </cell>
        </row>
        <row r="53">
          <cell r="A53">
            <v>3736985</v>
          </cell>
          <cell r="D53" t="str">
            <v>Curso de Especialização</v>
          </cell>
          <cell r="E53">
            <v>239</v>
          </cell>
          <cell r="F53">
            <v>2499</v>
          </cell>
          <cell r="G53">
            <v>597261</v>
          </cell>
        </row>
        <row r="54">
          <cell r="A54">
            <v>4336960</v>
          </cell>
          <cell r="G54">
            <v>4336960</v>
          </cell>
        </row>
        <row r="55">
          <cell r="A55">
            <v>188997757</v>
          </cell>
          <cell r="C55">
            <v>0</v>
          </cell>
          <cell r="D55" t="str">
            <v>Total..........</v>
          </cell>
          <cell r="G55">
            <v>4336960</v>
          </cell>
          <cell r="H55" t="str">
            <v>Total..........</v>
          </cell>
          <cell r="I55">
            <v>0</v>
          </cell>
          <cell r="J55">
            <v>0</v>
          </cell>
          <cell r="K55">
            <v>0</v>
          </cell>
          <cell r="L55" t="str">
            <v>Total..........</v>
          </cell>
          <cell r="M55">
            <v>488</v>
          </cell>
          <cell r="N55">
            <v>16693815</v>
          </cell>
          <cell r="O55">
            <v>95815631</v>
          </cell>
          <cell r="P55" t="str">
            <v>Total..........</v>
          </cell>
          <cell r="Q55">
            <v>22</v>
          </cell>
          <cell r="R55">
            <v>8051892</v>
          </cell>
          <cell r="S55">
            <v>88845166</v>
          </cell>
          <cell r="T55" t="str">
            <v>Total..........</v>
          </cell>
          <cell r="U55">
            <v>0</v>
          </cell>
          <cell r="V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Componente 1"/>
    </sheetNames>
    <sheetDataSet>
      <sheetData sheetId="0">
        <row r="1">
          <cell r="A1" t="str">
            <v>V- PRODUTOS, ATIVIDADES E RECURSOS</v>
          </cell>
        </row>
        <row r="2">
          <cell r="A2" t="str">
            <v>$'3_Comp e Produtos'.#R'file:///tmp/PS PAI POA PA 210612.xls'#'9_Cronograma Físico'.B6:AB32EF!#REF!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5">
          <cell r="A5" t="str">
            <v>1.1 Implementação de um novo modelo de planificação e gestão integrada de segurança pública, aumentando a eficácia policial</v>
          </cell>
          <cell r="B5" t="str">
            <v>somatória dos produtos 1.2 até 1.5</v>
          </cell>
          <cell r="C5" t="str">
            <v>?</v>
          </cell>
        </row>
        <row r="9">
          <cell r="A9">
            <v>0</v>
          </cell>
        </row>
        <row r="10">
          <cell r="A10" t="str">
            <v>1.2 Criação de um sistema integrado para produção de informação sobre o crime, articulando as unidades regionais de estatísticas e fortalecendo a análise e investigação criminal</v>
          </cell>
          <cell r="B10" t="str">
            <v xml:space="preserve">1.2.1-Desenvolvimento de um sistema integrado de informações entre as polícias ambiental, civil, militar e federal, corpo de bombeiros e Centros de Socioeducação (CENSE), integrando 28 unidades policiais regionais e todos os CENSEs;
</v>
          </cell>
          <cell r="C10" t="str">
            <v>LINHA BASE: Ausência de um sistema que integre as informações da segurança pública
METAS: Diminuição do índice de criminalidade no Paraná, especialmente na faixa etária de 15 a 24 anos e aumento no atendimento "in loco".</v>
          </cell>
          <cell r="G10">
            <v>0</v>
          </cell>
          <cell r="K10">
            <v>0</v>
          </cell>
          <cell r="L10" t="str">
            <v>Sistema Integrado de Informações, constituído por software de inserção, armazenamento, consulta e integração de dados de órgãos com funções correlatas à segurança pública</v>
          </cell>
          <cell r="M10">
            <v>1</v>
          </cell>
          <cell r="N10">
            <v>16425000</v>
          </cell>
          <cell r="O10">
            <v>16425000</v>
          </cell>
          <cell r="S10">
            <v>0</v>
          </cell>
          <cell r="W10">
            <v>0</v>
          </cell>
        </row>
        <row r="11">
          <cell r="B11" t="str">
            <v>1.2.2- Aquisição de 150 conjtuntos de acesso WEB contendo 1 tablet, 1 modem 4G e 1 dispositivo de coleta de impressão digital para acesso remoto</v>
          </cell>
          <cell r="G11">
            <v>0</v>
          </cell>
          <cell r="K11">
            <v>0</v>
          </cell>
          <cell r="L11" t="str">
            <v>Conjunto de instrumentos de Tecnologia de Informação e Comunicação para acesso remoto</v>
          </cell>
          <cell r="M11">
            <v>150</v>
          </cell>
          <cell r="N11">
            <v>3183</v>
          </cell>
          <cell r="O11">
            <v>477385</v>
          </cell>
          <cell r="S11">
            <v>0</v>
          </cell>
          <cell r="W11">
            <v>0</v>
          </cell>
        </row>
        <row r="12">
          <cell r="B12" t="str">
            <v>1.2.3-Aquisição de 34 conjunto de equipamentos de processamento de dados contendo 1 microcomputador Desktop, 1 impressora e 1 notebook;</v>
          </cell>
          <cell r="G12">
            <v>0</v>
          </cell>
          <cell r="K12">
            <v>0</v>
          </cell>
          <cell r="L12" t="str">
            <v>Computadoes, impressoras e notebooks</v>
          </cell>
          <cell r="M12">
            <v>34</v>
          </cell>
          <cell r="N12">
            <v>5848</v>
          </cell>
          <cell r="O12">
            <v>198815</v>
          </cell>
          <cell r="S12">
            <v>0</v>
          </cell>
          <cell r="W12">
            <v>0</v>
          </cell>
        </row>
        <row r="14">
          <cell r="A14">
            <v>17101200</v>
          </cell>
          <cell r="G14">
            <v>0</v>
          </cell>
          <cell r="K14">
            <v>0</v>
          </cell>
          <cell r="L14" t="str">
            <v>Total</v>
          </cell>
          <cell r="M14">
            <v>185</v>
          </cell>
          <cell r="N14">
            <v>16434031</v>
          </cell>
          <cell r="O14">
            <v>17101200</v>
          </cell>
          <cell r="S14">
            <v>0</v>
          </cell>
          <cell r="W14">
            <v>0</v>
          </cell>
        </row>
        <row r="15">
          <cell r="A15" t="str">
            <v>1.3 Reestruturação com  construção de delegacias cidadãs com serviços integrados de segurança publica, defensoria, assistência social e ministério público.</v>
          </cell>
          <cell r="B15" t="str">
            <v>1.3.1 Construção de 4  Delegacia referenciais cidadãs na RMC(Tamandaré/Colombo/Piraquara/SJPinhasi), 3 na região de fronteira(Fox/toledo/Cascavel) e 3 no eixo Londrina-Maringá(cornélio/Londrina/Maringá).</v>
          </cell>
          <cell r="C15" t="str">
            <v>LINHA BASE: Delegacias em más condições, adaptadas em edifícios não próprios e ou locações.
METAS:
Prover melhor atendimento com edifício multisetorial, com novas salas para policiais,  defensoria pública, assistência social, identificação civil, aumenta</v>
          </cell>
          <cell r="P15" t="str">
            <v>Construção de 10 Delegacias Cidadãs</v>
          </cell>
          <cell r="Q15">
            <v>10</v>
          </cell>
          <cell r="R15">
            <v>7456620</v>
          </cell>
          <cell r="S15">
            <v>74566199</v>
          </cell>
        </row>
        <row r="16">
          <cell r="B16" t="str">
            <v xml:space="preserve">1.3.2 Elaboração do Projeto Arquitetônico e complementares; </v>
          </cell>
          <cell r="P16" t="str">
            <v>Projetos Arquitetônicos e complementares</v>
          </cell>
          <cell r="Q16">
            <v>1</v>
          </cell>
          <cell r="R16">
            <v>113306</v>
          </cell>
          <cell r="S16">
            <v>113306</v>
          </cell>
        </row>
        <row r="17">
          <cell r="B17" t="str">
            <v>1.3.4-Aquisição de mobiliário e equipamentos para as 11 unidades policiais</v>
          </cell>
          <cell r="O17">
            <v>0</v>
          </cell>
          <cell r="P17" t="str">
            <v>Mobiliário e Equipamentos</v>
          </cell>
          <cell r="Q17">
            <v>11</v>
          </cell>
          <cell r="R17">
            <v>481966</v>
          </cell>
          <cell r="S17">
            <v>5301625</v>
          </cell>
        </row>
        <row r="18">
          <cell r="A18">
            <v>79981130</v>
          </cell>
          <cell r="G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22</v>
          </cell>
          <cell r="R18">
            <v>8051892</v>
          </cell>
          <cell r="S18">
            <v>79981130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1.4 Implementação de um novo modelo de polícia comunitária, definido como Sistema Modular de Policia Urbana distribuindo efetivos policias e meios materiais aos bairros com maior número de ocorrência, priorizando o desenvolvimento de uma polícia de proxim</v>
          </cell>
          <cell r="B19" t="str">
            <v>1.4.1-Aquisição de 303 conjuntos do Sistema Modular de Polícia Urbana
 1.4.2-Aquisição de 303 conjuntos de equipamentos contendo: Grafismo Polícia Militar, Luzes auxiliares, Mobiliário, Sistema Elétrico com Gerador, Farol de Busca, Compartimento de Preso,</v>
          </cell>
          <cell r="C19" t="str">
            <v xml:space="preserve">LINHA BASE: Falta de Sistemas Modulares de Polícia Urbana nas 27 cidades polo de criminalidade e em Curitiba.
METAS: Implantação de 303 Módulos Móveis contendo 1 Van, 1 Automóvel e 2 motocicletas, nas 27 cidades polo de criminalidade e em Curitiba, para </v>
          </cell>
          <cell r="L19" t="str">
            <v>Unidade com 01 VAN – POSTO MÓVEL COM GERADOR e outros equipamentos; 01 Auto Móvel CAMIONETA STATION WAGON 1.6 equipado com instrumentos; 02 MOTOCICLETAS 300 CILINDRADAS com rádio e capacetes especiais de comunicação.</v>
          </cell>
          <cell r="M19">
            <v>303</v>
          </cell>
          <cell r="N19">
            <v>149655.6</v>
          </cell>
          <cell r="O19">
            <v>45345647</v>
          </cell>
        </row>
        <row r="20">
          <cell r="L20" t="str">
            <v>Equipamentos: Grafismo, Luzes auxiliares, Gerador, Farol de busca, compartimento de preso, sinalizador wet, Rádio transceptor digital, rastreador, terminal de dados.</v>
          </cell>
          <cell r="M20">
            <v>303</v>
          </cell>
          <cell r="N20">
            <v>110128</v>
          </cell>
          <cell r="O20">
            <v>33368784</v>
          </cell>
        </row>
        <row r="21">
          <cell r="L21" t="str">
            <v>Equipamentos: Grafismo, Luzes auxiliares, Gerador, Farol de busca, compartimento de preso, sinalizador wet, Rádio transceptor digital, rastreador, terminal de dados.</v>
          </cell>
          <cell r="M21">
            <v>303</v>
          </cell>
          <cell r="N21">
            <v>110128</v>
          </cell>
          <cell r="O21">
            <v>33368784</v>
          </cell>
        </row>
        <row r="22">
          <cell r="A22">
            <v>78714431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str">
            <v>Total</v>
          </cell>
          <cell r="M22">
            <v>303</v>
          </cell>
          <cell r="N22">
            <v>259784</v>
          </cell>
          <cell r="O22">
            <v>78714431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 t="str">
            <v xml:space="preserve">1.5 Estruturação, na Polícia Civil, de uma DHPP - Divisão de Homicídios e Proteção a Pessoas, para o acompanhamento e investigação de homicídios e atentados contra a vida humana. </v>
          </cell>
          <cell r="B23" t="str">
            <v xml:space="preserve">1.5.1-Construção e Estruturação de edifício com 1630,99 m2; </v>
          </cell>
          <cell r="C23" t="str">
            <v>LINHA BASE: Delegacia de Homicídios de Curitiba  em más condições, adaptada em edifício não próprio, locado.
METAS:
Prover melhor atendimento com edifício multisetorial, com novas salas para policiais,  defensoria pública, assistência social, identificaç</v>
          </cell>
          <cell r="P23" t="str">
            <v>Construção de DHPP 1630,99 m2 em curitiba/PR</v>
          </cell>
          <cell r="Q23">
            <v>1631</v>
          </cell>
          <cell r="R23">
            <v>5139.3999999999996</v>
          </cell>
          <cell r="S23">
            <v>8219212</v>
          </cell>
        </row>
        <row r="24">
          <cell r="B24" t="str">
            <v xml:space="preserve">1.5.2-Elaboração do Projeto Arquitetônico e complementares; </v>
          </cell>
          <cell r="P24" t="str">
            <v>Projeto Arquitetônico e auxiliares</v>
          </cell>
          <cell r="Q24">
            <v>1</v>
          </cell>
          <cell r="R24">
            <v>11331</v>
          </cell>
          <cell r="S24">
            <v>11331</v>
          </cell>
        </row>
        <row r="25">
          <cell r="B25" t="str">
            <v>1.5.3-Aquisição de mobiliário, equipamentos e veículos;</v>
          </cell>
          <cell r="P25" t="str">
            <v>Mobiliários e Equipamentos</v>
          </cell>
          <cell r="Q25">
            <v>1</v>
          </cell>
          <cell r="R25">
            <v>633493</v>
          </cell>
          <cell r="S25">
            <v>633493</v>
          </cell>
        </row>
        <row r="26">
          <cell r="A26">
            <v>8864036</v>
          </cell>
          <cell r="S26">
            <v>8864036</v>
          </cell>
        </row>
        <row r="27">
          <cell r="A27" t="str">
            <v>1.6 Capacitação das polícias em atendimento comunitário, direitos humanos, mediação de conflitos e análise criminal.</v>
          </cell>
          <cell r="B27" t="str">
            <v xml:space="preserve">1.6.1-Desenvolvimento de 4 cursos que envolvam disciplinas para Policiamento e Atendimento Comunitário; 1.6.2-Curso de especialização e capacitação continuada para os profissionais envolvidos na execução do projeto;
</v>
          </cell>
          <cell r="C27" t="str">
            <v>META:
Capacitar 6.154 policiais e 40 funcionários do CENSE</v>
          </cell>
          <cell r="D27" t="str">
            <v>Cursos para Policia militar, civil, perícias, bombeiros, Secretaria de Família.</v>
          </cell>
          <cell r="E27">
            <v>6194</v>
          </cell>
          <cell r="F27">
            <v>603.32000000000005</v>
          </cell>
          <cell r="G27">
            <v>3736960</v>
          </cell>
        </row>
        <row r="28">
          <cell r="B28" t="str">
            <v xml:space="preserve">1.6.1-Curso de especialização e capacitação continuada para os profissionais envolvidos na execução do projeto; </v>
          </cell>
          <cell r="D28" t="str">
            <v>Curso de Especialização</v>
          </cell>
          <cell r="E28">
            <v>240</v>
          </cell>
          <cell r="F28">
            <v>2500</v>
          </cell>
          <cell r="G28">
            <v>600000</v>
          </cell>
        </row>
        <row r="29">
          <cell r="A29">
            <v>3736961</v>
          </cell>
          <cell r="D29" t="str">
            <v>Curso de Especialização</v>
          </cell>
          <cell r="E29">
            <v>215</v>
          </cell>
          <cell r="F29">
            <v>2475</v>
          </cell>
          <cell r="G29">
            <v>532125</v>
          </cell>
        </row>
        <row r="30">
          <cell r="A30">
            <v>3736962</v>
          </cell>
          <cell r="D30" t="str">
            <v>Curso de Especialização</v>
          </cell>
          <cell r="E30">
            <v>216</v>
          </cell>
          <cell r="F30">
            <v>2476</v>
          </cell>
          <cell r="G30">
            <v>534816</v>
          </cell>
        </row>
        <row r="31">
          <cell r="A31">
            <v>3736963</v>
          </cell>
          <cell r="D31" t="str">
            <v>Curso de Especialização</v>
          </cell>
          <cell r="E31">
            <v>217</v>
          </cell>
          <cell r="F31">
            <v>2477</v>
          </cell>
          <cell r="G31">
            <v>537509</v>
          </cell>
        </row>
        <row r="32">
          <cell r="A32">
            <v>3736964</v>
          </cell>
          <cell r="D32" t="str">
            <v>Curso de Especialização</v>
          </cell>
          <cell r="E32">
            <v>218</v>
          </cell>
          <cell r="F32">
            <v>2478</v>
          </cell>
          <cell r="G32">
            <v>540204</v>
          </cell>
        </row>
        <row r="33">
          <cell r="A33">
            <v>3736965</v>
          </cell>
          <cell r="D33" t="str">
            <v>Curso de Especialização</v>
          </cell>
          <cell r="E33">
            <v>219</v>
          </cell>
          <cell r="F33">
            <v>2479</v>
          </cell>
          <cell r="G33">
            <v>542901</v>
          </cell>
        </row>
        <row r="34">
          <cell r="A34">
            <v>3736966</v>
          </cell>
          <cell r="D34" t="str">
            <v>Curso de Especialização</v>
          </cell>
          <cell r="E34">
            <v>220</v>
          </cell>
          <cell r="F34">
            <v>2480</v>
          </cell>
          <cell r="G34">
            <v>545600</v>
          </cell>
        </row>
        <row r="35">
          <cell r="A35">
            <v>3736967</v>
          </cell>
          <cell r="D35" t="str">
            <v>Curso de Especialização</v>
          </cell>
          <cell r="E35">
            <v>221</v>
          </cell>
          <cell r="F35">
            <v>2481</v>
          </cell>
          <cell r="G35">
            <v>548301</v>
          </cell>
        </row>
        <row r="36">
          <cell r="A36">
            <v>3736968</v>
          </cell>
          <cell r="D36" t="str">
            <v>Curso de Especialização</v>
          </cell>
          <cell r="E36">
            <v>222</v>
          </cell>
          <cell r="F36">
            <v>2482</v>
          </cell>
          <cell r="G36">
            <v>551004</v>
          </cell>
        </row>
        <row r="37">
          <cell r="A37">
            <v>3736969</v>
          </cell>
          <cell r="D37" t="str">
            <v>Curso de Especialização</v>
          </cell>
          <cell r="E37">
            <v>223</v>
          </cell>
          <cell r="F37">
            <v>2483</v>
          </cell>
          <cell r="G37">
            <v>553709</v>
          </cell>
        </row>
        <row r="38">
          <cell r="A38">
            <v>3736970</v>
          </cell>
          <cell r="D38" t="str">
            <v>Curso de Especialização</v>
          </cell>
          <cell r="E38">
            <v>224</v>
          </cell>
          <cell r="F38">
            <v>2484</v>
          </cell>
          <cell r="G38">
            <v>556416</v>
          </cell>
        </row>
        <row r="39">
          <cell r="A39">
            <v>3736971</v>
          </cell>
          <cell r="D39" t="str">
            <v>Curso de Especialização</v>
          </cell>
          <cell r="E39">
            <v>225</v>
          </cell>
          <cell r="F39">
            <v>2485</v>
          </cell>
          <cell r="G39">
            <v>559125</v>
          </cell>
        </row>
        <row r="40">
          <cell r="A40">
            <v>3736972</v>
          </cell>
          <cell r="D40" t="str">
            <v>Curso de Especialização</v>
          </cell>
          <cell r="E40">
            <v>226</v>
          </cell>
          <cell r="F40">
            <v>2486</v>
          </cell>
          <cell r="G40">
            <v>561836</v>
          </cell>
        </row>
        <row r="41">
          <cell r="A41">
            <v>3736973</v>
          </cell>
          <cell r="D41" t="str">
            <v>Curso de Especialização</v>
          </cell>
          <cell r="E41">
            <v>227</v>
          </cell>
          <cell r="F41">
            <v>2487</v>
          </cell>
          <cell r="G41">
            <v>564549</v>
          </cell>
        </row>
        <row r="42">
          <cell r="A42">
            <v>3736974</v>
          </cell>
          <cell r="D42" t="str">
            <v>Curso de Especialização</v>
          </cell>
          <cell r="E42">
            <v>228</v>
          </cell>
          <cell r="F42">
            <v>2488</v>
          </cell>
          <cell r="G42">
            <v>567264</v>
          </cell>
        </row>
        <row r="43">
          <cell r="A43">
            <v>3736975</v>
          </cell>
          <cell r="D43" t="str">
            <v>Curso de Especialização</v>
          </cell>
          <cell r="E43">
            <v>229</v>
          </cell>
          <cell r="F43">
            <v>2489</v>
          </cell>
          <cell r="G43">
            <v>569981</v>
          </cell>
        </row>
        <row r="44">
          <cell r="A44">
            <v>3736976</v>
          </cell>
          <cell r="D44" t="str">
            <v>Curso de Especialização</v>
          </cell>
          <cell r="E44">
            <v>230</v>
          </cell>
          <cell r="F44">
            <v>2490</v>
          </cell>
          <cell r="G44">
            <v>572700</v>
          </cell>
        </row>
        <row r="45">
          <cell r="A45">
            <v>3736977</v>
          </cell>
          <cell r="D45" t="str">
            <v>Curso de Especialização</v>
          </cell>
          <cell r="E45">
            <v>231</v>
          </cell>
          <cell r="F45">
            <v>2491</v>
          </cell>
          <cell r="G45">
            <v>575421</v>
          </cell>
        </row>
        <row r="46">
          <cell r="A46">
            <v>3736978</v>
          </cell>
          <cell r="D46" t="str">
            <v>Curso de Especialização</v>
          </cell>
          <cell r="E46">
            <v>232</v>
          </cell>
          <cell r="F46">
            <v>2492</v>
          </cell>
          <cell r="G46">
            <v>578144</v>
          </cell>
        </row>
        <row r="47">
          <cell r="A47">
            <v>3736979</v>
          </cell>
          <cell r="D47" t="str">
            <v>Curso de Especialização</v>
          </cell>
          <cell r="E47">
            <v>233</v>
          </cell>
          <cell r="F47">
            <v>2493</v>
          </cell>
          <cell r="G47">
            <v>580869</v>
          </cell>
        </row>
        <row r="48">
          <cell r="A48">
            <v>3736980</v>
          </cell>
          <cell r="D48" t="str">
            <v>Curso de Especialização</v>
          </cell>
          <cell r="E48">
            <v>234</v>
          </cell>
          <cell r="F48">
            <v>2494</v>
          </cell>
          <cell r="G48">
            <v>583596</v>
          </cell>
        </row>
        <row r="49">
          <cell r="A49">
            <v>3736981</v>
          </cell>
          <cell r="D49" t="str">
            <v>Curso de Especialização</v>
          </cell>
          <cell r="E49">
            <v>235</v>
          </cell>
          <cell r="F49">
            <v>2495</v>
          </cell>
          <cell r="G49">
            <v>586325</v>
          </cell>
        </row>
        <row r="50">
          <cell r="A50">
            <v>3736982</v>
          </cell>
          <cell r="D50" t="str">
            <v>Curso de Especialização</v>
          </cell>
          <cell r="E50">
            <v>236</v>
          </cell>
          <cell r="F50">
            <v>2496</v>
          </cell>
          <cell r="G50">
            <v>589056</v>
          </cell>
        </row>
        <row r="51">
          <cell r="A51">
            <v>3736983</v>
          </cell>
          <cell r="D51" t="str">
            <v>Curso de Especialização</v>
          </cell>
          <cell r="E51">
            <v>237</v>
          </cell>
          <cell r="F51">
            <v>2497</v>
          </cell>
          <cell r="G51">
            <v>591789</v>
          </cell>
        </row>
        <row r="52">
          <cell r="A52">
            <v>3736984</v>
          </cell>
          <cell r="D52" t="str">
            <v>Curso de Especialização</v>
          </cell>
          <cell r="E52">
            <v>238</v>
          </cell>
          <cell r="F52">
            <v>2498</v>
          </cell>
          <cell r="G52">
            <v>594524</v>
          </cell>
        </row>
        <row r="53">
          <cell r="A53">
            <v>3736985</v>
          </cell>
          <cell r="D53" t="str">
            <v>Curso de Especialização</v>
          </cell>
          <cell r="E53">
            <v>239</v>
          </cell>
          <cell r="F53">
            <v>2499</v>
          </cell>
          <cell r="G53">
            <v>597261</v>
          </cell>
        </row>
        <row r="54">
          <cell r="A54">
            <v>4336960</v>
          </cell>
          <cell r="G54">
            <v>4336960</v>
          </cell>
        </row>
        <row r="55">
          <cell r="A55">
            <v>188997757</v>
          </cell>
          <cell r="C55">
            <v>0</v>
          </cell>
          <cell r="D55" t="str">
            <v>Total..........</v>
          </cell>
          <cell r="G55">
            <v>4336960</v>
          </cell>
          <cell r="H55" t="str">
            <v>Total..........</v>
          </cell>
          <cell r="I55">
            <v>0</v>
          </cell>
          <cell r="J55">
            <v>0</v>
          </cell>
          <cell r="K55">
            <v>0</v>
          </cell>
          <cell r="L55" t="str">
            <v>Total..........</v>
          </cell>
          <cell r="M55">
            <v>488</v>
          </cell>
          <cell r="N55">
            <v>16693815</v>
          </cell>
          <cell r="O55">
            <v>95815631</v>
          </cell>
          <cell r="P55" t="str">
            <v>Total..........</v>
          </cell>
          <cell r="Q55">
            <v>22</v>
          </cell>
          <cell r="R55">
            <v>8051892</v>
          </cell>
          <cell r="S55">
            <v>88845166</v>
          </cell>
          <cell r="T55" t="str">
            <v>Total..........</v>
          </cell>
          <cell r="U55">
            <v>0</v>
          </cell>
          <cell r="V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apa"/>
      <sheetName val="2_Índice"/>
      <sheetName val="3_Comp e Produtos"/>
      <sheetName val="5_Componente 2"/>
      <sheetName val="6_Componente 3"/>
      <sheetName val="7_Componente 4"/>
      <sheetName val="8_ADM"/>
      <sheetName val="9_Consolidação Tipo Recurso"/>
      <sheetName val="10_Cronograma Físico"/>
      <sheetName val="11_Distribuição por Fonte"/>
      <sheetName val="12_Orçamento Global"/>
      <sheetName val="13_POA 18 meses"/>
      <sheetName val="14_PA 18 meses"/>
    </sheetNames>
    <sheetDataSet>
      <sheetData sheetId="0"/>
      <sheetData sheetId="1"/>
      <sheetData sheetId="2"/>
      <sheetData sheetId="3">
        <row r="1">
          <cell r="A1" t="str">
            <v>V- PRODUTOS, ATIVIDADES E RECURSOS</v>
          </cell>
        </row>
        <row r="2">
          <cell r="A2" t="str">
            <v>COMPONENTE 2: PREVENÇÃO DA VIOLÊNCIA JUVENIL, REABILITAÇÃO E REINSERÇÃO SOCIAL PARA JOVENS COM ALTA INCIDÊNCIA DE FATORES DE RISCO ASSOCIADOS À VIOLÊNCIA E/OU EM CONFLITO COM A LEI PENAL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5">
          <cell r="A5" t="str">
            <v>2.1 Desenvolvimento de um Sistema de Gestão eficiente para o funcionamento do sistema socioeducativo de adolescentes em conflito com a Lei Penal</v>
          </cell>
          <cell r="B5" t="str">
            <v xml:space="preserve">2.1.1 Elaboração do Plano Estadual de Atendimento SocioEducativo; 
2.1.2 Suporte técnico à elaboração dos Planos Municipais de Atendimento Socioeducativo </v>
          </cell>
        </row>
        <row r="9">
          <cell r="A9">
            <v>0</v>
          </cell>
        </row>
        <row r="10">
          <cell r="A10" t="str">
            <v xml:space="preserve">2.2 Construção e equipamento de um centro socioeducativo para adolescentes em conflito com a lei no município de Toledo, que funcione de maneira estruturada, descentralizada e eficiente, melhorando os vínculos familiares e articulando seus serviços com a </v>
          </cell>
          <cell r="B10" t="str">
            <v>2.2.1 -Elaboração do Projeto Arquitetônico e complementares</v>
          </cell>
        </row>
        <row r="11">
          <cell r="B11" t="str">
            <v>2.2.2-Execução do Projeto</v>
          </cell>
        </row>
        <row r="12">
          <cell r="B12" t="str">
            <v xml:space="preserve">2.2.3-Aquisição de mobiliário, equipamentos e veiculos; </v>
          </cell>
        </row>
        <row r="13">
          <cell r="A13">
            <v>13060000</v>
          </cell>
        </row>
        <row r="14">
          <cell r="A14" t="str">
            <v>2.3 Apoio ao projeto AFAI (Atenção as Famílias dos Adolescentes Internados), uma rede integrada de proteção a família dos adolescentes internados com o propósito de promover a inserção social dos adolescentes em cumprimento de medidas socioeducativas de i</v>
          </cell>
          <cell r="B14" t="str">
            <v xml:space="preserve"> 2.3.1 -Identificar e realizar a busca ativa das famílias dos adolescentes internados 
 2.3.2-Acompanhamento intersetorial da família de adolescentes internados por medidas socioeducativas através de um plano de ação familiar personalizado e integrado com</v>
          </cell>
        </row>
        <row r="15">
          <cell r="B15" t="str">
            <v xml:space="preserve">  2.3.3-Promover espaços coletivos de escuta e estimular as atividades intergeracionais</v>
          </cell>
        </row>
        <row r="16">
          <cell r="B16" t="str">
            <v>2.3.4-Definir fluxos de atuação entre os serviços que integram a atenção especial a família, ao nível municipal e as ações dos Centros de Socioeducação (CENSE), executadas ao nível estadual; 
 2.3.5-Promover o suporte familiar que favoreça a realização de</v>
          </cell>
        </row>
        <row r="17">
          <cell r="B17" t="str">
            <v xml:space="preserve">2.3.6-Construir e equipar 04 CREAS; </v>
          </cell>
        </row>
        <row r="18">
          <cell r="A18">
            <v>10060000</v>
          </cell>
        </row>
        <row r="19">
          <cell r="A19" t="str">
            <v>2.4 Formação e capacitação de profissionais do sistema de garantias de direito e demais políticas públicas que atuam junto aos centros socioeducativos, casas de semiliberdade e centros da juventude</v>
          </cell>
          <cell r="B19" t="str">
            <v xml:space="preserve">2.4.1-Capacitação em mediação de conflitos e planejamento pedagógico para os Centros da Juventude; </v>
          </cell>
        </row>
        <row r="20">
          <cell r="B20" t="str">
            <v xml:space="preserve">2.4.2-Formação continuada aos atores do sistema de garantias de direitos frente as temáticas de controle social, direitos da criança e do adolescente e aprimoramento dos serviços socioassistenciais; </v>
          </cell>
        </row>
        <row r="21">
          <cell r="B21" t="str">
            <v xml:space="preserve">2.4.3-Capacitação para as equipes profissionais (técnico, saúde, pedagógico e sócioeducador) dos CENSEs; </v>
          </cell>
        </row>
        <row r="22">
          <cell r="A22">
            <v>2250000</v>
          </cell>
        </row>
        <row r="23">
          <cell r="A23" t="str">
            <v>2.5 Co-financiar as ações desenvolvidas em 13 centros da juventude, espaços físicios para desenvolver ações de inclusão social e preventivas para jovens que concentram altos fatores de risco associados a violência e que não estão em conflito com a lei, se</v>
          </cell>
          <cell r="B23" t="str">
            <v xml:space="preserve">2.5.1-Acolhida e busca ativa dos adolescentes e jovens do território do projeto;  </v>
          </cell>
        </row>
        <row r="24">
          <cell r="B24" t="str">
            <v>2.5.2-Oferta de atividades esportivas, culturais, de lazer, cidadania e recreativas, de acordo com o interesse de adolescentes e jovens, preferencialmente no período noturno e/ou final de semana, visando inclusive a integração entre jovens e a polícia (co</v>
          </cell>
        </row>
        <row r="25">
          <cell r="B25" t="str">
            <v>2.5.3- Ações de cidadania, de incentivo à participação social e ao protagonismo juvenil, fortalecimento de vínculos familiares e comunitários; 
 2.5.4-Quando necessário atendimento psicossocial, através do Assistente Social e do Psicólogo e encaminhamento</v>
          </cell>
        </row>
        <row r="26">
          <cell r="B26" t="str">
            <v xml:space="preserve"> 2.5.6-Ofertas de cursos de qualificação profissional para jovens de 16 a 25 anos, conforme o interesse e a demanda do mercado de trabalho;</v>
          </cell>
        </row>
        <row r="28">
          <cell r="A28">
            <v>6432200</v>
          </cell>
        </row>
        <row r="29">
          <cell r="A29" t="str">
            <v>TOTAL</v>
          </cell>
          <cell r="B29">
            <v>31802200</v>
          </cell>
        </row>
      </sheetData>
      <sheetData sheetId="4"/>
      <sheetData sheetId="5"/>
      <sheetData sheetId="6">
        <row r="1">
          <cell r="A1" t="str">
            <v>V- PRODUTOS, ATIVIDADES E RECURSOS</v>
          </cell>
        </row>
        <row r="2">
          <cell r="A2" t="str">
            <v>ADMINISTRAÇÃO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26">
          <cell r="A26" t="str">
            <v>Subtotal</v>
          </cell>
          <cell r="B26">
            <v>0</v>
          </cell>
        </row>
        <row r="27">
          <cell r="A27" t="str">
            <v>TOTAL</v>
          </cell>
          <cell r="B27">
            <v>0</v>
          </cell>
        </row>
        <row r="31">
          <cell r="B31" t="e">
            <v>#DIV/0!</v>
          </cell>
        </row>
      </sheetData>
      <sheetData sheetId="7"/>
      <sheetData sheetId="8">
        <row r="1">
          <cell r="A1" t="str">
            <v>VII- CRONOGRAMA FÍSICO E FINANCEIRO</v>
          </cell>
        </row>
        <row r="2">
          <cell r="A2" t="str">
            <v>Início do Projeto:</v>
          </cell>
          <cell r="B2">
            <v>41275</v>
          </cell>
        </row>
        <row r="3">
          <cell r="A3" t="str">
            <v>COMPONENTE / SUBCOMPONENTE</v>
          </cell>
          <cell r="B3" t="str">
            <v>Data início</v>
          </cell>
          <cell r="C3" t="str">
            <v>Duração (meses)</v>
          </cell>
          <cell r="D3" t="str">
            <v>Data Término</v>
          </cell>
          <cell r="E3" t="str">
            <v>Ano 1/12</v>
          </cell>
          <cell r="I3" t="str">
            <v>Ano 1/13</v>
          </cell>
          <cell r="M3" t="str">
            <v>Ano 2/14</v>
          </cell>
          <cell r="Q3" t="str">
            <v>Ano 3/15</v>
          </cell>
          <cell r="U3" t="str">
            <v>Ano 4/16</v>
          </cell>
          <cell r="Y3" t="str">
            <v>Ano 5/17</v>
          </cell>
          <cell r="AC3" t="str">
            <v>Valor</v>
          </cell>
          <cell r="AD3" t="str">
            <v>Ano 1</v>
          </cell>
          <cell r="AH3" t="e">
            <v>#VALUE!</v>
          </cell>
          <cell r="AI3" t="str">
            <v>Ano 1</v>
          </cell>
          <cell r="AN3" t="str">
            <v>Ano 2</v>
          </cell>
          <cell r="AS3" t="str">
            <v>Ano 3</v>
          </cell>
          <cell r="AX3" t="str">
            <v>Ano 4</v>
          </cell>
          <cell r="BC3" t="str">
            <v>Ano 5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1</v>
          </cell>
          <cell r="J4">
            <v>2</v>
          </cell>
          <cell r="K4">
            <v>3</v>
          </cell>
          <cell r="L4">
            <v>4</v>
          </cell>
          <cell r="M4">
            <v>1</v>
          </cell>
          <cell r="N4">
            <v>2</v>
          </cell>
          <cell r="O4">
            <v>3</v>
          </cell>
          <cell r="P4">
            <v>4</v>
          </cell>
          <cell r="Q4">
            <v>1</v>
          </cell>
          <cell r="R4">
            <v>2</v>
          </cell>
          <cell r="S4">
            <v>3</v>
          </cell>
          <cell r="T4">
            <v>4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 t="str">
            <v>Produto</v>
          </cell>
          <cell r="AD4">
            <v>1</v>
          </cell>
          <cell r="AE4">
            <v>2</v>
          </cell>
          <cell r="AF4">
            <v>3</v>
          </cell>
          <cell r="AG4">
            <v>4</v>
          </cell>
          <cell r="AH4" t="str">
            <v>Total</v>
          </cell>
          <cell r="AI4">
            <v>1</v>
          </cell>
          <cell r="AJ4">
            <v>2</v>
          </cell>
          <cell r="AK4">
            <v>3</v>
          </cell>
          <cell r="AL4">
            <v>4</v>
          </cell>
          <cell r="AM4" t="str">
            <v>Total</v>
          </cell>
          <cell r="AN4">
            <v>1</v>
          </cell>
          <cell r="AO4">
            <v>2</v>
          </cell>
          <cell r="AP4">
            <v>3</v>
          </cell>
          <cell r="AQ4">
            <v>4</v>
          </cell>
          <cell r="AR4" t="str">
            <v>Total</v>
          </cell>
          <cell r="AS4">
            <v>1</v>
          </cell>
          <cell r="AT4">
            <v>2</v>
          </cell>
          <cell r="AU4">
            <v>3</v>
          </cell>
          <cell r="AV4">
            <v>4</v>
          </cell>
          <cell r="AW4" t="str">
            <v>Total</v>
          </cell>
          <cell r="AX4">
            <v>1</v>
          </cell>
          <cell r="AY4">
            <v>2</v>
          </cell>
          <cell r="AZ4">
            <v>3</v>
          </cell>
          <cell r="BA4">
            <v>4</v>
          </cell>
          <cell r="BB4" t="str">
            <v>Total</v>
          </cell>
          <cell r="BC4">
            <v>1</v>
          </cell>
          <cell r="BD4">
            <v>2</v>
          </cell>
          <cell r="BE4">
            <v>3</v>
          </cell>
          <cell r="BF4">
            <v>4</v>
          </cell>
          <cell r="BG4" t="str">
            <v>Total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COMPONENTE 2: nonononoononono</v>
          </cell>
        </row>
        <row r="12">
          <cell r="A12" t="str">
            <v>2.1   Formação continuada de efetivos policiais que atuarão no policiamento comunitário das áreas abrangidas pelo Programa (POA, Viamao, Alvorada)</v>
          </cell>
        </row>
        <row r="13">
          <cell r="A13" t="str">
            <v>2.2  Implantação de serviços de analise criminologico</v>
          </cell>
        </row>
        <row r="14">
          <cell r="A14" t="str">
            <v>2.3  Implementação do policiamento comunitário e fortalecimento e integração do efetivo policial com a comunidade</v>
          </cell>
        </row>
        <row r="15">
          <cell r="A15" t="str">
            <v>COMPONENTE 3:nenenenene</v>
          </cell>
        </row>
        <row r="16">
          <cell r="A16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7">
          <cell r="A17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8">
          <cell r="A18" t="str">
            <v>3.3  Aprimorar o Sistema de Gestão da FASE com ênfase as diretorias de Socioeducação e de Qualificação Profissional, Diretoria Administrativa, Diretoria Sócio Educativa, implantar sistema de avaliação do atendimento prestado, incluindo a informatização do</v>
          </cell>
        </row>
        <row r="19">
          <cell r="A19" t="str">
            <v>COMPONENTE 4:nenenenene</v>
          </cell>
        </row>
        <row r="20">
          <cell r="A20" t="str">
            <v>4.1  Plano Estratégico e Planos Operacionais Integrados para a prevenção e controle do crime violento no território</v>
          </cell>
        </row>
        <row r="21">
          <cell r="A21" t="str">
            <v>4.2  Sistema de Gestão de Processos e Monitoramento</v>
          </cell>
        </row>
        <row r="22">
          <cell r="A22" t="str">
            <v xml:space="preserve">4.3  Sistema de Monitoramento dos Serviços de Proteção dos Direitos dos Jovens (Observatório)    </v>
          </cell>
        </row>
        <row r="23">
          <cell r="A23" t="str">
            <v>4.4  Mecanismo de articulação, coordenação, informação e consulta entre as entidades participantes</v>
          </cell>
        </row>
        <row r="24">
          <cell r="A24" t="str">
            <v>ADMINISTRAÇÃO</v>
          </cell>
        </row>
        <row r="25">
          <cell r="A25" t="str">
            <v>A1 - Gestão do Projeto</v>
          </cell>
        </row>
        <row r="26">
          <cell r="A26" t="str">
            <v>A2 -Avaliação Independente</v>
          </cell>
        </row>
      </sheetData>
      <sheetData sheetId="9">
        <row r="1">
          <cell r="A1" t="str">
            <v>VIII- DISTRIBUIÇÃO POR FONTE</v>
          </cell>
        </row>
        <row r="2">
          <cell r="A2" t="str">
            <v>COMPONENTES E PRODUTOS</v>
          </cell>
          <cell r="B2" t="str">
            <v>Ano 1</v>
          </cell>
          <cell r="E2" t="str">
            <v>Ano 2</v>
          </cell>
          <cell r="H2" t="str">
            <v>Ano 3</v>
          </cell>
          <cell r="K2" t="str">
            <v>Ano 4</v>
          </cell>
          <cell r="N2" t="str">
            <v>Ano 5</v>
          </cell>
          <cell r="Q2" t="str">
            <v>Ano 6</v>
          </cell>
          <cell r="T2" t="str">
            <v>TOTAL</v>
          </cell>
        </row>
        <row r="3">
          <cell r="B3" t="str">
            <v>BID</v>
          </cell>
          <cell r="C3" t="str">
            <v>Local</v>
          </cell>
          <cell r="D3" t="str">
            <v>Total</v>
          </cell>
          <cell r="E3" t="str">
            <v>BID</v>
          </cell>
          <cell r="F3" t="str">
            <v>Local</v>
          </cell>
          <cell r="G3" t="str">
            <v>Total</v>
          </cell>
          <cell r="H3" t="str">
            <v>BID</v>
          </cell>
          <cell r="I3" t="str">
            <v>Local</v>
          </cell>
          <cell r="J3" t="str">
            <v>Total</v>
          </cell>
          <cell r="K3" t="str">
            <v>BID</v>
          </cell>
          <cell r="L3" t="str">
            <v>Local</v>
          </cell>
          <cell r="M3" t="str">
            <v>Total</v>
          </cell>
          <cell r="N3" t="str">
            <v>BID</v>
          </cell>
          <cell r="O3" t="str">
            <v>Local</v>
          </cell>
          <cell r="P3" t="str">
            <v>Total</v>
          </cell>
          <cell r="Q3" t="str">
            <v>BID</v>
          </cell>
          <cell r="R3" t="str">
            <v>Local</v>
          </cell>
          <cell r="S3" t="str">
            <v>Total</v>
          </cell>
          <cell r="T3" t="str">
            <v>BID</v>
          </cell>
          <cell r="U3" t="str">
            <v>Local</v>
          </cell>
          <cell r="V3" t="str">
            <v>Total</v>
          </cell>
        </row>
        <row r="4">
          <cell r="A4" t="str">
            <v>CUSTOS TOTAIS (DIRETOS+ADM)</v>
          </cell>
        </row>
        <row r="5">
          <cell r="A5" t="str">
            <v>CUSTOS DIRETOS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NÃO SELECIONADO</v>
          </cell>
        </row>
        <row r="12">
          <cell r="A12" t="str">
            <v>2.3  Implementação do policiamento comunitário e fortalecimento e integração do efetivo policial com a comunidade</v>
          </cell>
        </row>
        <row r="13">
          <cell r="A13" t="str">
            <v>COMPONENTE 3:nenenenene</v>
          </cell>
        </row>
        <row r="14">
          <cell r="A14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5">
          <cell r="A15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6">
          <cell r="A16" t="str">
            <v>4.1  Plano Estratégico e Planos Operacionais Integrados para a prevenção e controle do crime violento no território</v>
          </cell>
        </row>
        <row r="17">
          <cell r="A17" t="str">
            <v>4.2  Sistema de Gestão de Processos e Monitoramento</v>
          </cell>
        </row>
        <row r="18">
          <cell r="A18" t="str">
            <v>2.5 Co-financiar as ações desenvolvidas em 13 centros da juventude, espaços físicios para desenvolver ações de inclusão social e preventivas para jovens que concentram altos fatores de risco associados a violência e que não estão em conflito com a lei, se</v>
          </cell>
        </row>
        <row r="19">
          <cell r="A19" t="str">
            <v>ADMINISTRAÇÃO</v>
          </cell>
        </row>
        <row r="20">
          <cell r="A20" t="str">
            <v>NÃO SELECIONADO</v>
          </cell>
        </row>
        <row r="21">
          <cell r="A21" t="str">
            <v>NÃO SELECIONADO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apa"/>
      <sheetName val="2_Índice"/>
      <sheetName val="3_Comp e Produtos"/>
      <sheetName val="4_Componente 1"/>
      <sheetName val="5_Componente 2"/>
      <sheetName val="6_Componente 3"/>
      <sheetName val="7_Componente 4"/>
      <sheetName val="8_ADM"/>
      <sheetName val="9_Consolidação Tipo Recurso"/>
      <sheetName val="10_Cronograma Físico"/>
      <sheetName val="11_Distribuição por Fonte"/>
      <sheetName val="12_Orçamento Global"/>
      <sheetName val="13_POA 18 meses"/>
      <sheetName val="14_PA 18 m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V- PRODUTOS, ATIVIDADES E RECURSOS</v>
          </cell>
        </row>
        <row r="2">
          <cell r="A2" t="str">
            <v>ADMINISTRAÇÃO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26">
          <cell r="A26" t="str">
            <v>Subtotal</v>
          </cell>
          <cell r="B26">
            <v>0</v>
          </cell>
        </row>
        <row r="27">
          <cell r="A27" t="str">
            <v>TOTAL</v>
          </cell>
          <cell r="B27">
            <v>0</v>
          </cell>
        </row>
        <row r="31">
          <cell r="B31" t="e">
            <v>#DIV/0!</v>
          </cell>
        </row>
      </sheetData>
      <sheetData sheetId="8"/>
      <sheetData sheetId="9">
        <row r="1">
          <cell r="A1" t="str">
            <v>VII- CRONOGRAMA FÍSICO E FINANCEIRO</v>
          </cell>
        </row>
        <row r="2">
          <cell r="A2" t="str">
            <v>Início do Projeto:</v>
          </cell>
          <cell r="B2">
            <v>41275</v>
          </cell>
        </row>
        <row r="3">
          <cell r="A3" t="str">
            <v>COMPONENTE / SUBCOMPONENTE</v>
          </cell>
          <cell r="B3" t="str">
            <v>Data início</v>
          </cell>
          <cell r="C3" t="str">
            <v>Duração (meses)</v>
          </cell>
          <cell r="D3" t="str">
            <v>Data Término</v>
          </cell>
          <cell r="E3" t="str">
            <v>Ano 1/12</v>
          </cell>
          <cell r="I3" t="str">
            <v>Ano 1/13</v>
          </cell>
          <cell r="M3" t="str">
            <v>Ano 2/14</v>
          </cell>
          <cell r="Q3" t="str">
            <v>Ano 3/15</v>
          </cell>
          <cell r="U3" t="str">
            <v>Ano 4/16</v>
          </cell>
          <cell r="Y3" t="str">
            <v>Ano 5/17</v>
          </cell>
          <cell r="AC3" t="str">
            <v>Valor</v>
          </cell>
          <cell r="AD3" t="str">
            <v>Ano 1</v>
          </cell>
          <cell r="AH3" t="e">
            <v>#VALUE!</v>
          </cell>
          <cell r="AI3" t="str">
            <v>Ano 1</v>
          </cell>
          <cell r="AN3" t="str">
            <v>Ano 2</v>
          </cell>
          <cell r="AS3" t="str">
            <v>Ano 3</v>
          </cell>
          <cell r="AX3" t="str">
            <v>Ano 4</v>
          </cell>
          <cell r="BC3" t="str">
            <v>Ano 5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1</v>
          </cell>
          <cell r="J4">
            <v>2</v>
          </cell>
          <cell r="K4">
            <v>3</v>
          </cell>
          <cell r="L4">
            <v>4</v>
          </cell>
          <cell r="M4">
            <v>1</v>
          </cell>
          <cell r="N4">
            <v>2</v>
          </cell>
          <cell r="O4">
            <v>3</v>
          </cell>
          <cell r="P4">
            <v>4</v>
          </cell>
          <cell r="Q4">
            <v>1</v>
          </cell>
          <cell r="R4">
            <v>2</v>
          </cell>
          <cell r="S4">
            <v>3</v>
          </cell>
          <cell r="T4">
            <v>4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 t="str">
            <v>Produto</v>
          </cell>
          <cell r="AD4">
            <v>1</v>
          </cell>
          <cell r="AE4">
            <v>2</v>
          </cell>
          <cell r="AF4">
            <v>3</v>
          </cell>
          <cell r="AG4">
            <v>4</v>
          </cell>
          <cell r="AH4" t="str">
            <v>Total</v>
          </cell>
          <cell r="AI4">
            <v>1</v>
          </cell>
          <cell r="AJ4">
            <v>2</v>
          </cell>
          <cell r="AK4">
            <v>3</v>
          </cell>
          <cell r="AL4">
            <v>4</v>
          </cell>
          <cell r="AM4" t="str">
            <v>Total</v>
          </cell>
          <cell r="AN4">
            <v>1</v>
          </cell>
          <cell r="AO4">
            <v>2</v>
          </cell>
          <cell r="AP4">
            <v>3</v>
          </cell>
          <cell r="AQ4">
            <v>4</v>
          </cell>
          <cell r="AR4" t="str">
            <v>Total</v>
          </cell>
          <cell r="AS4">
            <v>1</v>
          </cell>
          <cell r="AT4">
            <v>2</v>
          </cell>
          <cell r="AU4">
            <v>3</v>
          </cell>
          <cell r="AV4">
            <v>4</v>
          </cell>
          <cell r="AW4" t="str">
            <v>Total</v>
          </cell>
          <cell r="AX4">
            <v>1</v>
          </cell>
          <cell r="AY4">
            <v>2</v>
          </cell>
          <cell r="AZ4">
            <v>3</v>
          </cell>
          <cell r="BA4">
            <v>4</v>
          </cell>
          <cell r="BB4" t="str">
            <v>Total</v>
          </cell>
          <cell r="BC4">
            <v>1</v>
          </cell>
          <cell r="BD4">
            <v>2</v>
          </cell>
          <cell r="BE4">
            <v>3</v>
          </cell>
          <cell r="BF4">
            <v>4</v>
          </cell>
          <cell r="BG4" t="str">
            <v>Total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COMPONENTE 2: nonononoononono</v>
          </cell>
        </row>
        <row r="12">
          <cell r="A12" t="str">
            <v>2.1   Formação continuada de efetivos policiais que atuarão no policiamento comunitário das áreas abrangidas pelo Programa (POA, Viamao, Alvorada)</v>
          </cell>
        </row>
        <row r="13">
          <cell r="A13" t="str">
            <v>2.2  Implantação de serviços de analise criminologico</v>
          </cell>
        </row>
        <row r="14">
          <cell r="A14" t="str">
            <v>2.3  Implementação do policiamento comunitário e fortalecimento e integração do efetivo policial com a comunidade</v>
          </cell>
        </row>
        <row r="15">
          <cell r="A15" t="str">
            <v>COMPONENTE 3:nenenenene</v>
          </cell>
        </row>
        <row r="16">
          <cell r="A16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7">
          <cell r="A17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8">
          <cell r="A18" t="str">
            <v>3.3  Aprimorar o Sistema de Gestão da FASE com ênfase as diretorias de Socioeducação e de Qualificação Profissional, Diretoria Administrativa, Diretoria Sócio Educativa, implantar sistema de avaliação do atendimento prestado, incluindo a informatização do</v>
          </cell>
        </row>
        <row r="19">
          <cell r="A19" t="str">
            <v>COMPONENTE 4:nenenenene</v>
          </cell>
        </row>
        <row r="20">
          <cell r="A20" t="str">
            <v>4.1  Plano Estratégico e Planos Operacionais Integrados para a prevenção e controle do crime violento no território</v>
          </cell>
        </row>
        <row r="21">
          <cell r="A21" t="str">
            <v>4.2  Sistema de Gestão de Processos e Monitoramento</v>
          </cell>
        </row>
        <row r="22">
          <cell r="A22" t="str">
            <v xml:space="preserve">4.3  Sistema de Monitoramento dos Serviços de Proteção dos Direitos dos Jovens (Observatório)    </v>
          </cell>
        </row>
        <row r="23">
          <cell r="A23" t="str">
            <v>4.4  Mecanismo de articulação, coordenação, informação e consulta entre as entidades participantes</v>
          </cell>
        </row>
        <row r="24">
          <cell r="A24" t="str">
            <v>ADMINISTRAÇÃO</v>
          </cell>
        </row>
        <row r="25">
          <cell r="A25" t="str">
            <v>A1 - Gestão do Projeto</v>
          </cell>
        </row>
        <row r="26">
          <cell r="A26" t="str">
            <v>A2 -Avaliação Independente</v>
          </cell>
        </row>
      </sheetData>
      <sheetData sheetId="10">
        <row r="1">
          <cell r="A1" t="str">
            <v>VIII- DISTRIBUIÇÃO POR FONTE</v>
          </cell>
        </row>
        <row r="2">
          <cell r="A2" t="str">
            <v>COMPONENTES E PRODUTOS</v>
          </cell>
          <cell r="B2" t="str">
            <v>Ano 1</v>
          </cell>
          <cell r="E2" t="str">
            <v>Ano 2</v>
          </cell>
          <cell r="H2" t="str">
            <v>Ano 3</v>
          </cell>
          <cell r="K2" t="str">
            <v>Ano 4</v>
          </cell>
          <cell r="N2" t="str">
            <v>Ano 5</v>
          </cell>
          <cell r="Q2" t="str">
            <v>Ano 6</v>
          </cell>
          <cell r="T2" t="str">
            <v>TOTAL</v>
          </cell>
        </row>
        <row r="3">
          <cell r="B3" t="str">
            <v>BID</v>
          </cell>
          <cell r="C3" t="str">
            <v>Local</v>
          </cell>
          <cell r="D3" t="str">
            <v>Total</v>
          </cell>
          <cell r="E3" t="str">
            <v>BID</v>
          </cell>
          <cell r="F3" t="str">
            <v>Local</v>
          </cell>
          <cell r="G3" t="str">
            <v>Total</v>
          </cell>
          <cell r="H3" t="str">
            <v>BID</v>
          </cell>
          <cell r="I3" t="str">
            <v>Local</v>
          </cell>
          <cell r="J3" t="str">
            <v>Total</v>
          </cell>
          <cell r="K3" t="str">
            <v>BID</v>
          </cell>
          <cell r="L3" t="str">
            <v>Local</v>
          </cell>
          <cell r="M3" t="str">
            <v>Total</v>
          </cell>
          <cell r="N3" t="str">
            <v>BID</v>
          </cell>
          <cell r="O3" t="str">
            <v>Local</v>
          </cell>
          <cell r="P3" t="str">
            <v>Total</v>
          </cell>
          <cell r="Q3" t="str">
            <v>BID</v>
          </cell>
          <cell r="R3" t="str">
            <v>Local</v>
          </cell>
          <cell r="S3" t="str">
            <v>Total</v>
          </cell>
          <cell r="T3" t="str">
            <v>BID</v>
          </cell>
          <cell r="U3" t="str">
            <v>Local</v>
          </cell>
          <cell r="V3" t="str">
            <v>Total</v>
          </cell>
        </row>
        <row r="4">
          <cell r="A4" t="str">
            <v>CUSTOS TOTAIS (DIRETOS+ADM)</v>
          </cell>
        </row>
        <row r="5">
          <cell r="A5" t="str">
            <v>CUSTOS DIRETOS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NÃO SELECIONADO</v>
          </cell>
        </row>
        <row r="12">
          <cell r="A12" t="str">
            <v>2.3  Implementação do policiamento comunitário e fortalecimento e integração do efetivo policial com a comunidade</v>
          </cell>
        </row>
        <row r="13">
          <cell r="A13" t="str">
            <v>COMPONENTE 3:nenenenene</v>
          </cell>
        </row>
        <row r="14">
          <cell r="A14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5">
          <cell r="A15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6">
          <cell r="A16" t="str">
            <v>4.1  Plano Estratégico e Planos Operacionais Integrados para a prevenção e controle do crime violento no território</v>
          </cell>
        </row>
        <row r="17">
          <cell r="A17" t="str">
            <v>4.2  Sistema de Gestão de Processos e Monitoramento</v>
          </cell>
        </row>
        <row r="18">
          <cell r="A18" t="str">
            <v>2.5 Co-financiar as ações desenvolvidas em 13 centros da juventude, espaços físicios para desenvolver ações de inclusão social e preventivas para jovens que concentram altos fatores de risco associados a violência e que não estão em conflito com a lei, se</v>
          </cell>
        </row>
        <row r="19">
          <cell r="A19" t="str">
            <v>ADMINISTRAÇÃO</v>
          </cell>
        </row>
        <row r="20">
          <cell r="A20" t="str">
            <v>NÃO SELECIONADO</v>
          </cell>
        </row>
        <row r="21">
          <cell r="A21" t="str">
            <v>NÃO SELECIONADO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apa"/>
      <sheetName val="2_Índice"/>
      <sheetName val="3_Comp e Produtos"/>
      <sheetName val="4_Componente 1"/>
      <sheetName val="5_Componente 2"/>
      <sheetName val="6_Componente 3"/>
      <sheetName val="7_Componente 4"/>
      <sheetName val="8_ADM"/>
      <sheetName val="9_Consolidação Tipo Recurso"/>
      <sheetName val="10_Cronograma Físico"/>
      <sheetName val="11_Distribuição por Fonte"/>
      <sheetName val="12_Orçamento Global"/>
      <sheetName val="13_POA 18 meses"/>
      <sheetName val="14_PA 18 m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V- PRODUTOS, ATIVIDADES E RECURSOS</v>
          </cell>
        </row>
        <row r="2">
          <cell r="A2" t="str">
            <v>ADMINISTRAÇÃO</v>
          </cell>
        </row>
        <row r="3">
          <cell r="A3" t="str">
            <v>Produtos</v>
          </cell>
          <cell r="B3" t="str">
            <v>Atividades</v>
          </cell>
          <cell r="C3" t="str">
            <v>Meta e Linha de Base</v>
          </cell>
          <cell r="D3" t="str">
            <v>Capacitação</v>
          </cell>
          <cell r="F3" t="str">
            <v>Valores em R$</v>
          </cell>
          <cell r="H3" t="str">
            <v>Consultoria</v>
          </cell>
          <cell r="J3" t="str">
            <v>Valores em R$</v>
          </cell>
          <cell r="L3" t="str">
            <v>Eq e Sistemas de Informação</v>
          </cell>
          <cell r="N3" t="str">
            <v>Valores em R$</v>
          </cell>
          <cell r="P3" t="str">
            <v>Serviços Técnicos que nâo Consultoria</v>
          </cell>
          <cell r="R3" t="str">
            <v>Valores em R$</v>
          </cell>
          <cell r="T3" t="str">
            <v>Deslocamentos</v>
          </cell>
          <cell r="V3" t="str">
            <v>Valores em R$</v>
          </cell>
        </row>
        <row r="4">
          <cell r="D4" t="str">
            <v>Especificação</v>
          </cell>
          <cell r="E4" t="str">
            <v>Qt. Part.</v>
          </cell>
          <cell r="F4" t="str">
            <v>Unitário</v>
          </cell>
          <cell r="G4" t="str">
            <v>Total</v>
          </cell>
          <cell r="H4" t="str">
            <v>Área</v>
          </cell>
          <cell r="I4" t="str">
            <v>Dias</v>
          </cell>
          <cell r="J4" t="str">
            <v>Unitário</v>
          </cell>
          <cell r="K4" t="str">
            <v>Total</v>
          </cell>
          <cell r="L4" t="str">
            <v>Tipo</v>
          </cell>
          <cell r="M4" t="str">
            <v>Qt.</v>
          </cell>
          <cell r="N4" t="str">
            <v>Unitário</v>
          </cell>
          <cell r="O4" t="str">
            <v>Total</v>
          </cell>
          <cell r="P4" t="str">
            <v>Tipo</v>
          </cell>
          <cell r="Q4" t="str">
            <v>Qt.</v>
          </cell>
          <cell r="R4" t="str">
            <v>Unitário</v>
          </cell>
          <cell r="S4" t="str">
            <v>Total</v>
          </cell>
          <cell r="T4" t="str">
            <v>Descrição</v>
          </cell>
          <cell r="U4" t="str">
            <v>Qt.</v>
          </cell>
          <cell r="V4" t="str">
            <v>Unitário</v>
          </cell>
          <cell r="W4" t="str">
            <v>Total</v>
          </cell>
        </row>
        <row r="26">
          <cell r="A26" t="str">
            <v>Subtotal</v>
          </cell>
          <cell r="B26">
            <v>0</v>
          </cell>
        </row>
        <row r="27">
          <cell r="A27" t="str">
            <v>TOTAL</v>
          </cell>
          <cell r="B27">
            <v>0</v>
          </cell>
        </row>
        <row r="31">
          <cell r="B31" t="e">
            <v>#DIV/0!</v>
          </cell>
        </row>
      </sheetData>
      <sheetData sheetId="8"/>
      <sheetData sheetId="9">
        <row r="1">
          <cell r="A1" t="str">
            <v>VII- CRONOGRAMA FÍSICO E FINANCEIRO</v>
          </cell>
        </row>
        <row r="2">
          <cell r="A2" t="str">
            <v>Início do Projeto:</v>
          </cell>
          <cell r="B2">
            <v>41275</v>
          </cell>
        </row>
        <row r="3">
          <cell r="A3" t="str">
            <v>COMPONENTE / SUBCOMPONENTE</v>
          </cell>
          <cell r="B3" t="str">
            <v>Data início</v>
          </cell>
          <cell r="C3" t="str">
            <v>Duração (meses)</v>
          </cell>
          <cell r="D3" t="str">
            <v>Data Término</v>
          </cell>
          <cell r="E3" t="str">
            <v>Ano 1/12</v>
          </cell>
          <cell r="I3" t="str">
            <v>Ano 1/13</v>
          </cell>
          <cell r="M3" t="str">
            <v>Ano 2/14</v>
          </cell>
          <cell r="Q3" t="str">
            <v>Ano 3/15</v>
          </cell>
          <cell r="U3" t="str">
            <v>Ano 4/16</v>
          </cell>
          <cell r="Y3" t="str">
            <v>Ano 5/17</v>
          </cell>
          <cell r="AC3" t="str">
            <v>Valor</v>
          </cell>
          <cell r="AD3" t="str">
            <v>Ano 1</v>
          </cell>
          <cell r="AH3" t="e">
            <v>#VALUE!</v>
          </cell>
          <cell r="AI3" t="str">
            <v>Ano 1</v>
          </cell>
          <cell r="AN3" t="str">
            <v>Ano 2</v>
          </cell>
          <cell r="AS3" t="str">
            <v>Ano 3</v>
          </cell>
          <cell r="AX3" t="str">
            <v>Ano 4</v>
          </cell>
          <cell r="BC3" t="str">
            <v>Ano 5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1</v>
          </cell>
          <cell r="J4">
            <v>2</v>
          </cell>
          <cell r="K4">
            <v>3</v>
          </cell>
          <cell r="L4">
            <v>4</v>
          </cell>
          <cell r="M4">
            <v>1</v>
          </cell>
          <cell r="N4">
            <v>2</v>
          </cell>
          <cell r="O4">
            <v>3</v>
          </cell>
          <cell r="P4">
            <v>4</v>
          </cell>
          <cell r="Q4">
            <v>1</v>
          </cell>
          <cell r="R4">
            <v>2</v>
          </cell>
          <cell r="S4">
            <v>3</v>
          </cell>
          <cell r="T4">
            <v>4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 t="str">
            <v>Produto</v>
          </cell>
          <cell r="AD4">
            <v>1</v>
          </cell>
          <cell r="AE4">
            <v>2</v>
          </cell>
          <cell r="AF4">
            <v>3</v>
          </cell>
          <cell r="AG4">
            <v>4</v>
          </cell>
          <cell r="AH4" t="str">
            <v>Total</v>
          </cell>
          <cell r="AI4">
            <v>1</v>
          </cell>
          <cell r="AJ4">
            <v>2</v>
          </cell>
          <cell r="AK4">
            <v>3</v>
          </cell>
          <cell r="AL4">
            <v>4</v>
          </cell>
          <cell r="AM4" t="str">
            <v>Total</v>
          </cell>
          <cell r="AN4">
            <v>1</v>
          </cell>
          <cell r="AO4">
            <v>2</v>
          </cell>
          <cell r="AP4">
            <v>3</v>
          </cell>
          <cell r="AQ4">
            <v>4</v>
          </cell>
          <cell r="AR4" t="str">
            <v>Total</v>
          </cell>
          <cell r="AS4">
            <v>1</v>
          </cell>
          <cell r="AT4">
            <v>2</v>
          </cell>
          <cell r="AU4">
            <v>3</v>
          </cell>
          <cell r="AV4">
            <v>4</v>
          </cell>
          <cell r="AW4" t="str">
            <v>Total</v>
          </cell>
          <cell r="AX4">
            <v>1</v>
          </cell>
          <cell r="AY4">
            <v>2</v>
          </cell>
          <cell r="AZ4">
            <v>3</v>
          </cell>
          <cell r="BA4">
            <v>4</v>
          </cell>
          <cell r="BB4" t="str">
            <v>Total</v>
          </cell>
          <cell r="BC4">
            <v>1</v>
          </cell>
          <cell r="BD4">
            <v>2</v>
          </cell>
          <cell r="BE4">
            <v>3</v>
          </cell>
          <cell r="BF4">
            <v>4</v>
          </cell>
          <cell r="BG4" t="str">
            <v>Total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COMPONENTE 2: nonononoononono</v>
          </cell>
        </row>
        <row r="12">
          <cell r="A12" t="str">
            <v>2.1   Formação continuada de efetivos policiais que atuarão no policiamento comunitário das áreas abrangidas pelo Programa (POA, Viamao, Alvorada)</v>
          </cell>
        </row>
        <row r="13">
          <cell r="A13" t="str">
            <v>2.2  Implantação de serviços de analise criminologico</v>
          </cell>
        </row>
        <row r="14">
          <cell r="A14" t="str">
            <v>2.3  Implementação do policiamento comunitário e fortalecimento e integração do efetivo policial com a comunidade</v>
          </cell>
        </row>
        <row r="15">
          <cell r="A15" t="str">
            <v>COMPONENTE 3:nenenenene</v>
          </cell>
        </row>
        <row r="16">
          <cell r="A16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7">
          <cell r="A17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8">
          <cell r="A18" t="str">
            <v>3.3  Aprimorar o Sistema de Gestão da FASE com ênfase as diretorias de Socioeducação e de Qualificação Profissional, Diretoria Administrativa, Diretoria Sócio Educativa, implantar sistema de avaliação do atendimento prestado, incluindo a informatização do</v>
          </cell>
        </row>
        <row r="19">
          <cell r="A19" t="str">
            <v>COMPONENTE 4:nenenenene</v>
          </cell>
        </row>
        <row r="20">
          <cell r="A20" t="str">
            <v>4.1  Plano Estratégico e Planos Operacionais Integrados para a prevenção e controle do crime violento no território</v>
          </cell>
        </row>
        <row r="21">
          <cell r="A21" t="str">
            <v>4.2  Sistema de Gestão de Processos e Monitoramento</v>
          </cell>
        </row>
        <row r="22">
          <cell r="A22" t="str">
            <v xml:space="preserve">4.3  Sistema de Monitoramento dos Serviços de Proteção dos Direitos dos Jovens (Observatório)    </v>
          </cell>
        </row>
        <row r="23">
          <cell r="A23" t="str">
            <v>4.4  Mecanismo de articulação, coordenação, informação e consulta entre as entidades participantes</v>
          </cell>
        </row>
        <row r="24">
          <cell r="A24" t="str">
            <v>ADMINISTRAÇÃO</v>
          </cell>
        </row>
        <row r="25">
          <cell r="A25" t="str">
            <v>A1 - Gestão do Projeto</v>
          </cell>
        </row>
        <row r="26">
          <cell r="A26" t="str">
            <v>A2 -Avaliação Independente</v>
          </cell>
        </row>
      </sheetData>
      <sheetData sheetId="10">
        <row r="1">
          <cell r="A1" t="str">
            <v>VIII- DISTRIBUIÇÃO POR FONTE</v>
          </cell>
        </row>
        <row r="2">
          <cell r="A2" t="str">
            <v>COMPONENTES E PRODUTOS</v>
          </cell>
          <cell r="B2" t="str">
            <v>Ano 1</v>
          </cell>
          <cell r="E2" t="str">
            <v>Ano 2</v>
          </cell>
          <cell r="H2" t="str">
            <v>Ano 3</v>
          </cell>
          <cell r="K2" t="str">
            <v>Ano 4</v>
          </cell>
          <cell r="N2" t="str">
            <v>Ano 5</v>
          </cell>
          <cell r="Q2" t="str">
            <v>Ano 6</v>
          </cell>
          <cell r="T2" t="str">
            <v>TOTAL</v>
          </cell>
        </row>
        <row r="3">
          <cell r="B3" t="str">
            <v>BID</v>
          </cell>
          <cell r="C3" t="str">
            <v>Local</v>
          </cell>
          <cell r="D3" t="str">
            <v>Total</v>
          </cell>
          <cell r="E3" t="str">
            <v>BID</v>
          </cell>
          <cell r="F3" t="str">
            <v>Local</v>
          </cell>
          <cell r="G3" t="str">
            <v>Total</v>
          </cell>
          <cell r="H3" t="str">
            <v>BID</v>
          </cell>
          <cell r="I3" t="str">
            <v>Local</v>
          </cell>
          <cell r="J3" t="str">
            <v>Total</v>
          </cell>
          <cell r="K3" t="str">
            <v>BID</v>
          </cell>
          <cell r="L3" t="str">
            <v>Local</v>
          </cell>
          <cell r="M3" t="str">
            <v>Total</v>
          </cell>
          <cell r="N3" t="str">
            <v>BID</v>
          </cell>
          <cell r="O3" t="str">
            <v>Local</v>
          </cell>
          <cell r="P3" t="str">
            <v>Total</v>
          </cell>
          <cell r="Q3" t="str">
            <v>BID</v>
          </cell>
          <cell r="R3" t="str">
            <v>Local</v>
          </cell>
          <cell r="S3" t="str">
            <v>Total</v>
          </cell>
          <cell r="T3" t="str">
            <v>BID</v>
          </cell>
          <cell r="U3" t="str">
            <v>Local</v>
          </cell>
          <cell r="V3" t="str">
            <v>Total</v>
          </cell>
        </row>
        <row r="4">
          <cell r="A4" t="str">
            <v>CUSTOS TOTAIS (DIRETOS+ADM)</v>
          </cell>
        </row>
        <row r="5">
          <cell r="A5" t="str">
            <v>CUSTOS DIRETOS</v>
          </cell>
        </row>
        <row r="6">
          <cell r="A6" t="str">
            <v>COMPONENTE 1: nononononono</v>
          </cell>
        </row>
        <row r="7">
          <cell r="A7" t="str">
            <v xml:space="preserve">1.1 Construção de 06 (seis) Centros POD Juventude </v>
          </cell>
        </row>
        <row r="8">
          <cell r="A8" t="str">
            <v xml:space="preserve">1.2 Ações voltadas ao sistema educativo e à inclusão ao mercado de trabalho para aumento de escolaridade e inserção laboral </v>
          </cell>
        </row>
        <row r="9">
          <cell r="A9" t="str">
            <v>1.3 Criação ou fortalecimento de 06 núcleos de gestão da rede de atenção a juventude nos territórios</v>
          </cell>
        </row>
        <row r="10">
          <cell r="A10" t="str">
            <v>1.4  Reforma de espaços públicos com acessibilidade para pessoas com deficiência</v>
          </cell>
        </row>
        <row r="11">
          <cell r="A11" t="str">
            <v>NÃO SELECIONADO</v>
          </cell>
        </row>
        <row r="12">
          <cell r="A12" t="str">
            <v>2.3  Implementação do policiamento comunitário e fortalecimento e integração do efetivo policial com a comunidade</v>
          </cell>
        </row>
        <row r="13">
          <cell r="A13" t="str">
            <v>COMPONENTE 3:nenenenene</v>
          </cell>
        </row>
        <row r="14">
          <cell r="A14" t="str">
            <v xml:space="preserve">3.1  Construção de 03 (três) novos Centros de Atendimento Socioeducativo (CASE), que respeitem as diretrizes do Sistema Nacional de Socioeducação (SINASE), 01 (um) no município de Osório e 01 (um) em Santa Cruz do Sul e 01 (um) em Porto Alegre, incluindo </v>
          </cell>
        </row>
        <row r="15">
          <cell r="A15" t="str">
            <v>3.2  A elaboração e implementação de um plano de formação continuada dos servidores da Fundação, visando o fortalecimento do vínculo com os adolescentes, suas famílias e a comunidade de origem. Acompanhamento do progresso individual de cada adolescente (e</v>
          </cell>
        </row>
        <row r="16">
          <cell r="A16" t="str">
            <v>4.1  Plano Estratégico e Planos Operacionais Integrados para a prevenção e controle do crime violento no território</v>
          </cell>
        </row>
        <row r="17">
          <cell r="A17" t="str">
            <v>4.2  Sistema de Gestão de Processos e Monitoramento</v>
          </cell>
        </row>
        <row r="18">
          <cell r="A18" t="str">
            <v>2.5 Co-financiar as ações desenvolvidas em 13 centros da juventude, espaços físicios para desenvolver ações de inclusão social e preventivas para jovens que concentram altos fatores de risco associados a violência e que não estão em conflito com a lei, se</v>
          </cell>
        </row>
        <row r="19">
          <cell r="A19" t="str">
            <v>ADMINISTRAÇÃO</v>
          </cell>
        </row>
        <row r="20">
          <cell r="A20" t="str">
            <v>NÃO SELECIONADO</v>
          </cell>
        </row>
        <row r="21">
          <cell r="A21" t="str">
            <v>NÃO SELECIONADO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56"/>
  <sheetViews>
    <sheetView showGridLines="0" topLeftCell="A16" zoomScale="80" zoomScaleNormal="80" workbookViewId="0">
      <selection activeCell="A23" sqref="A23"/>
    </sheetView>
  </sheetViews>
  <sheetFormatPr defaultRowHeight="12.75" x14ac:dyDescent="0.2"/>
  <cols>
    <col min="1" max="1" width="5.140625" customWidth="1"/>
    <col min="2" max="2" width="16" customWidth="1"/>
    <col min="5" max="5" width="13" customWidth="1"/>
    <col min="8" max="8" width="16.140625" customWidth="1"/>
    <col min="9" max="9" width="1.5703125" customWidth="1"/>
  </cols>
  <sheetData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813"/>
      <c r="H7" s="813"/>
      <c r="I7" s="1"/>
      <c r="J7" s="1"/>
    </row>
    <row r="8" spans="1:10" x14ac:dyDescent="0.2">
      <c r="A8" s="1"/>
      <c r="B8" s="1"/>
      <c r="C8" s="1"/>
      <c r="D8" s="1"/>
      <c r="E8" s="1"/>
      <c r="F8" s="1"/>
      <c r="I8" s="1"/>
      <c r="J8" s="1"/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 x14ac:dyDescent="0.25">
      <c r="A13" s="1"/>
      <c r="B13" s="1"/>
      <c r="C13" s="1"/>
      <c r="D13" s="814"/>
      <c r="E13" s="814"/>
      <c r="F13" s="814"/>
      <c r="G13" s="814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1"/>
    </row>
    <row r="19" spans="1:10" ht="12.95" customHeight="1" x14ac:dyDescent="0.2">
      <c r="A19" s="815" t="s">
        <v>138</v>
      </c>
      <c r="B19" s="815"/>
      <c r="C19" s="815"/>
      <c r="D19" s="815"/>
      <c r="E19" s="815"/>
      <c r="F19" s="815"/>
      <c r="G19" s="815"/>
      <c r="H19" s="815"/>
      <c r="I19" s="815"/>
      <c r="J19" s="1"/>
    </row>
    <row r="20" spans="1:10" ht="12.75" customHeight="1" x14ac:dyDescent="0.2">
      <c r="A20" s="815"/>
      <c r="B20" s="815"/>
      <c r="C20" s="815"/>
      <c r="D20" s="815"/>
      <c r="E20" s="815"/>
      <c r="F20" s="815"/>
      <c r="G20" s="815"/>
      <c r="H20" s="815"/>
      <c r="I20" s="815"/>
      <c r="J20" s="1"/>
    </row>
    <row r="21" spans="1:10" ht="12.75" customHeight="1" x14ac:dyDescent="0.2">
      <c r="A21" s="815"/>
      <c r="B21" s="815"/>
      <c r="C21" s="815"/>
      <c r="D21" s="815"/>
      <c r="E21" s="815"/>
      <c r="F21" s="815"/>
      <c r="G21" s="815"/>
      <c r="H21" s="815"/>
      <c r="I21" s="815"/>
      <c r="J21" s="1"/>
    </row>
    <row r="22" spans="1:10" ht="34.5" customHeight="1" x14ac:dyDescent="0.2">
      <c r="A22" s="815"/>
      <c r="B22" s="815"/>
      <c r="C22" s="815"/>
      <c r="D22" s="815"/>
      <c r="E22" s="815"/>
      <c r="F22" s="815"/>
      <c r="G22" s="815"/>
      <c r="H22" s="815"/>
      <c r="I22" s="815"/>
      <c r="J22" s="1"/>
    </row>
    <row r="23" spans="1:10" ht="34.5" customHeight="1" x14ac:dyDescent="0.2">
      <c r="A23" s="2"/>
      <c r="B23" s="3"/>
      <c r="C23" s="3"/>
      <c r="D23" s="3"/>
      <c r="E23" s="3"/>
      <c r="F23" s="3"/>
      <c r="G23" s="3"/>
      <c r="H23" s="3"/>
      <c r="I23" s="2"/>
      <c r="J23" s="1"/>
    </row>
    <row r="24" spans="1:10" ht="34.5" customHeight="1" x14ac:dyDescent="0.2">
      <c r="A24" s="2"/>
      <c r="B24" s="3"/>
      <c r="C24" s="3"/>
      <c r="D24" s="3"/>
      <c r="E24" s="3"/>
      <c r="F24" s="3"/>
      <c r="G24" s="3"/>
      <c r="H24" s="3"/>
      <c r="I24" s="2"/>
      <c r="J24" s="1"/>
    </row>
    <row r="25" spans="1:10" ht="18" customHeight="1" x14ac:dyDescent="0.2">
      <c r="A25" s="816" t="s">
        <v>133</v>
      </c>
      <c r="B25" s="816"/>
      <c r="C25" s="816"/>
      <c r="D25" s="816"/>
      <c r="E25" s="816"/>
      <c r="F25" s="816"/>
      <c r="G25" s="816"/>
      <c r="H25" s="816"/>
      <c r="I25" s="816"/>
      <c r="J25" s="1"/>
    </row>
    <row r="26" spans="1:10" ht="18" customHeight="1" x14ac:dyDescent="0.2">
      <c r="A26" s="816"/>
      <c r="B26" s="816"/>
      <c r="C26" s="816"/>
      <c r="D26" s="816"/>
      <c r="E26" s="816"/>
      <c r="F26" s="816"/>
      <c r="G26" s="816"/>
      <c r="H26" s="816"/>
      <c r="I26" s="816"/>
      <c r="J26" s="1"/>
    </row>
    <row r="27" spans="1:10" ht="18" customHeight="1" x14ac:dyDescent="0.2">
      <c r="A27" s="816"/>
      <c r="B27" s="816"/>
      <c r="C27" s="816"/>
      <c r="D27" s="816"/>
      <c r="E27" s="816"/>
      <c r="F27" s="816"/>
      <c r="G27" s="816"/>
      <c r="H27" s="816"/>
      <c r="I27" s="816"/>
      <c r="J27" s="1"/>
    </row>
    <row r="28" spans="1:10" ht="12.75" customHeight="1" x14ac:dyDescent="0.2">
      <c r="A28" s="816"/>
      <c r="B28" s="816"/>
      <c r="C28" s="816"/>
      <c r="D28" s="816"/>
      <c r="E28" s="816"/>
      <c r="F28" s="816"/>
      <c r="G28" s="816"/>
      <c r="H28" s="816"/>
      <c r="I28" s="816"/>
      <c r="J28" s="1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1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1"/>
    </row>
    <row r="31" spans="1:10" ht="12.75" customHeight="1" x14ac:dyDescent="0.2">
      <c r="A31" s="816" t="s">
        <v>134</v>
      </c>
      <c r="B31" s="816"/>
      <c r="C31" s="816"/>
      <c r="D31" s="816"/>
      <c r="E31" s="816"/>
      <c r="F31" s="816"/>
      <c r="G31" s="816"/>
      <c r="H31" s="816"/>
      <c r="I31" s="816"/>
      <c r="J31" s="1"/>
    </row>
    <row r="32" spans="1:10" ht="12.75" customHeight="1" x14ac:dyDescent="0.2">
      <c r="A32" s="816"/>
      <c r="B32" s="816"/>
      <c r="C32" s="816"/>
      <c r="D32" s="816"/>
      <c r="E32" s="816"/>
      <c r="F32" s="816"/>
      <c r="G32" s="816"/>
      <c r="H32" s="816"/>
      <c r="I32" s="816"/>
      <c r="J32" s="1"/>
    </row>
    <row r="33" spans="1:10" ht="12.75" customHeight="1" x14ac:dyDescent="0.2">
      <c r="A33" s="816"/>
      <c r="B33" s="816"/>
      <c r="C33" s="816"/>
      <c r="D33" s="816"/>
      <c r="E33" s="816"/>
      <c r="F33" s="816"/>
      <c r="G33" s="816"/>
      <c r="H33" s="816"/>
      <c r="I33" s="816"/>
      <c r="J33" s="1"/>
    </row>
    <row r="34" spans="1:10" x14ac:dyDescent="0.2">
      <c r="A34" s="816"/>
      <c r="B34" s="816"/>
      <c r="C34" s="816"/>
      <c r="D34" s="816"/>
      <c r="E34" s="816"/>
      <c r="F34" s="816"/>
      <c r="G34" s="816"/>
      <c r="H34" s="816"/>
      <c r="I34" s="816"/>
      <c r="J34" s="1"/>
    </row>
    <row r="35" spans="1:10" x14ac:dyDescent="0.2">
      <c r="A35" s="816"/>
      <c r="B35" s="816"/>
      <c r="C35" s="816"/>
      <c r="D35" s="816"/>
      <c r="E35" s="816"/>
      <c r="F35" s="816"/>
      <c r="G35" s="816"/>
      <c r="H35" s="816"/>
      <c r="I35" s="816"/>
      <c r="J35" s="1"/>
    </row>
    <row r="36" spans="1:10" x14ac:dyDescent="0.2">
      <c r="A36" s="4"/>
      <c r="B36" s="4"/>
      <c r="C36" s="4"/>
      <c r="D36" s="4"/>
      <c r="E36" s="4"/>
      <c r="F36" s="4"/>
      <c r="G36" s="4"/>
      <c r="H36" s="4"/>
      <c r="I36" s="4"/>
      <c r="J36" s="1"/>
    </row>
    <row r="37" spans="1:10" ht="18" customHeight="1" x14ac:dyDescent="0.2">
      <c r="A37" s="816"/>
      <c r="B37" s="816"/>
      <c r="C37" s="816"/>
      <c r="D37" s="816"/>
      <c r="E37" s="816"/>
      <c r="F37" s="816"/>
      <c r="G37" s="816"/>
      <c r="H37" s="816"/>
      <c r="I37" s="816"/>
      <c r="J37" s="1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  <c r="J38" s="1"/>
    </row>
    <row r="39" spans="1:10" x14ac:dyDescent="0.2">
      <c r="A39" s="2"/>
      <c r="B39" s="818"/>
      <c r="C39" s="818"/>
      <c r="D39" s="818"/>
      <c r="E39" s="818"/>
      <c r="F39" s="818"/>
      <c r="G39" s="818"/>
      <c r="H39" s="818"/>
      <c r="I39" s="2"/>
      <c r="J39" s="1"/>
    </row>
    <row r="40" spans="1:10" x14ac:dyDescent="0.2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  <c r="J41" s="1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1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  <c r="J43" s="1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ht="15.75" x14ac:dyDescent="0.25">
      <c r="A45" s="817" t="s">
        <v>135</v>
      </c>
      <c r="B45" s="817"/>
      <c r="C45" s="817"/>
      <c r="D45" s="817"/>
      <c r="E45" s="817"/>
      <c r="F45" s="817"/>
      <c r="G45" s="817"/>
      <c r="H45" s="817"/>
      <c r="I45" s="817"/>
      <c r="J45" s="1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 selectLockedCells="1" selectUnlockedCells="1"/>
  <mergeCells count="9">
    <mergeCell ref="G7:H7"/>
    <mergeCell ref="D13:G13"/>
    <mergeCell ref="A19:I22"/>
    <mergeCell ref="A25:I27"/>
    <mergeCell ref="A45:I45"/>
    <mergeCell ref="A28:I28"/>
    <mergeCell ref="A31:I35"/>
    <mergeCell ref="A37:I37"/>
    <mergeCell ref="B39:H39"/>
  </mergeCells>
  <phoneticPr fontId="24" type="noConversion"/>
  <pageMargins left="0.59027777777777779" right="0.39374999999999999" top="0.98402777777777772" bottom="0.98402777777777772" header="0.51180555555555551" footer="0.51180555555555551"/>
  <pageSetup paperSize="9" scale="95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32"/>
  <sheetViews>
    <sheetView showGridLines="0" topLeftCell="A7" zoomScale="80" zoomScaleNormal="80" workbookViewId="0">
      <selection activeCell="B16" sqref="B16"/>
    </sheetView>
  </sheetViews>
  <sheetFormatPr defaultRowHeight="12.75" x14ac:dyDescent="0.2"/>
  <cols>
    <col min="1" max="1" width="66.28515625" customWidth="1"/>
    <col min="3" max="3" width="10.85546875" customWidth="1"/>
    <col min="4" max="4" width="10.7109375" style="21" customWidth="1"/>
    <col min="5" max="5" width="0" style="21" hidden="1" customWidth="1"/>
    <col min="6" max="8" width="0" hidden="1" customWidth="1"/>
    <col min="9" max="28" width="2.7109375" customWidth="1"/>
    <col min="29" max="29" width="17.7109375" customWidth="1"/>
    <col min="30" max="34" width="0" hidden="1" customWidth="1"/>
    <col min="35" max="36" width="16" customWidth="1"/>
    <col min="37" max="38" width="16.42578125" customWidth="1"/>
    <col min="39" max="39" width="16.85546875" customWidth="1"/>
    <col min="40" max="43" width="16.42578125" customWidth="1"/>
    <col min="44" max="44" width="16.85546875" customWidth="1"/>
    <col min="45" max="47" width="16.42578125" customWidth="1"/>
    <col min="48" max="48" width="16" customWidth="1"/>
    <col min="49" max="49" width="19.5703125" customWidth="1"/>
    <col min="50" max="50" width="16.42578125" customWidth="1"/>
    <col min="51" max="51" width="16.85546875" customWidth="1"/>
    <col min="52" max="53" width="16.42578125" customWidth="1"/>
    <col min="54" max="54" width="19.5703125" customWidth="1"/>
    <col min="55" max="55" width="16.42578125" customWidth="1"/>
    <col min="56" max="56" width="16.85546875" customWidth="1"/>
    <col min="57" max="58" width="16.42578125" customWidth="1"/>
    <col min="59" max="59" width="18.5703125" customWidth="1"/>
    <col min="60" max="60" width="15.5703125" customWidth="1"/>
    <col min="61" max="61" width="18" customWidth="1"/>
  </cols>
  <sheetData>
    <row r="1" spans="1:59" ht="28.5" customHeight="1" x14ac:dyDescent="0.2">
      <c r="A1" s="335" t="s">
        <v>67</v>
      </c>
      <c r="B1" s="336"/>
      <c r="C1" s="336"/>
      <c r="D1" s="336"/>
      <c r="E1" s="336"/>
      <c r="F1" s="336"/>
      <c r="G1" s="336"/>
      <c r="H1" s="336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8"/>
      <c r="Y1" s="337"/>
      <c r="Z1" s="337"/>
      <c r="AA1" s="337"/>
      <c r="AB1" s="338"/>
      <c r="AC1" s="339"/>
      <c r="AD1" s="336"/>
      <c r="AE1" s="336"/>
      <c r="AF1" s="336"/>
      <c r="AG1" s="336"/>
      <c r="AH1" s="336"/>
      <c r="AI1" s="337"/>
      <c r="AJ1" s="337"/>
      <c r="AK1" s="337"/>
      <c r="AL1" s="337"/>
      <c r="AM1" s="340"/>
      <c r="AN1" s="337"/>
      <c r="AO1" s="337"/>
      <c r="AP1" s="337"/>
      <c r="AQ1" s="337"/>
      <c r="AR1" s="337"/>
      <c r="AS1" s="337"/>
      <c r="AT1" s="337"/>
      <c r="AU1" s="337"/>
      <c r="AV1" s="338"/>
      <c r="AW1" s="338"/>
      <c r="AX1" s="341"/>
      <c r="AY1" s="337"/>
      <c r="AZ1" s="337"/>
      <c r="BA1" s="338"/>
      <c r="BB1" s="342"/>
      <c r="BC1" s="341"/>
      <c r="BD1" s="337"/>
      <c r="BE1" s="337"/>
      <c r="BF1" s="338"/>
      <c r="BG1" s="342"/>
    </row>
    <row r="2" spans="1:59" ht="12.75" customHeight="1" x14ac:dyDescent="0.2">
      <c r="A2" s="343" t="s">
        <v>68</v>
      </c>
      <c r="B2" s="940">
        <v>41275</v>
      </c>
      <c r="C2" s="940"/>
      <c r="D2" s="344"/>
      <c r="E2" s="344"/>
      <c r="F2" s="345"/>
      <c r="G2" s="345"/>
      <c r="H2" s="345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7"/>
      <c r="AD2" s="348"/>
      <c r="AE2" s="345"/>
      <c r="AF2" s="345"/>
      <c r="AG2" s="345"/>
      <c r="AH2" s="349"/>
      <c r="AI2" s="350"/>
      <c r="AJ2" s="346"/>
      <c r="AK2" s="346"/>
      <c r="AL2" s="346"/>
      <c r="AM2" s="347"/>
      <c r="AN2" s="350"/>
      <c r="AO2" s="346"/>
      <c r="AP2" s="346"/>
      <c r="AQ2" s="346"/>
      <c r="AR2" s="347"/>
      <c r="AS2" s="350"/>
      <c r="AT2" s="346"/>
      <c r="AU2" s="346"/>
      <c r="AV2" s="351"/>
      <c r="AW2" s="351"/>
      <c r="AX2" s="350"/>
      <c r="AY2" s="346"/>
      <c r="AZ2" s="346"/>
      <c r="BA2" s="351"/>
      <c r="BB2" s="352"/>
      <c r="BC2" s="350"/>
      <c r="BD2" s="346"/>
      <c r="BE2" s="346"/>
      <c r="BF2" s="351"/>
      <c r="BG2" s="352"/>
    </row>
    <row r="3" spans="1:59" ht="13.5" customHeight="1" x14ac:dyDescent="0.2">
      <c r="A3" s="943" t="s">
        <v>66</v>
      </c>
      <c r="B3" s="941" t="s">
        <v>69</v>
      </c>
      <c r="C3" s="941" t="s">
        <v>70</v>
      </c>
      <c r="D3" s="941" t="s">
        <v>71</v>
      </c>
      <c r="E3" s="944" t="s">
        <v>72</v>
      </c>
      <c r="F3" s="944"/>
      <c r="G3" s="944"/>
      <c r="H3" s="944"/>
      <c r="I3" s="941" t="s">
        <v>287</v>
      </c>
      <c r="J3" s="945"/>
      <c r="K3" s="945"/>
      <c r="L3" s="946"/>
      <c r="M3" s="941" t="s">
        <v>288</v>
      </c>
      <c r="N3" s="941"/>
      <c r="O3" s="941"/>
      <c r="P3" s="941"/>
      <c r="Q3" s="941" t="s">
        <v>289</v>
      </c>
      <c r="R3" s="941"/>
      <c r="S3" s="941"/>
      <c r="T3" s="941"/>
      <c r="U3" s="941" t="s">
        <v>290</v>
      </c>
      <c r="V3" s="941"/>
      <c r="W3" s="941"/>
      <c r="X3" s="941"/>
      <c r="Y3" s="941" t="s">
        <v>291</v>
      </c>
      <c r="Z3" s="941"/>
      <c r="AA3" s="941"/>
      <c r="AB3" s="941"/>
      <c r="AC3" s="354" t="s">
        <v>226</v>
      </c>
      <c r="AD3" s="942" t="s">
        <v>73</v>
      </c>
      <c r="AE3" s="942"/>
      <c r="AF3" s="942"/>
      <c r="AG3" s="942"/>
      <c r="AH3" s="356" t="e">
        <f>AH5/$AC5</f>
        <v>#VALUE!</v>
      </c>
      <c r="AI3" s="942" t="s">
        <v>73</v>
      </c>
      <c r="AJ3" s="942"/>
      <c r="AK3" s="942"/>
      <c r="AL3" s="942"/>
      <c r="AM3" s="356"/>
      <c r="AN3" s="942" t="s">
        <v>74</v>
      </c>
      <c r="AO3" s="942"/>
      <c r="AP3" s="942"/>
      <c r="AQ3" s="942"/>
      <c r="AR3" s="356"/>
      <c r="AS3" s="942" t="s">
        <v>75</v>
      </c>
      <c r="AT3" s="942"/>
      <c r="AU3" s="942"/>
      <c r="AV3" s="942"/>
      <c r="AW3" s="356"/>
      <c r="AX3" s="942" t="s">
        <v>76</v>
      </c>
      <c r="AY3" s="942"/>
      <c r="AZ3" s="942"/>
      <c r="BA3" s="942"/>
      <c r="BB3" s="356"/>
      <c r="BC3" s="942" t="s">
        <v>77</v>
      </c>
      <c r="BD3" s="942"/>
      <c r="BE3" s="942"/>
      <c r="BF3" s="942"/>
      <c r="BG3" s="356"/>
    </row>
    <row r="4" spans="1:59" x14ac:dyDescent="0.2">
      <c r="A4" s="943"/>
      <c r="B4" s="941"/>
      <c r="C4" s="941"/>
      <c r="D4" s="941"/>
      <c r="E4" s="353">
        <v>1</v>
      </c>
      <c r="F4" s="353">
        <v>2</v>
      </c>
      <c r="G4" s="353">
        <v>3</v>
      </c>
      <c r="H4" s="353">
        <v>4</v>
      </c>
      <c r="I4" s="353">
        <v>1</v>
      </c>
      <c r="J4" s="353">
        <v>2</v>
      </c>
      <c r="K4" s="353">
        <v>3</v>
      </c>
      <c r="L4" s="353">
        <v>4</v>
      </c>
      <c r="M4" s="353">
        <v>1</v>
      </c>
      <c r="N4" s="353">
        <v>2</v>
      </c>
      <c r="O4" s="353">
        <v>3</v>
      </c>
      <c r="P4" s="353">
        <v>4</v>
      </c>
      <c r="Q4" s="353">
        <v>1</v>
      </c>
      <c r="R4" s="353">
        <v>2</v>
      </c>
      <c r="S4" s="353">
        <v>3</v>
      </c>
      <c r="T4" s="353">
        <v>4</v>
      </c>
      <c r="U4" s="353">
        <v>1</v>
      </c>
      <c r="V4" s="353">
        <v>2</v>
      </c>
      <c r="W4" s="353">
        <v>3</v>
      </c>
      <c r="X4" s="353">
        <v>4</v>
      </c>
      <c r="Y4" s="353">
        <v>1</v>
      </c>
      <c r="Z4" s="353">
        <v>2</v>
      </c>
      <c r="AA4" s="353">
        <v>3</v>
      </c>
      <c r="AB4" s="353">
        <v>4</v>
      </c>
      <c r="AC4" s="354" t="s">
        <v>78</v>
      </c>
      <c r="AD4" s="355">
        <v>1</v>
      </c>
      <c r="AE4" s="357">
        <v>2</v>
      </c>
      <c r="AF4" s="357">
        <v>3</v>
      </c>
      <c r="AG4" s="357">
        <v>4</v>
      </c>
      <c r="AH4" s="358" t="s">
        <v>45</v>
      </c>
      <c r="AI4" s="355">
        <v>1</v>
      </c>
      <c r="AJ4" s="357">
        <v>2</v>
      </c>
      <c r="AK4" s="357">
        <v>3</v>
      </c>
      <c r="AL4" s="357">
        <v>4</v>
      </c>
      <c r="AM4" s="358" t="s">
        <v>45</v>
      </c>
      <c r="AN4" s="355">
        <v>1</v>
      </c>
      <c r="AO4" s="357">
        <v>2</v>
      </c>
      <c r="AP4" s="357">
        <v>3</v>
      </c>
      <c r="AQ4" s="357">
        <v>4</v>
      </c>
      <c r="AR4" s="358" t="s">
        <v>45</v>
      </c>
      <c r="AS4" s="355">
        <v>1</v>
      </c>
      <c r="AT4" s="357">
        <v>2</v>
      </c>
      <c r="AU4" s="357">
        <v>3</v>
      </c>
      <c r="AV4" s="357">
        <v>4</v>
      </c>
      <c r="AW4" s="359" t="s">
        <v>45</v>
      </c>
      <c r="AX4" s="355">
        <v>1</v>
      </c>
      <c r="AY4" s="357">
        <v>2</v>
      </c>
      <c r="AZ4" s="357">
        <v>3</v>
      </c>
      <c r="BA4" s="357">
        <v>4</v>
      </c>
      <c r="BB4" s="358" t="s">
        <v>45</v>
      </c>
      <c r="BC4" s="355">
        <v>1</v>
      </c>
      <c r="BD4" s="357">
        <v>2</v>
      </c>
      <c r="BE4" s="357">
        <v>3</v>
      </c>
      <c r="BF4" s="357">
        <v>4</v>
      </c>
      <c r="BG4" s="358" t="s">
        <v>45</v>
      </c>
    </row>
    <row r="5" spans="1:59" ht="12.75" hidden="1" customHeight="1" x14ac:dyDescent="0.2">
      <c r="A5" s="360"/>
      <c r="B5" s="361"/>
      <c r="C5" s="361"/>
      <c r="D5" s="361"/>
      <c r="E5" s="362"/>
      <c r="F5" s="362"/>
      <c r="G5" s="362">
        <v>40725</v>
      </c>
      <c r="H5" s="362">
        <v>40817</v>
      </c>
      <c r="I5" s="362">
        <v>42005</v>
      </c>
      <c r="J5" s="362">
        <v>42095</v>
      </c>
      <c r="K5" s="362">
        <v>42186</v>
      </c>
      <c r="L5" s="362">
        <v>42278</v>
      </c>
      <c r="M5" s="362">
        <v>42370</v>
      </c>
      <c r="N5" s="362">
        <v>42461</v>
      </c>
      <c r="O5" s="362">
        <v>42552</v>
      </c>
      <c r="P5" s="362">
        <v>42644</v>
      </c>
      <c r="Q5" s="362">
        <v>42736</v>
      </c>
      <c r="R5" s="362">
        <v>42826</v>
      </c>
      <c r="S5" s="362">
        <v>42917</v>
      </c>
      <c r="T5" s="362">
        <v>43009</v>
      </c>
      <c r="U5" s="362">
        <v>43101</v>
      </c>
      <c r="V5" s="362">
        <v>43191</v>
      </c>
      <c r="W5" s="362">
        <v>43282</v>
      </c>
      <c r="X5" s="362">
        <v>43374</v>
      </c>
      <c r="Y5" s="362">
        <v>43466</v>
      </c>
      <c r="Z5" s="362">
        <v>43556</v>
      </c>
      <c r="AA5" s="362">
        <v>43678</v>
      </c>
      <c r="AB5" s="362">
        <v>43830</v>
      </c>
      <c r="AC5" s="363">
        <f>AC6+AC11+AC15+AC19+AC24</f>
        <v>140000000</v>
      </c>
      <c r="AD5" s="364" t="e">
        <f>AD6+AD17+AD23+"#REF!+#REF!"</f>
        <v>#VALUE!</v>
      </c>
      <c r="AE5" s="364" t="e">
        <f>AE6+AE17+AE23+"#REF!+#REF!"</f>
        <v>#VALUE!</v>
      </c>
      <c r="AF5" s="364" t="e">
        <f>AF6+AF17+AF23+"#REF!+#REF!"</f>
        <v>#VALUE!</v>
      </c>
      <c r="AG5" s="364" t="e">
        <f>AG6+AG17+AG23+"#REF!+#REF!"</f>
        <v>#VALUE!</v>
      </c>
      <c r="AH5" s="364" t="e">
        <f>AH6+AH17+AH23+"#REF!+#REF!"</f>
        <v>#VALUE!</v>
      </c>
      <c r="AI5" s="364">
        <f>AI6+AI11+AI15+AI19+AI24</f>
        <v>1329166.67</v>
      </c>
      <c r="AJ5" s="364">
        <f t="shared" ref="AJ5:BG5" si="0">AJ6+AJ11+AJ15+AJ19+AJ24</f>
        <v>16878828.129999999</v>
      </c>
      <c r="AK5" s="364">
        <f t="shared" si="0"/>
        <v>16878828.129999999</v>
      </c>
      <c r="AL5" s="364">
        <f t="shared" si="0"/>
        <v>16878828.129999999</v>
      </c>
      <c r="AM5" s="364">
        <f t="shared" si="0"/>
        <v>51965651.060000002</v>
      </c>
      <c r="AN5" s="364">
        <f t="shared" si="0"/>
        <v>16878828.129999999</v>
      </c>
      <c r="AO5" s="364">
        <f t="shared" si="0"/>
        <v>16878828.129999999</v>
      </c>
      <c r="AP5" s="364">
        <f t="shared" si="0"/>
        <v>16462161.460000001</v>
      </c>
      <c r="AQ5" s="364">
        <f t="shared" si="0"/>
        <v>13462369.800000001</v>
      </c>
      <c r="AR5" s="364">
        <f t="shared" si="0"/>
        <v>63682187.520000003</v>
      </c>
      <c r="AS5" s="364">
        <f t="shared" si="0"/>
        <v>5862369.7999999998</v>
      </c>
      <c r="AT5" s="364">
        <f t="shared" si="0"/>
        <v>1580182.3</v>
      </c>
      <c r="AU5" s="364">
        <f t="shared" si="0"/>
        <v>1580182.3</v>
      </c>
      <c r="AV5" s="364">
        <f t="shared" si="0"/>
        <v>1580182.3</v>
      </c>
      <c r="AW5" s="364">
        <f t="shared" si="0"/>
        <v>10602916.699999999</v>
      </c>
      <c r="AX5" s="364">
        <f t="shared" si="0"/>
        <v>1205182.3</v>
      </c>
      <c r="AY5" s="364">
        <f t="shared" si="0"/>
        <v>507890.63</v>
      </c>
      <c r="AZ5" s="364">
        <f t="shared" si="0"/>
        <v>507890.63</v>
      </c>
      <c r="BA5" s="364">
        <f t="shared" si="0"/>
        <v>507890.63</v>
      </c>
      <c r="BB5" s="364">
        <f t="shared" si="0"/>
        <v>2728854.19</v>
      </c>
      <c r="BC5" s="364">
        <f t="shared" si="0"/>
        <v>507890.63</v>
      </c>
      <c r="BD5" s="364">
        <f t="shared" si="0"/>
        <v>375000</v>
      </c>
      <c r="BE5" s="364">
        <f t="shared" si="0"/>
        <v>375000</v>
      </c>
      <c r="BF5" s="364">
        <f t="shared" si="0"/>
        <v>375000</v>
      </c>
      <c r="BG5" s="364">
        <f t="shared" si="0"/>
        <v>1632890.63</v>
      </c>
    </row>
    <row r="6" spans="1:59" s="21" customFormat="1" ht="33.75" customHeight="1" x14ac:dyDescent="0.2">
      <c r="A6" s="659" t="str">
        <f>'4_Componente 1'!A2:B2</f>
        <v>COMPONENTE 1: PREVENÇÃO SOCIAL DA VIOLÊNCIA</v>
      </c>
      <c r="B6" s="365"/>
      <c r="C6" s="366"/>
      <c r="D6" s="365"/>
      <c r="E6" s="367" t="str">
        <f>IF(COUNTIF(E7:E14,"X")&lt;&gt;0,"X","")</f>
        <v/>
      </c>
      <c r="F6" s="367" t="str">
        <f>IF(COUNTIF(F7:F14,"X")&lt;&gt;0,"X","")</f>
        <v/>
      </c>
      <c r="G6" s="367" t="str">
        <f>IF(COUNTIF(G7:G14,"X")&lt;&gt;0,"X","")</f>
        <v/>
      </c>
      <c r="H6" s="367" t="str">
        <f>IF(COUNTIF(H7:H14,"X")&lt;&gt;0,"X","")</f>
        <v/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>
        <f>SUM(AC7:AC10)</f>
        <v>46750000</v>
      </c>
      <c r="AD6" s="369">
        <f>SUM(AD7:AD14)</f>
        <v>0</v>
      </c>
      <c r="AE6" s="369">
        <f>SUM(AE7:AE14)</f>
        <v>0</v>
      </c>
      <c r="AF6" s="369">
        <f>SUM(AF7:AF14)</f>
        <v>0</v>
      </c>
      <c r="AG6" s="369">
        <f>SUM(AG7:AG14)</f>
        <v>0</v>
      </c>
      <c r="AH6" s="369">
        <f>SUM(AH7:AH14)</f>
        <v>0</v>
      </c>
      <c r="AI6" s="369">
        <f t="shared" ref="AI6:BG6" si="1">SUM(AI7:AI10)</f>
        <v>791666.67</v>
      </c>
      <c r="AJ6" s="369">
        <f t="shared" si="1"/>
        <v>5531562.5</v>
      </c>
      <c r="AK6" s="369">
        <f t="shared" si="1"/>
        <v>5531562.5</v>
      </c>
      <c r="AL6" s="369">
        <f t="shared" si="1"/>
        <v>5531562.5</v>
      </c>
      <c r="AM6" s="369">
        <f t="shared" si="1"/>
        <v>17386354.170000002</v>
      </c>
      <c r="AN6" s="369">
        <f t="shared" si="1"/>
        <v>5531562.5</v>
      </c>
      <c r="AO6" s="369">
        <f t="shared" si="1"/>
        <v>5531562.5</v>
      </c>
      <c r="AP6" s="369">
        <f t="shared" si="1"/>
        <v>5114895.83</v>
      </c>
      <c r="AQ6" s="369">
        <f t="shared" si="1"/>
        <v>5114895.83</v>
      </c>
      <c r="AR6" s="369">
        <f t="shared" si="1"/>
        <v>21292916.66</v>
      </c>
      <c r="AS6" s="369">
        <f t="shared" si="1"/>
        <v>5114895.83</v>
      </c>
      <c r="AT6" s="369">
        <f t="shared" si="1"/>
        <v>832708.33</v>
      </c>
      <c r="AU6" s="369">
        <f t="shared" si="1"/>
        <v>832708.33</v>
      </c>
      <c r="AV6" s="369">
        <f t="shared" si="1"/>
        <v>832708.33</v>
      </c>
      <c r="AW6" s="369">
        <f t="shared" si="1"/>
        <v>7613020.8200000003</v>
      </c>
      <c r="AX6" s="369">
        <f t="shared" si="1"/>
        <v>457708.33</v>
      </c>
      <c r="AY6" s="369">
        <f t="shared" si="1"/>
        <v>0</v>
      </c>
      <c r="AZ6" s="369">
        <f t="shared" si="1"/>
        <v>0</v>
      </c>
      <c r="BA6" s="369">
        <f t="shared" si="1"/>
        <v>0</v>
      </c>
      <c r="BB6" s="369">
        <f t="shared" si="1"/>
        <v>457708.33</v>
      </c>
      <c r="BC6" s="369">
        <f t="shared" si="1"/>
        <v>0</v>
      </c>
      <c r="BD6" s="369">
        <f t="shared" si="1"/>
        <v>0</v>
      </c>
      <c r="BE6" s="369">
        <f t="shared" si="1"/>
        <v>0</v>
      </c>
      <c r="BF6" s="369">
        <f t="shared" si="1"/>
        <v>0</v>
      </c>
      <c r="BG6" s="369">
        <f t="shared" si="1"/>
        <v>0</v>
      </c>
    </row>
    <row r="7" spans="1:59" s="21" customFormat="1" ht="33.75" customHeight="1" x14ac:dyDescent="0.2">
      <c r="A7" s="574" t="s">
        <v>140</v>
      </c>
      <c r="B7" s="371">
        <v>42095</v>
      </c>
      <c r="C7" s="372">
        <v>24</v>
      </c>
      <c r="D7" s="373">
        <f t="shared" ref="D7:D25" si="2">IF(C7&lt;&gt;0,IF(C7&lt;24,B7+29*C7,B7+30*C7),"")</f>
        <v>42815</v>
      </c>
      <c r="E7" s="374" t="str">
        <f t="shared" ref="E7:I11" si="3">IF(AND($C7&lt;&gt;0,$A7&lt;&gt;"NÃO SELECIONADO"),IF(E$5&gt;=$B7,IF(E$5&lt;=$D7,"X"," ")," "),"")</f>
        <v xml:space="preserve"> </v>
      </c>
      <c r="F7" s="374" t="str">
        <f t="shared" si="3"/>
        <v xml:space="preserve"> </v>
      </c>
      <c r="G7" s="374" t="str">
        <f t="shared" si="3"/>
        <v xml:space="preserve"> </v>
      </c>
      <c r="H7" s="374" t="str">
        <f t="shared" si="3"/>
        <v xml:space="preserve"> </v>
      </c>
      <c r="I7" s="374" t="str">
        <f t="shared" si="3"/>
        <v xml:space="preserve"> </v>
      </c>
      <c r="J7" s="374" t="str">
        <f t="shared" ref="J7:Y10" si="4">IF(AND($C7&lt;&gt;0,$A7&lt;&gt;"NÃO SELECIONADO"),IF(J$5&gt;=$B7,IF(J$5&lt;=$D7,"X"," ")," "),"")</f>
        <v>X</v>
      </c>
      <c r="K7" s="374" t="str">
        <f t="shared" si="4"/>
        <v>X</v>
      </c>
      <c r="L7" s="374" t="str">
        <f t="shared" si="4"/>
        <v>X</v>
      </c>
      <c r="M7" s="374" t="str">
        <f t="shared" si="4"/>
        <v>X</v>
      </c>
      <c r="N7" s="374" t="str">
        <f t="shared" si="4"/>
        <v>X</v>
      </c>
      <c r="O7" s="374" t="str">
        <f t="shared" si="4"/>
        <v>X</v>
      </c>
      <c r="P7" s="374" t="str">
        <f t="shared" si="4"/>
        <v>X</v>
      </c>
      <c r="Q7" s="374" t="str">
        <f t="shared" si="4"/>
        <v>X</v>
      </c>
      <c r="R7" s="374" t="str">
        <f t="shared" si="4"/>
        <v xml:space="preserve"> </v>
      </c>
      <c r="S7" s="374" t="str">
        <f t="shared" si="4"/>
        <v xml:space="preserve"> </v>
      </c>
      <c r="T7" s="374" t="str">
        <f t="shared" si="4"/>
        <v xml:space="preserve"> </v>
      </c>
      <c r="U7" s="374" t="str">
        <f t="shared" si="4"/>
        <v xml:space="preserve"> </v>
      </c>
      <c r="V7" s="374" t="str">
        <f t="shared" si="4"/>
        <v xml:space="preserve"> </v>
      </c>
      <c r="W7" s="374" t="str">
        <f t="shared" si="4"/>
        <v xml:space="preserve"> </v>
      </c>
      <c r="X7" s="374" t="str">
        <f t="shared" si="4"/>
        <v xml:space="preserve"> </v>
      </c>
      <c r="Y7" s="374" t="str">
        <f t="shared" si="4"/>
        <v xml:space="preserve"> </v>
      </c>
      <c r="Z7" s="374" t="str">
        <f t="shared" ref="Z7:AB10" si="5">IF(AND($C7&lt;&gt;0,$A7&lt;&gt;"NÃO SELECIONADO"),IF(Z$5&gt;=$B7,IF(Z$5&lt;=$D7,"X"," ")," "),"")</f>
        <v xml:space="preserve"> </v>
      </c>
      <c r="AA7" s="374" t="str">
        <f t="shared" si="5"/>
        <v xml:space="preserve"> </v>
      </c>
      <c r="AB7" s="374" t="str">
        <f t="shared" si="5"/>
        <v xml:space="preserve"> </v>
      </c>
      <c r="AC7" s="375">
        <f>'3_Comp e Produtos'!E7</f>
        <v>34257500</v>
      </c>
      <c r="AD7" s="376">
        <f t="shared" ref="AD7:AD16" si="6">IF(E7="X",$AC7/$C7*3,0)</f>
        <v>0</v>
      </c>
      <c r="AE7" s="376">
        <f t="shared" ref="AE7:AE16" si="7">IF(F7="X",$AC7/$C7*3,0)</f>
        <v>0</v>
      </c>
      <c r="AF7" s="376">
        <f t="shared" ref="AF7:AF16" si="8">IF(G7="X",$AC7/$C7*3,0)</f>
        <v>0</v>
      </c>
      <c r="AG7" s="377">
        <f t="shared" ref="AG7:AG16" si="9">IF(H7="X",$AC7/$C7*3,0)</f>
        <v>0</v>
      </c>
      <c r="AH7" s="378">
        <f t="shared" ref="AH7:AH16" si="10">SUM(AD7:AG7)</f>
        <v>0</v>
      </c>
      <c r="AI7" s="376">
        <f t="shared" ref="AI7:AI17" si="11">IF(I7="X",$AC7/$C7*3,0)</f>
        <v>0</v>
      </c>
      <c r="AJ7" s="376">
        <f t="shared" ref="AJ7:AJ17" si="12">IF(J7="X",$AC7/$C7*3,0)</f>
        <v>4282187.5</v>
      </c>
      <c r="AK7" s="376">
        <f t="shared" ref="AK7:AK17" si="13">IF(K7="X",$AC7/$C7*3,0)</f>
        <v>4282187.5</v>
      </c>
      <c r="AL7" s="377">
        <f t="shared" ref="AL7:AL17" si="14">IF(L7="X",$AC7/$C7*3,0)</f>
        <v>4282187.5</v>
      </c>
      <c r="AM7" s="378">
        <f t="shared" ref="AM7:AM17" si="15">SUM(AI7:AL7)</f>
        <v>12846562.5</v>
      </c>
      <c r="AN7" s="376">
        <f t="shared" ref="AN7:AN16" si="16">IF(M7="X",$AC7/$C7*3,0)</f>
        <v>4282187.5</v>
      </c>
      <c r="AO7" s="376">
        <f t="shared" ref="AO7:AO17" si="17">IF(N7="X",$AC7/$C7*3,0)</f>
        <v>4282187.5</v>
      </c>
      <c r="AP7" s="376">
        <f t="shared" ref="AP7:AP17" si="18">IF(O7="X",$AC7/$C7*3,0)</f>
        <v>4282187.5</v>
      </c>
      <c r="AQ7" s="377">
        <f t="shared" ref="AQ7:AQ17" si="19">IF(P7="X",$AC7/$C7*3,0)</f>
        <v>4282187.5</v>
      </c>
      <c r="AR7" s="378">
        <f t="shared" ref="AR7:AR17" si="20">SUM(AN7:AQ7)</f>
        <v>17128750</v>
      </c>
      <c r="AS7" s="376">
        <f t="shared" ref="AS7:AS16" si="21">IF(Q7="X",$AC7/$C7*3,0)</f>
        <v>4282187.5</v>
      </c>
      <c r="AT7" s="376">
        <f t="shared" ref="AT7:AT17" si="22">IF(R7="X",$AC7/$C7*3,0)</f>
        <v>0</v>
      </c>
      <c r="AU7" s="376">
        <f t="shared" ref="AU7:AU17" si="23">IF(S7="X",$AC7/$C7*3,0)</f>
        <v>0</v>
      </c>
      <c r="AV7" s="377">
        <f t="shared" ref="AV7:AV17" si="24">IF(T7="X",$AC7/$C7*3,0)</f>
        <v>0</v>
      </c>
      <c r="AW7" s="378">
        <f t="shared" ref="AW7:AW17" si="25">SUM(AS7:AV7)</f>
        <v>4282187.5</v>
      </c>
      <c r="AX7" s="376">
        <f t="shared" ref="AX7:AX16" si="26">IF(U7="X",$AC7/$C7*3,0)</f>
        <v>0</v>
      </c>
      <c r="AY7" s="376">
        <f t="shared" ref="AY7:AY17" si="27">IF(V7="X",$AC7/$C7*3,0)</f>
        <v>0</v>
      </c>
      <c r="AZ7" s="376">
        <f t="shared" ref="AZ7:AZ17" si="28">IF(W7="X",$AC7/$C7*3,0)</f>
        <v>0</v>
      </c>
      <c r="BA7" s="377">
        <f t="shared" ref="BA7:BA17" si="29">IF(X7="X",$AC7/$C7*3,0)</f>
        <v>0</v>
      </c>
      <c r="BB7" s="378">
        <f t="shared" ref="BB7:BB17" si="30">SUM(AX7:BA7)</f>
        <v>0</v>
      </c>
      <c r="BC7" s="376">
        <f t="shared" ref="BC7:BC16" si="31">IF(Y7="X",$AC7/$C7*3,0)</f>
        <v>0</v>
      </c>
      <c r="BD7" s="376">
        <f t="shared" ref="BD7:BD17" si="32">IF(Z7="X",$AC7/$C7*3,0)</f>
        <v>0</v>
      </c>
      <c r="BE7" s="376">
        <f t="shared" ref="BE7:BE17" si="33">IF(AA7="X",$AC7/$C7*3,0)</f>
        <v>0</v>
      </c>
      <c r="BF7" s="377">
        <f t="shared" ref="BF7:BF17" si="34">IF(AB7="X",$AC7/$C7*3,0)</f>
        <v>0</v>
      </c>
      <c r="BG7" s="378">
        <f t="shared" ref="BG7:BG17" si="35">SUM(BC7:BF7)</f>
        <v>0</v>
      </c>
    </row>
    <row r="8" spans="1:59" s="21" customFormat="1" ht="33.75" customHeight="1" x14ac:dyDescent="0.2">
      <c r="A8" s="574" t="s">
        <v>141</v>
      </c>
      <c r="B8" s="371">
        <v>42005</v>
      </c>
      <c r="C8" s="372">
        <v>36</v>
      </c>
      <c r="D8" s="373">
        <f t="shared" si="2"/>
        <v>43085</v>
      </c>
      <c r="E8" s="374" t="str">
        <f t="shared" si="3"/>
        <v xml:space="preserve"> </v>
      </c>
      <c r="F8" s="374" t="str">
        <f t="shared" si="3"/>
        <v xml:space="preserve"> </v>
      </c>
      <c r="G8" s="374" t="str">
        <f t="shared" si="3"/>
        <v xml:space="preserve"> </v>
      </c>
      <c r="H8" s="374" t="str">
        <f t="shared" si="3"/>
        <v xml:space="preserve"> </v>
      </c>
      <c r="I8" s="374" t="str">
        <f t="shared" si="3"/>
        <v>X</v>
      </c>
      <c r="J8" s="374" t="str">
        <f t="shared" si="4"/>
        <v>X</v>
      </c>
      <c r="K8" s="374" t="str">
        <f t="shared" si="4"/>
        <v>X</v>
      </c>
      <c r="L8" s="374" t="str">
        <f t="shared" si="4"/>
        <v>X</v>
      </c>
      <c r="M8" s="374" t="str">
        <f t="shared" si="4"/>
        <v>X</v>
      </c>
      <c r="N8" s="374" t="str">
        <f t="shared" si="4"/>
        <v>X</v>
      </c>
      <c r="O8" s="374" t="str">
        <f t="shared" si="4"/>
        <v>X</v>
      </c>
      <c r="P8" s="374" t="str">
        <f t="shared" si="4"/>
        <v>X</v>
      </c>
      <c r="Q8" s="374" t="str">
        <f t="shared" si="4"/>
        <v>X</v>
      </c>
      <c r="R8" s="374" t="str">
        <f t="shared" si="4"/>
        <v>X</v>
      </c>
      <c r="S8" s="374" t="str">
        <f t="shared" si="4"/>
        <v>X</v>
      </c>
      <c r="T8" s="374" t="str">
        <f t="shared" si="4"/>
        <v>X</v>
      </c>
      <c r="U8" s="374" t="str">
        <f t="shared" si="4"/>
        <v xml:space="preserve"> </v>
      </c>
      <c r="V8" s="374" t="str">
        <f t="shared" si="4"/>
        <v xml:space="preserve"> </v>
      </c>
      <c r="W8" s="374" t="str">
        <f t="shared" si="4"/>
        <v xml:space="preserve"> </v>
      </c>
      <c r="X8" s="374" t="str">
        <f t="shared" si="4"/>
        <v xml:space="preserve"> </v>
      </c>
      <c r="Y8" s="374" t="str">
        <f t="shared" si="4"/>
        <v xml:space="preserve"> </v>
      </c>
      <c r="Z8" s="374" t="str">
        <f t="shared" si="5"/>
        <v xml:space="preserve"> </v>
      </c>
      <c r="AA8" s="374" t="str">
        <f t="shared" si="5"/>
        <v xml:space="preserve"> </v>
      </c>
      <c r="AB8" s="374" t="str">
        <f t="shared" si="5"/>
        <v xml:space="preserve"> </v>
      </c>
      <c r="AC8" s="375">
        <f>'3_Comp e Produtos'!E8</f>
        <v>4500000</v>
      </c>
      <c r="AD8" s="376">
        <f t="shared" si="6"/>
        <v>0</v>
      </c>
      <c r="AE8" s="376">
        <f t="shared" si="7"/>
        <v>0</v>
      </c>
      <c r="AF8" s="376">
        <f t="shared" si="8"/>
        <v>0</v>
      </c>
      <c r="AG8" s="377">
        <f t="shared" si="9"/>
        <v>0</v>
      </c>
      <c r="AH8" s="378">
        <f t="shared" si="10"/>
        <v>0</v>
      </c>
      <c r="AI8" s="376">
        <f t="shared" si="11"/>
        <v>375000</v>
      </c>
      <c r="AJ8" s="376">
        <f t="shared" si="12"/>
        <v>375000</v>
      </c>
      <c r="AK8" s="376">
        <f t="shared" si="13"/>
        <v>375000</v>
      </c>
      <c r="AL8" s="377">
        <f t="shared" si="14"/>
        <v>375000</v>
      </c>
      <c r="AM8" s="378">
        <f t="shared" si="15"/>
        <v>1500000</v>
      </c>
      <c r="AN8" s="376">
        <f t="shared" si="16"/>
        <v>375000</v>
      </c>
      <c r="AO8" s="376">
        <f t="shared" si="17"/>
        <v>375000</v>
      </c>
      <c r="AP8" s="376">
        <f t="shared" si="18"/>
        <v>375000</v>
      </c>
      <c r="AQ8" s="377">
        <f t="shared" si="19"/>
        <v>375000</v>
      </c>
      <c r="AR8" s="378">
        <f t="shared" si="20"/>
        <v>1500000</v>
      </c>
      <c r="AS8" s="376">
        <f t="shared" si="21"/>
        <v>375000</v>
      </c>
      <c r="AT8" s="376">
        <f t="shared" si="22"/>
        <v>375000</v>
      </c>
      <c r="AU8" s="376">
        <f t="shared" si="23"/>
        <v>375000</v>
      </c>
      <c r="AV8" s="377">
        <f t="shared" si="24"/>
        <v>375000</v>
      </c>
      <c r="AW8" s="378">
        <f t="shared" si="25"/>
        <v>1500000</v>
      </c>
      <c r="AX8" s="376">
        <f t="shared" si="26"/>
        <v>0</v>
      </c>
      <c r="AY8" s="376">
        <f t="shared" si="27"/>
        <v>0</v>
      </c>
      <c r="AZ8" s="376">
        <f t="shared" si="28"/>
        <v>0</v>
      </c>
      <c r="BA8" s="377">
        <f t="shared" si="29"/>
        <v>0</v>
      </c>
      <c r="BB8" s="378">
        <f t="shared" si="30"/>
        <v>0</v>
      </c>
      <c r="BC8" s="376">
        <f t="shared" si="31"/>
        <v>0</v>
      </c>
      <c r="BD8" s="376">
        <f t="shared" si="32"/>
        <v>0</v>
      </c>
      <c r="BE8" s="376">
        <f t="shared" si="33"/>
        <v>0</v>
      </c>
      <c r="BF8" s="377">
        <f t="shared" si="34"/>
        <v>0</v>
      </c>
      <c r="BG8" s="378">
        <f t="shared" si="35"/>
        <v>0</v>
      </c>
    </row>
    <row r="9" spans="1:59" s="21" customFormat="1" ht="33.75" customHeight="1" x14ac:dyDescent="0.2">
      <c r="A9" s="574" t="s">
        <v>142</v>
      </c>
      <c r="B9" s="371">
        <v>42095</v>
      </c>
      <c r="C9" s="372">
        <v>36</v>
      </c>
      <c r="D9" s="373">
        <f t="shared" si="2"/>
        <v>43175</v>
      </c>
      <c r="E9" s="374" t="str">
        <f t="shared" si="3"/>
        <v xml:space="preserve"> </v>
      </c>
      <c r="F9" s="374" t="str">
        <f t="shared" si="3"/>
        <v xml:space="preserve"> </v>
      </c>
      <c r="G9" s="374" t="str">
        <f t="shared" si="3"/>
        <v xml:space="preserve"> </v>
      </c>
      <c r="H9" s="374" t="str">
        <f t="shared" si="3"/>
        <v xml:space="preserve"> </v>
      </c>
      <c r="I9" s="374" t="str">
        <f t="shared" si="3"/>
        <v xml:space="preserve"> </v>
      </c>
      <c r="J9" s="374" t="str">
        <f t="shared" si="4"/>
        <v>X</v>
      </c>
      <c r="K9" s="374" t="str">
        <f t="shared" si="4"/>
        <v>X</v>
      </c>
      <c r="L9" s="374" t="str">
        <f t="shared" si="4"/>
        <v>X</v>
      </c>
      <c r="M9" s="374" t="str">
        <f t="shared" si="4"/>
        <v>X</v>
      </c>
      <c r="N9" s="374" t="str">
        <f t="shared" si="4"/>
        <v>X</v>
      </c>
      <c r="O9" s="374" t="str">
        <f t="shared" si="4"/>
        <v>X</v>
      </c>
      <c r="P9" s="374" t="str">
        <f t="shared" si="4"/>
        <v>X</v>
      </c>
      <c r="Q9" s="374" t="str">
        <f t="shared" si="4"/>
        <v>X</v>
      </c>
      <c r="R9" s="374" t="str">
        <f t="shared" si="4"/>
        <v>X</v>
      </c>
      <c r="S9" s="374" t="str">
        <f t="shared" si="4"/>
        <v>X</v>
      </c>
      <c r="T9" s="374" t="str">
        <f t="shared" si="4"/>
        <v>X</v>
      </c>
      <c r="U9" s="374" t="str">
        <f t="shared" si="4"/>
        <v>X</v>
      </c>
      <c r="V9" s="374" t="str">
        <f t="shared" si="4"/>
        <v xml:space="preserve"> </v>
      </c>
      <c r="W9" s="374" t="str">
        <f t="shared" si="4"/>
        <v xml:space="preserve"> </v>
      </c>
      <c r="X9" s="374" t="str">
        <f t="shared" si="4"/>
        <v xml:space="preserve"> </v>
      </c>
      <c r="Y9" s="374" t="str">
        <f t="shared" si="4"/>
        <v xml:space="preserve"> </v>
      </c>
      <c r="Z9" s="374" t="str">
        <f t="shared" si="5"/>
        <v xml:space="preserve"> </v>
      </c>
      <c r="AA9" s="374" t="str">
        <f t="shared" si="5"/>
        <v xml:space="preserve"> </v>
      </c>
      <c r="AB9" s="374" t="str">
        <f t="shared" si="5"/>
        <v xml:space="preserve"> </v>
      </c>
      <c r="AC9" s="375">
        <f>'3_Comp e Produtos'!E9</f>
        <v>5492500</v>
      </c>
      <c r="AD9" s="376">
        <f t="shared" si="6"/>
        <v>0</v>
      </c>
      <c r="AE9" s="376">
        <f t="shared" si="7"/>
        <v>0</v>
      </c>
      <c r="AF9" s="376">
        <f t="shared" si="8"/>
        <v>0</v>
      </c>
      <c r="AG9" s="377">
        <f t="shared" si="9"/>
        <v>0</v>
      </c>
      <c r="AH9" s="378">
        <f t="shared" si="10"/>
        <v>0</v>
      </c>
      <c r="AI9" s="376">
        <f>IF(I9="X",$AC9/$C9*3,0)</f>
        <v>0</v>
      </c>
      <c r="AJ9" s="376">
        <f t="shared" si="12"/>
        <v>457708.33</v>
      </c>
      <c r="AK9" s="376">
        <f t="shared" si="13"/>
        <v>457708.33</v>
      </c>
      <c r="AL9" s="376">
        <f t="shared" si="14"/>
        <v>457708.33</v>
      </c>
      <c r="AM9" s="378">
        <f t="shared" si="15"/>
        <v>1373124.99</v>
      </c>
      <c r="AN9" s="376">
        <f>IF(M9="X",$AC9/$C9*3,0)</f>
        <v>457708.33</v>
      </c>
      <c r="AO9" s="376">
        <f t="shared" si="17"/>
        <v>457708.33</v>
      </c>
      <c r="AP9" s="376">
        <f t="shared" si="18"/>
        <v>457708.33</v>
      </c>
      <c r="AQ9" s="376">
        <f t="shared" si="19"/>
        <v>457708.33</v>
      </c>
      <c r="AR9" s="378">
        <f t="shared" si="20"/>
        <v>1830833.32</v>
      </c>
      <c r="AS9" s="376">
        <f>IF(R9="X",$AC9/$C9*3,0)</f>
        <v>457708.33</v>
      </c>
      <c r="AT9" s="376">
        <f>IF(S9="X",$AC9/$C9*3,0)</f>
        <v>457708.33</v>
      </c>
      <c r="AU9" s="376">
        <f>IF(T9="X",$AC9/$C9*3,0)</f>
        <v>457708.33</v>
      </c>
      <c r="AV9" s="376">
        <f>IF(U9="X",$AC9/$C9*3,0)</f>
        <v>457708.33</v>
      </c>
      <c r="AW9" s="378">
        <f t="shared" si="25"/>
        <v>1830833.32</v>
      </c>
      <c r="AX9" s="376">
        <f t="shared" si="26"/>
        <v>457708.33</v>
      </c>
      <c r="AY9" s="376">
        <f>IF(V9="X",$AC9/$C9*3,0)</f>
        <v>0</v>
      </c>
      <c r="AZ9" s="376">
        <f>IF(W9="X",$AC9/$C9*3,0)</f>
        <v>0</v>
      </c>
      <c r="BA9" s="377">
        <f>IF(X9="X",$AC9/$C9*3,0)</f>
        <v>0</v>
      </c>
      <c r="BB9" s="378">
        <f t="shared" si="30"/>
        <v>457708.33</v>
      </c>
      <c r="BC9" s="376">
        <f>IF(AB9="X",$AC9/$C9*3,0)</f>
        <v>0</v>
      </c>
      <c r="BD9" s="376">
        <f t="shared" si="32"/>
        <v>0</v>
      </c>
      <c r="BE9" s="376">
        <f t="shared" si="33"/>
        <v>0</v>
      </c>
      <c r="BF9" s="377">
        <f t="shared" si="34"/>
        <v>0</v>
      </c>
      <c r="BG9" s="378">
        <f t="shared" si="35"/>
        <v>0</v>
      </c>
    </row>
    <row r="10" spans="1:59" s="21" customFormat="1" ht="33.75" customHeight="1" x14ac:dyDescent="0.2">
      <c r="A10" s="574" t="s">
        <v>143</v>
      </c>
      <c r="B10" s="371">
        <v>42005</v>
      </c>
      <c r="C10" s="372">
        <v>18</v>
      </c>
      <c r="D10" s="373">
        <f t="shared" si="2"/>
        <v>42527</v>
      </c>
      <c r="E10" s="374" t="str">
        <f t="shared" si="3"/>
        <v xml:space="preserve"> </v>
      </c>
      <c r="F10" s="374" t="str">
        <f t="shared" si="3"/>
        <v xml:space="preserve"> </v>
      </c>
      <c r="G10" s="374" t="str">
        <f t="shared" si="3"/>
        <v xml:space="preserve"> </v>
      </c>
      <c r="H10" s="374" t="str">
        <f t="shared" si="3"/>
        <v xml:space="preserve"> </v>
      </c>
      <c r="I10" s="374" t="str">
        <f>IF(AND($C10&lt;&gt;0,$A10&lt;&gt;"NÃO SELECIONADO"),IF(I$5&gt;=$B10,IF(I$5&lt;=$D10,"X"," ")," "),"")</f>
        <v>X</v>
      </c>
      <c r="J10" s="374" t="str">
        <f t="shared" si="4"/>
        <v>X</v>
      </c>
      <c r="K10" s="374" t="str">
        <f t="shared" si="4"/>
        <v>X</v>
      </c>
      <c r="L10" s="374" t="str">
        <f t="shared" si="4"/>
        <v>X</v>
      </c>
      <c r="M10" s="374" t="str">
        <f t="shared" si="4"/>
        <v>X</v>
      </c>
      <c r="N10" s="374" t="str">
        <f t="shared" si="4"/>
        <v>X</v>
      </c>
      <c r="O10" s="374" t="str">
        <f t="shared" si="4"/>
        <v xml:space="preserve"> </v>
      </c>
      <c r="P10" s="374" t="str">
        <f t="shared" si="4"/>
        <v xml:space="preserve"> </v>
      </c>
      <c r="Q10" s="374" t="str">
        <f t="shared" si="4"/>
        <v xml:space="preserve"> </v>
      </c>
      <c r="R10" s="374" t="str">
        <f t="shared" si="4"/>
        <v xml:space="preserve"> </v>
      </c>
      <c r="S10" s="374" t="str">
        <f t="shared" si="4"/>
        <v xml:space="preserve"> </v>
      </c>
      <c r="T10" s="374" t="str">
        <f t="shared" si="4"/>
        <v xml:space="preserve"> </v>
      </c>
      <c r="U10" s="374" t="str">
        <f t="shared" si="4"/>
        <v xml:space="preserve"> </v>
      </c>
      <c r="V10" s="374" t="str">
        <f t="shared" si="4"/>
        <v xml:space="preserve"> </v>
      </c>
      <c r="W10" s="374" t="str">
        <f t="shared" si="4"/>
        <v xml:space="preserve"> </v>
      </c>
      <c r="X10" s="374" t="str">
        <f t="shared" si="4"/>
        <v xml:space="preserve"> </v>
      </c>
      <c r="Y10" s="374" t="str">
        <f t="shared" si="4"/>
        <v xml:space="preserve"> </v>
      </c>
      <c r="Z10" s="374" t="str">
        <f t="shared" si="5"/>
        <v xml:space="preserve"> </v>
      </c>
      <c r="AA10" s="374" t="str">
        <f t="shared" si="5"/>
        <v xml:space="preserve"> </v>
      </c>
      <c r="AB10" s="374" t="str">
        <f t="shared" si="5"/>
        <v xml:space="preserve"> </v>
      </c>
      <c r="AC10" s="375">
        <f>'3_Comp e Produtos'!E10</f>
        <v>2500000</v>
      </c>
      <c r="AD10" s="376">
        <f t="shared" si="6"/>
        <v>0</v>
      </c>
      <c r="AE10" s="376">
        <f t="shared" si="7"/>
        <v>0</v>
      </c>
      <c r="AF10" s="376">
        <f t="shared" si="8"/>
        <v>0</v>
      </c>
      <c r="AG10" s="377">
        <f t="shared" si="9"/>
        <v>0</v>
      </c>
      <c r="AH10" s="378">
        <f t="shared" si="10"/>
        <v>0</v>
      </c>
      <c r="AI10" s="376">
        <f t="shared" si="11"/>
        <v>416666.67</v>
      </c>
      <c r="AJ10" s="376">
        <f t="shared" si="12"/>
        <v>416666.67</v>
      </c>
      <c r="AK10" s="376">
        <f t="shared" si="13"/>
        <v>416666.67</v>
      </c>
      <c r="AL10" s="377">
        <f t="shared" si="14"/>
        <v>416666.67</v>
      </c>
      <c r="AM10" s="378">
        <f t="shared" si="15"/>
        <v>1666666.68</v>
      </c>
      <c r="AN10" s="376">
        <f t="shared" si="16"/>
        <v>416666.67</v>
      </c>
      <c r="AO10" s="376">
        <f t="shared" si="17"/>
        <v>416666.67</v>
      </c>
      <c r="AP10" s="376">
        <f t="shared" si="18"/>
        <v>0</v>
      </c>
      <c r="AQ10" s="377">
        <f t="shared" si="19"/>
        <v>0</v>
      </c>
      <c r="AR10" s="378">
        <f t="shared" si="20"/>
        <v>833333.34</v>
      </c>
      <c r="AS10" s="376">
        <f t="shared" si="21"/>
        <v>0</v>
      </c>
      <c r="AT10" s="376">
        <f t="shared" si="22"/>
        <v>0</v>
      </c>
      <c r="AU10" s="376">
        <f t="shared" si="23"/>
        <v>0</v>
      </c>
      <c r="AV10" s="377">
        <f t="shared" si="24"/>
        <v>0</v>
      </c>
      <c r="AW10" s="378">
        <f t="shared" si="25"/>
        <v>0</v>
      </c>
      <c r="AX10" s="376">
        <f t="shared" si="26"/>
        <v>0</v>
      </c>
      <c r="AY10" s="376">
        <f t="shared" si="27"/>
        <v>0</v>
      </c>
      <c r="AZ10" s="376">
        <f t="shared" si="28"/>
        <v>0</v>
      </c>
      <c r="BA10" s="377">
        <f t="shared" si="29"/>
        <v>0</v>
      </c>
      <c r="BB10" s="378">
        <f t="shared" si="30"/>
        <v>0</v>
      </c>
      <c r="BC10" s="376">
        <f t="shared" si="31"/>
        <v>0</v>
      </c>
      <c r="BD10" s="376">
        <f t="shared" si="32"/>
        <v>0</v>
      </c>
      <c r="BE10" s="376">
        <f t="shared" si="33"/>
        <v>0</v>
      </c>
      <c r="BF10" s="377">
        <f t="shared" si="34"/>
        <v>0</v>
      </c>
      <c r="BG10" s="378">
        <f t="shared" si="35"/>
        <v>0</v>
      </c>
    </row>
    <row r="11" spans="1:59" s="21" customFormat="1" ht="33.75" customHeight="1" x14ac:dyDescent="0.2">
      <c r="A11" s="659" t="str">
        <f>'5_Componente 2'!A2:B2</f>
        <v xml:space="preserve">COMPONENTE 2: PREVENÇÃO SITUACIONAL E QUALIFICAÇÃO DA SEGURANÇA PÚBLICA </v>
      </c>
      <c r="B11" s="365"/>
      <c r="C11" s="366"/>
      <c r="D11" s="365" t="str">
        <f t="shared" si="2"/>
        <v/>
      </c>
      <c r="E11" s="367" t="str">
        <f t="shared" si="3"/>
        <v/>
      </c>
      <c r="F11" s="367" t="str">
        <f t="shared" si="3"/>
        <v/>
      </c>
      <c r="G11" s="367" t="str">
        <f t="shared" si="3"/>
        <v/>
      </c>
      <c r="H11" s="367" t="str">
        <f t="shared" si="3"/>
        <v/>
      </c>
      <c r="I11" s="367"/>
      <c r="J11" s="367"/>
      <c r="K11" s="367" t="str">
        <f t="shared" ref="K11:AB11" si="36">IF(AND($C11&lt;&gt;0,$A11&lt;&gt;"NÃO SELECIONADO"),IF(K$5&gt;=$B11,IF(K$5&lt;=$D11,"X"," ")," "),"")</f>
        <v/>
      </c>
      <c r="L11" s="367" t="str">
        <f t="shared" si="36"/>
        <v/>
      </c>
      <c r="M11" s="367" t="str">
        <f t="shared" si="36"/>
        <v/>
      </c>
      <c r="N11" s="367" t="str">
        <f t="shared" si="36"/>
        <v/>
      </c>
      <c r="O11" s="367" t="str">
        <f t="shared" si="36"/>
        <v/>
      </c>
      <c r="P11" s="367" t="str">
        <f t="shared" si="36"/>
        <v/>
      </c>
      <c r="Q11" s="367" t="str">
        <f t="shared" si="36"/>
        <v/>
      </c>
      <c r="R11" s="367" t="str">
        <f t="shared" si="36"/>
        <v/>
      </c>
      <c r="S11" s="367" t="str">
        <f t="shared" si="36"/>
        <v/>
      </c>
      <c r="T11" s="367" t="str">
        <f t="shared" si="36"/>
        <v/>
      </c>
      <c r="U11" s="367" t="str">
        <f t="shared" si="36"/>
        <v/>
      </c>
      <c r="V11" s="367" t="str">
        <f t="shared" si="36"/>
        <v/>
      </c>
      <c r="W11" s="367" t="str">
        <f t="shared" si="36"/>
        <v/>
      </c>
      <c r="X11" s="367" t="str">
        <f t="shared" si="36"/>
        <v/>
      </c>
      <c r="Y11" s="367" t="str">
        <f t="shared" si="36"/>
        <v/>
      </c>
      <c r="Z11" s="367" t="str">
        <f t="shared" si="36"/>
        <v/>
      </c>
      <c r="AA11" s="367" t="str">
        <f t="shared" si="36"/>
        <v/>
      </c>
      <c r="AB11" s="367" t="str">
        <f t="shared" si="36"/>
        <v/>
      </c>
      <c r="AC11" s="368">
        <f>SUM(AC12:AC14)</f>
        <v>15000000</v>
      </c>
      <c r="AD11" s="369">
        <f t="shared" si="6"/>
        <v>0</v>
      </c>
      <c r="AE11" s="369">
        <f t="shared" si="7"/>
        <v>0</v>
      </c>
      <c r="AF11" s="369">
        <f t="shared" si="8"/>
        <v>0</v>
      </c>
      <c r="AG11" s="369">
        <f t="shared" si="9"/>
        <v>0</v>
      </c>
      <c r="AH11" s="369">
        <f t="shared" si="10"/>
        <v>0</v>
      </c>
      <c r="AI11" s="369">
        <f>SUM(AI12:AI14)</f>
        <v>0</v>
      </c>
      <c r="AJ11" s="369">
        <f>SUM(AJ12:AJ14)</f>
        <v>2278515.63</v>
      </c>
      <c r="AK11" s="369">
        <f>SUM(AK12:AK14)</f>
        <v>2278515.63</v>
      </c>
      <c r="AL11" s="369">
        <f>SUM(AL12:AL14)</f>
        <v>2278515.63</v>
      </c>
      <c r="AM11" s="369">
        <f t="shared" si="15"/>
        <v>6835546.8899999997</v>
      </c>
      <c r="AN11" s="369">
        <f>SUM(AN12:AN14)</f>
        <v>2278515.63</v>
      </c>
      <c r="AO11" s="369">
        <f>SUM(AO12:AO14)</f>
        <v>2278515.63</v>
      </c>
      <c r="AP11" s="369">
        <f>SUM(AP12:AP14)</f>
        <v>2278515.63</v>
      </c>
      <c r="AQ11" s="369">
        <f>SUM(AQ12:AQ14)</f>
        <v>132890.63</v>
      </c>
      <c r="AR11" s="369">
        <f t="shared" si="20"/>
        <v>6968437.5199999996</v>
      </c>
      <c r="AS11" s="369">
        <f>SUM(AS12:AS14)</f>
        <v>132890.63</v>
      </c>
      <c r="AT11" s="369">
        <f>SUM(AT12:AT14)</f>
        <v>132890.63</v>
      </c>
      <c r="AU11" s="369">
        <f>SUM(AU12:AU14)</f>
        <v>132890.63</v>
      </c>
      <c r="AV11" s="369">
        <f>SUM(AV12:AV14)</f>
        <v>132890.63</v>
      </c>
      <c r="AW11" s="369">
        <f t="shared" si="25"/>
        <v>531562.52</v>
      </c>
      <c r="AX11" s="369">
        <f>SUM(AX12:AX14)</f>
        <v>132890.63</v>
      </c>
      <c r="AY11" s="369">
        <f>SUM(AY12:AY14)</f>
        <v>132890.63</v>
      </c>
      <c r="AZ11" s="369">
        <f>SUM(AZ12:AZ14)</f>
        <v>132890.63</v>
      </c>
      <c r="BA11" s="369">
        <f>SUM(BA12:BA14)</f>
        <v>132890.63</v>
      </c>
      <c r="BB11" s="369">
        <f t="shared" si="30"/>
        <v>531562.52</v>
      </c>
      <c r="BC11" s="369">
        <f>SUM(BC12:BC14)</f>
        <v>132890.63</v>
      </c>
      <c r="BD11" s="369">
        <f>SUM(BD12:BD14)</f>
        <v>0</v>
      </c>
      <c r="BE11" s="369">
        <f>SUM(BE12:BE14)</f>
        <v>0</v>
      </c>
      <c r="BF11" s="369">
        <f>SUM(BF12:BF14)</f>
        <v>0</v>
      </c>
      <c r="BG11" s="370">
        <f t="shared" si="35"/>
        <v>132890.63</v>
      </c>
    </row>
    <row r="12" spans="1:59" s="21" customFormat="1" ht="45.75" customHeight="1" x14ac:dyDescent="0.2">
      <c r="A12" s="574" t="s">
        <v>153</v>
      </c>
      <c r="B12" s="371">
        <v>42095</v>
      </c>
      <c r="C12" s="372">
        <v>48</v>
      </c>
      <c r="D12" s="373">
        <f t="shared" si="2"/>
        <v>43535</v>
      </c>
      <c r="E12" s="374"/>
      <c r="F12" s="374"/>
      <c r="G12" s="374"/>
      <c r="H12" s="374"/>
      <c r="I12" s="374" t="str">
        <f t="shared" ref="E12:AB14" si="37">IF(AND($C12&lt;&gt;0,$A12&lt;&gt;"NÃO SELECIONADO"),IF(I$5&gt;=$B12,IF(I$5&lt;=$D12,"X"," ")," "),"")</f>
        <v xml:space="preserve"> </v>
      </c>
      <c r="J12" s="374" t="str">
        <f t="shared" si="37"/>
        <v>X</v>
      </c>
      <c r="K12" s="374" t="str">
        <f t="shared" si="37"/>
        <v>X</v>
      </c>
      <c r="L12" s="374" t="str">
        <f t="shared" si="37"/>
        <v>X</v>
      </c>
      <c r="M12" s="374" t="str">
        <f t="shared" si="37"/>
        <v>X</v>
      </c>
      <c r="N12" s="374" t="str">
        <f t="shared" si="37"/>
        <v>X</v>
      </c>
      <c r="O12" s="374" t="str">
        <f t="shared" si="37"/>
        <v>X</v>
      </c>
      <c r="P12" s="374" t="str">
        <f t="shared" si="37"/>
        <v>X</v>
      </c>
      <c r="Q12" s="374" t="str">
        <f t="shared" si="37"/>
        <v>X</v>
      </c>
      <c r="R12" s="374" t="str">
        <f t="shared" si="37"/>
        <v>X</v>
      </c>
      <c r="S12" s="374" t="str">
        <f t="shared" si="37"/>
        <v>X</v>
      </c>
      <c r="T12" s="374" t="str">
        <f t="shared" si="37"/>
        <v>X</v>
      </c>
      <c r="U12" s="374" t="str">
        <f t="shared" si="37"/>
        <v>X</v>
      </c>
      <c r="V12" s="374" t="str">
        <f t="shared" si="37"/>
        <v>X</v>
      </c>
      <c r="W12" s="374" t="str">
        <f t="shared" si="37"/>
        <v>X</v>
      </c>
      <c r="X12" s="374" t="str">
        <f t="shared" si="37"/>
        <v>X</v>
      </c>
      <c r="Y12" s="374" t="str">
        <f t="shared" si="37"/>
        <v>X</v>
      </c>
      <c r="Z12" s="374" t="str">
        <f t="shared" si="37"/>
        <v xml:space="preserve"> </v>
      </c>
      <c r="AA12" s="374" t="str">
        <f t="shared" si="37"/>
        <v xml:space="preserve"> </v>
      </c>
      <c r="AB12" s="374" t="str">
        <f t="shared" si="37"/>
        <v xml:space="preserve"> </v>
      </c>
      <c r="AC12" s="375">
        <f>'3_Comp e Produtos'!E12</f>
        <v>2126250</v>
      </c>
      <c r="AD12" s="376">
        <f t="shared" si="6"/>
        <v>0</v>
      </c>
      <c r="AE12" s="376">
        <f t="shared" si="7"/>
        <v>0</v>
      </c>
      <c r="AF12" s="376">
        <f t="shared" si="8"/>
        <v>0</v>
      </c>
      <c r="AG12" s="377">
        <f t="shared" si="9"/>
        <v>0</v>
      </c>
      <c r="AH12" s="378">
        <f t="shared" si="10"/>
        <v>0</v>
      </c>
      <c r="AI12" s="376">
        <f t="shared" si="11"/>
        <v>0</v>
      </c>
      <c r="AJ12" s="376">
        <f t="shared" si="12"/>
        <v>132890.63</v>
      </c>
      <c r="AK12" s="376">
        <f t="shared" si="13"/>
        <v>132890.63</v>
      </c>
      <c r="AL12" s="377">
        <f t="shared" si="14"/>
        <v>132890.63</v>
      </c>
      <c r="AM12" s="378">
        <f t="shared" si="15"/>
        <v>398671.89</v>
      </c>
      <c r="AN12" s="376">
        <f t="shared" si="16"/>
        <v>132890.63</v>
      </c>
      <c r="AO12" s="376">
        <f t="shared" si="17"/>
        <v>132890.63</v>
      </c>
      <c r="AP12" s="376">
        <f t="shared" si="18"/>
        <v>132890.63</v>
      </c>
      <c r="AQ12" s="377">
        <f t="shared" si="19"/>
        <v>132890.63</v>
      </c>
      <c r="AR12" s="378">
        <f t="shared" si="20"/>
        <v>531562.52</v>
      </c>
      <c r="AS12" s="376">
        <f t="shared" si="21"/>
        <v>132890.63</v>
      </c>
      <c r="AT12" s="376">
        <f t="shared" si="22"/>
        <v>132890.63</v>
      </c>
      <c r="AU12" s="376">
        <f t="shared" si="23"/>
        <v>132890.63</v>
      </c>
      <c r="AV12" s="377">
        <f t="shared" si="24"/>
        <v>132890.63</v>
      </c>
      <c r="AW12" s="378">
        <f t="shared" si="25"/>
        <v>531562.52</v>
      </c>
      <c r="AX12" s="376">
        <f t="shared" si="26"/>
        <v>132890.63</v>
      </c>
      <c r="AY12" s="376">
        <f t="shared" si="27"/>
        <v>132890.63</v>
      </c>
      <c r="AZ12" s="376">
        <f t="shared" si="28"/>
        <v>132890.63</v>
      </c>
      <c r="BA12" s="377">
        <f t="shared" si="29"/>
        <v>132890.63</v>
      </c>
      <c r="BB12" s="378">
        <f t="shared" si="30"/>
        <v>531562.52</v>
      </c>
      <c r="BC12" s="376">
        <f t="shared" si="31"/>
        <v>132890.63</v>
      </c>
      <c r="BD12" s="376">
        <f t="shared" si="32"/>
        <v>0</v>
      </c>
      <c r="BE12" s="376">
        <f t="shared" si="33"/>
        <v>0</v>
      </c>
      <c r="BF12" s="377">
        <f t="shared" si="34"/>
        <v>0</v>
      </c>
      <c r="BG12" s="378">
        <f t="shared" si="35"/>
        <v>132890.63</v>
      </c>
    </row>
    <row r="13" spans="1:59" s="21" customFormat="1" ht="45.75" customHeight="1" x14ac:dyDescent="0.2">
      <c r="A13" s="574" t="s">
        <v>144</v>
      </c>
      <c r="B13" s="371">
        <v>42095</v>
      </c>
      <c r="C13" s="372">
        <v>18</v>
      </c>
      <c r="D13" s="373">
        <f t="shared" si="2"/>
        <v>42617</v>
      </c>
      <c r="E13" s="374" t="str">
        <f t="shared" si="37"/>
        <v xml:space="preserve"> </v>
      </c>
      <c r="F13" s="374" t="str">
        <f t="shared" si="37"/>
        <v xml:space="preserve"> </v>
      </c>
      <c r="G13" s="374" t="str">
        <f t="shared" si="37"/>
        <v xml:space="preserve"> </v>
      </c>
      <c r="H13" s="374" t="str">
        <f t="shared" si="37"/>
        <v xml:space="preserve"> </v>
      </c>
      <c r="I13" s="374" t="str">
        <f t="shared" si="37"/>
        <v xml:space="preserve"> </v>
      </c>
      <c r="J13" s="374" t="str">
        <f t="shared" si="37"/>
        <v>X</v>
      </c>
      <c r="K13" s="374" t="str">
        <f t="shared" si="37"/>
        <v>X</v>
      </c>
      <c r="L13" s="374" t="str">
        <f t="shared" si="37"/>
        <v>X</v>
      </c>
      <c r="M13" s="374" t="str">
        <f t="shared" si="37"/>
        <v>X</v>
      </c>
      <c r="N13" s="374" t="str">
        <f t="shared" si="37"/>
        <v>X</v>
      </c>
      <c r="O13" s="374" t="str">
        <f t="shared" si="37"/>
        <v>X</v>
      </c>
      <c r="P13" s="374" t="str">
        <f t="shared" si="37"/>
        <v xml:space="preserve"> </v>
      </c>
      <c r="Q13" s="374" t="str">
        <f t="shared" si="37"/>
        <v xml:space="preserve"> </v>
      </c>
      <c r="R13" s="374" t="str">
        <f t="shared" si="37"/>
        <v xml:space="preserve"> </v>
      </c>
      <c r="S13" s="374" t="str">
        <f t="shared" si="37"/>
        <v xml:space="preserve"> </v>
      </c>
      <c r="T13" s="374" t="str">
        <f t="shared" si="37"/>
        <v xml:space="preserve"> </v>
      </c>
      <c r="U13" s="374" t="str">
        <f t="shared" si="37"/>
        <v xml:space="preserve"> </v>
      </c>
      <c r="V13" s="374" t="str">
        <f t="shared" si="37"/>
        <v xml:space="preserve"> </v>
      </c>
      <c r="W13" s="374" t="str">
        <f t="shared" si="37"/>
        <v xml:space="preserve"> </v>
      </c>
      <c r="X13" s="374" t="str">
        <f t="shared" si="37"/>
        <v xml:space="preserve"> </v>
      </c>
      <c r="Y13" s="374" t="str">
        <f t="shared" si="37"/>
        <v xml:space="preserve"> </v>
      </c>
      <c r="Z13" s="374" t="str">
        <f t="shared" si="37"/>
        <v xml:space="preserve"> </v>
      </c>
      <c r="AA13" s="374" t="str">
        <f t="shared" si="37"/>
        <v xml:space="preserve"> </v>
      </c>
      <c r="AB13" s="374" t="str">
        <f t="shared" si="37"/>
        <v xml:space="preserve"> </v>
      </c>
      <c r="AC13" s="375">
        <f>'3_Comp e Produtos'!E13</f>
        <v>3678750</v>
      </c>
      <c r="AD13" s="376">
        <f t="shared" si="6"/>
        <v>0</v>
      </c>
      <c r="AE13" s="376">
        <f t="shared" si="7"/>
        <v>0</v>
      </c>
      <c r="AF13" s="376">
        <f t="shared" si="8"/>
        <v>0</v>
      </c>
      <c r="AG13" s="377">
        <f t="shared" si="9"/>
        <v>0</v>
      </c>
      <c r="AH13" s="378">
        <f t="shared" si="10"/>
        <v>0</v>
      </c>
      <c r="AI13" s="376">
        <f t="shared" si="11"/>
        <v>0</v>
      </c>
      <c r="AJ13" s="376">
        <f t="shared" si="12"/>
        <v>613125</v>
      </c>
      <c r="AK13" s="376">
        <f t="shared" si="13"/>
        <v>613125</v>
      </c>
      <c r="AL13" s="377">
        <f t="shared" si="14"/>
        <v>613125</v>
      </c>
      <c r="AM13" s="378">
        <f t="shared" si="15"/>
        <v>1839375</v>
      </c>
      <c r="AN13" s="376">
        <f t="shared" si="16"/>
        <v>613125</v>
      </c>
      <c r="AO13" s="376">
        <f t="shared" si="17"/>
        <v>613125</v>
      </c>
      <c r="AP13" s="376">
        <f t="shared" si="18"/>
        <v>613125</v>
      </c>
      <c r="AQ13" s="377">
        <f t="shared" si="19"/>
        <v>0</v>
      </c>
      <c r="AR13" s="378">
        <f t="shared" si="20"/>
        <v>1839375</v>
      </c>
      <c r="AS13" s="376">
        <f t="shared" si="21"/>
        <v>0</v>
      </c>
      <c r="AT13" s="376">
        <f t="shared" si="22"/>
        <v>0</v>
      </c>
      <c r="AU13" s="376">
        <f t="shared" si="23"/>
        <v>0</v>
      </c>
      <c r="AV13" s="377">
        <f t="shared" si="24"/>
        <v>0</v>
      </c>
      <c r="AW13" s="378">
        <f t="shared" si="25"/>
        <v>0</v>
      </c>
      <c r="AX13" s="376">
        <f t="shared" si="26"/>
        <v>0</v>
      </c>
      <c r="AY13" s="376">
        <f t="shared" si="27"/>
        <v>0</v>
      </c>
      <c r="AZ13" s="376">
        <f t="shared" si="28"/>
        <v>0</v>
      </c>
      <c r="BA13" s="377">
        <f t="shared" si="29"/>
        <v>0</v>
      </c>
      <c r="BB13" s="378">
        <f t="shared" si="30"/>
        <v>0</v>
      </c>
      <c r="BC13" s="376">
        <f t="shared" si="31"/>
        <v>0</v>
      </c>
      <c r="BD13" s="376">
        <f t="shared" si="32"/>
        <v>0</v>
      </c>
      <c r="BE13" s="376">
        <f t="shared" si="33"/>
        <v>0</v>
      </c>
      <c r="BF13" s="377">
        <f t="shared" si="34"/>
        <v>0</v>
      </c>
      <c r="BG13" s="378">
        <f t="shared" si="35"/>
        <v>0</v>
      </c>
    </row>
    <row r="14" spans="1:59" s="21" customFormat="1" ht="45.75" customHeight="1" x14ac:dyDescent="0.2">
      <c r="A14" s="574" t="s">
        <v>145</v>
      </c>
      <c r="B14" s="371">
        <v>42095</v>
      </c>
      <c r="C14" s="372">
        <v>18</v>
      </c>
      <c r="D14" s="373">
        <f t="shared" si="2"/>
        <v>42617</v>
      </c>
      <c r="E14" s="374" t="str">
        <f t="shared" ref="E14:T17" si="38">IF(AND($C14&lt;&gt;0,$A14&lt;&gt;"NÃO SELECIONADO"),IF(E$5&gt;=$B14,IF(E$5&lt;=$D14,"X"," ")," "),"")</f>
        <v xml:space="preserve"> </v>
      </c>
      <c r="F14" s="374" t="str">
        <f t="shared" si="38"/>
        <v xml:space="preserve"> </v>
      </c>
      <c r="G14" s="374" t="str">
        <f t="shared" si="38"/>
        <v xml:space="preserve"> </v>
      </c>
      <c r="H14" s="374" t="str">
        <f t="shared" si="38"/>
        <v xml:space="preserve"> </v>
      </c>
      <c r="I14" s="374" t="str">
        <f t="shared" si="37"/>
        <v xml:space="preserve"> </v>
      </c>
      <c r="J14" s="374" t="str">
        <f t="shared" si="38"/>
        <v>X</v>
      </c>
      <c r="K14" s="374" t="str">
        <f t="shared" si="38"/>
        <v>X</v>
      </c>
      <c r="L14" s="374" t="str">
        <f t="shared" si="38"/>
        <v>X</v>
      </c>
      <c r="M14" s="374" t="str">
        <f t="shared" si="38"/>
        <v>X</v>
      </c>
      <c r="N14" s="374" t="str">
        <f t="shared" si="38"/>
        <v>X</v>
      </c>
      <c r="O14" s="374" t="str">
        <f t="shared" si="38"/>
        <v>X</v>
      </c>
      <c r="P14" s="374" t="str">
        <f t="shared" si="38"/>
        <v xml:space="preserve"> </v>
      </c>
      <c r="Q14" s="374" t="str">
        <f t="shared" si="38"/>
        <v xml:space="preserve"> </v>
      </c>
      <c r="R14" s="374" t="str">
        <f t="shared" si="38"/>
        <v xml:space="preserve"> </v>
      </c>
      <c r="S14" s="374" t="str">
        <f t="shared" si="38"/>
        <v xml:space="preserve"> </v>
      </c>
      <c r="T14" s="374" t="str">
        <f t="shared" si="38"/>
        <v xml:space="preserve"> </v>
      </c>
      <c r="U14" s="374" t="str">
        <f t="shared" si="37"/>
        <v xml:space="preserve"> </v>
      </c>
      <c r="V14" s="374" t="str">
        <f t="shared" si="37"/>
        <v xml:space="preserve"> </v>
      </c>
      <c r="W14" s="374" t="str">
        <f t="shared" si="37"/>
        <v xml:space="preserve"> </v>
      </c>
      <c r="X14" s="374" t="str">
        <f t="shared" si="37"/>
        <v xml:space="preserve"> </v>
      </c>
      <c r="Y14" s="374" t="str">
        <f t="shared" si="37"/>
        <v xml:space="preserve"> </v>
      </c>
      <c r="Z14" s="374" t="str">
        <f t="shared" si="37"/>
        <v xml:space="preserve"> </v>
      </c>
      <c r="AA14" s="374" t="str">
        <f t="shared" si="37"/>
        <v xml:space="preserve"> </v>
      </c>
      <c r="AB14" s="374" t="str">
        <f t="shared" si="37"/>
        <v xml:space="preserve"> </v>
      </c>
      <c r="AC14" s="375">
        <f>'3_Comp e Produtos'!E14</f>
        <v>9195000</v>
      </c>
      <c r="AD14" s="376">
        <f t="shared" si="6"/>
        <v>0</v>
      </c>
      <c r="AE14" s="376">
        <f t="shared" si="7"/>
        <v>0</v>
      </c>
      <c r="AF14" s="376">
        <f t="shared" si="8"/>
        <v>0</v>
      </c>
      <c r="AG14" s="377">
        <f t="shared" si="9"/>
        <v>0</v>
      </c>
      <c r="AH14" s="378">
        <f t="shared" si="10"/>
        <v>0</v>
      </c>
      <c r="AI14" s="376">
        <f t="shared" si="11"/>
        <v>0</v>
      </c>
      <c r="AJ14" s="376">
        <f t="shared" si="12"/>
        <v>1532500</v>
      </c>
      <c r="AK14" s="376">
        <f t="shared" si="13"/>
        <v>1532500</v>
      </c>
      <c r="AL14" s="377">
        <f t="shared" si="14"/>
        <v>1532500</v>
      </c>
      <c r="AM14" s="378">
        <f t="shared" si="15"/>
        <v>4597500</v>
      </c>
      <c r="AN14" s="376">
        <f t="shared" si="16"/>
        <v>1532500</v>
      </c>
      <c r="AO14" s="376">
        <f t="shared" si="17"/>
        <v>1532500</v>
      </c>
      <c r="AP14" s="376">
        <f t="shared" si="18"/>
        <v>1532500</v>
      </c>
      <c r="AQ14" s="377">
        <f t="shared" si="19"/>
        <v>0</v>
      </c>
      <c r="AR14" s="378">
        <f t="shared" si="20"/>
        <v>4597500</v>
      </c>
      <c r="AS14" s="376">
        <f t="shared" si="21"/>
        <v>0</v>
      </c>
      <c r="AT14" s="376">
        <f t="shared" si="22"/>
        <v>0</v>
      </c>
      <c r="AU14" s="376">
        <f t="shared" si="23"/>
        <v>0</v>
      </c>
      <c r="AV14" s="377">
        <f t="shared" si="24"/>
        <v>0</v>
      </c>
      <c r="AW14" s="378">
        <f t="shared" si="25"/>
        <v>0</v>
      </c>
      <c r="AX14" s="376">
        <f t="shared" si="26"/>
        <v>0</v>
      </c>
      <c r="AY14" s="376">
        <f t="shared" si="27"/>
        <v>0</v>
      </c>
      <c r="AZ14" s="376">
        <f t="shared" si="28"/>
        <v>0</v>
      </c>
      <c r="BA14" s="377">
        <f t="shared" si="29"/>
        <v>0</v>
      </c>
      <c r="BB14" s="378">
        <f t="shared" si="30"/>
        <v>0</v>
      </c>
      <c r="BC14" s="376">
        <f t="shared" si="31"/>
        <v>0</v>
      </c>
      <c r="BD14" s="376">
        <f t="shared" si="32"/>
        <v>0</v>
      </c>
      <c r="BE14" s="376">
        <f t="shared" si="33"/>
        <v>0</v>
      </c>
      <c r="BF14" s="377">
        <f t="shared" si="34"/>
        <v>0</v>
      </c>
      <c r="BG14" s="378">
        <f t="shared" si="35"/>
        <v>0</v>
      </c>
    </row>
    <row r="15" spans="1:59" s="21" customFormat="1" ht="33.75" customHeight="1" x14ac:dyDescent="0.2">
      <c r="A15" s="659" t="str">
        <f>'3_Comp e Produtos'!A15</f>
        <v>COMPONENTE 3: APRIMORAMENTO DO PROCESSO DE RESSOCIABILIZAÇÃO</v>
      </c>
      <c r="B15" s="365"/>
      <c r="C15" s="366"/>
      <c r="D15" s="365" t="str">
        <f t="shared" si="2"/>
        <v/>
      </c>
      <c r="E15" s="367" t="str">
        <f t="shared" si="38"/>
        <v/>
      </c>
      <c r="F15" s="367" t="str">
        <f t="shared" si="38"/>
        <v/>
      </c>
      <c r="G15" s="367" t="str">
        <f t="shared" si="38"/>
        <v/>
      </c>
      <c r="H15" s="367" t="str">
        <f t="shared" si="38"/>
        <v/>
      </c>
      <c r="I15" s="367" t="str">
        <f t="shared" si="38"/>
        <v/>
      </c>
      <c r="J15" s="367" t="str">
        <f t="shared" si="38"/>
        <v/>
      </c>
      <c r="K15" s="367" t="str">
        <f t="shared" si="38"/>
        <v/>
      </c>
      <c r="L15" s="367" t="str">
        <f t="shared" si="38"/>
        <v/>
      </c>
      <c r="M15" s="367" t="str">
        <f t="shared" ref="M15:AB17" si="39">IF(AND($C15&lt;&gt;0,$A15&lt;&gt;"NÃO SELECIONADO"),IF(M$5&gt;=$B15,IF(M$5&lt;=$D15,"X"," ")," "),"")</f>
        <v/>
      </c>
      <c r="N15" s="367" t="str">
        <f t="shared" si="39"/>
        <v/>
      </c>
      <c r="O15" s="367" t="str">
        <f t="shared" si="39"/>
        <v/>
      </c>
      <c r="P15" s="367" t="str">
        <f t="shared" si="39"/>
        <v/>
      </c>
      <c r="Q15" s="367" t="str">
        <f t="shared" si="39"/>
        <v/>
      </c>
      <c r="R15" s="367" t="str">
        <f t="shared" si="39"/>
        <v/>
      </c>
      <c r="S15" s="367" t="str">
        <f t="shared" si="39"/>
        <v/>
      </c>
      <c r="T15" s="367" t="str">
        <f t="shared" si="39"/>
        <v/>
      </c>
      <c r="U15" s="367" t="str">
        <f t="shared" si="39"/>
        <v/>
      </c>
      <c r="V15" s="367" t="str">
        <f t="shared" si="39"/>
        <v/>
      </c>
      <c r="W15" s="367" t="str">
        <f t="shared" si="39"/>
        <v/>
      </c>
      <c r="X15" s="367" t="str">
        <f t="shared" si="39"/>
        <v/>
      </c>
      <c r="Y15" s="367" t="str">
        <f t="shared" si="39"/>
        <v/>
      </c>
      <c r="Z15" s="367" t="str">
        <f t="shared" si="39"/>
        <v/>
      </c>
      <c r="AA15" s="367" t="str">
        <f t="shared" si="39"/>
        <v/>
      </c>
      <c r="AB15" s="367" t="str">
        <f>IF(AND($C15&lt;&gt;0,$A15&lt;&gt;"NÃO SELECIONADO"),IF(AB$5&gt;=$B15,IF(AB$5&lt;=$D15,"X"," ")," "),"")</f>
        <v/>
      </c>
      <c r="AC15" s="368">
        <f>SUM(AC16:AC18)</f>
        <v>62750000</v>
      </c>
      <c r="AD15" s="369">
        <f t="shared" si="6"/>
        <v>0</v>
      </c>
      <c r="AE15" s="369">
        <f t="shared" si="7"/>
        <v>0</v>
      </c>
      <c r="AF15" s="369">
        <f t="shared" si="8"/>
        <v>0</v>
      </c>
      <c r="AG15" s="369">
        <f t="shared" si="9"/>
        <v>0</v>
      </c>
      <c r="AH15" s="369">
        <f t="shared" si="10"/>
        <v>0</v>
      </c>
      <c r="AI15" s="369">
        <f>SUM(AI16:AI18)</f>
        <v>162500</v>
      </c>
      <c r="AJ15" s="369">
        <f>SUM(AJ16:AJ18)</f>
        <v>7600000</v>
      </c>
      <c r="AK15" s="369">
        <f>SUM(AK16:AK18)</f>
        <v>7600000</v>
      </c>
      <c r="AL15" s="369">
        <f>SUM(AL16:AL18)</f>
        <v>7600000</v>
      </c>
      <c r="AM15" s="369">
        <f t="shared" si="15"/>
        <v>22962500</v>
      </c>
      <c r="AN15" s="369">
        <f>SUM(AN16:AN18)</f>
        <v>7600000</v>
      </c>
      <c r="AO15" s="369">
        <f>SUM(AO16:AO18)</f>
        <v>7600000</v>
      </c>
      <c r="AP15" s="369">
        <f>SUM(AP16:AP18)</f>
        <v>7600000</v>
      </c>
      <c r="AQ15" s="369">
        <f>SUM(AQ16:AQ18)</f>
        <v>7600000</v>
      </c>
      <c r="AR15" s="369">
        <f t="shared" si="20"/>
        <v>30400000</v>
      </c>
      <c r="AS15" s="369">
        <f t="shared" si="21"/>
        <v>0</v>
      </c>
      <c r="AT15" s="369">
        <f t="shared" si="22"/>
        <v>0</v>
      </c>
      <c r="AU15" s="369">
        <f t="shared" si="23"/>
        <v>0</v>
      </c>
      <c r="AV15" s="369">
        <f t="shared" si="24"/>
        <v>0</v>
      </c>
      <c r="AW15" s="369">
        <f t="shared" si="25"/>
        <v>0</v>
      </c>
      <c r="AX15" s="369">
        <f t="shared" si="26"/>
        <v>0</v>
      </c>
      <c r="AY15" s="369">
        <f t="shared" si="27"/>
        <v>0</v>
      </c>
      <c r="AZ15" s="369">
        <f t="shared" si="28"/>
        <v>0</v>
      </c>
      <c r="BA15" s="369">
        <f t="shared" si="29"/>
        <v>0</v>
      </c>
      <c r="BB15" s="369">
        <f t="shared" si="30"/>
        <v>0</v>
      </c>
      <c r="BC15" s="369">
        <f t="shared" si="31"/>
        <v>0</v>
      </c>
      <c r="BD15" s="369">
        <f t="shared" si="32"/>
        <v>0</v>
      </c>
      <c r="BE15" s="369">
        <f t="shared" si="33"/>
        <v>0</v>
      </c>
      <c r="BF15" s="369">
        <f t="shared" si="34"/>
        <v>0</v>
      </c>
      <c r="BG15" s="370">
        <f t="shared" si="35"/>
        <v>0</v>
      </c>
    </row>
    <row r="16" spans="1:59" s="21" customFormat="1" ht="120.75" customHeight="1" x14ac:dyDescent="0.2">
      <c r="A16" s="574" t="s">
        <v>146</v>
      </c>
      <c r="B16" s="371">
        <v>42095</v>
      </c>
      <c r="C16" s="372">
        <v>24</v>
      </c>
      <c r="D16" s="373">
        <f t="shared" si="2"/>
        <v>42815</v>
      </c>
      <c r="E16" s="374" t="str">
        <f t="shared" si="38"/>
        <v xml:space="preserve"> </v>
      </c>
      <c r="F16" s="374" t="str">
        <f t="shared" si="38"/>
        <v xml:space="preserve"> </v>
      </c>
      <c r="G16" s="374" t="str">
        <f t="shared" si="38"/>
        <v xml:space="preserve"> </v>
      </c>
      <c r="H16" s="374" t="str">
        <f t="shared" si="38"/>
        <v xml:space="preserve"> </v>
      </c>
      <c r="I16" s="374" t="str">
        <f t="shared" si="38"/>
        <v xml:space="preserve"> </v>
      </c>
      <c r="J16" s="374" t="str">
        <f t="shared" si="38"/>
        <v>X</v>
      </c>
      <c r="K16" s="374" t="str">
        <f t="shared" si="38"/>
        <v>X</v>
      </c>
      <c r="L16" s="374" t="str">
        <f t="shared" si="38"/>
        <v>X</v>
      </c>
      <c r="M16" s="374" t="str">
        <f t="shared" si="39"/>
        <v>X</v>
      </c>
      <c r="N16" s="374" t="str">
        <f t="shared" si="39"/>
        <v>X</v>
      </c>
      <c r="O16" s="374" t="str">
        <f t="shared" si="39"/>
        <v>X</v>
      </c>
      <c r="P16" s="374" t="str">
        <f t="shared" si="39"/>
        <v>X</v>
      </c>
      <c r="Q16" s="374" t="str">
        <f t="shared" si="39"/>
        <v>X</v>
      </c>
      <c r="R16" s="374" t="str">
        <f t="shared" si="39"/>
        <v xml:space="preserve"> </v>
      </c>
      <c r="S16" s="374" t="str">
        <f t="shared" si="39"/>
        <v xml:space="preserve"> </v>
      </c>
      <c r="T16" s="374" t="str">
        <f t="shared" si="39"/>
        <v xml:space="preserve"> </v>
      </c>
      <c r="U16" s="374" t="str">
        <f t="shared" si="39"/>
        <v xml:space="preserve"> </v>
      </c>
      <c r="V16" s="374" t="str">
        <f t="shared" si="39"/>
        <v xml:space="preserve"> </v>
      </c>
      <c r="W16" s="374" t="str">
        <f t="shared" si="39"/>
        <v xml:space="preserve"> </v>
      </c>
      <c r="X16" s="374" t="str">
        <f t="shared" si="39"/>
        <v xml:space="preserve"> </v>
      </c>
      <c r="Y16" s="374" t="str">
        <f t="shared" si="39"/>
        <v xml:space="preserve"> </v>
      </c>
      <c r="Z16" s="374" t="str">
        <f t="shared" si="39"/>
        <v xml:space="preserve"> </v>
      </c>
      <c r="AA16" s="374" t="str">
        <f t="shared" si="39"/>
        <v xml:space="preserve"> </v>
      </c>
      <c r="AB16" s="374" t="str">
        <f>IF(AND($C16&lt;&gt;0,$A16&lt;&gt;"NÃO SELECIONADO"),IF(AB$5&gt;=$B16,IF(AB$5&lt;=$D16,"X"," ")," "),"")</f>
        <v xml:space="preserve"> </v>
      </c>
      <c r="AC16" s="375">
        <f>'3_Comp e Produtos'!E16</f>
        <v>56375000</v>
      </c>
      <c r="AD16" s="376">
        <f t="shared" si="6"/>
        <v>0</v>
      </c>
      <c r="AE16" s="376">
        <f t="shared" si="7"/>
        <v>0</v>
      </c>
      <c r="AF16" s="376">
        <f t="shared" si="8"/>
        <v>0</v>
      </c>
      <c r="AG16" s="377">
        <f t="shared" si="9"/>
        <v>0</v>
      </c>
      <c r="AH16" s="378">
        <f t="shared" si="10"/>
        <v>0</v>
      </c>
      <c r="AI16" s="376">
        <f t="shared" si="11"/>
        <v>0</v>
      </c>
      <c r="AJ16" s="376">
        <f t="shared" si="12"/>
        <v>7046875</v>
      </c>
      <c r="AK16" s="376">
        <f t="shared" si="13"/>
        <v>7046875</v>
      </c>
      <c r="AL16" s="377">
        <f t="shared" si="14"/>
        <v>7046875</v>
      </c>
      <c r="AM16" s="378">
        <f t="shared" si="15"/>
        <v>21140625</v>
      </c>
      <c r="AN16" s="376">
        <f t="shared" si="16"/>
        <v>7046875</v>
      </c>
      <c r="AO16" s="376">
        <f t="shared" si="17"/>
        <v>7046875</v>
      </c>
      <c r="AP16" s="376">
        <f t="shared" si="18"/>
        <v>7046875</v>
      </c>
      <c r="AQ16" s="377">
        <f t="shared" si="19"/>
        <v>7046875</v>
      </c>
      <c r="AR16" s="378">
        <f t="shared" si="20"/>
        <v>28187500</v>
      </c>
      <c r="AS16" s="376">
        <f t="shared" si="21"/>
        <v>7046875</v>
      </c>
      <c r="AT16" s="376">
        <f t="shared" si="22"/>
        <v>0</v>
      </c>
      <c r="AU16" s="376">
        <f t="shared" si="23"/>
        <v>0</v>
      </c>
      <c r="AV16" s="377">
        <f t="shared" si="24"/>
        <v>0</v>
      </c>
      <c r="AW16" s="378">
        <f t="shared" si="25"/>
        <v>7046875</v>
      </c>
      <c r="AX16" s="376">
        <f t="shared" si="26"/>
        <v>0</v>
      </c>
      <c r="AY16" s="376">
        <f t="shared" si="27"/>
        <v>0</v>
      </c>
      <c r="AZ16" s="376">
        <f t="shared" si="28"/>
        <v>0</v>
      </c>
      <c r="BA16" s="377">
        <f t="shared" si="29"/>
        <v>0</v>
      </c>
      <c r="BB16" s="378">
        <f t="shared" si="30"/>
        <v>0</v>
      </c>
      <c r="BC16" s="376">
        <f t="shared" si="31"/>
        <v>0</v>
      </c>
      <c r="BD16" s="376">
        <f t="shared" si="32"/>
        <v>0</v>
      </c>
      <c r="BE16" s="376">
        <f t="shared" si="33"/>
        <v>0</v>
      </c>
      <c r="BF16" s="377">
        <f t="shared" si="34"/>
        <v>0</v>
      </c>
      <c r="BG16" s="378">
        <f t="shared" si="35"/>
        <v>0</v>
      </c>
    </row>
    <row r="17" spans="1:61" s="21" customFormat="1" ht="120.75" customHeight="1" x14ac:dyDescent="0.2">
      <c r="A17" s="574" t="s">
        <v>147</v>
      </c>
      <c r="B17" s="371">
        <v>42095</v>
      </c>
      <c r="C17" s="372">
        <v>60</v>
      </c>
      <c r="D17" s="373">
        <f t="shared" si="2"/>
        <v>43895</v>
      </c>
      <c r="E17" s="374" t="str">
        <f>IF(COUNTIF(E18:E22,"X")&lt;&gt;0,"X","")</f>
        <v/>
      </c>
      <c r="F17" s="374" t="str">
        <f>IF(COUNTIF(F18:F22,"X")&lt;&gt;0,"X","")</f>
        <v/>
      </c>
      <c r="G17" s="374" t="str">
        <f>IF(COUNTIF(G18:G22,"X")&lt;&gt;0,"X","")</f>
        <v/>
      </c>
      <c r="H17" s="374" t="str">
        <f>IF(COUNTIF(H18:H22,"X")&lt;&gt;0,"X","")</f>
        <v/>
      </c>
      <c r="I17" s="374" t="s">
        <v>286</v>
      </c>
      <c r="J17" s="374" t="str">
        <f t="shared" si="38"/>
        <v>X</v>
      </c>
      <c r="K17" s="374" t="str">
        <f t="shared" si="38"/>
        <v>X</v>
      </c>
      <c r="L17" s="374" t="str">
        <f t="shared" si="38"/>
        <v>X</v>
      </c>
      <c r="M17" s="374" t="str">
        <f t="shared" si="38"/>
        <v>X</v>
      </c>
      <c r="N17" s="374" t="str">
        <f t="shared" si="38"/>
        <v>X</v>
      </c>
      <c r="O17" s="374" t="str">
        <f t="shared" si="38"/>
        <v>X</v>
      </c>
      <c r="P17" s="374" t="str">
        <f t="shared" si="38"/>
        <v>X</v>
      </c>
      <c r="Q17" s="374" t="str">
        <f t="shared" si="38"/>
        <v>X</v>
      </c>
      <c r="R17" s="374" t="str">
        <f t="shared" si="38"/>
        <v>X</v>
      </c>
      <c r="S17" s="374" t="str">
        <f t="shared" si="38"/>
        <v>X</v>
      </c>
      <c r="T17" s="374" t="str">
        <f t="shared" si="38"/>
        <v>X</v>
      </c>
      <c r="U17" s="374" t="str">
        <f t="shared" si="39"/>
        <v>X</v>
      </c>
      <c r="V17" s="374" t="str">
        <f t="shared" si="39"/>
        <v>X</v>
      </c>
      <c r="W17" s="374" t="str">
        <f t="shared" si="39"/>
        <v>X</v>
      </c>
      <c r="X17" s="374" t="str">
        <f t="shared" si="39"/>
        <v>X</v>
      </c>
      <c r="Y17" s="374" t="str">
        <f t="shared" si="39"/>
        <v>X</v>
      </c>
      <c r="Z17" s="374" t="str">
        <f t="shared" si="39"/>
        <v>X</v>
      </c>
      <c r="AA17" s="374" t="str">
        <f t="shared" si="39"/>
        <v>X</v>
      </c>
      <c r="AB17" s="374" t="str">
        <f t="shared" si="39"/>
        <v>X</v>
      </c>
      <c r="AC17" s="375">
        <f>'3_Comp e Produtos'!E17</f>
        <v>3250000</v>
      </c>
      <c r="AD17" s="376">
        <f>SUM(AD18:AD22)</f>
        <v>0</v>
      </c>
      <c r="AE17" s="376">
        <f>SUM(AE18:AE22)</f>
        <v>0</v>
      </c>
      <c r="AF17" s="376">
        <f>SUM(AF18:AF22)</f>
        <v>0</v>
      </c>
      <c r="AG17" s="377">
        <f>SUM(AG18:AG22)</f>
        <v>0</v>
      </c>
      <c r="AH17" s="378">
        <f>SUM(AH18:AH22)</f>
        <v>0</v>
      </c>
      <c r="AI17" s="376">
        <f t="shared" si="11"/>
        <v>162500</v>
      </c>
      <c r="AJ17" s="376">
        <f t="shared" si="12"/>
        <v>162500</v>
      </c>
      <c r="AK17" s="376">
        <f t="shared" si="13"/>
        <v>162500</v>
      </c>
      <c r="AL17" s="377">
        <f t="shared" si="14"/>
        <v>162500</v>
      </c>
      <c r="AM17" s="378">
        <f t="shared" si="15"/>
        <v>650000</v>
      </c>
      <c r="AN17" s="376">
        <f>IF(M17="X",$AC17/$C17*3,0)</f>
        <v>162500</v>
      </c>
      <c r="AO17" s="376">
        <f t="shared" si="17"/>
        <v>162500</v>
      </c>
      <c r="AP17" s="376">
        <f t="shared" si="18"/>
        <v>162500</v>
      </c>
      <c r="AQ17" s="376">
        <f t="shared" si="19"/>
        <v>162500</v>
      </c>
      <c r="AR17" s="378">
        <f t="shared" si="20"/>
        <v>650000</v>
      </c>
      <c r="AS17" s="376">
        <f>IF(Q17="X",$AC17/$C17*3,0)</f>
        <v>162500</v>
      </c>
      <c r="AT17" s="376">
        <f t="shared" si="22"/>
        <v>162500</v>
      </c>
      <c r="AU17" s="376">
        <f t="shared" si="23"/>
        <v>162500</v>
      </c>
      <c r="AV17" s="376">
        <f t="shared" si="24"/>
        <v>162500</v>
      </c>
      <c r="AW17" s="378">
        <f t="shared" si="25"/>
        <v>650000</v>
      </c>
      <c r="AX17" s="376">
        <f>IF(U17="X",$AC17/$C17*3,0)</f>
        <v>162500</v>
      </c>
      <c r="AY17" s="376">
        <f t="shared" si="27"/>
        <v>162500</v>
      </c>
      <c r="AZ17" s="376">
        <f t="shared" si="28"/>
        <v>162500</v>
      </c>
      <c r="BA17" s="376">
        <f t="shared" si="29"/>
        <v>162500</v>
      </c>
      <c r="BB17" s="378">
        <f t="shared" si="30"/>
        <v>650000</v>
      </c>
      <c r="BC17" s="376">
        <f>IF(Y17="X",$AC17/$C17*3,0)</f>
        <v>162500</v>
      </c>
      <c r="BD17" s="376">
        <f t="shared" si="32"/>
        <v>162500</v>
      </c>
      <c r="BE17" s="376">
        <f t="shared" si="33"/>
        <v>162500</v>
      </c>
      <c r="BF17" s="376">
        <f t="shared" si="34"/>
        <v>162500</v>
      </c>
      <c r="BG17" s="378">
        <f t="shared" si="35"/>
        <v>650000</v>
      </c>
    </row>
    <row r="18" spans="1:61" s="21" customFormat="1" ht="120.75" customHeight="1" x14ac:dyDescent="0.2">
      <c r="A18" s="574" t="s">
        <v>148</v>
      </c>
      <c r="B18" s="371">
        <v>42095</v>
      </c>
      <c r="C18" s="372">
        <v>24</v>
      </c>
      <c r="D18" s="373">
        <f t="shared" si="2"/>
        <v>42815</v>
      </c>
      <c r="E18" s="374" t="str">
        <f t="shared" ref="E18:T23" si="40">IF(AND($C18&lt;&gt;0,$A18&lt;&gt;"NÃO SELECIONADO"),IF(E$5&gt;=$B18,IF(E$5&lt;=$D18,"X"," ")," "),"")</f>
        <v xml:space="preserve"> </v>
      </c>
      <c r="F18" s="374" t="str">
        <f t="shared" si="40"/>
        <v xml:space="preserve"> </v>
      </c>
      <c r="G18" s="374" t="str">
        <f t="shared" si="40"/>
        <v xml:space="preserve"> </v>
      </c>
      <c r="H18" s="374" t="str">
        <f t="shared" si="40"/>
        <v xml:space="preserve"> </v>
      </c>
      <c r="I18" s="374" t="str">
        <f t="shared" si="40"/>
        <v xml:space="preserve"> </v>
      </c>
      <c r="J18" s="374" t="str">
        <f t="shared" si="40"/>
        <v>X</v>
      </c>
      <c r="K18" s="374" t="str">
        <f t="shared" si="40"/>
        <v>X</v>
      </c>
      <c r="L18" s="374" t="str">
        <f t="shared" si="40"/>
        <v>X</v>
      </c>
      <c r="M18" s="374" t="str">
        <f t="shared" si="40"/>
        <v>X</v>
      </c>
      <c r="N18" s="374" t="str">
        <f t="shared" si="40"/>
        <v>X</v>
      </c>
      <c r="O18" s="374" t="str">
        <f t="shared" ref="O18:AB23" si="41">IF(AND($C18&lt;&gt;0,$A18&lt;&gt;"NÃO SELECIONADO"),IF(O$5&gt;=$B18,IF(O$5&lt;=$D18,"X"," ")," "),"")</f>
        <v>X</v>
      </c>
      <c r="P18" s="374" t="str">
        <f t="shared" si="41"/>
        <v>X</v>
      </c>
      <c r="Q18" s="374" t="str">
        <f t="shared" si="41"/>
        <v>X</v>
      </c>
      <c r="R18" s="374" t="str">
        <f t="shared" si="41"/>
        <v xml:space="preserve"> </v>
      </c>
      <c r="S18" s="374" t="str">
        <f t="shared" si="41"/>
        <v xml:space="preserve"> </v>
      </c>
      <c r="T18" s="374" t="str">
        <f t="shared" si="41"/>
        <v xml:space="preserve"> </v>
      </c>
      <c r="U18" s="374" t="str">
        <f t="shared" si="41"/>
        <v xml:space="preserve"> </v>
      </c>
      <c r="V18" s="374" t="str">
        <f t="shared" si="41"/>
        <v xml:space="preserve"> </v>
      </c>
      <c r="W18" s="374" t="str">
        <f t="shared" si="41"/>
        <v xml:space="preserve"> </v>
      </c>
      <c r="X18" s="374" t="str">
        <f t="shared" si="41"/>
        <v xml:space="preserve"> </v>
      </c>
      <c r="Y18" s="374" t="str">
        <f t="shared" si="41"/>
        <v xml:space="preserve"> </v>
      </c>
      <c r="Z18" s="374" t="str">
        <f t="shared" si="41"/>
        <v xml:space="preserve"> </v>
      </c>
      <c r="AA18" s="374" t="str">
        <f t="shared" si="41"/>
        <v xml:space="preserve"> </v>
      </c>
      <c r="AB18" s="374" t="str">
        <f t="shared" si="41"/>
        <v xml:space="preserve"> </v>
      </c>
      <c r="AC18" s="375">
        <f>'3_Comp e Produtos'!E18</f>
        <v>3125000</v>
      </c>
      <c r="AD18" s="376">
        <f t="shared" ref="AD18:AG22" si="42">IF(E18="X",$AC18/$C18*3,0)</f>
        <v>0</v>
      </c>
      <c r="AE18" s="376">
        <f t="shared" si="42"/>
        <v>0</v>
      </c>
      <c r="AF18" s="376">
        <f t="shared" si="42"/>
        <v>0</v>
      </c>
      <c r="AG18" s="377">
        <f t="shared" si="42"/>
        <v>0</v>
      </c>
      <c r="AH18" s="378">
        <f>SUM(AD18:AG18)</f>
        <v>0</v>
      </c>
      <c r="AI18" s="376">
        <f t="shared" ref="AI18:AL22" si="43">IF(I18="X",$AC18/$C18*3,0)</f>
        <v>0</v>
      </c>
      <c r="AJ18" s="376">
        <f t="shared" si="43"/>
        <v>390625</v>
      </c>
      <c r="AK18" s="376">
        <f t="shared" si="43"/>
        <v>390625</v>
      </c>
      <c r="AL18" s="377">
        <f t="shared" si="43"/>
        <v>390625</v>
      </c>
      <c r="AM18" s="378">
        <f t="shared" ref="AM18:AM25" si="44">SUM(AI18:AL18)</f>
        <v>1171875</v>
      </c>
      <c r="AN18" s="376">
        <f t="shared" ref="AN18:AQ23" si="45">IF(M18="X",$AC18/$C18*3,0)</f>
        <v>390625</v>
      </c>
      <c r="AO18" s="376">
        <f t="shared" si="45"/>
        <v>390625</v>
      </c>
      <c r="AP18" s="376">
        <f t="shared" si="45"/>
        <v>390625</v>
      </c>
      <c r="AQ18" s="377">
        <f t="shared" si="45"/>
        <v>390625</v>
      </c>
      <c r="AR18" s="378">
        <f t="shared" ref="AR18:AR25" si="46">SUM(AN18:AQ18)</f>
        <v>1562500</v>
      </c>
      <c r="AS18" s="376">
        <f t="shared" ref="AS18:AV23" si="47">IF(Q18="X",$AC18/$C18*3,0)</f>
        <v>390625</v>
      </c>
      <c r="AT18" s="376">
        <f t="shared" si="47"/>
        <v>0</v>
      </c>
      <c r="AU18" s="376">
        <f t="shared" si="47"/>
        <v>0</v>
      </c>
      <c r="AV18" s="377">
        <f t="shared" si="47"/>
        <v>0</v>
      </c>
      <c r="AW18" s="378">
        <f t="shared" ref="AW18:AW25" si="48">SUM(AS18:AV18)</f>
        <v>390625</v>
      </c>
      <c r="AX18" s="376">
        <f t="shared" ref="AX18:BA23" si="49">IF(U18="X",$AC18/$C18*3,0)</f>
        <v>0</v>
      </c>
      <c r="AY18" s="376">
        <f t="shared" si="49"/>
        <v>0</v>
      </c>
      <c r="AZ18" s="376">
        <f t="shared" si="49"/>
        <v>0</v>
      </c>
      <c r="BA18" s="377">
        <f t="shared" si="49"/>
        <v>0</v>
      </c>
      <c r="BB18" s="378">
        <f t="shared" ref="BB18:BB25" si="50">SUM(AX18:BA18)</f>
        <v>0</v>
      </c>
      <c r="BC18" s="376">
        <f t="shared" ref="BC18:BF22" si="51">IF(Y18="X",$AC18/$C18*3,0)</f>
        <v>0</v>
      </c>
      <c r="BD18" s="376">
        <f t="shared" si="51"/>
        <v>0</v>
      </c>
      <c r="BE18" s="376">
        <f t="shared" si="51"/>
        <v>0</v>
      </c>
      <c r="BF18" s="377">
        <f t="shared" si="51"/>
        <v>0</v>
      </c>
      <c r="BG18" s="378">
        <f t="shared" ref="BG18:BG25" si="52">SUM(BC18:BF18)</f>
        <v>0</v>
      </c>
    </row>
    <row r="19" spans="1:61" s="21" customFormat="1" ht="33.75" customHeight="1" x14ac:dyDescent="0.2">
      <c r="A19" s="659" t="str">
        <f>'7_Componente 4'!A2:B2</f>
        <v xml:space="preserve">COMPONENTE 4: FORTALECIMENTO INSTITUCIONAL DO EXECUTOR </v>
      </c>
      <c r="B19" s="365"/>
      <c r="C19" s="366"/>
      <c r="D19" s="365" t="str">
        <f t="shared" si="2"/>
        <v/>
      </c>
      <c r="E19" s="367" t="str">
        <f t="shared" si="40"/>
        <v/>
      </c>
      <c r="F19" s="367" t="str">
        <f t="shared" si="40"/>
        <v/>
      </c>
      <c r="G19" s="367" t="str">
        <f t="shared" si="40"/>
        <v/>
      </c>
      <c r="H19" s="367" t="str">
        <f t="shared" si="40"/>
        <v/>
      </c>
      <c r="I19" s="367" t="str">
        <f t="shared" si="40"/>
        <v/>
      </c>
      <c r="J19" s="367" t="str">
        <f t="shared" si="40"/>
        <v/>
      </c>
      <c r="K19" s="367" t="str">
        <f t="shared" si="40"/>
        <v/>
      </c>
      <c r="L19" s="367" t="str">
        <f t="shared" si="40"/>
        <v/>
      </c>
      <c r="M19" s="367" t="str">
        <f t="shared" si="40"/>
        <v/>
      </c>
      <c r="N19" s="367" t="str">
        <f t="shared" si="40"/>
        <v/>
      </c>
      <c r="O19" s="367" t="str">
        <f t="shared" si="41"/>
        <v/>
      </c>
      <c r="P19" s="367" t="str">
        <f t="shared" si="41"/>
        <v/>
      </c>
      <c r="Q19" s="367" t="str">
        <f t="shared" si="41"/>
        <v/>
      </c>
      <c r="R19" s="367" t="str">
        <f t="shared" si="41"/>
        <v/>
      </c>
      <c r="S19" s="367" t="str">
        <f t="shared" si="41"/>
        <v/>
      </c>
      <c r="T19" s="367" t="str">
        <f t="shared" si="41"/>
        <v/>
      </c>
      <c r="U19" s="367" t="str">
        <f t="shared" si="41"/>
        <v/>
      </c>
      <c r="V19" s="367" t="str">
        <f t="shared" si="41"/>
        <v/>
      </c>
      <c r="W19" s="367" t="str">
        <f t="shared" si="41"/>
        <v/>
      </c>
      <c r="X19" s="367" t="str">
        <f t="shared" si="41"/>
        <v/>
      </c>
      <c r="Y19" s="367" t="str">
        <f t="shared" si="41"/>
        <v/>
      </c>
      <c r="Z19" s="367" t="str">
        <f t="shared" si="41"/>
        <v/>
      </c>
      <c r="AA19" s="367" t="str">
        <f t="shared" si="41"/>
        <v/>
      </c>
      <c r="AB19" s="367" t="str">
        <f t="shared" si="41"/>
        <v/>
      </c>
      <c r="AC19" s="368">
        <f>SUM(AC20:AC23)</f>
        <v>8000000</v>
      </c>
      <c r="AD19" s="369">
        <f t="shared" si="42"/>
        <v>0</v>
      </c>
      <c r="AE19" s="369">
        <f t="shared" si="42"/>
        <v>0</v>
      </c>
      <c r="AF19" s="369">
        <f t="shared" si="42"/>
        <v>0</v>
      </c>
      <c r="AG19" s="369">
        <f t="shared" si="42"/>
        <v>0</v>
      </c>
      <c r="AH19" s="369">
        <f>SUM(AD19:AG19)</f>
        <v>0</v>
      </c>
      <c r="AI19" s="369">
        <f>SUM(AI20:AI23)</f>
        <v>0</v>
      </c>
      <c r="AJ19" s="369">
        <f>SUM(AJ20:AJ23)</f>
        <v>1093750</v>
      </c>
      <c r="AK19" s="369">
        <f>SUM(AK20:AK23)</f>
        <v>1093750</v>
      </c>
      <c r="AL19" s="369">
        <f>SUM(AL20:AL23)</f>
        <v>1093750</v>
      </c>
      <c r="AM19" s="369">
        <f t="shared" si="44"/>
        <v>3281250</v>
      </c>
      <c r="AN19" s="369">
        <f>SUM(AN20:AN23)</f>
        <v>1093750</v>
      </c>
      <c r="AO19" s="369">
        <f>SUM(AO20:AO23)</f>
        <v>1093750</v>
      </c>
      <c r="AP19" s="369">
        <f>SUM(AP20:AP23)</f>
        <v>1093750</v>
      </c>
      <c r="AQ19" s="369">
        <f>SUM(AQ20:AQ23)</f>
        <v>239583.34</v>
      </c>
      <c r="AR19" s="369">
        <f t="shared" si="46"/>
        <v>3520833.34</v>
      </c>
      <c r="AS19" s="369">
        <f>SUM(AS20:AS23)</f>
        <v>239583.34</v>
      </c>
      <c r="AT19" s="369">
        <f>SUM(AT20:AT23)</f>
        <v>239583.34</v>
      </c>
      <c r="AU19" s="369">
        <f>SUM(AU20:AU23)</f>
        <v>239583.34</v>
      </c>
      <c r="AV19" s="369">
        <f>SUM(AV20:AV23)</f>
        <v>239583.34</v>
      </c>
      <c r="AW19" s="369">
        <f t="shared" si="48"/>
        <v>958333.36</v>
      </c>
      <c r="AX19" s="369">
        <f>SUM(AX20:AX23)</f>
        <v>239583.34</v>
      </c>
      <c r="AY19" s="369">
        <f>SUM(AY20:AY23)</f>
        <v>0</v>
      </c>
      <c r="AZ19" s="369">
        <f>SUM(AZ20:AZ23)</f>
        <v>0</v>
      </c>
      <c r="BA19" s="369">
        <f>SUM(BA20:BA23)</f>
        <v>0</v>
      </c>
      <c r="BB19" s="369">
        <f t="shared" si="50"/>
        <v>239583.34</v>
      </c>
      <c r="BC19" s="369">
        <f>SUM(BC20:BC23)</f>
        <v>0</v>
      </c>
      <c r="BD19" s="369">
        <f>SUM(BD20:BD23)</f>
        <v>0</v>
      </c>
      <c r="BE19" s="369">
        <f>SUM(BE20:BE23)</f>
        <v>0</v>
      </c>
      <c r="BF19" s="369">
        <f>SUM(BF20:BF23)</f>
        <v>0</v>
      </c>
      <c r="BG19" s="370">
        <f t="shared" si="52"/>
        <v>0</v>
      </c>
    </row>
    <row r="20" spans="1:61" s="21" customFormat="1" ht="45.75" customHeight="1" x14ac:dyDescent="0.2">
      <c r="A20" s="574" t="s">
        <v>149</v>
      </c>
      <c r="B20" s="371">
        <v>42095</v>
      </c>
      <c r="C20" s="372">
        <v>18</v>
      </c>
      <c r="D20" s="373">
        <f t="shared" si="2"/>
        <v>42617</v>
      </c>
      <c r="E20" s="374" t="str">
        <f t="shared" si="40"/>
        <v xml:space="preserve"> </v>
      </c>
      <c r="F20" s="374" t="str">
        <f t="shared" si="40"/>
        <v xml:space="preserve"> </v>
      </c>
      <c r="G20" s="374" t="str">
        <f t="shared" si="40"/>
        <v xml:space="preserve"> </v>
      </c>
      <c r="H20" s="374" t="str">
        <f t="shared" si="40"/>
        <v xml:space="preserve"> </v>
      </c>
      <c r="I20" s="374" t="str">
        <f t="shared" si="40"/>
        <v xml:space="preserve"> </v>
      </c>
      <c r="J20" s="374" t="str">
        <f t="shared" si="40"/>
        <v>X</v>
      </c>
      <c r="K20" s="374" t="str">
        <f t="shared" si="40"/>
        <v>X</v>
      </c>
      <c r="L20" s="374" t="str">
        <f t="shared" si="40"/>
        <v>X</v>
      </c>
      <c r="M20" s="374" t="str">
        <f t="shared" si="40"/>
        <v>X</v>
      </c>
      <c r="N20" s="374" t="str">
        <f t="shared" si="40"/>
        <v>X</v>
      </c>
      <c r="O20" s="374" t="str">
        <f t="shared" si="41"/>
        <v>X</v>
      </c>
      <c r="P20" s="374" t="str">
        <f t="shared" si="41"/>
        <v xml:space="preserve"> </v>
      </c>
      <c r="Q20" s="374" t="str">
        <f t="shared" si="41"/>
        <v xml:space="preserve"> </v>
      </c>
      <c r="R20" s="374" t="str">
        <f t="shared" si="41"/>
        <v xml:space="preserve"> </v>
      </c>
      <c r="S20" s="374" t="str">
        <f t="shared" si="41"/>
        <v xml:space="preserve"> </v>
      </c>
      <c r="T20" s="374" t="str">
        <f t="shared" si="41"/>
        <v xml:space="preserve"> </v>
      </c>
      <c r="U20" s="374" t="str">
        <f t="shared" si="41"/>
        <v xml:space="preserve"> </v>
      </c>
      <c r="V20" s="374" t="str">
        <f t="shared" si="41"/>
        <v xml:space="preserve"> </v>
      </c>
      <c r="W20" s="374" t="str">
        <f t="shared" si="41"/>
        <v xml:space="preserve"> </v>
      </c>
      <c r="X20" s="374" t="str">
        <f t="shared" si="41"/>
        <v xml:space="preserve"> </v>
      </c>
      <c r="Y20" s="374" t="str">
        <f t="shared" si="41"/>
        <v xml:space="preserve"> </v>
      </c>
      <c r="Z20" s="374" t="str">
        <f t="shared" si="41"/>
        <v xml:space="preserve"> </v>
      </c>
      <c r="AA20" s="374" t="str">
        <f t="shared" si="41"/>
        <v xml:space="preserve"> </v>
      </c>
      <c r="AB20" s="374" t="str">
        <f t="shared" si="41"/>
        <v xml:space="preserve"> </v>
      </c>
      <c r="AC20" s="375">
        <f>'3_Comp e Produtos'!E20</f>
        <v>1625000</v>
      </c>
      <c r="AD20" s="376">
        <f t="shared" si="42"/>
        <v>0</v>
      </c>
      <c r="AE20" s="376">
        <f t="shared" si="42"/>
        <v>0</v>
      </c>
      <c r="AF20" s="376">
        <f t="shared" si="42"/>
        <v>0</v>
      </c>
      <c r="AG20" s="377">
        <f t="shared" si="42"/>
        <v>0</v>
      </c>
      <c r="AH20" s="378">
        <f>SUM(AD20:AG20)</f>
        <v>0</v>
      </c>
      <c r="AI20" s="376">
        <f t="shared" si="43"/>
        <v>0</v>
      </c>
      <c r="AJ20" s="376">
        <f t="shared" si="43"/>
        <v>270833.33</v>
      </c>
      <c r="AK20" s="376">
        <f t="shared" si="43"/>
        <v>270833.33</v>
      </c>
      <c r="AL20" s="377">
        <f t="shared" si="43"/>
        <v>270833.33</v>
      </c>
      <c r="AM20" s="378">
        <f t="shared" si="44"/>
        <v>812499.99</v>
      </c>
      <c r="AN20" s="376">
        <f t="shared" si="45"/>
        <v>270833.33</v>
      </c>
      <c r="AO20" s="376">
        <f t="shared" si="45"/>
        <v>270833.33</v>
      </c>
      <c r="AP20" s="376">
        <f t="shared" si="45"/>
        <v>270833.33</v>
      </c>
      <c r="AQ20" s="377">
        <f t="shared" si="45"/>
        <v>0</v>
      </c>
      <c r="AR20" s="378">
        <f t="shared" si="46"/>
        <v>812499.99</v>
      </c>
      <c r="AS20" s="376">
        <f t="shared" si="47"/>
        <v>0</v>
      </c>
      <c r="AT20" s="376">
        <f t="shared" si="47"/>
        <v>0</v>
      </c>
      <c r="AU20" s="376">
        <f t="shared" si="47"/>
        <v>0</v>
      </c>
      <c r="AV20" s="377">
        <f t="shared" si="47"/>
        <v>0</v>
      </c>
      <c r="AW20" s="378">
        <f t="shared" si="48"/>
        <v>0</v>
      </c>
      <c r="AX20" s="376">
        <f t="shared" si="49"/>
        <v>0</v>
      </c>
      <c r="AY20" s="376">
        <f t="shared" si="49"/>
        <v>0</v>
      </c>
      <c r="AZ20" s="376">
        <f t="shared" si="49"/>
        <v>0</v>
      </c>
      <c r="BA20" s="377">
        <f t="shared" si="49"/>
        <v>0</v>
      </c>
      <c r="BB20" s="378">
        <f t="shared" si="50"/>
        <v>0</v>
      </c>
      <c r="BC20" s="376">
        <f t="shared" si="51"/>
        <v>0</v>
      </c>
      <c r="BD20" s="376">
        <f t="shared" si="51"/>
        <v>0</v>
      </c>
      <c r="BE20" s="376">
        <f t="shared" si="51"/>
        <v>0</v>
      </c>
      <c r="BF20" s="377">
        <f t="shared" si="51"/>
        <v>0</v>
      </c>
      <c r="BG20" s="378">
        <f t="shared" si="52"/>
        <v>0</v>
      </c>
    </row>
    <row r="21" spans="1:61" s="21" customFormat="1" ht="45.75" customHeight="1" x14ac:dyDescent="0.2">
      <c r="A21" s="574" t="s">
        <v>150</v>
      </c>
      <c r="B21" s="371">
        <v>42095</v>
      </c>
      <c r="C21" s="372">
        <v>18</v>
      </c>
      <c r="D21" s="373">
        <f t="shared" si="2"/>
        <v>42617</v>
      </c>
      <c r="E21" s="374" t="str">
        <f t="shared" si="40"/>
        <v xml:space="preserve"> </v>
      </c>
      <c r="F21" s="374" t="str">
        <f t="shared" si="40"/>
        <v xml:space="preserve"> </v>
      </c>
      <c r="G21" s="374" t="str">
        <f t="shared" si="40"/>
        <v xml:space="preserve"> </v>
      </c>
      <c r="H21" s="374" t="str">
        <f t="shared" si="40"/>
        <v xml:space="preserve"> </v>
      </c>
      <c r="I21" s="374" t="str">
        <f t="shared" si="40"/>
        <v xml:space="preserve"> </v>
      </c>
      <c r="J21" s="374" t="str">
        <f t="shared" si="40"/>
        <v>X</v>
      </c>
      <c r="K21" s="374" t="str">
        <f t="shared" si="40"/>
        <v>X</v>
      </c>
      <c r="L21" s="374" t="str">
        <f t="shared" si="40"/>
        <v>X</v>
      </c>
      <c r="M21" s="374" t="str">
        <f t="shared" si="40"/>
        <v>X</v>
      </c>
      <c r="N21" s="374" t="str">
        <f t="shared" si="40"/>
        <v>X</v>
      </c>
      <c r="O21" s="374" t="str">
        <f t="shared" si="41"/>
        <v>X</v>
      </c>
      <c r="P21" s="374" t="str">
        <f t="shared" si="41"/>
        <v xml:space="preserve"> </v>
      </c>
      <c r="Q21" s="374" t="str">
        <f t="shared" si="41"/>
        <v xml:space="preserve"> </v>
      </c>
      <c r="R21" s="374" t="str">
        <f t="shared" si="41"/>
        <v xml:space="preserve"> </v>
      </c>
      <c r="S21" s="374" t="str">
        <f t="shared" si="41"/>
        <v xml:space="preserve"> </v>
      </c>
      <c r="T21" s="374" t="str">
        <f t="shared" si="41"/>
        <v xml:space="preserve"> </v>
      </c>
      <c r="U21" s="374" t="str">
        <f t="shared" si="41"/>
        <v xml:space="preserve"> </v>
      </c>
      <c r="V21" s="374" t="str">
        <f t="shared" si="41"/>
        <v xml:space="preserve"> </v>
      </c>
      <c r="W21" s="374" t="str">
        <f t="shared" si="41"/>
        <v xml:space="preserve"> </v>
      </c>
      <c r="X21" s="374" t="str">
        <f t="shared" si="41"/>
        <v xml:space="preserve"> </v>
      </c>
      <c r="Y21" s="374" t="str">
        <f t="shared" si="41"/>
        <v xml:space="preserve"> </v>
      </c>
      <c r="Z21" s="374" t="str">
        <f t="shared" si="41"/>
        <v xml:space="preserve"> </v>
      </c>
      <c r="AA21" s="374" t="str">
        <f t="shared" si="41"/>
        <v xml:space="preserve"> </v>
      </c>
      <c r="AB21" s="374" t="str">
        <f t="shared" si="41"/>
        <v xml:space="preserve"> </v>
      </c>
      <c r="AC21" s="375">
        <f>'3_Comp e Produtos'!E21</f>
        <v>3500000</v>
      </c>
      <c r="AD21" s="376">
        <f t="shared" si="42"/>
        <v>0</v>
      </c>
      <c r="AE21" s="376">
        <f t="shared" si="42"/>
        <v>0</v>
      </c>
      <c r="AF21" s="376">
        <f t="shared" si="42"/>
        <v>0</v>
      </c>
      <c r="AG21" s="377">
        <f t="shared" si="42"/>
        <v>0</v>
      </c>
      <c r="AH21" s="378">
        <f>SUM(AD21:AG21)</f>
        <v>0</v>
      </c>
      <c r="AI21" s="376">
        <f t="shared" si="43"/>
        <v>0</v>
      </c>
      <c r="AJ21" s="376">
        <f t="shared" si="43"/>
        <v>583333.32999999996</v>
      </c>
      <c r="AK21" s="376">
        <f t="shared" si="43"/>
        <v>583333.32999999996</v>
      </c>
      <c r="AL21" s="377">
        <f t="shared" si="43"/>
        <v>583333.32999999996</v>
      </c>
      <c r="AM21" s="378">
        <f t="shared" si="44"/>
        <v>1749999.99</v>
      </c>
      <c r="AN21" s="376">
        <f t="shared" si="45"/>
        <v>583333.32999999996</v>
      </c>
      <c r="AO21" s="376">
        <f t="shared" si="45"/>
        <v>583333.32999999996</v>
      </c>
      <c r="AP21" s="376">
        <f t="shared" si="45"/>
        <v>583333.32999999996</v>
      </c>
      <c r="AQ21" s="377">
        <f t="shared" si="45"/>
        <v>0</v>
      </c>
      <c r="AR21" s="378">
        <f t="shared" si="46"/>
        <v>1749999.99</v>
      </c>
      <c r="AS21" s="376">
        <f t="shared" si="47"/>
        <v>0</v>
      </c>
      <c r="AT21" s="376">
        <f t="shared" si="47"/>
        <v>0</v>
      </c>
      <c r="AU21" s="376">
        <f t="shared" si="47"/>
        <v>0</v>
      </c>
      <c r="AV21" s="377">
        <f t="shared" si="47"/>
        <v>0</v>
      </c>
      <c r="AW21" s="378">
        <f t="shared" si="48"/>
        <v>0</v>
      </c>
      <c r="AX21" s="376">
        <f t="shared" si="49"/>
        <v>0</v>
      </c>
      <c r="AY21" s="376">
        <f t="shared" si="49"/>
        <v>0</v>
      </c>
      <c r="AZ21" s="376">
        <f t="shared" si="49"/>
        <v>0</v>
      </c>
      <c r="BA21" s="377">
        <f t="shared" si="49"/>
        <v>0</v>
      </c>
      <c r="BB21" s="378">
        <f t="shared" si="50"/>
        <v>0</v>
      </c>
      <c r="BC21" s="376">
        <f t="shared" si="51"/>
        <v>0</v>
      </c>
      <c r="BD21" s="376">
        <f t="shared" si="51"/>
        <v>0</v>
      </c>
      <c r="BE21" s="376">
        <f t="shared" si="51"/>
        <v>0</v>
      </c>
      <c r="BF21" s="377">
        <f t="shared" si="51"/>
        <v>0</v>
      </c>
      <c r="BG21" s="378">
        <f t="shared" si="52"/>
        <v>0</v>
      </c>
    </row>
    <row r="22" spans="1:61" s="21" customFormat="1" ht="45.75" customHeight="1" x14ac:dyDescent="0.2">
      <c r="A22" s="574" t="s">
        <v>151</v>
      </c>
      <c r="B22" s="371">
        <v>42095</v>
      </c>
      <c r="C22" s="372">
        <v>36</v>
      </c>
      <c r="D22" s="373">
        <f t="shared" si="2"/>
        <v>43175</v>
      </c>
      <c r="E22" s="374" t="str">
        <f t="shared" si="40"/>
        <v xml:space="preserve"> </v>
      </c>
      <c r="F22" s="374" t="str">
        <f t="shared" si="40"/>
        <v xml:space="preserve"> </v>
      </c>
      <c r="G22" s="374" t="str">
        <f t="shared" si="40"/>
        <v xml:space="preserve"> </v>
      </c>
      <c r="H22" s="374" t="str">
        <f t="shared" si="40"/>
        <v xml:space="preserve"> </v>
      </c>
      <c r="I22" s="374" t="str">
        <f t="shared" si="40"/>
        <v xml:space="preserve"> </v>
      </c>
      <c r="J22" s="374" t="str">
        <f t="shared" si="40"/>
        <v>X</v>
      </c>
      <c r="K22" s="374" t="str">
        <f t="shared" si="40"/>
        <v>X</v>
      </c>
      <c r="L22" s="374" t="str">
        <f t="shared" si="40"/>
        <v>X</v>
      </c>
      <c r="M22" s="374" t="str">
        <f t="shared" si="40"/>
        <v>X</v>
      </c>
      <c r="N22" s="374" t="str">
        <f t="shared" si="40"/>
        <v>X</v>
      </c>
      <c r="O22" s="374" t="str">
        <f t="shared" si="41"/>
        <v>X</v>
      </c>
      <c r="P22" s="374" t="str">
        <f t="shared" si="41"/>
        <v>X</v>
      </c>
      <c r="Q22" s="374" t="str">
        <f t="shared" si="41"/>
        <v>X</v>
      </c>
      <c r="R22" s="374" t="str">
        <f t="shared" si="41"/>
        <v>X</v>
      </c>
      <c r="S22" s="374" t="str">
        <f t="shared" si="41"/>
        <v>X</v>
      </c>
      <c r="T22" s="374" t="str">
        <f t="shared" si="41"/>
        <v>X</v>
      </c>
      <c r="U22" s="374" t="str">
        <f t="shared" si="41"/>
        <v>X</v>
      </c>
      <c r="V22" s="374" t="str">
        <f t="shared" si="41"/>
        <v xml:space="preserve"> </v>
      </c>
      <c r="W22" s="374" t="str">
        <f t="shared" si="41"/>
        <v xml:space="preserve"> </v>
      </c>
      <c r="X22" s="374" t="str">
        <f t="shared" si="41"/>
        <v xml:space="preserve"> </v>
      </c>
      <c r="Y22" s="374" t="str">
        <f t="shared" si="41"/>
        <v xml:space="preserve"> </v>
      </c>
      <c r="Z22" s="374" t="str">
        <f t="shared" si="41"/>
        <v xml:space="preserve"> </v>
      </c>
      <c r="AA22" s="374" t="str">
        <f t="shared" si="41"/>
        <v xml:space="preserve"> </v>
      </c>
      <c r="AB22" s="374" t="str">
        <f t="shared" si="41"/>
        <v xml:space="preserve"> </v>
      </c>
      <c r="AC22" s="375">
        <f>'3_Comp e Produtos'!E22</f>
        <v>1625000</v>
      </c>
      <c r="AD22" s="376">
        <f t="shared" si="42"/>
        <v>0</v>
      </c>
      <c r="AE22" s="376">
        <f t="shared" si="42"/>
        <v>0</v>
      </c>
      <c r="AF22" s="376">
        <f t="shared" si="42"/>
        <v>0</v>
      </c>
      <c r="AG22" s="377">
        <f t="shared" si="42"/>
        <v>0</v>
      </c>
      <c r="AH22" s="378">
        <f>SUM(AD22:AG22)</f>
        <v>0</v>
      </c>
      <c r="AI22" s="376">
        <f t="shared" si="43"/>
        <v>0</v>
      </c>
      <c r="AJ22" s="376">
        <f t="shared" si="43"/>
        <v>135416.67000000001</v>
      </c>
      <c r="AK22" s="376">
        <f t="shared" si="43"/>
        <v>135416.67000000001</v>
      </c>
      <c r="AL22" s="377">
        <f t="shared" si="43"/>
        <v>135416.67000000001</v>
      </c>
      <c r="AM22" s="378">
        <f t="shared" si="44"/>
        <v>406250.01</v>
      </c>
      <c r="AN22" s="376">
        <f t="shared" si="45"/>
        <v>135416.67000000001</v>
      </c>
      <c r="AO22" s="376">
        <f t="shared" si="45"/>
        <v>135416.67000000001</v>
      </c>
      <c r="AP22" s="376">
        <f t="shared" si="45"/>
        <v>135416.67000000001</v>
      </c>
      <c r="AQ22" s="377">
        <f t="shared" si="45"/>
        <v>135416.67000000001</v>
      </c>
      <c r="AR22" s="378">
        <f t="shared" si="46"/>
        <v>541666.68000000005</v>
      </c>
      <c r="AS22" s="376">
        <f t="shared" si="47"/>
        <v>135416.67000000001</v>
      </c>
      <c r="AT22" s="376">
        <f t="shared" si="47"/>
        <v>135416.67000000001</v>
      </c>
      <c r="AU22" s="376">
        <f t="shared" si="47"/>
        <v>135416.67000000001</v>
      </c>
      <c r="AV22" s="377">
        <f t="shared" si="47"/>
        <v>135416.67000000001</v>
      </c>
      <c r="AW22" s="378">
        <f t="shared" si="48"/>
        <v>541666.68000000005</v>
      </c>
      <c r="AX22" s="376">
        <f t="shared" si="49"/>
        <v>135416.67000000001</v>
      </c>
      <c r="AY22" s="376">
        <f t="shared" si="49"/>
        <v>0</v>
      </c>
      <c r="AZ22" s="376">
        <f t="shared" si="49"/>
        <v>0</v>
      </c>
      <c r="BA22" s="377">
        <f t="shared" si="49"/>
        <v>0</v>
      </c>
      <c r="BB22" s="378">
        <f t="shared" si="50"/>
        <v>135416.67000000001</v>
      </c>
      <c r="BC22" s="376">
        <f t="shared" si="51"/>
        <v>0</v>
      </c>
      <c r="BD22" s="376">
        <f t="shared" si="51"/>
        <v>0</v>
      </c>
      <c r="BE22" s="376">
        <f t="shared" si="51"/>
        <v>0</v>
      </c>
      <c r="BF22" s="377">
        <f t="shared" si="51"/>
        <v>0</v>
      </c>
      <c r="BG22" s="378">
        <f t="shared" si="52"/>
        <v>0</v>
      </c>
    </row>
    <row r="23" spans="1:61" s="21" customFormat="1" ht="45.75" customHeight="1" x14ac:dyDescent="0.2">
      <c r="A23" s="574" t="s">
        <v>152</v>
      </c>
      <c r="B23" s="371">
        <v>42095</v>
      </c>
      <c r="C23" s="372">
        <v>36</v>
      </c>
      <c r="D23" s="373">
        <f t="shared" si="2"/>
        <v>43175</v>
      </c>
      <c r="E23" s="374" t="str">
        <f>IF(COUNTIF(E24:E25,"X")&lt;&gt;0,"X","")</f>
        <v/>
      </c>
      <c r="F23" s="374" t="str">
        <f>IF(COUNTIF(F24:F25,"X")&lt;&gt;0,"X","")</f>
        <v/>
      </c>
      <c r="G23" s="374" t="str">
        <f>IF(COUNTIF(G24:G25,"X")&lt;&gt;0,"X","")</f>
        <v/>
      </c>
      <c r="H23" s="374" t="str">
        <f>IF(COUNTIF(H24:H25,"X")&lt;&gt;0,"X","")</f>
        <v/>
      </c>
      <c r="I23" s="374" t="str">
        <f t="shared" si="40"/>
        <v xml:space="preserve"> </v>
      </c>
      <c r="J23" s="374" t="str">
        <f t="shared" si="40"/>
        <v>X</v>
      </c>
      <c r="K23" s="374" t="str">
        <f t="shared" si="40"/>
        <v>X</v>
      </c>
      <c r="L23" s="374" t="str">
        <f t="shared" si="40"/>
        <v>X</v>
      </c>
      <c r="M23" s="374" t="str">
        <f t="shared" si="40"/>
        <v>X</v>
      </c>
      <c r="N23" s="374" t="str">
        <f t="shared" si="40"/>
        <v>X</v>
      </c>
      <c r="O23" s="374" t="str">
        <f t="shared" si="40"/>
        <v>X</v>
      </c>
      <c r="P23" s="374" t="str">
        <f t="shared" si="40"/>
        <v>X</v>
      </c>
      <c r="Q23" s="374" t="str">
        <f t="shared" si="40"/>
        <v>X</v>
      </c>
      <c r="R23" s="374" t="str">
        <f t="shared" si="40"/>
        <v>X</v>
      </c>
      <c r="S23" s="374" t="str">
        <f t="shared" si="40"/>
        <v>X</v>
      </c>
      <c r="T23" s="374" t="str">
        <f t="shared" si="40"/>
        <v>X</v>
      </c>
      <c r="U23" s="374" t="str">
        <f t="shared" si="41"/>
        <v>X</v>
      </c>
      <c r="V23" s="374" t="str">
        <f t="shared" si="41"/>
        <v xml:space="preserve"> </v>
      </c>
      <c r="W23" s="374" t="str">
        <f t="shared" si="41"/>
        <v xml:space="preserve"> </v>
      </c>
      <c r="X23" s="374" t="str">
        <f t="shared" si="41"/>
        <v xml:space="preserve"> </v>
      </c>
      <c r="Y23" s="374" t="str">
        <f t="shared" si="41"/>
        <v xml:space="preserve"> </v>
      </c>
      <c r="Z23" s="374" t="str">
        <f t="shared" si="41"/>
        <v xml:space="preserve"> </v>
      </c>
      <c r="AA23" s="374" t="str">
        <f t="shared" si="41"/>
        <v xml:space="preserve"> </v>
      </c>
      <c r="AB23" s="374" t="str">
        <f t="shared" si="41"/>
        <v xml:space="preserve"> </v>
      </c>
      <c r="AC23" s="375">
        <f>'3_Comp e Produtos'!E23</f>
        <v>1250000</v>
      </c>
      <c r="AD23" s="376">
        <f>SUM(AD24:AD25)</f>
        <v>0</v>
      </c>
      <c r="AE23" s="376">
        <f>SUM(AE24:AE25)</f>
        <v>0</v>
      </c>
      <c r="AF23" s="376">
        <f>SUM(AF24:AF25)</f>
        <v>0</v>
      </c>
      <c r="AG23" s="377">
        <f>SUM(AG24:AG25)</f>
        <v>0</v>
      </c>
      <c r="AH23" s="378">
        <f>SUM(AH24:AH25)</f>
        <v>0</v>
      </c>
      <c r="AI23" s="376">
        <f>IF(I23="X",$AC23/$C23*3,0)</f>
        <v>0</v>
      </c>
      <c r="AJ23" s="376">
        <f>IF(J23="X",$AC23/$C23*3,0)</f>
        <v>104166.67</v>
      </c>
      <c r="AK23" s="376">
        <f>IF(K23="X",$AC23/$C23*3,0)</f>
        <v>104166.67</v>
      </c>
      <c r="AL23" s="376">
        <f>IF(L23="X",$AC23/$C23*3,0)</f>
        <v>104166.67</v>
      </c>
      <c r="AM23" s="378">
        <f t="shared" si="44"/>
        <v>312500.01</v>
      </c>
      <c r="AN23" s="376">
        <f>IF(M23="X",$AC23/$C23*3,0)</f>
        <v>104166.67</v>
      </c>
      <c r="AO23" s="376">
        <f t="shared" si="45"/>
        <v>104166.67</v>
      </c>
      <c r="AP23" s="376">
        <f t="shared" si="45"/>
        <v>104166.67</v>
      </c>
      <c r="AQ23" s="376">
        <f t="shared" si="45"/>
        <v>104166.67</v>
      </c>
      <c r="AR23" s="378">
        <f t="shared" si="46"/>
        <v>416666.68</v>
      </c>
      <c r="AS23" s="376">
        <f>IF(Q23="X",$AC23/$C23*3,0)</f>
        <v>104166.67</v>
      </c>
      <c r="AT23" s="376">
        <f t="shared" si="47"/>
        <v>104166.67</v>
      </c>
      <c r="AU23" s="376">
        <f t="shared" si="47"/>
        <v>104166.67</v>
      </c>
      <c r="AV23" s="376">
        <f t="shared" si="47"/>
        <v>104166.67</v>
      </c>
      <c r="AW23" s="378">
        <f t="shared" si="48"/>
        <v>416666.68</v>
      </c>
      <c r="AX23" s="376">
        <f>IF(U23="X",$AC23/$C23*3,0)</f>
        <v>104166.67</v>
      </c>
      <c r="AY23" s="376">
        <f t="shared" si="49"/>
        <v>0</v>
      </c>
      <c r="AZ23" s="376">
        <f t="shared" si="49"/>
        <v>0</v>
      </c>
      <c r="BA23" s="376">
        <f t="shared" si="49"/>
        <v>0</v>
      </c>
      <c r="BB23" s="378">
        <f t="shared" si="50"/>
        <v>104166.67</v>
      </c>
      <c r="BC23" s="376">
        <f>IF(Y23="X",$AC23/$C23*3,0)</f>
        <v>0</v>
      </c>
      <c r="BD23" s="376">
        <f>IF(Z23="X",$AC23/$C23*3,0)</f>
        <v>0</v>
      </c>
      <c r="BE23" s="376">
        <f>IF(AA23="X",$AC23/$C23*3,0)</f>
        <v>0</v>
      </c>
      <c r="BF23" s="377">
        <f>IF(AB23="X",$AC23/$C23*3,0)</f>
        <v>0</v>
      </c>
      <c r="BG23" s="378">
        <f t="shared" si="52"/>
        <v>0</v>
      </c>
    </row>
    <row r="24" spans="1:61" s="21" customFormat="1" ht="13.5" thickBot="1" x14ac:dyDescent="0.25">
      <c r="A24" s="50" t="s">
        <v>29</v>
      </c>
      <c r="B24" s="379"/>
      <c r="C24" s="372"/>
      <c r="D24" s="373" t="str">
        <f t="shared" si="2"/>
        <v/>
      </c>
      <c r="E24" s="374" t="str">
        <f t="shared" ref="E24:N25" si="53">IF(AND($C24&lt;&gt;0,$A24&lt;&gt;"NÃO SELECIONADO"),IF(E$5&gt;=$B24,IF(E$5&lt;=$D24,"X"," ")," "),"")</f>
        <v/>
      </c>
      <c r="F24" s="374" t="str">
        <f t="shared" si="53"/>
        <v/>
      </c>
      <c r="G24" s="374" t="str">
        <f t="shared" si="53"/>
        <v/>
      </c>
      <c r="H24" s="374" t="str">
        <f t="shared" si="53"/>
        <v/>
      </c>
      <c r="I24" s="374" t="str">
        <f t="shared" si="53"/>
        <v/>
      </c>
      <c r="J24" s="374" t="str">
        <f t="shared" si="53"/>
        <v/>
      </c>
      <c r="K24" s="374" t="str">
        <f t="shared" si="53"/>
        <v/>
      </c>
      <c r="L24" s="374" t="str">
        <f t="shared" si="53"/>
        <v/>
      </c>
      <c r="M24" s="374" t="str">
        <f t="shared" si="53"/>
        <v/>
      </c>
      <c r="N24" s="374" t="str">
        <f t="shared" si="53"/>
        <v/>
      </c>
      <c r="O24" s="374" t="str">
        <f t="shared" ref="O24:AB25" si="54">IF(AND($C24&lt;&gt;0,$A24&lt;&gt;"NÃO SELECIONADO"),IF(O$5&gt;=$B24,IF(O$5&lt;=$D24,"X"," ")," "),"")</f>
        <v/>
      </c>
      <c r="P24" s="374" t="str">
        <f t="shared" si="54"/>
        <v/>
      </c>
      <c r="Q24" s="374" t="str">
        <f t="shared" si="54"/>
        <v/>
      </c>
      <c r="R24" s="374" t="str">
        <f t="shared" si="54"/>
        <v/>
      </c>
      <c r="S24" s="374" t="str">
        <f t="shared" si="54"/>
        <v/>
      </c>
      <c r="T24" s="374" t="str">
        <f t="shared" si="54"/>
        <v/>
      </c>
      <c r="U24" s="374" t="str">
        <f t="shared" si="54"/>
        <v/>
      </c>
      <c r="V24" s="374" t="str">
        <f t="shared" si="54"/>
        <v/>
      </c>
      <c r="W24" s="374" t="str">
        <f t="shared" si="54"/>
        <v/>
      </c>
      <c r="X24" s="374" t="str">
        <f t="shared" si="54"/>
        <v/>
      </c>
      <c r="Y24" s="374" t="str">
        <f t="shared" si="54"/>
        <v/>
      </c>
      <c r="Z24" s="374" t="str">
        <f t="shared" si="54"/>
        <v/>
      </c>
      <c r="AA24" s="374" t="str">
        <f t="shared" si="54"/>
        <v/>
      </c>
      <c r="AB24" s="374" t="str">
        <f t="shared" si="54"/>
        <v/>
      </c>
      <c r="AC24" s="368">
        <f>SUM(AC25:AC25)</f>
        <v>7500000</v>
      </c>
      <c r="AD24" s="376">
        <f t="shared" ref="AD24:AG25" si="55">IF(E24="X",$AC24/$C24*3,0)</f>
        <v>0</v>
      </c>
      <c r="AE24" s="376">
        <f t="shared" si="55"/>
        <v>0</v>
      </c>
      <c r="AF24" s="376">
        <f t="shared" si="55"/>
        <v>0</v>
      </c>
      <c r="AG24" s="377">
        <f t="shared" si="55"/>
        <v>0</v>
      </c>
      <c r="AH24" s="378">
        <f>SUM(AD24:AG24)</f>
        <v>0</v>
      </c>
      <c r="AI24" s="369">
        <f>SUM(AI25:AI28)</f>
        <v>375000</v>
      </c>
      <c r="AJ24" s="369">
        <f>SUM(AJ25:AJ28)</f>
        <v>375000</v>
      </c>
      <c r="AK24" s="369">
        <f>SUM(AK25:AK28)</f>
        <v>375000</v>
      </c>
      <c r="AL24" s="369">
        <f>SUM(AL25:AL28)</f>
        <v>375000</v>
      </c>
      <c r="AM24" s="369">
        <f>SUM(AI24:AL24)</f>
        <v>1500000</v>
      </c>
      <c r="AN24" s="369">
        <f>SUM(AN25:AN28)</f>
        <v>375000</v>
      </c>
      <c r="AO24" s="369">
        <f>SUM(AO25:AO28)</f>
        <v>375000</v>
      </c>
      <c r="AP24" s="369">
        <f>SUM(AP25:AP28)</f>
        <v>375000</v>
      </c>
      <c r="AQ24" s="369">
        <f>SUM(AQ25:AQ28)</f>
        <v>375000</v>
      </c>
      <c r="AR24" s="369">
        <f>SUM(AN24:AQ24)</f>
        <v>1500000</v>
      </c>
      <c r="AS24" s="369">
        <f>SUM(AS25:AS28)</f>
        <v>375000</v>
      </c>
      <c r="AT24" s="369">
        <f>SUM(AT25:AT28)</f>
        <v>375000</v>
      </c>
      <c r="AU24" s="369">
        <f>SUM(AU25:AU28)</f>
        <v>375000</v>
      </c>
      <c r="AV24" s="369">
        <f>SUM(AV25:AV28)</f>
        <v>375000</v>
      </c>
      <c r="AW24" s="369">
        <f>SUM(AS24:AV24)</f>
        <v>1500000</v>
      </c>
      <c r="AX24" s="369">
        <f>SUM(AX25:AX28)</f>
        <v>375000</v>
      </c>
      <c r="AY24" s="369">
        <f>SUM(AY25:AY28)</f>
        <v>375000</v>
      </c>
      <c r="AZ24" s="369">
        <f>SUM(AZ25:AZ28)</f>
        <v>375000</v>
      </c>
      <c r="BA24" s="369">
        <f>SUM(BA25:BA28)</f>
        <v>375000</v>
      </c>
      <c r="BB24" s="369">
        <f>SUM(AX24:BA24)</f>
        <v>1500000</v>
      </c>
      <c r="BC24" s="369">
        <f>SUM(BC25:BC28)</f>
        <v>375000</v>
      </c>
      <c r="BD24" s="369">
        <f>SUM(BD25:BD28)</f>
        <v>375000</v>
      </c>
      <c r="BE24" s="369">
        <f>SUM(BE25:BE28)</f>
        <v>375000</v>
      </c>
      <c r="BF24" s="369">
        <f>SUM(BF25:BF28)</f>
        <v>375000</v>
      </c>
      <c r="BG24" s="370">
        <f>SUM(BC24:BF24)</f>
        <v>1500000</v>
      </c>
      <c r="BH24" s="380"/>
      <c r="BI24" s="380"/>
    </row>
    <row r="25" spans="1:61" s="21" customFormat="1" ht="13.5" thickBot="1" x14ac:dyDescent="0.25">
      <c r="A25" s="66" t="s">
        <v>30</v>
      </c>
      <c r="B25" s="384">
        <v>42005</v>
      </c>
      <c r="C25" s="385">
        <v>60</v>
      </c>
      <c r="D25" s="386">
        <f t="shared" si="2"/>
        <v>43805</v>
      </c>
      <c r="E25" s="387" t="str">
        <f t="shared" si="53"/>
        <v xml:space="preserve"> </v>
      </c>
      <c r="F25" s="387" t="str">
        <f t="shared" si="53"/>
        <v xml:space="preserve"> </v>
      </c>
      <c r="G25" s="387" t="str">
        <f t="shared" si="53"/>
        <v xml:space="preserve"> </v>
      </c>
      <c r="H25" s="387" t="str">
        <f t="shared" si="53"/>
        <v xml:space="preserve"> </v>
      </c>
      <c r="I25" s="387" t="str">
        <f t="shared" si="53"/>
        <v>X</v>
      </c>
      <c r="J25" s="387" t="str">
        <f t="shared" si="53"/>
        <v>X</v>
      </c>
      <c r="K25" s="387" t="str">
        <f t="shared" si="53"/>
        <v>X</v>
      </c>
      <c r="L25" s="387" t="str">
        <f t="shared" si="53"/>
        <v>X</v>
      </c>
      <c r="M25" s="387" t="str">
        <f t="shared" si="53"/>
        <v>X</v>
      </c>
      <c r="N25" s="387" t="str">
        <f t="shared" si="53"/>
        <v>X</v>
      </c>
      <c r="O25" s="387" t="str">
        <f t="shared" si="54"/>
        <v>X</v>
      </c>
      <c r="P25" s="387" t="str">
        <f t="shared" si="54"/>
        <v>X</v>
      </c>
      <c r="Q25" s="387" t="str">
        <f t="shared" si="54"/>
        <v>X</v>
      </c>
      <c r="R25" s="387" t="str">
        <f t="shared" si="54"/>
        <v>X</v>
      </c>
      <c r="S25" s="387" t="str">
        <f t="shared" si="54"/>
        <v>X</v>
      </c>
      <c r="T25" s="387" t="str">
        <f t="shared" si="54"/>
        <v>X</v>
      </c>
      <c r="U25" s="387" t="str">
        <f t="shared" si="54"/>
        <v>X</v>
      </c>
      <c r="V25" s="387" t="str">
        <f t="shared" si="54"/>
        <v>X</v>
      </c>
      <c r="W25" s="387" t="str">
        <f t="shared" si="54"/>
        <v>X</v>
      </c>
      <c r="X25" s="387" t="str">
        <f t="shared" si="54"/>
        <v>X</v>
      </c>
      <c r="Y25" s="387" t="str">
        <f t="shared" si="54"/>
        <v>X</v>
      </c>
      <c r="Z25" s="387" t="str">
        <f t="shared" si="54"/>
        <v>X</v>
      </c>
      <c r="AA25" s="387" t="str">
        <f t="shared" si="54"/>
        <v>X</v>
      </c>
      <c r="AB25" s="387" t="s">
        <v>286</v>
      </c>
      <c r="AC25" s="388">
        <f>'3_Comp e Produtos'!E25</f>
        <v>7500000</v>
      </c>
      <c r="AD25" s="381">
        <f t="shared" si="55"/>
        <v>0</v>
      </c>
      <c r="AE25" s="381">
        <f t="shared" si="55"/>
        <v>0</v>
      </c>
      <c r="AF25" s="381">
        <f t="shared" si="55"/>
        <v>0</v>
      </c>
      <c r="AG25" s="382">
        <f t="shared" si="55"/>
        <v>0</v>
      </c>
      <c r="AH25" s="383">
        <f>SUM(AD25:AG25)</f>
        <v>0</v>
      </c>
      <c r="AI25" s="389">
        <f>IF(I25="X",$AC25/$C25*3,0)</f>
        <v>375000</v>
      </c>
      <c r="AJ25" s="389">
        <f>IF(J25="X",$AC25/$C25*3,0)</f>
        <v>375000</v>
      </c>
      <c r="AK25" s="389">
        <f>IF(K25="X",$AC25/$C25*3,0)</f>
        <v>375000</v>
      </c>
      <c r="AL25" s="390">
        <f>IF(L25="X",$AC25/$C25*3,0)</f>
        <v>375000</v>
      </c>
      <c r="AM25" s="391">
        <f t="shared" si="44"/>
        <v>1500000</v>
      </c>
      <c r="AN25" s="389">
        <f>IF(M25="X",$AC25/$C25*3,0)</f>
        <v>375000</v>
      </c>
      <c r="AO25" s="389">
        <f>IF(N25="X",$AC25/$C25*3,0)</f>
        <v>375000</v>
      </c>
      <c r="AP25" s="389">
        <f>IF(O25="X",$AC25/$C25*3,0)</f>
        <v>375000</v>
      </c>
      <c r="AQ25" s="390">
        <f>IF(P25="X",$AC25/$C25*3,0)</f>
        <v>375000</v>
      </c>
      <c r="AR25" s="391">
        <f t="shared" si="46"/>
        <v>1500000</v>
      </c>
      <c r="AS25" s="389">
        <f>IF(Q25="X",$AC25/$C25*3,0)</f>
        <v>375000</v>
      </c>
      <c r="AT25" s="389">
        <f>IF(R25="X",$AC25/$C25*3,0)</f>
        <v>375000</v>
      </c>
      <c r="AU25" s="389">
        <f>IF(S25="X",$AC25/$C25*3,0)</f>
        <v>375000</v>
      </c>
      <c r="AV25" s="390">
        <f>IF(T25="X",$AC25/$C25*3,0)</f>
        <v>375000</v>
      </c>
      <c r="AW25" s="391">
        <f t="shared" si="48"/>
        <v>1500000</v>
      </c>
      <c r="AX25" s="389">
        <f>IF(U25="X",$AC25/$C25*3,0)</f>
        <v>375000</v>
      </c>
      <c r="AY25" s="389">
        <f>IF(V25="X",$AC25/$C25*3,0)</f>
        <v>375000</v>
      </c>
      <c r="AZ25" s="389">
        <f>IF(W25="X",$AC25/$C25*3,0)</f>
        <v>375000</v>
      </c>
      <c r="BA25" s="390">
        <f>IF(X25="X",$AC25/$C25*3,0)</f>
        <v>375000</v>
      </c>
      <c r="BB25" s="391">
        <f t="shared" si="50"/>
        <v>1500000</v>
      </c>
      <c r="BC25" s="389">
        <f>IF(Y25="X",$AC25/$C25*3,0)</f>
        <v>375000</v>
      </c>
      <c r="BD25" s="389">
        <f>IF(Z25="X",$AC25/$C25*3,0)</f>
        <v>375000</v>
      </c>
      <c r="BE25" s="389">
        <f>IF(AA25="X",$AC25/$C25*3,0)</f>
        <v>375000</v>
      </c>
      <c r="BF25" s="390">
        <f>IF(AB25="X",$AC25/$C25*3,0)</f>
        <v>375000</v>
      </c>
      <c r="BG25" s="383">
        <f t="shared" si="52"/>
        <v>1500000</v>
      </c>
      <c r="BH25" s="380"/>
      <c r="BI25" s="380"/>
    </row>
    <row r="26" spans="1:61" ht="27.75" customHeight="1" thickBot="1" x14ac:dyDescent="0.25">
      <c r="A26" s="88" t="s">
        <v>31</v>
      </c>
      <c r="AC26" s="392"/>
      <c r="AM26" s="392"/>
      <c r="AR26" s="392"/>
      <c r="AW26" s="392"/>
      <c r="BB26" s="392"/>
      <c r="BG26" s="392"/>
    </row>
    <row r="27" spans="1:61" x14ac:dyDescent="0.2">
      <c r="AC27" s="392"/>
      <c r="AI27" s="393"/>
      <c r="AJ27" s="393"/>
    </row>
    <row r="28" spans="1:61" x14ac:dyDescent="0.2">
      <c r="A28" s="394"/>
      <c r="AC28" s="392"/>
      <c r="AI28" s="393"/>
      <c r="AJ28" s="393"/>
    </row>
    <row r="29" spans="1:61" x14ac:dyDescent="0.2">
      <c r="AC29" s="392"/>
      <c r="AI29" s="393"/>
      <c r="AJ29" s="393"/>
    </row>
    <row r="30" spans="1:61" x14ac:dyDescent="0.2">
      <c r="AC30" s="392"/>
      <c r="AI30" s="393"/>
      <c r="AJ30" s="393"/>
    </row>
    <row r="31" spans="1:61" x14ac:dyDescent="0.2">
      <c r="AC31" s="392"/>
      <c r="AI31" s="393"/>
    </row>
    <row r="32" spans="1:61" x14ac:dyDescent="0.2">
      <c r="AJ32" s="393"/>
    </row>
  </sheetData>
  <sheetProtection selectLockedCells="1" selectUnlockedCells="1"/>
  <mergeCells count="17">
    <mergeCell ref="A3:A4"/>
    <mergeCell ref="B3:B4"/>
    <mergeCell ref="C3:C4"/>
    <mergeCell ref="AD3:AG3"/>
    <mergeCell ref="D3:D4"/>
    <mergeCell ref="E3:H3"/>
    <mergeCell ref="I3:L3"/>
    <mergeCell ref="M3:P3"/>
    <mergeCell ref="Q3:T3"/>
    <mergeCell ref="U3:X3"/>
    <mergeCell ref="B2:C2"/>
    <mergeCell ref="Y3:AB3"/>
    <mergeCell ref="BC3:BF3"/>
    <mergeCell ref="AI3:AL3"/>
    <mergeCell ref="AN3:AQ3"/>
    <mergeCell ref="AS3:AV3"/>
    <mergeCell ref="AX3:BA3"/>
  </mergeCells>
  <phoneticPr fontId="24" type="noConversion"/>
  <conditionalFormatting sqref="AA5">
    <cfRule type="cellIs" dxfId="2" priority="1" stopIfTrue="1" operator="greaterThan">
      <formula>1-8-2016</formula>
    </cfRule>
  </conditionalFormatting>
  <dataValidations count="2">
    <dataValidation type="list" operator="equal" allowBlank="1" showErrorMessage="1" sqref="B7:B25">
      <formula1>$G$5:$Z$5</formula1>
      <formula2>0</formula2>
    </dataValidation>
    <dataValidation type="list" operator="equal" allowBlank="1" showErrorMessage="1" errorTitle="ERRO" error="Utilize múltiplos de 3. Ex.: 3,6,9..." sqref="C7:C25">
      <formula1>"3,6,9,12,15,18,21,24,27,30,33,36,39,42,45,48,51,54,57,60"</formula1>
      <formula2>0</formula2>
    </dataValidation>
  </dataValidations>
  <pageMargins left="0.39374999999999999" right="0.39374999999999999" top="0.78749999999999998" bottom="0.59097222222222223" header="0.31527777777777777" footer="0.31527777777777777"/>
  <pageSetup paperSize="9" scale="75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colBreaks count="2" manualBreakCount="2">
    <brk id="29" max="1048575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30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RowHeight="12.75" x14ac:dyDescent="0.2"/>
  <cols>
    <col min="1" max="1" width="49.7109375" style="395" customWidth="1"/>
    <col min="2" max="2" width="15.5703125" style="293" customWidth="1"/>
    <col min="3" max="3" width="11.5703125" style="293" customWidth="1"/>
    <col min="4" max="4" width="13.140625" style="293" customWidth="1"/>
    <col min="5" max="5" width="13" style="293" customWidth="1"/>
    <col min="6" max="6" width="12.5703125" style="293" customWidth="1"/>
    <col min="7" max="7" width="12.28515625" style="293" customWidth="1"/>
    <col min="8" max="8" width="14" style="293" customWidth="1"/>
    <col min="9" max="9" width="12.5703125" style="293" customWidth="1"/>
    <col min="10" max="10" width="12.28515625" style="293" customWidth="1"/>
    <col min="11" max="11" width="12.5703125" style="293" customWidth="1"/>
    <col min="12" max="12" width="13.85546875" style="293" customWidth="1"/>
    <col min="13" max="14" width="12.28515625" style="293" customWidth="1"/>
    <col min="15" max="15" width="12.85546875" style="293" customWidth="1"/>
    <col min="16" max="16" width="11.85546875" style="293" customWidth="1"/>
    <col min="17" max="19" width="9.140625" style="293" hidden="1" customWidth="1"/>
    <col min="20" max="20" width="13.28515625" style="293" customWidth="1"/>
    <col min="21" max="21" width="15" style="293" customWidth="1"/>
    <col min="22" max="22" width="12.7109375" style="293" customWidth="1"/>
    <col min="23" max="23" width="0" style="293" hidden="1" customWidth="1"/>
    <col min="24" max="24" width="34.140625" style="396" customWidth="1"/>
    <col min="25" max="25" width="11.28515625" style="293" customWidth="1"/>
    <col min="26" max="26" width="11.42578125" style="293" customWidth="1"/>
    <col min="27" max="28" width="11.28515625" style="293" customWidth="1"/>
    <col min="29" max="29" width="10.28515625" style="293" customWidth="1"/>
    <col min="30" max="16384" width="9.140625" style="293"/>
  </cols>
  <sheetData>
    <row r="1" spans="1:29" ht="24.75" customHeight="1" x14ac:dyDescent="0.2">
      <c r="A1" s="397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9"/>
    </row>
    <row r="2" spans="1:29" ht="12.75" customHeight="1" x14ac:dyDescent="0.2">
      <c r="A2" s="950" t="s">
        <v>80</v>
      </c>
      <c r="B2" s="951" t="s">
        <v>73</v>
      </c>
      <c r="C2" s="952"/>
      <c r="D2" s="953"/>
      <c r="E2" s="954" t="s">
        <v>74</v>
      </c>
      <c r="F2" s="955"/>
      <c r="G2" s="956"/>
      <c r="H2" s="951" t="s">
        <v>75</v>
      </c>
      <c r="I2" s="952"/>
      <c r="J2" s="953"/>
      <c r="K2" s="954" t="s">
        <v>76</v>
      </c>
      <c r="L2" s="955"/>
      <c r="M2" s="956"/>
      <c r="N2" s="957" t="s">
        <v>77</v>
      </c>
      <c r="O2" s="958"/>
      <c r="P2" s="953"/>
      <c r="Q2" s="947" t="s">
        <v>81</v>
      </c>
      <c r="R2" s="948"/>
      <c r="S2" s="948"/>
      <c r="T2" s="949" t="s">
        <v>53</v>
      </c>
      <c r="U2" s="949"/>
      <c r="V2" s="949"/>
    </row>
    <row r="3" spans="1:29" x14ac:dyDescent="0.2">
      <c r="A3" s="950"/>
      <c r="B3" s="712" t="s">
        <v>82</v>
      </c>
      <c r="C3" s="400" t="s">
        <v>83</v>
      </c>
      <c r="D3" s="713" t="s">
        <v>45</v>
      </c>
      <c r="E3" s="726" t="s">
        <v>82</v>
      </c>
      <c r="F3" s="401" t="s">
        <v>83</v>
      </c>
      <c r="G3" s="727" t="s">
        <v>45</v>
      </c>
      <c r="H3" s="712" t="s">
        <v>82</v>
      </c>
      <c r="I3" s="400" t="s">
        <v>83</v>
      </c>
      <c r="J3" s="713" t="s">
        <v>45</v>
      </c>
      <c r="K3" s="726" t="s">
        <v>82</v>
      </c>
      <c r="L3" s="401" t="s">
        <v>83</v>
      </c>
      <c r="M3" s="727" t="s">
        <v>45</v>
      </c>
      <c r="N3" s="712" t="s">
        <v>82</v>
      </c>
      <c r="O3" s="400" t="s">
        <v>83</v>
      </c>
      <c r="P3" s="713" t="s">
        <v>45</v>
      </c>
      <c r="Q3" s="706" t="s">
        <v>82</v>
      </c>
      <c r="R3" s="401" t="s">
        <v>83</v>
      </c>
      <c r="S3" s="401" t="s">
        <v>45</v>
      </c>
      <c r="T3" s="402" t="s">
        <v>82</v>
      </c>
      <c r="U3" s="403" t="s">
        <v>83</v>
      </c>
      <c r="V3" s="404" t="s">
        <v>45</v>
      </c>
      <c r="X3" s="405"/>
    </row>
    <row r="4" spans="1:29" s="410" customFormat="1" x14ac:dyDescent="0.2">
      <c r="A4" s="699" t="s">
        <v>84</v>
      </c>
      <c r="B4" s="728">
        <f t="shared" ref="B4:W4" si="0">B5+B24</f>
        <v>47959752</v>
      </c>
      <c r="C4" s="730">
        <f t="shared" si="0"/>
        <v>4005900</v>
      </c>
      <c r="D4" s="729">
        <f t="shared" si="0"/>
        <v>51965652</v>
      </c>
      <c r="E4" s="714">
        <f t="shared" si="0"/>
        <v>59488188</v>
      </c>
      <c r="F4" s="406">
        <f t="shared" si="0"/>
        <v>4365900</v>
      </c>
      <c r="G4" s="715">
        <f t="shared" si="0"/>
        <v>63682188</v>
      </c>
      <c r="H4" s="714">
        <f t="shared" si="0"/>
        <v>14077918</v>
      </c>
      <c r="I4" s="406">
        <f t="shared" si="0"/>
        <v>4784400</v>
      </c>
      <c r="J4" s="715">
        <f t="shared" si="0"/>
        <v>18690418</v>
      </c>
      <c r="K4" s="714">
        <f t="shared" si="0"/>
        <v>3378855</v>
      </c>
      <c r="L4" s="406">
        <f t="shared" si="0"/>
        <v>171900</v>
      </c>
      <c r="M4" s="715">
        <f t="shared" si="0"/>
        <v>3378855</v>
      </c>
      <c r="N4" s="728">
        <f t="shared" si="0"/>
        <v>2110991</v>
      </c>
      <c r="O4" s="406">
        <f t="shared" si="0"/>
        <v>171900</v>
      </c>
      <c r="P4" s="729">
        <f t="shared" si="0"/>
        <v>2282891</v>
      </c>
      <c r="Q4" s="707">
        <f t="shared" si="0"/>
        <v>3000000</v>
      </c>
      <c r="R4" s="406">
        <f t="shared" si="0"/>
        <v>0</v>
      </c>
      <c r="S4" s="406">
        <f t="shared" si="0"/>
        <v>3000000</v>
      </c>
      <c r="T4" s="733">
        <f t="shared" si="0"/>
        <v>127015705</v>
      </c>
      <c r="U4" s="732">
        <f t="shared" si="0"/>
        <v>13500000</v>
      </c>
      <c r="V4" s="407">
        <f t="shared" si="0"/>
        <v>140000004</v>
      </c>
      <c r="W4" s="408">
        <f t="shared" si="0"/>
        <v>66666.67</v>
      </c>
      <c r="X4" s="409"/>
    </row>
    <row r="5" spans="1:29" s="306" customFormat="1" x14ac:dyDescent="0.2">
      <c r="A5" s="700" t="s">
        <v>26</v>
      </c>
      <c r="B5" s="716">
        <f>B6+B11+B15+B19</f>
        <v>46631652</v>
      </c>
      <c r="C5" s="716">
        <f>C6+C11+C15+C19</f>
        <v>3834000</v>
      </c>
      <c r="D5" s="716">
        <f t="shared" ref="D5:U5" si="1">D6+D11+D15+D19</f>
        <v>50465652</v>
      </c>
      <c r="E5" s="716">
        <f t="shared" si="1"/>
        <v>57988188</v>
      </c>
      <c r="F5" s="716">
        <f t="shared" si="1"/>
        <v>4194000</v>
      </c>
      <c r="G5" s="716">
        <f t="shared" si="1"/>
        <v>62182188</v>
      </c>
      <c r="H5" s="716">
        <f t="shared" si="1"/>
        <v>12577918</v>
      </c>
      <c r="I5" s="716">
        <f t="shared" si="1"/>
        <v>4612500</v>
      </c>
      <c r="J5" s="716">
        <f t="shared" si="1"/>
        <v>17190418</v>
      </c>
      <c r="K5" s="716">
        <f t="shared" si="1"/>
        <v>1878855</v>
      </c>
      <c r="L5" s="716">
        <f t="shared" si="1"/>
        <v>0</v>
      </c>
      <c r="M5" s="716">
        <f t="shared" si="1"/>
        <v>1878855</v>
      </c>
      <c r="N5" s="716">
        <f t="shared" si="1"/>
        <v>782891</v>
      </c>
      <c r="O5" s="716">
        <f t="shared" si="1"/>
        <v>0</v>
      </c>
      <c r="P5" s="716">
        <f t="shared" si="1"/>
        <v>782891</v>
      </c>
      <c r="Q5" s="716">
        <f t="shared" si="1"/>
        <v>0</v>
      </c>
      <c r="R5" s="716">
        <f t="shared" si="1"/>
        <v>0</v>
      </c>
      <c r="S5" s="716">
        <f t="shared" si="1"/>
        <v>0</v>
      </c>
      <c r="T5" s="716">
        <f t="shared" si="1"/>
        <v>119859505</v>
      </c>
      <c r="U5" s="716">
        <f t="shared" si="1"/>
        <v>12640500</v>
      </c>
      <c r="V5" s="716">
        <f>V6+V11+V15+V19</f>
        <v>132500004</v>
      </c>
      <c r="W5" s="305">
        <f>V5/2.1/1000</f>
        <v>63095.24</v>
      </c>
      <c r="X5" s="411"/>
    </row>
    <row r="6" spans="1:29" s="306" customFormat="1" ht="30" customHeight="1" x14ac:dyDescent="0.2">
      <c r="A6" s="701" t="str">
        <f>'3_Comp e Produtos'!A6</f>
        <v>COMPONENTE 1: PREVENÇÃO SOCIAL DA VIOLÊNCIA</v>
      </c>
      <c r="B6" s="717">
        <f>SUM(B7:B10)</f>
        <v>14956355</v>
      </c>
      <c r="C6" s="717">
        <f t="shared" ref="C6:V6" si="2">SUM(C7:C10)</f>
        <v>2430000</v>
      </c>
      <c r="D6" s="717">
        <f t="shared" si="2"/>
        <v>17386355</v>
      </c>
      <c r="E6" s="717">
        <f t="shared" si="2"/>
        <v>18862916</v>
      </c>
      <c r="F6" s="717">
        <f t="shared" si="2"/>
        <v>2430000</v>
      </c>
      <c r="G6" s="717">
        <f t="shared" si="2"/>
        <v>21292916</v>
      </c>
      <c r="H6" s="717">
        <f t="shared" si="2"/>
        <v>3563021</v>
      </c>
      <c r="I6" s="717">
        <f t="shared" si="2"/>
        <v>4050000</v>
      </c>
      <c r="J6" s="717">
        <f t="shared" si="2"/>
        <v>7613021</v>
      </c>
      <c r="K6" s="717">
        <f t="shared" si="2"/>
        <v>457708</v>
      </c>
      <c r="L6" s="717">
        <f t="shared" si="2"/>
        <v>0</v>
      </c>
      <c r="M6" s="717">
        <f t="shared" si="2"/>
        <v>457708</v>
      </c>
      <c r="N6" s="717">
        <f t="shared" si="2"/>
        <v>0</v>
      </c>
      <c r="O6" s="717">
        <f t="shared" si="2"/>
        <v>0</v>
      </c>
      <c r="P6" s="717">
        <f t="shared" si="2"/>
        <v>0</v>
      </c>
      <c r="Q6" s="717">
        <f t="shared" si="2"/>
        <v>0</v>
      </c>
      <c r="R6" s="717">
        <f t="shared" si="2"/>
        <v>0</v>
      </c>
      <c r="S6" s="717">
        <f t="shared" si="2"/>
        <v>0</v>
      </c>
      <c r="T6" s="717">
        <f>SUM(T7:T10)-1</f>
        <v>37839999</v>
      </c>
      <c r="U6" s="717">
        <f t="shared" si="2"/>
        <v>8910000</v>
      </c>
      <c r="V6" s="717">
        <f t="shared" si="2"/>
        <v>46749999</v>
      </c>
      <c r="W6" s="414">
        <f>SUM(W7:W14)</f>
        <v>27653</v>
      </c>
      <c r="X6" s="415"/>
    </row>
    <row r="7" spans="1:29" s="294" customFormat="1" ht="39" customHeight="1" x14ac:dyDescent="0.2">
      <c r="A7" s="702" t="str">
        <f>IF('3_Comp e Produtos'!B7="Sim",'3_Comp e Produtos'!A7,"NÃO SELECIONADO")</f>
        <v xml:space="preserve">1.1 Construção de 06 (seis) Centros POD Juventude </v>
      </c>
      <c r="B7" s="719">
        <f t="shared" ref="B7:B14" si="3">D7-C7</f>
        <v>11766563</v>
      </c>
      <c r="C7" s="239">
        <v>1080000</v>
      </c>
      <c r="D7" s="720">
        <f>'10_Cronograma Físico'!AM7</f>
        <v>12846563</v>
      </c>
      <c r="E7" s="719">
        <f t="shared" ref="E7:E14" si="4">G7-F7</f>
        <v>16048750</v>
      </c>
      <c r="F7" s="239">
        <f>960000*1.125</f>
        <v>1080000</v>
      </c>
      <c r="G7" s="720">
        <f>'10_Cronograma Físico'!AR7</f>
        <v>17128750</v>
      </c>
      <c r="H7" s="719">
        <f t="shared" ref="H7:H14" si="5">J7-I7</f>
        <v>1582188</v>
      </c>
      <c r="I7" s="239">
        <f>2400000*1.125</f>
        <v>2700000</v>
      </c>
      <c r="J7" s="720">
        <f>'10_Cronograma Físico'!AW7</f>
        <v>4282188</v>
      </c>
      <c r="K7" s="719">
        <f t="shared" ref="K7:K14" si="6">M7-L7</f>
        <v>0</v>
      </c>
      <c r="L7" s="239">
        <v>0</v>
      </c>
      <c r="M7" s="720">
        <f>'10_Cronograma Físico'!BB7</f>
        <v>0</v>
      </c>
      <c r="N7" s="719">
        <f t="shared" ref="N7:N14" si="7">P7-O7</f>
        <v>0</v>
      </c>
      <c r="O7" s="239">
        <v>0</v>
      </c>
      <c r="P7" s="720">
        <f>'10_Cronograma Físico'!BG7</f>
        <v>0</v>
      </c>
      <c r="Q7" s="709">
        <f>S7-R7</f>
        <v>0</v>
      </c>
      <c r="R7" s="239">
        <v>0</v>
      </c>
      <c r="S7" s="417">
        <f>IF($A7&lt;&gt;"NÃO SELECIONADO",'10_Cronograma Físico'!BG7,0)</f>
        <v>0</v>
      </c>
      <c r="T7" s="418">
        <f t="shared" ref="T7:V8" si="8">B7+E7+H7+K7+N7+Q7</f>
        <v>29397501</v>
      </c>
      <c r="U7" s="418">
        <f t="shared" si="8"/>
        <v>4860000</v>
      </c>
      <c r="V7" s="419">
        <f t="shared" si="8"/>
        <v>34257501</v>
      </c>
      <c r="W7" s="420">
        <f t="shared" ref="W7:W14" si="9">V7/2.1/1000</f>
        <v>16313</v>
      </c>
      <c r="X7" s="421"/>
      <c r="Y7" s="421"/>
      <c r="Z7" s="421"/>
      <c r="AA7" s="421"/>
      <c r="AB7" s="421"/>
      <c r="AC7" s="421"/>
    </row>
    <row r="8" spans="1:29" s="294" customFormat="1" ht="38.25" x14ac:dyDescent="0.2">
      <c r="A8" s="702" t="str">
        <f>IF('3_Comp e Produtos'!B8="Sim",'3_Comp e Produtos'!A8,"NÃO SELECIONADO")</f>
        <v xml:space="preserve">1.2 Ações voltadas ao sistema educativo e à inclusão ao mercado de trabalho para aumento de escolaridade e inserção laboral </v>
      </c>
      <c r="B8" s="719">
        <f t="shared" si="3"/>
        <v>150000</v>
      </c>
      <c r="C8" s="239">
        <f>1200000*1.125</f>
        <v>1350000</v>
      </c>
      <c r="D8" s="720">
        <f>'10_Cronograma Físico'!AM8</f>
        <v>1500000</v>
      </c>
      <c r="E8" s="719">
        <f t="shared" si="4"/>
        <v>150000</v>
      </c>
      <c r="F8" s="239">
        <f>1200000*1.125</f>
        <v>1350000</v>
      </c>
      <c r="G8" s="720">
        <f>'10_Cronograma Físico'!AR8</f>
        <v>1500000</v>
      </c>
      <c r="H8" s="719">
        <f t="shared" si="5"/>
        <v>150000</v>
      </c>
      <c r="I8" s="239">
        <f>1200000*1.125</f>
        <v>1350000</v>
      </c>
      <c r="J8" s="720">
        <f>'10_Cronograma Físico'!AW8</f>
        <v>1500000</v>
      </c>
      <c r="K8" s="719">
        <f t="shared" si="6"/>
        <v>0</v>
      </c>
      <c r="L8" s="239">
        <v>0</v>
      </c>
      <c r="M8" s="720">
        <f>'10_Cronograma Físico'!BB8</f>
        <v>0</v>
      </c>
      <c r="N8" s="719">
        <f t="shared" si="7"/>
        <v>0</v>
      </c>
      <c r="O8" s="239">
        <v>0</v>
      </c>
      <c r="P8" s="720">
        <f>'10_Cronograma Físico'!BG8</f>
        <v>0</v>
      </c>
      <c r="Q8" s="709">
        <f>S8-R8</f>
        <v>0</v>
      </c>
      <c r="R8" s="239">
        <v>0</v>
      </c>
      <c r="S8" s="417">
        <f>IF($A8&lt;&gt;"NÃO SELECIONADO",'10_Cronograma Físico'!BG8,0)</f>
        <v>0</v>
      </c>
      <c r="T8" s="418">
        <f t="shared" si="8"/>
        <v>450000</v>
      </c>
      <c r="U8" s="418">
        <f t="shared" si="8"/>
        <v>4050000</v>
      </c>
      <c r="V8" s="419">
        <f t="shared" si="8"/>
        <v>4500000</v>
      </c>
      <c r="W8" s="420">
        <f t="shared" si="9"/>
        <v>2143</v>
      </c>
      <c r="X8" s="421"/>
      <c r="Y8" s="421"/>
      <c r="Z8" s="421"/>
      <c r="AA8" s="421"/>
      <c r="AB8" s="421"/>
      <c r="AC8" s="421"/>
    </row>
    <row r="9" spans="1:29" s="294" customFormat="1" ht="25.5" x14ac:dyDescent="0.2">
      <c r="A9" s="702" t="str">
        <f>IF('3_Comp e Produtos'!B9="Sim",'3_Comp e Produtos'!A9,"NÃO SELECIONADO")</f>
        <v>1.3 Criação ou fortalecimento de 06 núcleos de gestão da rede de atenção a juventude nos territórios</v>
      </c>
      <c r="B9" s="719">
        <f t="shared" si="3"/>
        <v>1373125</v>
      </c>
      <c r="C9" s="239">
        <v>0</v>
      </c>
      <c r="D9" s="720">
        <f>'10_Cronograma Físico'!AM9</f>
        <v>1373125</v>
      </c>
      <c r="E9" s="719">
        <f t="shared" si="4"/>
        <v>1830833</v>
      </c>
      <c r="F9" s="239">
        <v>0</v>
      </c>
      <c r="G9" s="720">
        <f>'10_Cronograma Físico'!AR9</f>
        <v>1830833</v>
      </c>
      <c r="H9" s="719">
        <f t="shared" si="5"/>
        <v>1830833</v>
      </c>
      <c r="I9" s="239"/>
      <c r="J9" s="720">
        <f>'10_Cronograma Físico'!AW9</f>
        <v>1830833</v>
      </c>
      <c r="K9" s="719">
        <f t="shared" si="6"/>
        <v>457708</v>
      </c>
      <c r="L9" s="239">
        <v>0</v>
      </c>
      <c r="M9" s="720">
        <f>'10_Cronograma Físico'!BB9</f>
        <v>457708</v>
      </c>
      <c r="N9" s="719">
        <f t="shared" si="7"/>
        <v>0</v>
      </c>
      <c r="O9" s="239">
        <v>0</v>
      </c>
      <c r="P9" s="720">
        <f>'10_Cronograma Físico'!BG9</f>
        <v>0</v>
      </c>
      <c r="Q9" s="709">
        <f>S9-R9</f>
        <v>0</v>
      </c>
      <c r="R9" s="239">
        <v>0</v>
      </c>
      <c r="S9" s="417">
        <f>IF($A9&lt;&gt;"NÃO SELECIONADO",'10_Cronograma Físico'!BG9,0)</f>
        <v>0</v>
      </c>
      <c r="T9" s="418">
        <f>B9+E9+H9+K9+N9+Q9</f>
        <v>5492499</v>
      </c>
      <c r="U9" s="418">
        <f>C9+F9+I9+L9+O9+R9</f>
        <v>0</v>
      </c>
      <c r="V9" s="419">
        <f>D9+G9+J9+M9+P9+S9-1</f>
        <v>5492498</v>
      </c>
      <c r="W9" s="420">
        <f t="shared" si="9"/>
        <v>2615</v>
      </c>
      <c r="X9" s="421"/>
      <c r="Y9" s="421"/>
      <c r="Z9" s="421"/>
      <c r="AA9" s="421"/>
      <c r="AB9" s="421"/>
      <c r="AC9" s="422"/>
    </row>
    <row r="10" spans="1:29" s="294" customFormat="1" ht="25.5" x14ac:dyDescent="0.2">
      <c r="A10" s="702" t="str">
        <f>IF('3_Comp e Produtos'!B10="Sim",'3_Comp e Produtos'!A10,"NÃO SELECIONADO")</f>
        <v>1.4  Reforma de espaços públicos com acessibilidade para pessoas com deficiência</v>
      </c>
      <c r="B10" s="719">
        <f t="shared" si="3"/>
        <v>1666667</v>
      </c>
      <c r="C10" s="239">
        <v>0</v>
      </c>
      <c r="D10" s="720">
        <f>'10_Cronograma Físico'!AM10</f>
        <v>1666667</v>
      </c>
      <c r="E10" s="719">
        <f t="shared" si="4"/>
        <v>833333</v>
      </c>
      <c r="F10" s="239">
        <v>0</v>
      </c>
      <c r="G10" s="720">
        <f>'10_Cronograma Físico'!AR10</f>
        <v>833333</v>
      </c>
      <c r="H10" s="719">
        <f t="shared" si="5"/>
        <v>0</v>
      </c>
      <c r="I10" s="239">
        <v>0</v>
      </c>
      <c r="J10" s="720">
        <f>'10_Cronograma Físico'!AW10</f>
        <v>0</v>
      </c>
      <c r="K10" s="719">
        <f t="shared" si="6"/>
        <v>0</v>
      </c>
      <c r="L10" s="239">
        <v>0</v>
      </c>
      <c r="M10" s="720">
        <f>'10_Cronograma Físico'!BB10</f>
        <v>0</v>
      </c>
      <c r="N10" s="719">
        <f t="shared" si="7"/>
        <v>0</v>
      </c>
      <c r="O10" s="239">
        <v>0</v>
      </c>
      <c r="P10" s="720">
        <f>'10_Cronograma Físico'!BG10</f>
        <v>0</v>
      </c>
      <c r="Q10" s="709">
        <f>S10-R10</f>
        <v>0</v>
      </c>
      <c r="R10" s="239">
        <v>0</v>
      </c>
      <c r="S10" s="417">
        <f>IF($A10&lt;&gt;"NÃO SELECIONADO",'10_Cronograma Físico'!BG10,0)</f>
        <v>0</v>
      </c>
      <c r="T10" s="418">
        <f>B10+E10+H10+K10+N10+Q10</f>
        <v>2500000</v>
      </c>
      <c r="U10" s="418">
        <f>C10+F10+I10+L10+O10+R10</f>
        <v>0</v>
      </c>
      <c r="V10" s="419">
        <f>D10+G10+J10+M10+P10+S10</f>
        <v>2500000</v>
      </c>
      <c r="W10" s="420">
        <f t="shared" si="9"/>
        <v>1190</v>
      </c>
      <c r="X10" s="421"/>
      <c r="Y10" s="421"/>
      <c r="Z10" s="421"/>
      <c r="AA10" s="421"/>
      <c r="AB10" s="421"/>
      <c r="AC10" s="422"/>
    </row>
    <row r="11" spans="1:29" s="294" customFormat="1" ht="30" customHeight="1" x14ac:dyDescent="0.2">
      <c r="A11" s="703" t="str">
        <f>'3_Comp e Produtos'!A11</f>
        <v xml:space="preserve">COMPONENTE 2: PREVENÇÃO SITUACIONAL E QUALIFICAÇÃO DA SEGURANÇA PÚBLICA </v>
      </c>
      <c r="B11" s="717">
        <f>SUM(B12:B14)</f>
        <v>5431547</v>
      </c>
      <c r="C11" s="412">
        <f>SUM(C12:C14)</f>
        <v>1404000</v>
      </c>
      <c r="D11" s="718">
        <f>SUM(D12:D14)</f>
        <v>6835547</v>
      </c>
      <c r="E11" s="717">
        <f t="shared" ref="E11:U11" si="10">SUM(E12:E14)</f>
        <v>5766938</v>
      </c>
      <c r="F11" s="412">
        <f t="shared" si="10"/>
        <v>1201500</v>
      </c>
      <c r="G11" s="718">
        <f t="shared" si="10"/>
        <v>6968438</v>
      </c>
      <c r="H11" s="717">
        <f t="shared" si="10"/>
        <v>531563</v>
      </c>
      <c r="I11" s="412">
        <f t="shared" si="10"/>
        <v>0</v>
      </c>
      <c r="J11" s="718">
        <f t="shared" si="10"/>
        <v>531563</v>
      </c>
      <c r="K11" s="717">
        <f t="shared" si="10"/>
        <v>531563</v>
      </c>
      <c r="L11" s="412">
        <f t="shared" si="10"/>
        <v>0</v>
      </c>
      <c r="M11" s="718">
        <f t="shared" si="10"/>
        <v>531563</v>
      </c>
      <c r="N11" s="717">
        <f t="shared" si="10"/>
        <v>132891</v>
      </c>
      <c r="O11" s="412">
        <f t="shared" si="10"/>
        <v>0</v>
      </c>
      <c r="P11" s="718">
        <f t="shared" si="10"/>
        <v>132891</v>
      </c>
      <c r="Q11" s="717">
        <f t="shared" si="10"/>
        <v>0</v>
      </c>
      <c r="R11" s="412">
        <f t="shared" si="10"/>
        <v>0</v>
      </c>
      <c r="S11" s="718">
        <f t="shared" si="10"/>
        <v>0</v>
      </c>
      <c r="T11" s="717">
        <f t="shared" si="10"/>
        <v>12394502</v>
      </c>
      <c r="U11" s="412">
        <f t="shared" si="10"/>
        <v>2605500</v>
      </c>
      <c r="V11" s="718">
        <f>SUM(V12:V14)-1</f>
        <v>15000001</v>
      </c>
      <c r="W11" s="420"/>
      <c r="X11" s="421"/>
      <c r="Y11" s="421"/>
      <c r="Z11" s="421"/>
      <c r="AA11" s="421"/>
      <c r="AB11" s="421"/>
      <c r="AC11" s="422"/>
    </row>
    <row r="12" spans="1:29" s="294" customFormat="1" ht="45.75" customHeight="1" x14ac:dyDescent="0.2">
      <c r="A12" s="702" t="str">
        <f>IF('3_Comp e Produtos'!B12="Sim",'3_Comp e Produtos'!A12,"NÃO SELECIONADO")</f>
        <v>2.1   Formação continuada de efetivos policiais que atuarão no policiamento comunitário das áreas abrangidas pelo Programa (POA, Viamao, Alvorada)</v>
      </c>
      <c r="B12" s="719">
        <f t="shared" si="3"/>
        <v>196172</v>
      </c>
      <c r="C12" s="239">
        <f>180000*1.125</f>
        <v>202500</v>
      </c>
      <c r="D12" s="720">
        <f>'10_Cronograma Físico'!AM12</f>
        <v>398672</v>
      </c>
      <c r="E12" s="719">
        <f t="shared" si="4"/>
        <v>531563</v>
      </c>
      <c r="F12" s="239"/>
      <c r="G12" s="720">
        <f>'10_Cronograma Físico'!AR12</f>
        <v>531563</v>
      </c>
      <c r="H12" s="719">
        <f t="shared" si="5"/>
        <v>531563</v>
      </c>
      <c r="I12" s="239"/>
      <c r="J12" s="720">
        <f>'10_Cronograma Físico'!AW12</f>
        <v>531563</v>
      </c>
      <c r="K12" s="719">
        <f t="shared" si="6"/>
        <v>531563</v>
      </c>
      <c r="L12" s="239"/>
      <c r="M12" s="720">
        <f>'10_Cronograma Físico'!BB12</f>
        <v>531563</v>
      </c>
      <c r="N12" s="719">
        <f t="shared" si="7"/>
        <v>132891</v>
      </c>
      <c r="O12" s="239"/>
      <c r="P12" s="720">
        <f>'10_Cronograma Físico'!BG12</f>
        <v>132891</v>
      </c>
      <c r="Q12" s="709"/>
      <c r="R12" s="239">
        <v>0</v>
      </c>
      <c r="S12" s="417"/>
      <c r="T12" s="418">
        <f>B12+E12+H12+K12+N12</f>
        <v>1923752</v>
      </c>
      <c r="U12" s="418">
        <f>C12+F12+I12+L12+O12</f>
        <v>202500</v>
      </c>
      <c r="V12" s="419">
        <f>D12+G12+J12+M12+P12+S12</f>
        <v>2126252</v>
      </c>
      <c r="W12" s="420">
        <f t="shared" si="9"/>
        <v>1013</v>
      </c>
      <c r="X12" s="421"/>
      <c r="Y12" s="421"/>
      <c r="Z12" s="421"/>
      <c r="AA12" s="422"/>
      <c r="AB12" s="422"/>
      <c r="AC12" s="422"/>
    </row>
    <row r="13" spans="1:29" s="294" customFormat="1" ht="34.5" customHeight="1" x14ac:dyDescent="0.2">
      <c r="A13" s="702" t="str">
        <f>IF('3_Comp e Produtos'!B13="Sim",'3_Comp e Produtos'!A13,"NÃO SELECIONADO")</f>
        <v>2.2  Implantação de serviços de analise criminologico</v>
      </c>
      <c r="B13" s="719">
        <f t="shared" si="3"/>
        <v>1839375</v>
      </c>
      <c r="C13" s="239"/>
      <c r="D13" s="720">
        <f>'10_Cronograma Físico'!AM13</f>
        <v>1839375</v>
      </c>
      <c r="E13" s="719">
        <f t="shared" si="4"/>
        <v>1839375</v>
      </c>
      <c r="F13" s="239"/>
      <c r="G13" s="720">
        <f>'10_Cronograma Físico'!AR13</f>
        <v>1839375</v>
      </c>
      <c r="H13" s="719">
        <f t="shared" si="5"/>
        <v>0</v>
      </c>
      <c r="I13" s="239"/>
      <c r="J13" s="720">
        <f>'10_Cronograma Físico'!AW13</f>
        <v>0</v>
      </c>
      <c r="K13" s="719">
        <f t="shared" si="6"/>
        <v>0</v>
      </c>
      <c r="L13" s="239"/>
      <c r="M13" s="720">
        <f>'10_Cronograma Físico'!BB13</f>
        <v>0</v>
      </c>
      <c r="N13" s="719">
        <f t="shared" si="7"/>
        <v>0</v>
      </c>
      <c r="O13" s="239">
        <v>0</v>
      </c>
      <c r="P13" s="720">
        <f>'10_Cronograma Físico'!BG13</f>
        <v>0</v>
      </c>
      <c r="Q13" s="709"/>
      <c r="R13" s="239"/>
      <c r="S13" s="417"/>
      <c r="T13" s="418">
        <f>B13+E13+H13+K13+N13+Q13</f>
        <v>3678750</v>
      </c>
      <c r="U13" s="418">
        <f>C13+F13+I13+L13+O13</f>
        <v>0</v>
      </c>
      <c r="V13" s="419">
        <f>D13+G13+J13+M13+P13+S13</f>
        <v>3678750</v>
      </c>
      <c r="W13" s="420"/>
      <c r="X13" s="421"/>
      <c r="Y13" s="421"/>
      <c r="Z13" s="421"/>
      <c r="AA13" s="422"/>
      <c r="AB13" s="422"/>
      <c r="AC13" s="422"/>
    </row>
    <row r="14" spans="1:29" s="294" customFormat="1" ht="44.25" customHeight="1" x14ac:dyDescent="0.2">
      <c r="A14" s="702" t="str">
        <f>IF('3_Comp e Produtos'!B14="Sim",'3_Comp e Produtos'!A14,"NÃO SELECIONADO")</f>
        <v>2.3  Implementação do policiamento comunitário e fortalecimento e integração do efetivo policial com a comunidade</v>
      </c>
      <c r="B14" s="719">
        <f t="shared" si="3"/>
        <v>3396000</v>
      </c>
      <c r="C14" s="239">
        <f>1068000*1.125</f>
        <v>1201500</v>
      </c>
      <c r="D14" s="720">
        <f>'10_Cronograma Físico'!AM14</f>
        <v>4597500</v>
      </c>
      <c r="E14" s="719">
        <f t="shared" si="4"/>
        <v>3396000</v>
      </c>
      <c r="F14" s="239">
        <f>1068000*1.125</f>
        <v>1201500</v>
      </c>
      <c r="G14" s="720">
        <f>'10_Cronograma Físico'!AR14</f>
        <v>4597500</v>
      </c>
      <c r="H14" s="719">
        <f t="shared" si="5"/>
        <v>0</v>
      </c>
      <c r="I14" s="239"/>
      <c r="J14" s="720">
        <f>'10_Cronograma Físico'!AW14</f>
        <v>0</v>
      </c>
      <c r="K14" s="719">
        <f t="shared" si="6"/>
        <v>0</v>
      </c>
      <c r="L14" s="239"/>
      <c r="M14" s="720">
        <f>'10_Cronograma Físico'!BB14</f>
        <v>0</v>
      </c>
      <c r="N14" s="719">
        <f t="shared" si="7"/>
        <v>0</v>
      </c>
      <c r="O14" s="239">
        <v>0</v>
      </c>
      <c r="P14" s="720">
        <f>'10_Cronograma Físico'!BG14</f>
        <v>0</v>
      </c>
      <c r="Q14" s="709"/>
      <c r="R14" s="239">
        <v>0</v>
      </c>
      <c r="S14" s="417"/>
      <c r="T14" s="418">
        <f>B14+E14+H14+K14+N14+Q14</f>
        <v>6792000</v>
      </c>
      <c r="U14" s="418">
        <f>C14+F14+I14+L14+O14</f>
        <v>2403000</v>
      </c>
      <c r="V14" s="419">
        <f>D14+G14+J14+M14+P14+S14</f>
        <v>9195000</v>
      </c>
      <c r="W14" s="420">
        <f t="shared" si="9"/>
        <v>4379</v>
      </c>
      <c r="X14" s="422"/>
      <c r="Y14" s="422"/>
      <c r="Z14" s="422"/>
      <c r="AA14" s="422"/>
      <c r="AB14" s="422"/>
      <c r="AC14" s="422"/>
    </row>
    <row r="15" spans="1:29" s="294" customFormat="1" ht="36.75" customHeight="1" x14ac:dyDescent="0.2">
      <c r="A15" s="701" t="str">
        <f>'3_Comp e Produtos'!A15</f>
        <v>COMPONENTE 3: APRIMORAMENTO DO PROCESSO DE RESSOCIABILIZAÇÃO</v>
      </c>
      <c r="B15" s="412">
        <f t="shared" ref="B15:P15" si="11">SUM(B16:B18)</f>
        <v>22962500</v>
      </c>
      <c r="C15" s="412">
        <f t="shared" si="11"/>
        <v>0</v>
      </c>
      <c r="D15" s="412">
        <f t="shared" si="11"/>
        <v>22962500</v>
      </c>
      <c r="E15" s="412">
        <f t="shared" si="11"/>
        <v>29837500</v>
      </c>
      <c r="F15" s="412">
        <f t="shared" si="11"/>
        <v>562500</v>
      </c>
      <c r="G15" s="412">
        <f t="shared" si="11"/>
        <v>30400000</v>
      </c>
      <c r="H15" s="412">
        <f t="shared" si="11"/>
        <v>7525000</v>
      </c>
      <c r="I15" s="412">
        <f t="shared" si="11"/>
        <v>562500</v>
      </c>
      <c r="J15" s="412">
        <f t="shared" si="11"/>
        <v>8087500</v>
      </c>
      <c r="K15" s="412">
        <f t="shared" si="11"/>
        <v>650000</v>
      </c>
      <c r="L15" s="412">
        <f t="shared" si="11"/>
        <v>0</v>
      </c>
      <c r="M15" s="412">
        <f t="shared" si="11"/>
        <v>650000</v>
      </c>
      <c r="N15" s="412">
        <f t="shared" si="11"/>
        <v>650000</v>
      </c>
      <c r="O15" s="412">
        <f t="shared" si="11"/>
        <v>0</v>
      </c>
      <c r="P15" s="412">
        <f t="shared" si="11"/>
        <v>650000</v>
      </c>
      <c r="Q15" s="708"/>
      <c r="R15" s="412"/>
      <c r="S15" s="412">
        <f>SUM(S16:S23)</f>
        <v>0</v>
      </c>
      <c r="T15" s="412">
        <f>SUM(T16:T18)</f>
        <v>61625000</v>
      </c>
      <c r="U15" s="412">
        <f>SUM(U16:U18)</f>
        <v>1125000</v>
      </c>
      <c r="V15" s="413">
        <f>SUM(V16:V18)</f>
        <v>62750000</v>
      </c>
      <c r="W15" s="420"/>
      <c r="X15" s="411"/>
    </row>
    <row r="16" spans="1:29" s="294" customFormat="1" ht="136.5" customHeight="1" x14ac:dyDescent="0.2">
      <c r="A16" s="702" t="str">
        <f>IF('3_Comp e Produtos'!B16="Sim",'3_Comp e Produtos'!A16,"NÃO SELECIONADO")</f>
        <v>3.1  Construção de 03 (três) novos Centros de Atendimento Socioeducativo (CASE), que respeitem as diretrizes do Sistema Nacional de Socioeducação (SINASE), 01 (um) no município de Osório e 01 (um) em Santa Cruz do Sul e 01 (um) em Porto Alegre, incluindo a implantação de um Centro de Profissionalização para a formação profissional e atividades culturais para os adolescentes, familiares e a comunidade do entorno; Implantar um Sistema de Vídeo-monitoramento das Unidades da FASE, entre outras medidas;</v>
      </c>
      <c r="B16" s="719">
        <f>D16-C16</f>
        <v>21140625</v>
      </c>
      <c r="C16" s="239">
        <v>0</v>
      </c>
      <c r="D16" s="720">
        <f>'10_Cronograma Físico'!AM16</f>
        <v>21140625</v>
      </c>
      <c r="E16" s="719">
        <f>G16-F16</f>
        <v>27625000</v>
      </c>
      <c r="F16" s="239">
        <f>500000*1.125</f>
        <v>562500</v>
      </c>
      <c r="G16" s="720">
        <f>'10_Cronograma Físico'!AR16</f>
        <v>28187500</v>
      </c>
      <c r="H16" s="719">
        <f>J16-I16</f>
        <v>6484375</v>
      </c>
      <c r="I16" s="239">
        <f>500000*1.125</f>
        <v>562500</v>
      </c>
      <c r="J16" s="720">
        <f>'10_Cronograma Físico'!AW16</f>
        <v>7046875</v>
      </c>
      <c r="K16" s="719">
        <f>M16-L16</f>
        <v>0</v>
      </c>
      <c r="L16" s="239">
        <v>0</v>
      </c>
      <c r="M16" s="720">
        <f>'10_Cronograma Físico'!BB16</f>
        <v>0</v>
      </c>
      <c r="N16" s="719">
        <f>P16-O16</f>
        <v>0</v>
      </c>
      <c r="O16" s="239">
        <v>0</v>
      </c>
      <c r="P16" s="720">
        <f>'10_Cronograma Físico'!BG16</f>
        <v>0</v>
      </c>
      <c r="Q16" s="709">
        <f>S16-R16</f>
        <v>0</v>
      </c>
      <c r="R16" s="239">
        <v>0</v>
      </c>
      <c r="S16" s="417">
        <f>IF($A16&lt;&gt;"NÃO SELECIONADO",'10_Cronograma Físico'!BG18,0)</f>
        <v>0</v>
      </c>
      <c r="T16" s="418">
        <f t="shared" ref="T16:V18" si="12">B16+E16+H16+K16+N16</f>
        <v>55250000</v>
      </c>
      <c r="U16" s="418">
        <f t="shared" si="12"/>
        <v>1125000</v>
      </c>
      <c r="V16" s="419">
        <f t="shared" si="12"/>
        <v>56375000</v>
      </c>
      <c r="W16" s="305">
        <f>V16/2.1/1000</f>
        <v>26845.24</v>
      </c>
      <c r="X16" s="423"/>
    </row>
    <row r="17" spans="1:24" s="294" customFormat="1" ht="82.5" customHeight="1" x14ac:dyDescent="0.2">
      <c r="A17" s="702" t="str">
        <f>IF('3_Comp e Produtos'!B17="Sim",'3_Comp e Produtos'!A17,"NÃO SELECIONADO")</f>
        <v xml:space="preserve">3.2  A elaboração e implementação de um plano de formação continuada dos servidores da Fundação, visando o fortalecimento do vínculo com os adolescentes, suas famílias e a comunidade de origem. Acompanhamento do progresso individual de cada adolescente (educativo, psicossocial e de saúde); </v>
      </c>
      <c r="B17" s="719">
        <f>D17-C17</f>
        <v>650000</v>
      </c>
      <c r="C17" s="239">
        <v>0</v>
      </c>
      <c r="D17" s="720">
        <f>'10_Cronograma Físico'!AM17</f>
        <v>650000</v>
      </c>
      <c r="E17" s="719">
        <f>G17-F17</f>
        <v>650000</v>
      </c>
      <c r="F17" s="239">
        <v>0</v>
      </c>
      <c r="G17" s="720">
        <f>'10_Cronograma Físico'!AR17</f>
        <v>650000</v>
      </c>
      <c r="H17" s="719">
        <f>J17-I17</f>
        <v>650000</v>
      </c>
      <c r="I17" s="239">
        <v>0</v>
      </c>
      <c r="J17" s="720">
        <f>'10_Cronograma Físico'!AW17</f>
        <v>650000</v>
      </c>
      <c r="K17" s="719">
        <f>M17-L17</f>
        <v>650000</v>
      </c>
      <c r="L17" s="239">
        <v>0</v>
      </c>
      <c r="M17" s="720">
        <f>'10_Cronograma Físico'!BB17</f>
        <v>650000</v>
      </c>
      <c r="N17" s="719">
        <f>P17-O17</f>
        <v>650000</v>
      </c>
      <c r="O17" s="239">
        <v>0</v>
      </c>
      <c r="P17" s="720">
        <f>'10_Cronograma Físico'!BG17</f>
        <v>650000</v>
      </c>
      <c r="Q17" s="709">
        <f>S17-R17</f>
        <v>0</v>
      </c>
      <c r="R17" s="239">
        <v>0</v>
      </c>
      <c r="S17" s="417">
        <f>IF($A17&lt;&gt;"NÃO SELECIONADO",'10_Cronograma Físico'!BG19,0)</f>
        <v>0</v>
      </c>
      <c r="T17" s="418">
        <f t="shared" si="12"/>
        <v>3250000</v>
      </c>
      <c r="U17" s="418">
        <f t="shared" si="12"/>
        <v>0</v>
      </c>
      <c r="V17" s="419">
        <f t="shared" si="12"/>
        <v>3250000</v>
      </c>
      <c r="W17" s="305">
        <f>V17/2.1/1000</f>
        <v>1547.62</v>
      </c>
      <c r="X17" s="423"/>
    </row>
    <row r="18" spans="1:24" s="294" customFormat="1" ht="114.75" x14ac:dyDescent="0.2">
      <c r="A18" s="702" t="str">
        <f>IF('3_Comp e Produtos'!B18="Sim",'3_Comp e Produtos'!A18,"NÃO SELECIONADO")</f>
        <v xml:space="preserve">3.3  Aprimorar o Sistema de Gestão da FASE com ênfase as diretorias de Socioeducação e de Qualificação Profissional, Diretoria Administrativa, Diretoria Sócio Educativa, implantar sistema de avaliação do atendimento prestado, incluindo a informatização dos prontuários dos adolescentes e servidores, para monitorar o progresso individual de ambos, melhorando a eficiência do gasto e diminuindo o custo da prestação do serviço. </v>
      </c>
      <c r="B18" s="719">
        <f>D18-C18</f>
        <v>1171875</v>
      </c>
      <c r="C18" s="239">
        <v>0</v>
      </c>
      <c r="D18" s="720">
        <f>'10_Cronograma Físico'!AM18</f>
        <v>1171875</v>
      </c>
      <c r="E18" s="719">
        <f>G18-F18</f>
        <v>1562500</v>
      </c>
      <c r="F18" s="239">
        <v>0</v>
      </c>
      <c r="G18" s="720">
        <f>'10_Cronograma Físico'!AR18</f>
        <v>1562500</v>
      </c>
      <c r="H18" s="719">
        <f>J18-I18</f>
        <v>390625</v>
      </c>
      <c r="I18" s="239">
        <v>0</v>
      </c>
      <c r="J18" s="720">
        <f>'10_Cronograma Físico'!AW18</f>
        <v>390625</v>
      </c>
      <c r="K18" s="719">
        <f>M18-L18</f>
        <v>0</v>
      </c>
      <c r="L18" s="239">
        <v>0</v>
      </c>
      <c r="M18" s="720">
        <f>'10_Cronograma Físico'!BB18</f>
        <v>0</v>
      </c>
      <c r="N18" s="719">
        <f>P18-O18</f>
        <v>0</v>
      </c>
      <c r="O18" s="239">
        <v>0</v>
      </c>
      <c r="P18" s="720">
        <f>'10_Cronograma Físico'!BG18</f>
        <v>0</v>
      </c>
      <c r="Q18" s="709">
        <f>S18-R18</f>
        <v>0</v>
      </c>
      <c r="R18" s="239">
        <v>0</v>
      </c>
      <c r="S18" s="417">
        <f>IF($A18&lt;&gt;"NÃO SELECIONADO",'10_Cronograma Físico'!BG20,0)</f>
        <v>0</v>
      </c>
      <c r="T18" s="418">
        <f t="shared" si="12"/>
        <v>3125000</v>
      </c>
      <c r="U18" s="418">
        <f t="shared" si="12"/>
        <v>0</v>
      </c>
      <c r="V18" s="419">
        <f t="shared" si="12"/>
        <v>3125000</v>
      </c>
      <c r="W18" s="305">
        <f>V18/2.1/1000</f>
        <v>1488.1</v>
      </c>
      <c r="X18" s="423"/>
    </row>
    <row r="19" spans="1:24" s="294" customFormat="1" ht="32.25" customHeight="1" x14ac:dyDescent="0.2">
      <c r="A19" s="701" t="str">
        <f>'3_Comp e Produtos'!A19</f>
        <v xml:space="preserve">COMPONENTE 4: FORTALECIMENTO INSTITUCIONAL DO EXECUTOR </v>
      </c>
      <c r="B19" s="717">
        <f>SUM(B20:B23)</f>
        <v>3281250</v>
      </c>
      <c r="C19" s="717">
        <f t="shared" ref="C19:P19" si="13">SUM(C20:C23)</f>
        <v>0</v>
      </c>
      <c r="D19" s="717">
        <f t="shared" si="13"/>
        <v>3281250</v>
      </c>
      <c r="E19" s="717">
        <f t="shared" si="13"/>
        <v>3520834</v>
      </c>
      <c r="F19" s="717">
        <f t="shared" si="13"/>
        <v>0</v>
      </c>
      <c r="G19" s="717">
        <f t="shared" si="13"/>
        <v>3520834</v>
      </c>
      <c r="H19" s="717">
        <f t="shared" si="13"/>
        <v>958334</v>
      </c>
      <c r="I19" s="717">
        <f t="shared" si="13"/>
        <v>0</v>
      </c>
      <c r="J19" s="717">
        <f t="shared" si="13"/>
        <v>958334</v>
      </c>
      <c r="K19" s="717">
        <f t="shared" si="13"/>
        <v>239584</v>
      </c>
      <c r="L19" s="717">
        <f t="shared" si="13"/>
        <v>0</v>
      </c>
      <c r="M19" s="717">
        <f t="shared" si="13"/>
        <v>239584</v>
      </c>
      <c r="N19" s="717">
        <f t="shared" si="13"/>
        <v>0</v>
      </c>
      <c r="O19" s="717">
        <f t="shared" si="13"/>
        <v>0</v>
      </c>
      <c r="P19" s="717">
        <f t="shared" si="13"/>
        <v>0</v>
      </c>
      <c r="Q19" s="709"/>
      <c r="R19" s="239"/>
      <c r="S19" s="417"/>
      <c r="T19" s="717">
        <f>SUM(T20:T23)+1</f>
        <v>8000004</v>
      </c>
      <c r="U19" s="412">
        <f>SUM(U20:U23)</f>
        <v>0</v>
      </c>
      <c r="V19" s="718">
        <f>SUM(V20:V23)+1</f>
        <v>8000004</v>
      </c>
      <c r="W19" s="305"/>
      <c r="X19" s="423"/>
    </row>
    <row r="20" spans="1:24" s="294" customFormat="1" ht="52.5" customHeight="1" x14ac:dyDescent="0.2">
      <c r="A20" s="702" t="str">
        <f>IF('3_Comp e Produtos'!B20="Sim",'3_Comp e Produtos'!A20,"NÃO SELECIONADO")</f>
        <v>4.1  Plano Estratégico e Planos Operacionais Integrados para a prevenção e controle do crime violento no território</v>
      </c>
      <c r="B20" s="719">
        <f>D20-C20</f>
        <v>812500</v>
      </c>
      <c r="C20" s="239">
        <v>0</v>
      </c>
      <c r="D20" s="720">
        <f>'10_Cronograma Físico'!AM20</f>
        <v>812500</v>
      </c>
      <c r="E20" s="719">
        <f>G20-F20</f>
        <v>812500</v>
      </c>
      <c r="F20" s="239">
        <v>0</v>
      </c>
      <c r="G20" s="720">
        <f>'10_Cronograma Físico'!AR20</f>
        <v>812500</v>
      </c>
      <c r="H20" s="719"/>
      <c r="I20" s="239">
        <v>0</v>
      </c>
      <c r="J20" s="720">
        <f>'10_Cronograma Físico'!AW20</f>
        <v>0</v>
      </c>
      <c r="K20" s="719"/>
      <c r="L20" s="239"/>
      <c r="M20" s="720">
        <f>'10_Cronograma Físico'!BB20</f>
        <v>0</v>
      </c>
      <c r="N20" s="719"/>
      <c r="O20" s="239"/>
      <c r="P20" s="720">
        <f>'10_Cronograma Físico'!BG20</f>
        <v>0</v>
      </c>
      <c r="Q20" s="709"/>
      <c r="R20" s="239"/>
      <c r="S20" s="417"/>
      <c r="T20" s="418">
        <f t="shared" ref="T20:V21" si="14">B20+E20+H20+K20+N20+Q20</f>
        <v>1625000</v>
      </c>
      <c r="U20" s="418">
        <f t="shared" si="14"/>
        <v>0</v>
      </c>
      <c r="V20" s="419">
        <f t="shared" si="14"/>
        <v>1625000</v>
      </c>
      <c r="W20" s="305"/>
      <c r="X20" s="423"/>
    </row>
    <row r="21" spans="1:24" s="294" customFormat="1" ht="27.75" customHeight="1" x14ac:dyDescent="0.2">
      <c r="A21" s="702" t="str">
        <f>IF('3_Comp e Produtos'!B21="Sim",'3_Comp e Produtos'!A21,"NÃO SELECIONADO")</f>
        <v>4.2  Sistema de Gestão de Processos e Monitoramento</v>
      </c>
      <c r="B21" s="719">
        <f>D21-C21</f>
        <v>1750000</v>
      </c>
      <c r="C21" s="239"/>
      <c r="D21" s="720">
        <f>'10_Cronograma Físico'!AM21</f>
        <v>1750000</v>
      </c>
      <c r="E21" s="719">
        <f>G21-F21</f>
        <v>1750000</v>
      </c>
      <c r="F21" s="239">
        <v>0</v>
      </c>
      <c r="G21" s="720">
        <f>'10_Cronograma Físico'!AR21</f>
        <v>1750000</v>
      </c>
      <c r="H21" s="719"/>
      <c r="I21" s="239">
        <v>0</v>
      </c>
      <c r="J21" s="720">
        <f>'10_Cronograma Físico'!AW21</f>
        <v>0</v>
      </c>
      <c r="K21" s="719"/>
      <c r="L21" s="239"/>
      <c r="M21" s="720">
        <f>'10_Cronograma Físico'!BB21</f>
        <v>0</v>
      </c>
      <c r="N21" s="719"/>
      <c r="O21" s="239"/>
      <c r="P21" s="720">
        <f>'10_Cronograma Físico'!BG21</f>
        <v>0</v>
      </c>
      <c r="Q21" s="709"/>
      <c r="R21" s="239"/>
      <c r="S21" s="417"/>
      <c r="T21" s="418">
        <f t="shared" si="14"/>
        <v>3500000</v>
      </c>
      <c r="U21" s="418">
        <f t="shared" si="14"/>
        <v>0</v>
      </c>
      <c r="V21" s="419">
        <f t="shared" si="14"/>
        <v>3500000</v>
      </c>
      <c r="W21" s="305"/>
      <c r="X21" s="423"/>
    </row>
    <row r="22" spans="1:24" s="294" customFormat="1" ht="31.5" customHeight="1" x14ac:dyDescent="0.2">
      <c r="A22" s="702" t="str">
        <f>IF('3_Comp e Produtos'!B22="Sim",'3_Comp e Produtos'!A22,"NÃO SELECIONADO")</f>
        <v xml:space="preserve">4.3  Sistema de Monitoramento dos Serviços de Proteção dos Direitos dos Jovens (Observatório)    </v>
      </c>
      <c r="B22" s="719">
        <f>D22-C22</f>
        <v>406250</v>
      </c>
      <c r="C22" s="239">
        <v>0</v>
      </c>
      <c r="D22" s="720">
        <f>'10_Cronograma Físico'!AM22</f>
        <v>406250</v>
      </c>
      <c r="E22" s="719">
        <f>G22-F22</f>
        <v>541667</v>
      </c>
      <c r="F22" s="239">
        <v>0</v>
      </c>
      <c r="G22" s="720">
        <f>'10_Cronograma Físico'!AR22</f>
        <v>541667</v>
      </c>
      <c r="H22" s="719">
        <f>J22-I22</f>
        <v>541667</v>
      </c>
      <c r="I22" s="239">
        <v>0</v>
      </c>
      <c r="J22" s="720">
        <f>'10_Cronograma Físico'!AW22</f>
        <v>541667</v>
      </c>
      <c r="K22" s="719">
        <f>M22-L22</f>
        <v>135417</v>
      </c>
      <c r="L22" s="239">
        <v>0</v>
      </c>
      <c r="M22" s="720">
        <f>'10_Cronograma Físico'!BB22</f>
        <v>135417</v>
      </c>
      <c r="N22" s="719">
        <f>P22-O22</f>
        <v>0</v>
      </c>
      <c r="O22" s="239">
        <v>0</v>
      </c>
      <c r="P22" s="720">
        <f>'10_Cronograma Físico'!BG22</f>
        <v>0</v>
      </c>
      <c r="Q22" s="709">
        <f>S22-R22</f>
        <v>0</v>
      </c>
      <c r="R22" s="239">
        <v>0</v>
      </c>
      <c r="S22" s="417">
        <f>IF($A22&lt;&gt;"NÃO SELECIONADO",'10_Cronograma Físico'!BG21,0)</f>
        <v>0</v>
      </c>
      <c r="T22" s="418">
        <f>B22+E22+H22+K22+N22</f>
        <v>1625001</v>
      </c>
      <c r="U22" s="418">
        <f>C22+F22+I22+L22+O22</f>
        <v>0</v>
      </c>
      <c r="V22" s="419">
        <f>D22+G22+J22+M22+P22</f>
        <v>1625001</v>
      </c>
      <c r="W22" s="305">
        <f>V22/2.1/1000</f>
        <v>773.81</v>
      </c>
      <c r="X22" s="423"/>
    </row>
    <row r="23" spans="1:24" s="294" customFormat="1" ht="33.75" customHeight="1" x14ac:dyDescent="0.2">
      <c r="A23" s="702" t="str">
        <f>IF('3_Comp e Produtos'!B23="Sim",'3_Comp e Produtos'!A23,"NÃO SELECIONADO")</f>
        <v>4.4  Mecanismo de articulação, coordenação, informação e consulta entre as entidades participantes</v>
      </c>
      <c r="B23" s="719">
        <f>D23-C23</f>
        <v>312500</v>
      </c>
      <c r="C23" s="239">
        <v>0</v>
      </c>
      <c r="D23" s="720">
        <f>'10_Cronograma Físico'!AM23</f>
        <v>312500</v>
      </c>
      <c r="E23" s="719">
        <f>G23-F23</f>
        <v>416667</v>
      </c>
      <c r="F23" s="239">
        <v>0</v>
      </c>
      <c r="G23" s="720">
        <f>'10_Cronograma Físico'!AR23</f>
        <v>416667</v>
      </c>
      <c r="H23" s="719">
        <f>J23-I23</f>
        <v>416667</v>
      </c>
      <c r="I23" s="239">
        <v>0</v>
      </c>
      <c r="J23" s="720">
        <f>'10_Cronograma Físico'!AW23</f>
        <v>416667</v>
      </c>
      <c r="K23" s="719">
        <f>M23-L23</f>
        <v>104167</v>
      </c>
      <c r="L23" s="239">
        <v>0</v>
      </c>
      <c r="M23" s="720">
        <f>'10_Cronograma Físico'!BB23</f>
        <v>104167</v>
      </c>
      <c r="N23" s="719">
        <f>P23-O23</f>
        <v>0</v>
      </c>
      <c r="O23" s="239">
        <v>0</v>
      </c>
      <c r="P23" s="720">
        <f>'10_Cronograma Físico'!BG23</f>
        <v>0</v>
      </c>
      <c r="Q23" s="709"/>
      <c r="R23" s="239"/>
      <c r="S23" s="417">
        <f>IF($A23&lt;&gt;"NÃO SELECIONADO",'10_Cronograma Físico'!BG22,0)</f>
        <v>0</v>
      </c>
      <c r="T23" s="418">
        <f>B23+E23+H23+K23+N23+1</f>
        <v>1250002</v>
      </c>
      <c r="U23" s="418">
        <f>C23+F23+I23+L23+O23</f>
        <v>0</v>
      </c>
      <c r="V23" s="419">
        <f>D23+G23+J23+M23+P23+1</f>
        <v>1250002</v>
      </c>
      <c r="W23" s="305"/>
      <c r="X23" s="423"/>
    </row>
    <row r="24" spans="1:24" s="306" customFormat="1" ht="22.5" customHeight="1" x14ac:dyDescent="0.2">
      <c r="A24" s="704" t="s">
        <v>29</v>
      </c>
      <c r="B24" s="721">
        <f t="shared" ref="B24:W24" si="15">SUM(B25:B26)</f>
        <v>1328100</v>
      </c>
      <c r="C24" s="82">
        <f t="shared" si="15"/>
        <v>171900</v>
      </c>
      <c r="D24" s="722">
        <f t="shared" si="15"/>
        <v>1500000</v>
      </c>
      <c r="E24" s="721">
        <f t="shared" si="15"/>
        <v>1500000</v>
      </c>
      <c r="F24" s="82">
        <f t="shared" si="15"/>
        <v>171900</v>
      </c>
      <c r="G24" s="722">
        <f t="shared" si="15"/>
        <v>1500000</v>
      </c>
      <c r="H24" s="721">
        <f t="shared" si="15"/>
        <v>1500000</v>
      </c>
      <c r="I24" s="82">
        <f t="shared" si="15"/>
        <v>171900</v>
      </c>
      <c r="J24" s="722">
        <f t="shared" si="15"/>
        <v>1500000</v>
      </c>
      <c r="K24" s="721">
        <f t="shared" si="15"/>
        <v>1500000</v>
      </c>
      <c r="L24" s="82">
        <f t="shared" si="15"/>
        <v>171900</v>
      </c>
      <c r="M24" s="722">
        <f t="shared" si="15"/>
        <v>1500000</v>
      </c>
      <c r="N24" s="721">
        <f t="shared" si="15"/>
        <v>1328100</v>
      </c>
      <c r="O24" s="82">
        <f t="shared" si="15"/>
        <v>171900</v>
      </c>
      <c r="P24" s="722">
        <f t="shared" si="15"/>
        <v>1500000</v>
      </c>
      <c r="Q24" s="710">
        <f t="shared" si="15"/>
        <v>3000000</v>
      </c>
      <c r="R24" s="82">
        <f t="shared" si="15"/>
        <v>0</v>
      </c>
      <c r="S24" s="82">
        <f t="shared" si="15"/>
        <v>3000000</v>
      </c>
      <c r="T24" s="82">
        <f t="shared" si="15"/>
        <v>7156200</v>
      </c>
      <c r="U24" s="82">
        <f t="shared" si="15"/>
        <v>859500</v>
      </c>
      <c r="V24" s="424">
        <f t="shared" si="15"/>
        <v>7500000</v>
      </c>
      <c r="W24" s="425">
        <f t="shared" si="15"/>
        <v>3571.43</v>
      </c>
      <c r="X24" s="426"/>
    </row>
    <row r="25" spans="1:24" s="294" customFormat="1" ht="18" customHeight="1" x14ac:dyDescent="0.2">
      <c r="A25" s="702" t="str">
        <f>IF('3_Comp e Produtos'!B25="Sim",'3_Comp e Produtos'!A25,"NÃO SELECIONADO")</f>
        <v>A1 - Gestão do Projeto</v>
      </c>
      <c r="B25" s="719">
        <f>D25-C25</f>
        <v>1328100</v>
      </c>
      <c r="C25" s="239">
        <f>152800*1.125</f>
        <v>171900</v>
      </c>
      <c r="D25" s="720">
        <f>'10_Cronograma Físico'!AM24</f>
        <v>1500000</v>
      </c>
      <c r="E25" s="719">
        <f>'10_Cronograma Físico'!AR24</f>
        <v>1500000</v>
      </c>
      <c r="F25" s="239">
        <f>152800*1.125</f>
        <v>171900</v>
      </c>
      <c r="G25" s="720">
        <f>'10_Cronograma Físico'!AR24</f>
        <v>1500000</v>
      </c>
      <c r="H25" s="719">
        <f>'10_Cronograma Físico'!AW24</f>
        <v>1500000</v>
      </c>
      <c r="I25" s="239">
        <f>152800*1.125</f>
        <v>171900</v>
      </c>
      <c r="J25" s="720">
        <f>'10_Cronograma Físico'!AW24</f>
        <v>1500000</v>
      </c>
      <c r="K25" s="719">
        <f>'10_Cronograma Físico'!BB24</f>
        <v>1500000</v>
      </c>
      <c r="L25" s="239">
        <f>152800*1.125</f>
        <v>171900</v>
      </c>
      <c r="M25" s="720">
        <f>'10_Cronograma Físico'!BB24</f>
        <v>1500000</v>
      </c>
      <c r="N25" s="719">
        <f>P25-O25</f>
        <v>1328100</v>
      </c>
      <c r="O25" s="239">
        <f>152800*1.125</f>
        <v>171900</v>
      </c>
      <c r="P25" s="720">
        <f>'10_Cronograma Físico'!BG24</f>
        <v>1500000</v>
      </c>
      <c r="Q25" s="709">
        <f>S25-R25</f>
        <v>1500000</v>
      </c>
      <c r="R25" s="239">
        <v>0</v>
      </c>
      <c r="S25" s="417">
        <f>IF($A25&lt;&gt;"NÃO SELECIONADO",'10_Cronograma Físico'!BG24,0)</f>
        <v>1500000</v>
      </c>
      <c r="T25" s="418">
        <f t="shared" ref="T25:V26" si="16">N25+K25+H25+E25+B25</f>
        <v>7156200</v>
      </c>
      <c r="U25" s="418">
        <f t="shared" si="16"/>
        <v>859500</v>
      </c>
      <c r="V25" s="419">
        <f t="shared" si="16"/>
        <v>7500000</v>
      </c>
      <c r="W25" s="305">
        <f>V25/2.1/1000</f>
        <v>3571.43</v>
      </c>
      <c r="X25" s="423"/>
    </row>
    <row r="26" spans="1:24" s="294" customFormat="1" x14ac:dyDescent="0.2">
      <c r="A26" s="705"/>
      <c r="B26" s="723"/>
      <c r="C26" s="724">
        <v>0</v>
      </c>
      <c r="D26" s="725"/>
      <c r="E26" s="723"/>
      <c r="F26" s="724">
        <v>0</v>
      </c>
      <c r="G26" s="725"/>
      <c r="H26" s="723"/>
      <c r="I26" s="724">
        <v>0</v>
      </c>
      <c r="J26" s="725"/>
      <c r="K26" s="723"/>
      <c r="L26" s="724">
        <v>0</v>
      </c>
      <c r="M26" s="725"/>
      <c r="N26" s="723"/>
      <c r="O26" s="724">
        <v>0</v>
      </c>
      <c r="P26" s="725"/>
      <c r="Q26" s="711">
        <f>S26-R26</f>
        <v>1500000</v>
      </c>
      <c r="R26" s="428">
        <v>0</v>
      </c>
      <c r="S26" s="427">
        <f>IF($A26&lt;&gt;"NÃO SELECIONADO",'10_Cronograma Físico'!BG25,0)</f>
        <v>1500000</v>
      </c>
      <c r="T26" s="429">
        <f t="shared" si="16"/>
        <v>0</v>
      </c>
      <c r="U26" s="429">
        <f t="shared" si="16"/>
        <v>0</v>
      </c>
      <c r="V26" s="430">
        <f t="shared" si="16"/>
        <v>0</v>
      </c>
      <c r="W26" s="305">
        <f>V26/2.1/1000</f>
        <v>0</v>
      </c>
      <c r="X26" s="423"/>
    </row>
    <row r="27" spans="1:24" x14ac:dyDescent="0.2"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431">
        <f>V27/2.1/1000</f>
        <v>0</v>
      </c>
    </row>
    <row r="28" spans="1:24" x14ac:dyDescent="0.2">
      <c r="D28" s="302"/>
      <c r="T28" s="24"/>
      <c r="U28" s="333"/>
      <c r="V28" s="333"/>
    </row>
    <row r="30" spans="1:24" x14ac:dyDescent="0.2">
      <c r="T30" s="333"/>
    </row>
  </sheetData>
  <sheetProtection selectLockedCells="1" selectUnlockedCells="1"/>
  <mergeCells count="8">
    <mergeCell ref="Q2:S2"/>
    <mergeCell ref="T2:V2"/>
    <mergeCell ref="A2:A3"/>
    <mergeCell ref="B2:D2"/>
    <mergeCell ref="E2:G2"/>
    <mergeCell ref="H2:J2"/>
    <mergeCell ref="K2:M2"/>
    <mergeCell ref="N2:P2"/>
  </mergeCells>
  <phoneticPr fontId="24" type="noConversion"/>
  <pageMargins left="0.39374999999999999" right="0.39374999999999999" top="0.78749999999999998" bottom="0.59097222222222223" header="0.31527777777777777" footer="0.31527777777777777"/>
  <pageSetup paperSize="9" scale="41" firstPageNumber="0" orientation="landscape" horizontalDpi="300" verticalDpi="300" r:id="rId1"/>
  <headerFooter alignWithMargins="0">
    <oddHeader>&amp;LBID Programa de Oportunidades e Direitos - POD&amp;CPLANO DE AÇÃO E DE INVESTIMENTOS - PAI</oddHeader>
    <oddFooter>&amp;L&amp;D&amp;C&amp;A&amp;R&amp;P / &amp;N</oddFoot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7"/>
  <sheetViews>
    <sheetView showGridLines="0" zoomScale="80" zoomScaleNormal="80" zoomScaleSheetLayoutView="70" workbookViewId="0">
      <selection activeCell="D15" sqref="D15"/>
    </sheetView>
  </sheetViews>
  <sheetFormatPr defaultColWidth="9" defaultRowHeight="12.75" x14ac:dyDescent="0.2"/>
  <cols>
    <col min="1" max="1" width="75.140625" style="432" customWidth="1"/>
    <col min="2" max="2" width="17" style="432" customWidth="1"/>
    <col min="3" max="3" width="18.85546875" style="432" customWidth="1"/>
    <col min="4" max="4" width="16.5703125" style="432" customWidth="1"/>
    <col min="5" max="6" width="0" style="294" hidden="1" customWidth="1"/>
    <col min="7" max="7" width="14.5703125" style="294" customWidth="1"/>
    <col min="8" max="8" width="12.5703125" style="294" customWidth="1"/>
    <col min="9" max="10" width="9" style="294" customWidth="1"/>
    <col min="11" max="11" width="14" style="294" customWidth="1"/>
    <col min="12" max="12" width="11.7109375" style="294" customWidth="1"/>
    <col min="13" max="16384" width="9" style="294"/>
  </cols>
  <sheetData>
    <row r="1" spans="1:7" ht="27" customHeight="1" x14ac:dyDescent="0.2">
      <c r="A1" s="320" t="s">
        <v>85</v>
      </c>
      <c r="B1" s="321"/>
      <c r="C1" s="321"/>
      <c r="D1" s="433" t="s">
        <v>37</v>
      </c>
    </row>
    <row r="2" spans="1:7" ht="12.75" customHeight="1" x14ac:dyDescent="0.2">
      <c r="A2" s="959" t="s">
        <v>86</v>
      </c>
      <c r="B2" s="434"/>
      <c r="C2" s="435" t="s">
        <v>20</v>
      </c>
      <c r="D2" s="436"/>
      <c r="E2" s="960" t="s">
        <v>87</v>
      </c>
      <c r="F2" s="961" t="s">
        <v>88</v>
      </c>
    </row>
    <row r="3" spans="1:7" x14ac:dyDescent="0.2">
      <c r="A3" s="959"/>
      <c r="B3" s="437" t="s">
        <v>82</v>
      </c>
      <c r="C3" s="438" t="s">
        <v>83</v>
      </c>
      <c r="D3" s="439" t="s">
        <v>53</v>
      </c>
      <c r="E3" s="960"/>
      <c r="F3" s="961"/>
    </row>
    <row r="4" spans="1:7" x14ac:dyDescent="0.2">
      <c r="A4" s="440" t="s">
        <v>89</v>
      </c>
      <c r="B4" s="441">
        <f>SUM(B5:B7)</f>
        <v>7156200</v>
      </c>
      <c r="C4" s="441">
        <f>SUM(C5:C7)</f>
        <v>859500</v>
      </c>
      <c r="D4" s="442">
        <f>SUM(B4:C4)</f>
        <v>8015700</v>
      </c>
      <c r="E4" s="443">
        <v>268650</v>
      </c>
      <c r="F4" s="444">
        <f>D4-E4</f>
        <v>7747050</v>
      </c>
    </row>
    <row r="5" spans="1:7" x14ac:dyDescent="0.2">
      <c r="A5" s="416" t="str">
        <f>'3_Comp e Produtos'!A25</f>
        <v>A1 - Gestão do Projeto</v>
      </c>
      <c r="B5" s="445">
        <f>'11_Distribuição por Fonte'!T25</f>
        <v>7156200</v>
      </c>
      <c r="C5" s="446">
        <f>'11_Distribuição por Fonte'!U25</f>
        <v>859500</v>
      </c>
      <c r="D5" s="447">
        <f>SUM(B5:C5)</f>
        <v>8015700</v>
      </c>
      <c r="E5" s="448"/>
      <c r="F5" s="444"/>
    </row>
    <row r="6" spans="1:7" ht="13.5" thickBot="1" x14ac:dyDescent="0.25">
      <c r="A6" s="416" t="str">
        <f>'3_Comp e Produtos'!A26</f>
        <v>A2 -Avaliação Independente</v>
      </c>
      <c r="B6" s="445">
        <f>'11_Distribuição por Fonte'!T26</f>
        <v>0</v>
      </c>
      <c r="C6" s="446">
        <f>'11_Distribuição por Fonte'!U26</f>
        <v>0</v>
      </c>
      <c r="D6" s="449">
        <f>SUM(B6:C6)</f>
        <v>0</v>
      </c>
      <c r="E6" s="448"/>
      <c r="F6" s="444"/>
    </row>
    <row r="7" spans="1:7" hidden="1" x14ac:dyDescent="0.2">
      <c r="A7" s="450" t="s">
        <v>90</v>
      </c>
      <c r="B7" s="451">
        <v>0</v>
      </c>
      <c r="C7" s="452"/>
      <c r="D7" s="449">
        <f>SUM(B7:C7)</f>
        <v>0</v>
      </c>
      <c r="E7" s="448"/>
      <c r="F7" s="444"/>
    </row>
    <row r="8" spans="1:7" ht="22.5" customHeight="1" x14ac:dyDescent="0.2">
      <c r="A8" s="440" t="s">
        <v>91</v>
      </c>
      <c r="B8" s="441">
        <f>SUM(B9:B12)</f>
        <v>119859505</v>
      </c>
      <c r="C8" s="441">
        <f>SUM(C9:C12)</f>
        <v>12640500</v>
      </c>
      <c r="D8" s="441">
        <f>SUM(D9:D12)</f>
        <v>132500005</v>
      </c>
      <c r="E8" s="448">
        <v>7856160</v>
      </c>
      <c r="F8" s="444">
        <f>D8-E8</f>
        <v>124643845</v>
      </c>
    </row>
    <row r="9" spans="1:7" x14ac:dyDescent="0.2">
      <c r="A9" s="453" t="str">
        <f>'3_Comp e Produtos'!A6</f>
        <v>COMPONENTE 1: PREVENÇÃO SOCIAL DA VIOLÊNCIA</v>
      </c>
      <c r="B9" s="454">
        <f>'11_Distribuição por Fonte'!T6</f>
        <v>37839999</v>
      </c>
      <c r="C9" s="454">
        <f>'11_Distribuição por Fonte'!U6</f>
        <v>8910000</v>
      </c>
      <c r="D9" s="455">
        <f>SUM(B9:C9)</f>
        <v>46749999</v>
      </c>
      <c r="E9" s="448"/>
      <c r="F9" s="444"/>
    </row>
    <row r="10" spans="1:7" ht="25.5" x14ac:dyDescent="0.2">
      <c r="A10" s="731" t="str">
        <f>'3_Comp e Produtos'!A11</f>
        <v xml:space="preserve">COMPONENTE 2: PREVENÇÃO SITUACIONAL E QUALIFICAÇÃO DA SEGURANÇA PÚBLICA </v>
      </c>
      <c r="B10" s="454">
        <f>'11_Distribuição por Fonte'!T11</f>
        <v>12394502</v>
      </c>
      <c r="C10" s="454">
        <f>'11_Distribuição por Fonte'!U11</f>
        <v>2605500</v>
      </c>
      <c r="D10" s="455">
        <f>SUM(B10:C10)</f>
        <v>15000002</v>
      </c>
      <c r="E10" s="448"/>
      <c r="F10" s="444"/>
    </row>
    <row r="11" spans="1:7" x14ac:dyDescent="0.2">
      <c r="A11" s="731" t="str">
        <f>'3_Comp e Produtos'!A15</f>
        <v>COMPONENTE 3: APRIMORAMENTO DO PROCESSO DE RESSOCIABILIZAÇÃO</v>
      </c>
      <c r="B11" s="454">
        <f>'11_Distribuição por Fonte'!T15</f>
        <v>61625000</v>
      </c>
      <c r="C11" s="454">
        <f>'11_Distribuição por Fonte'!U15</f>
        <v>1125000</v>
      </c>
      <c r="D11" s="455">
        <f>SUM(B11:C11)</f>
        <v>62750000</v>
      </c>
      <c r="E11" s="448"/>
      <c r="F11" s="444"/>
    </row>
    <row r="12" spans="1:7" ht="13.5" thickBot="1" x14ac:dyDescent="0.25">
      <c r="A12" s="731" t="str">
        <f>'3_Comp e Produtos'!A19</f>
        <v xml:space="preserve">COMPONENTE 4: FORTALECIMENTO INSTITUCIONAL DO EXECUTOR </v>
      </c>
      <c r="B12" s="454">
        <f>'11_Distribuição por Fonte'!T19</f>
        <v>8000004</v>
      </c>
      <c r="C12" s="454">
        <f>'11_Distribuição por Fonte'!U19</f>
        <v>0</v>
      </c>
      <c r="D12" s="455">
        <f>SUM(B12:C12)</f>
        <v>8000004</v>
      </c>
      <c r="E12" s="448"/>
      <c r="F12" s="444"/>
    </row>
    <row r="13" spans="1:7" s="460" customFormat="1" x14ac:dyDescent="0.2">
      <c r="A13" s="456" t="s">
        <v>54</v>
      </c>
      <c r="B13" s="441">
        <f>B4+B8</f>
        <v>127015705</v>
      </c>
      <c r="C13" s="441">
        <f>C4+C8</f>
        <v>13500000</v>
      </c>
      <c r="D13" s="442">
        <f>D4+D8</f>
        <v>140515705</v>
      </c>
      <c r="E13" s="457">
        <f>E4+E8</f>
        <v>8124810</v>
      </c>
      <c r="F13" s="458">
        <f>D13-E13</f>
        <v>132390895</v>
      </c>
      <c r="G13" s="459"/>
    </row>
    <row r="14" spans="1:7" s="460" customFormat="1" x14ac:dyDescent="0.2">
      <c r="A14" s="461" t="s">
        <v>58</v>
      </c>
      <c r="B14" s="462">
        <f>B13/D13</f>
        <v>0.9</v>
      </c>
      <c r="C14" s="462">
        <f>C13/D13</f>
        <v>0.1</v>
      </c>
      <c r="D14" s="463"/>
      <c r="E14" s="464"/>
      <c r="F14" s="465"/>
    </row>
    <row r="15" spans="1:7" x14ac:dyDescent="0.2">
      <c r="A15" s="466" t="s">
        <v>92</v>
      </c>
      <c r="B15" s="454">
        <f>B37*1.8</f>
        <v>0</v>
      </c>
      <c r="C15" s="454">
        <f>C37*1.8</f>
        <v>0</v>
      </c>
      <c r="D15" s="455">
        <f>SUM(B15:C15)</f>
        <v>0</v>
      </c>
      <c r="E15" s="448"/>
      <c r="F15" s="444"/>
    </row>
    <row r="16" spans="1:7" x14ac:dyDescent="0.2">
      <c r="A16" s="467" t="s">
        <v>93</v>
      </c>
      <c r="B16" s="468"/>
      <c r="C16" s="469"/>
      <c r="D16" s="470">
        <f>C16</f>
        <v>0</v>
      </c>
      <c r="E16" s="448"/>
      <c r="F16" s="444"/>
    </row>
    <row r="17" spans="1:12" s="474" customFormat="1" x14ac:dyDescent="0.2">
      <c r="A17" s="303" t="s">
        <v>94</v>
      </c>
      <c r="B17" s="471">
        <f>B13+B15</f>
        <v>127015705</v>
      </c>
      <c r="C17" s="471">
        <f>C15+C13</f>
        <v>13500000</v>
      </c>
      <c r="D17" s="472">
        <f>D15+D13</f>
        <v>140515705</v>
      </c>
      <c r="E17" s="448"/>
      <c r="F17" s="444"/>
      <c r="G17" s="473"/>
      <c r="H17" s="473"/>
    </row>
    <row r="18" spans="1:12" x14ac:dyDescent="0.2">
      <c r="A18" s="475" t="s">
        <v>58</v>
      </c>
      <c r="B18" s="476">
        <f>B17/D17</f>
        <v>0.9</v>
      </c>
      <c r="C18" s="476">
        <f>C17/D17</f>
        <v>0.1</v>
      </c>
      <c r="D18" s="477">
        <v>1</v>
      </c>
      <c r="E18" s="478"/>
      <c r="F18" s="479"/>
      <c r="H18" s="334"/>
    </row>
    <row r="20" spans="1:12" x14ac:dyDescent="0.2">
      <c r="B20" s="24"/>
    </row>
    <row r="21" spans="1:12" x14ac:dyDescent="0.2">
      <c r="B21" s="24"/>
    </row>
    <row r="22" spans="1:12" x14ac:dyDescent="0.2">
      <c r="K22" s="334"/>
    </row>
    <row r="23" spans="1:12" ht="27" customHeight="1" x14ac:dyDescent="0.2">
      <c r="A23" s="480" t="s">
        <v>95</v>
      </c>
      <c r="B23" s="481" t="s">
        <v>65</v>
      </c>
      <c r="C23" s="482" t="s">
        <v>96</v>
      </c>
      <c r="D23" s="483">
        <f>'9_Consolidação Tipo Recurso'!H20</f>
        <v>2.5</v>
      </c>
    </row>
    <row r="24" spans="1:12" ht="12.75" customHeight="1" x14ac:dyDescent="0.2">
      <c r="A24" s="962" t="s">
        <v>86</v>
      </c>
      <c r="B24" s="484"/>
      <c r="C24" s="485" t="s">
        <v>19</v>
      </c>
      <c r="D24" s="486"/>
    </row>
    <row r="25" spans="1:12" x14ac:dyDescent="0.2">
      <c r="A25" s="962"/>
      <c r="B25" s="487" t="s">
        <v>82</v>
      </c>
      <c r="C25" s="488" t="s">
        <v>83</v>
      </c>
      <c r="D25" s="489" t="s">
        <v>53</v>
      </c>
      <c r="L25" s="490"/>
    </row>
    <row r="26" spans="1:12" ht="19.5" customHeight="1" x14ac:dyDescent="0.2">
      <c r="A26" s="440" t="s">
        <v>89</v>
      </c>
      <c r="B26" s="441">
        <f>SUM(B27:B29)</f>
        <v>2862480</v>
      </c>
      <c r="C26" s="441">
        <f>SUM(C27:C29)</f>
        <v>343800</v>
      </c>
      <c r="D26" s="442">
        <f>SUM(B26:C26)</f>
        <v>3206280</v>
      </c>
      <c r="G26" s="334"/>
    </row>
    <row r="27" spans="1:12" ht="18" customHeight="1" x14ac:dyDescent="0.2">
      <c r="A27" s="416" t="str">
        <f>A5</f>
        <v>A1 - Gestão do Projeto</v>
      </c>
      <c r="B27" s="454">
        <f t="shared" ref="B27:C29" si="0">B5/$D$23</f>
        <v>2862480</v>
      </c>
      <c r="C27" s="491">
        <f t="shared" si="0"/>
        <v>343800</v>
      </c>
      <c r="D27" s="447">
        <f>SUM(B27:C27)</f>
        <v>3206280</v>
      </c>
      <c r="G27" s="334"/>
    </row>
    <row r="28" spans="1:12" ht="20.25" customHeight="1" thickBot="1" x14ac:dyDescent="0.25">
      <c r="A28" s="416" t="str">
        <f>A6</f>
        <v>A2 -Avaliação Independente</v>
      </c>
      <c r="B28" s="454">
        <f t="shared" si="0"/>
        <v>0</v>
      </c>
      <c r="C28" s="491">
        <f t="shared" si="0"/>
        <v>0</v>
      </c>
      <c r="D28" s="449">
        <f>SUM(B28:C28)</f>
        <v>0</v>
      </c>
      <c r="G28" s="334"/>
      <c r="K28" s="492"/>
    </row>
    <row r="29" spans="1:12" hidden="1" x14ac:dyDescent="0.2">
      <c r="A29" s="450" t="s">
        <v>90</v>
      </c>
      <c r="B29" s="454">
        <f t="shared" si="0"/>
        <v>0</v>
      </c>
      <c r="C29" s="491">
        <f t="shared" si="0"/>
        <v>0</v>
      </c>
      <c r="D29" s="493">
        <f>SUM(B29:C29)</f>
        <v>0</v>
      </c>
    </row>
    <row r="30" spans="1:12" ht="17.25" customHeight="1" x14ac:dyDescent="0.2">
      <c r="A30" s="440" t="s">
        <v>91</v>
      </c>
      <c r="B30" s="441">
        <f>SUM(B31:B34)</f>
        <v>47943803</v>
      </c>
      <c r="C30" s="441">
        <f>SUM(C31:C34)</f>
        <v>5056200</v>
      </c>
      <c r="D30" s="442">
        <f>SUM(D31:D34)</f>
        <v>53000003</v>
      </c>
      <c r="G30" s="334"/>
    </row>
    <row r="31" spans="1:12" x14ac:dyDescent="0.2">
      <c r="A31" s="453" t="s">
        <v>227</v>
      </c>
      <c r="B31" s="454">
        <f>B9/$D$23</f>
        <v>15136000</v>
      </c>
      <c r="C31" s="454">
        <f>C9/$D$23</f>
        <v>3564000</v>
      </c>
      <c r="D31" s="454">
        <f>D9/$D$23</f>
        <v>18700000</v>
      </c>
      <c r="G31" s="334"/>
    </row>
    <row r="32" spans="1:12" ht="25.5" customHeight="1" x14ac:dyDescent="0.2">
      <c r="A32" s="731" t="s">
        <v>213</v>
      </c>
      <c r="B32" s="454">
        <f t="shared" ref="B32:D34" si="1">B10/$D$23</f>
        <v>4957801</v>
      </c>
      <c r="C32" s="454">
        <f t="shared" si="1"/>
        <v>1042200</v>
      </c>
      <c r="D32" s="454">
        <f t="shared" si="1"/>
        <v>6000001</v>
      </c>
      <c r="G32" s="334"/>
    </row>
    <row r="33" spans="1:7" x14ac:dyDescent="0.2">
      <c r="A33" s="731" t="s">
        <v>225</v>
      </c>
      <c r="B33" s="454">
        <f t="shared" si="1"/>
        <v>24650000</v>
      </c>
      <c r="C33" s="454">
        <f t="shared" si="1"/>
        <v>450000</v>
      </c>
      <c r="D33" s="454">
        <f t="shared" si="1"/>
        <v>25100000</v>
      </c>
      <c r="G33" s="334"/>
    </row>
    <row r="34" spans="1:7" ht="13.5" thickBot="1" x14ac:dyDescent="0.25">
      <c r="A34" s="731" t="s">
        <v>209</v>
      </c>
      <c r="B34" s="454">
        <f t="shared" si="1"/>
        <v>3200002</v>
      </c>
      <c r="C34" s="454">
        <f t="shared" si="1"/>
        <v>0</v>
      </c>
      <c r="D34" s="454">
        <f t="shared" si="1"/>
        <v>3200002</v>
      </c>
      <c r="G34" s="334"/>
    </row>
    <row r="35" spans="1:7" ht="21" customHeight="1" x14ac:dyDescent="0.2">
      <c r="A35" s="456" t="s">
        <v>54</v>
      </c>
      <c r="B35" s="441">
        <f>B26+B30</f>
        <v>50806283</v>
      </c>
      <c r="C35" s="441">
        <f>C26+C30</f>
        <v>5400000</v>
      </c>
      <c r="D35" s="442">
        <f>D26+D30</f>
        <v>56206283</v>
      </c>
      <c r="G35" s="334"/>
    </row>
    <row r="36" spans="1:7" s="460" customFormat="1" ht="22.5" customHeight="1" x14ac:dyDescent="0.2">
      <c r="A36" s="461" t="s">
        <v>58</v>
      </c>
      <c r="B36" s="462">
        <f>B35/D35</f>
        <v>0.9</v>
      </c>
      <c r="C36" s="462">
        <f>C35/D35</f>
        <v>0.1</v>
      </c>
      <c r="D36" s="463"/>
      <c r="E36" s="464"/>
      <c r="F36" s="465"/>
      <c r="G36" s="459"/>
    </row>
    <row r="37" spans="1:7" ht="18" customHeight="1" x14ac:dyDescent="0.2">
      <c r="A37" s="466" t="s">
        <v>92</v>
      </c>
      <c r="B37" s="494">
        <v>0</v>
      </c>
      <c r="C37" s="495">
        <v>0</v>
      </c>
      <c r="D37" s="496">
        <v>0</v>
      </c>
      <c r="G37" s="334"/>
    </row>
    <row r="38" spans="1:7" ht="21" customHeight="1" thickBot="1" x14ac:dyDescent="0.25">
      <c r="A38" s="497" t="s">
        <v>93</v>
      </c>
      <c r="B38" s="498">
        <f>B16/$D$23</f>
        <v>0</v>
      </c>
      <c r="C38" s="499">
        <f>C16/$D$23</f>
        <v>0</v>
      </c>
      <c r="D38" s="500">
        <f>C38</f>
        <v>0</v>
      </c>
      <c r="G38" s="334"/>
    </row>
    <row r="39" spans="1:7" ht="13.5" thickBot="1" x14ac:dyDescent="0.25">
      <c r="A39" s="501" t="s">
        <v>94</v>
      </c>
      <c r="B39" s="441">
        <f>B35+B37</f>
        <v>50806283</v>
      </c>
      <c r="C39" s="734">
        <f>C37+C35</f>
        <v>5400000</v>
      </c>
      <c r="D39" s="736">
        <f>D37+D35</f>
        <v>56206283</v>
      </c>
      <c r="G39" s="334"/>
    </row>
    <row r="40" spans="1:7" ht="13.5" thickBot="1" x14ac:dyDescent="0.25">
      <c r="A40" s="475" t="s">
        <v>58</v>
      </c>
      <c r="B40" s="476">
        <f>B39/D39</f>
        <v>0.9</v>
      </c>
      <c r="C40" s="476">
        <f>C39/D39</f>
        <v>0.1</v>
      </c>
      <c r="D40" s="735">
        <v>1</v>
      </c>
      <c r="G40" s="334"/>
    </row>
    <row r="41" spans="1:7" x14ac:dyDescent="0.2">
      <c r="A41" s="502"/>
      <c r="B41" s="503"/>
      <c r="C41" s="504"/>
      <c r="D41" s="24"/>
    </row>
    <row r="42" spans="1:7" x14ac:dyDescent="0.2">
      <c r="A42" s="505"/>
      <c r="B42" s="506"/>
      <c r="C42" s="506"/>
      <c r="D42" s="24"/>
    </row>
    <row r="43" spans="1:7" x14ac:dyDescent="0.2">
      <c r="A43" s="505"/>
      <c r="B43" s="504"/>
    </row>
    <row r="44" spans="1:7" x14ac:dyDescent="0.2">
      <c r="A44" s="505"/>
      <c r="B44" s="507"/>
      <c r="C44" s="504"/>
      <c r="D44" s="33"/>
    </row>
    <row r="45" spans="1:7" x14ac:dyDescent="0.2">
      <c r="A45" s="505"/>
      <c r="B45" s="508"/>
    </row>
    <row r="46" spans="1:7" x14ac:dyDescent="0.2">
      <c r="C46" s="507"/>
    </row>
    <row r="47" spans="1:7" x14ac:dyDescent="0.2">
      <c r="B47" s="504"/>
      <c r="C47" s="507"/>
    </row>
  </sheetData>
  <sheetProtection selectLockedCells="1" selectUnlockedCells="1"/>
  <mergeCells count="4">
    <mergeCell ref="A2:A3"/>
    <mergeCell ref="E2:E3"/>
    <mergeCell ref="F2:F3"/>
    <mergeCell ref="A24:A25"/>
  </mergeCells>
  <phoneticPr fontId="24" type="noConversion"/>
  <conditionalFormatting sqref="B4:C4 B26:C26">
    <cfRule type="cellIs" dxfId="1" priority="1" stopIfTrue="1" operator="notEqual">
      <formula>$D$4*"'10_Orçamento Global'.$#REF!$#REF!"</formula>
    </cfRule>
  </conditionalFormatting>
  <conditionalFormatting sqref="B8:B11 B30:D30 C8:C12 D8">
    <cfRule type="cellIs" dxfId="0" priority="2" stopIfTrue="1" operator="notEqual">
      <formula>$D$8*"'10_Orçamento Global'.$#REF!$#REF!"</formula>
    </cfRule>
  </conditionalFormatting>
  <printOptions horizontalCentered="1"/>
  <pageMargins left="0.39374999999999999" right="0.39374999999999999" top="0.78749999999999998" bottom="0.59097222222222223" header="0.31527777777777777" footer="0.31527777777777777"/>
  <pageSetup paperSize="9" scale="77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40"/>
  <sheetViews>
    <sheetView zoomScale="80" zoomScaleNormal="80" workbookViewId="0">
      <selection activeCell="A14" sqref="A14"/>
    </sheetView>
  </sheetViews>
  <sheetFormatPr defaultRowHeight="12.75" x14ac:dyDescent="0.2"/>
  <cols>
    <col min="1" max="1" width="59.5703125" style="21" customWidth="1"/>
    <col min="2" max="3" width="0" hidden="1" customWidth="1"/>
    <col min="4" max="4" width="10.85546875" customWidth="1"/>
    <col min="5" max="5" width="11.140625" customWidth="1"/>
    <col min="6" max="6" width="13.7109375" customWidth="1"/>
    <col min="7" max="7" width="15" customWidth="1"/>
    <col min="8" max="8" width="14.85546875" customWidth="1"/>
    <col min="9" max="9" width="11.85546875" customWidth="1"/>
    <col min="10" max="10" width="14" customWidth="1"/>
    <col min="11" max="11" width="15.7109375" customWidth="1"/>
  </cols>
  <sheetData>
    <row r="1" spans="1:11" ht="28.5" customHeight="1" x14ac:dyDescent="0.2">
      <c r="A1" s="249" t="s">
        <v>217</v>
      </c>
      <c r="B1" s="336"/>
      <c r="C1" s="509"/>
      <c r="D1" s="509"/>
      <c r="E1" s="509"/>
      <c r="F1" s="509"/>
      <c r="G1" s="509"/>
      <c r="H1" s="509"/>
      <c r="I1" s="509"/>
      <c r="J1" s="509"/>
      <c r="K1" s="510"/>
    </row>
    <row r="2" spans="1:11" ht="13.5" customHeight="1" x14ac:dyDescent="0.2">
      <c r="A2" s="968" t="s">
        <v>97</v>
      </c>
      <c r="B2" s="969" t="s">
        <v>34</v>
      </c>
      <c r="C2" s="966" t="s">
        <v>35</v>
      </c>
      <c r="D2" s="966" t="s">
        <v>98</v>
      </c>
      <c r="E2" s="966" t="s">
        <v>71</v>
      </c>
      <c r="F2" s="966" t="s">
        <v>99</v>
      </c>
      <c r="G2" s="966" t="s">
        <v>100</v>
      </c>
      <c r="H2" s="967" t="s">
        <v>101</v>
      </c>
      <c r="I2" s="967"/>
      <c r="J2" s="964" t="s">
        <v>102</v>
      </c>
      <c r="K2" s="964"/>
    </row>
    <row r="3" spans="1:11" x14ac:dyDescent="0.2">
      <c r="A3" s="968"/>
      <c r="B3" s="969"/>
      <c r="C3" s="966"/>
      <c r="D3" s="966"/>
      <c r="E3" s="966"/>
      <c r="F3" s="966"/>
      <c r="G3" s="966"/>
      <c r="H3" s="511" t="s">
        <v>45</v>
      </c>
      <c r="I3" s="511" t="s">
        <v>103</v>
      </c>
      <c r="J3" s="511" t="s">
        <v>45</v>
      </c>
      <c r="K3" s="512" t="s">
        <v>104</v>
      </c>
    </row>
    <row r="4" spans="1:11" ht="12" customHeight="1" x14ac:dyDescent="0.2"/>
    <row r="5" spans="1:11" hidden="1" x14ac:dyDescent="0.2"/>
    <row r="6" spans="1:11" ht="26.25" customHeight="1" x14ac:dyDescent="0.2">
      <c r="A6" s="965" t="str">
        <f>'3_Comp e Produtos'!A6</f>
        <v>COMPONENTE 1: PREVENÇÃO SOCIAL DA VIOLÊNCIA</v>
      </c>
      <c r="B6" s="965"/>
      <c r="C6" s="965"/>
      <c r="D6" s="965"/>
      <c r="E6" s="965"/>
      <c r="F6" s="743">
        <f>SUM(F7:F17)</f>
        <v>43383750</v>
      </c>
      <c r="G6" s="513" t="e">
        <f>SUM(G7:G17)</f>
        <v>#REF!</v>
      </c>
      <c r="H6" s="513" t="e">
        <f>SUM(H7:H17)</f>
        <v>#REF!</v>
      </c>
      <c r="I6" s="513">
        <f>SUM(I7:I14)</f>
        <v>0</v>
      </c>
      <c r="J6" s="513" t="e">
        <f>SUM(J7:J17)</f>
        <v>#REF!</v>
      </c>
      <c r="K6" s="514">
        <f>SUM(K7:K14)</f>
        <v>0</v>
      </c>
    </row>
    <row r="7" spans="1:11" ht="36.75" customHeight="1" x14ac:dyDescent="0.2">
      <c r="A7" s="515" t="str">
        <f>'10_Cronograma Físico'!A7</f>
        <v xml:space="preserve">1.1 Construção de 06 (seis) Centros POD Juventude </v>
      </c>
      <c r="B7" s="516" t="e">
        <f>IF($A7&lt;&gt;"NÃO SELECIONADO",#REF!,"")</f>
        <v>#REF!</v>
      </c>
      <c r="C7" s="516" t="e">
        <f>IF($A7&lt;&gt;"NÃO SELECIONADO",#REF!,"")</f>
        <v>#REF!</v>
      </c>
      <c r="D7" s="517">
        <f>'10_Cronograma Físico'!B7</f>
        <v>42095</v>
      </c>
      <c r="E7" s="517">
        <f>IF($A7&lt;&gt;"NÃO SELECIONADO",'10_Cronograma Físico'!D7,"")</f>
        <v>42815</v>
      </c>
      <c r="F7" s="518">
        <f>IF($A7&lt;&gt;"NÃO SELECIONADO",'10_Cronograma Físico'!AC7,"")</f>
        <v>34257500</v>
      </c>
      <c r="G7" s="519">
        <f>SUM('10_Cronograma Físico'!AH7:AL7)</f>
        <v>12846563</v>
      </c>
      <c r="H7" s="519">
        <f>G7-J7</f>
        <v>10686563</v>
      </c>
      <c r="I7" s="519">
        <v>0</v>
      </c>
      <c r="J7" s="519">
        <f>'11_Distribuição por Fonte'!C7+'11_Distribuição por Fonte'!F7</f>
        <v>2160000</v>
      </c>
      <c r="K7" s="520">
        <v>0</v>
      </c>
    </row>
    <row r="8" spans="1:11" ht="48" customHeight="1" x14ac:dyDescent="0.2">
      <c r="A8" s="284" t="str">
        <f>IF('3_Comp e Produtos'!F8="Sim",'3_Comp e Produtos'!A8,"NÃO SELECIONADO")</f>
        <v xml:space="preserve">1.2 Ações voltadas ao sistema educativo e à inclusão ao mercado de trabalho para aumento de escolaridade e inserção laboral </v>
      </c>
      <c r="B8" s="268" t="e">
        <f>IF($A8&lt;&gt;"NÃO SELECIONADO",#REF!,"")</f>
        <v>#REF!</v>
      </c>
      <c r="C8" s="268" t="e">
        <f>IF($A8&lt;&gt;"NÃO SELECIONADO",#REF!,"")</f>
        <v>#REF!</v>
      </c>
      <c r="D8" s="521">
        <f>IF($A8&lt;&gt;"NÃO SELECIONADO",'10_Cronograma Físico'!B8,"")</f>
        <v>42005</v>
      </c>
      <c r="E8" s="521">
        <f>IF($A8&lt;&gt;"NÃO SELECIONADO",'10_Cronograma Físico'!D8,"")</f>
        <v>43085</v>
      </c>
      <c r="F8" s="522">
        <f>IF($A8&lt;&gt;"NÃO SELECIONADO",'10_Cronograma Físico'!AC8,"")</f>
        <v>4500000</v>
      </c>
      <c r="G8" s="523">
        <f>SUM('10_Cronograma Físico'!AH8:AL8)</f>
        <v>1500000</v>
      </c>
      <c r="H8" s="523">
        <f>G8-J8</f>
        <v>-1200000</v>
      </c>
      <c r="I8" s="523">
        <v>0</v>
      </c>
      <c r="J8" s="523">
        <f>'11_Distribuição por Fonte'!C8+'11_Distribuição por Fonte'!F8</f>
        <v>2700000</v>
      </c>
      <c r="K8" s="524">
        <v>0</v>
      </c>
    </row>
    <row r="9" spans="1:11" ht="37.5" customHeight="1" x14ac:dyDescent="0.2">
      <c r="A9" s="284" t="str">
        <f>IF('3_Comp e Produtos'!F10="Sim",'3_Comp e Produtos'!A10,"NÃO SELECIONADO")</f>
        <v>1.4  Reforma de espaços públicos com acessibilidade para pessoas com deficiência</v>
      </c>
      <c r="B9" s="268" t="e">
        <f>IF($A9&lt;&gt;"NÃO SELECIONADO",#REF!,"")</f>
        <v>#REF!</v>
      </c>
      <c r="C9" s="268" t="e">
        <f>IF($A9&lt;&gt;"NÃO SELECIONADO",#REF!,"")</f>
        <v>#REF!</v>
      </c>
      <c r="D9" s="521">
        <f>IF($A9&lt;&gt;"NÃO SELECIONADO",'10_Cronograma Físico'!B10,"")</f>
        <v>42005</v>
      </c>
      <c r="E9" s="521">
        <f>IF($A9&lt;&gt;"NÃO SELECIONADO",'10_Cronograma Físico'!D10,"")</f>
        <v>42527</v>
      </c>
      <c r="F9" s="522">
        <f>IF($A9&lt;&gt;"NÃO SELECIONADO",'10_Cronograma Físico'!AC10,"")</f>
        <v>2500000</v>
      </c>
      <c r="G9" s="523">
        <f>H9+J9</f>
        <v>144000</v>
      </c>
      <c r="H9" s="523">
        <v>144000</v>
      </c>
      <c r="I9" s="523">
        <v>0</v>
      </c>
      <c r="J9" s="523">
        <f>'11_Distribuição por Fonte'!C10+'11_Distribuição por Fonte'!F10</f>
        <v>0</v>
      </c>
      <c r="K9" s="524">
        <v>0</v>
      </c>
    </row>
    <row r="10" spans="1:11" ht="46.5" customHeight="1" x14ac:dyDescent="0.2">
      <c r="A10" s="284" t="str">
        <f>IF('3_Comp e Produtos'!F14="Sim",'3_Comp e Produtos'!A14,"NÃO SELECIONADO")</f>
        <v>2.3  Implementação do policiamento comunitário e fortalecimento e integração do efetivo policial com a comunidade</v>
      </c>
      <c r="B10" s="268" t="e">
        <f>IF($A10&lt;&gt;"NÃO SELECIONADO",#REF!,"")</f>
        <v>#REF!</v>
      </c>
      <c r="C10" s="268" t="e">
        <f>IF($A10&lt;&gt;"NÃO SELECIONADO",#REF!,"")</f>
        <v>#REF!</v>
      </c>
      <c r="D10" s="521">
        <f>IF($A10&lt;&gt;"NÃO SELECIONADO",'10_Cronograma Físico'!B12,"")</f>
        <v>42095</v>
      </c>
      <c r="E10" s="521">
        <f>IF($A10&lt;&gt;"NÃO SELECIONADO",'10_Cronograma Físico'!D12,"")</f>
        <v>43535</v>
      </c>
      <c r="F10" s="522">
        <f>IF($A10&lt;&gt;"NÃO SELECIONADO",'10_Cronograma Físico'!AC12,"")</f>
        <v>2126250</v>
      </c>
      <c r="G10" s="523">
        <f>SUM('10_Cronograma Físico'!AH12:AL12)</f>
        <v>398672</v>
      </c>
      <c r="H10" s="523">
        <f>G10-J10</f>
        <v>-2004328</v>
      </c>
      <c r="I10" s="523">
        <v>0</v>
      </c>
      <c r="J10" s="523">
        <f>'11_Distribuição por Fonte'!C14+'11_Distribuição por Fonte'!F14</f>
        <v>2403000</v>
      </c>
      <c r="K10" s="524">
        <v>0</v>
      </c>
    </row>
    <row r="11" spans="1:11" ht="54.75" customHeight="1" x14ac:dyDescent="0.2">
      <c r="A11" s="284" t="str">
        <f t="shared" ref="A11:A17" si="0">IF("$'3_Comp e Produtos'.#REF!#REF!"="Sim","$'3_Comp e Produtos'.#REF!#REF!","NÃO SELECIONADO")</f>
        <v>NÃO SELECIONADO</v>
      </c>
      <c r="B11" s="268" t="str">
        <f t="shared" ref="B11:C17" si="1">IF($A11&lt;&gt;"NÃO SELECIONADO","$'5_Componente 2'.#REF!#REF!","")</f>
        <v/>
      </c>
      <c r="C11" s="268" t="str">
        <f t="shared" si="1"/>
        <v/>
      </c>
      <c r="D11" s="521" t="str">
        <f>IF($A11&lt;&gt;"NÃO SELECIONADO",'10_Cronograma Físico'!B13,"")</f>
        <v/>
      </c>
      <c r="E11" s="521" t="str">
        <f>IF($A11&lt;&gt;"NÃO SELECIONADO",'10_Cronograma Físico'!D13,"")</f>
        <v/>
      </c>
      <c r="F11" s="522" t="str">
        <f>IF($A11&lt;&gt;"NÃO SELECIONADO",'10_Cronograma Físico'!AC13,"")</f>
        <v/>
      </c>
      <c r="G11" s="523" t="e">
        <f>H11+J11</f>
        <v>#REF!</v>
      </c>
      <c r="H11" s="523">
        <v>151000</v>
      </c>
      <c r="I11" s="523">
        <v>0</v>
      </c>
      <c r="J11" s="523" t="e">
        <f>'11_Distribuição por Fonte'!#REF!+'11_Distribuição por Fonte'!#REF!</f>
        <v>#REF!</v>
      </c>
      <c r="K11" s="524">
        <v>0</v>
      </c>
    </row>
    <row r="12" spans="1:11" ht="47.25" customHeight="1" x14ac:dyDescent="0.2">
      <c r="A12" s="284" t="str">
        <f t="shared" si="0"/>
        <v>NÃO SELECIONADO</v>
      </c>
      <c r="B12" s="268" t="str">
        <f t="shared" si="1"/>
        <v/>
      </c>
      <c r="C12" s="268" t="str">
        <f t="shared" si="1"/>
        <v/>
      </c>
      <c r="D12" s="521" t="str">
        <f>IF($A12&lt;&gt;"NÃO SELECIONADO",'10_Cronograma Físico'!B14,"")</f>
        <v/>
      </c>
      <c r="E12" s="521" t="str">
        <f>IF($A12&lt;&gt;"NÃO SELECIONADO",'10_Cronograma Físico'!D14,"")</f>
        <v/>
      </c>
      <c r="F12" s="522" t="str">
        <f>IF($A12&lt;&gt;"NÃO SELECIONADO",'10_Cronograma Físico'!AC14,"")</f>
        <v/>
      </c>
      <c r="G12" s="523">
        <f>SUM('10_Cronograma Físico'!AH14:AL14)</f>
        <v>4597500</v>
      </c>
      <c r="H12" s="523" t="e">
        <f>G12-J12</f>
        <v>#REF!</v>
      </c>
      <c r="I12" s="523">
        <v>0</v>
      </c>
      <c r="J12" s="523" t="e">
        <f>'11_Distribuição por Fonte'!#REF!+'11_Distribuição por Fonte'!#REF!</f>
        <v>#REF!</v>
      </c>
      <c r="K12" s="524">
        <v>0</v>
      </c>
    </row>
    <row r="13" spans="1:11" ht="54.75" customHeight="1" x14ac:dyDescent="0.2">
      <c r="A13" s="284" t="str">
        <f t="shared" si="0"/>
        <v>NÃO SELECIONADO</v>
      </c>
      <c r="B13" s="268" t="str">
        <f t="shared" si="1"/>
        <v/>
      </c>
      <c r="C13" s="268" t="str">
        <f t="shared" si="1"/>
        <v/>
      </c>
      <c r="D13" s="521" t="str">
        <f>IF($A13&lt;&gt;"NÃO SELECIONADO",'10_Cronograma Físico'!#REF!,"")</f>
        <v/>
      </c>
      <c r="E13" s="521" t="str">
        <f>IF($A13&lt;&gt;"NÃO SELECIONADO",'10_Cronograma Físico'!#REF!,"")</f>
        <v/>
      </c>
      <c r="F13" s="522" t="str">
        <f>IF($A13&lt;&gt;"NÃO SELECIONADO",'10_Cronograma Físico'!#REF!,"")</f>
        <v/>
      </c>
      <c r="G13" s="523" t="e">
        <f>SUM('10_Cronograma Físico'!#REF!)</f>
        <v>#REF!</v>
      </c>
      <c r="H13" s="523" t="e">
        <f>G13-J13</f>
        <v>#REF!</v>
      </c>
      <c r="I13" s="523">
        <v>0</v>
      </c>
      <c r="J13" s="523" t="e">
        <f>'11_Distribuição por Fonte'!#REF!+'11_Distribuição por Fonte'!#REF!</f>
        <v>#REF!</v>
      </c>
      <c r="K13" s="524">
        <v>0</v>
      </c>
    </row>
    <row r="14" spans="1:11" ht="40.5" customHeight="1" x14ac:dyDescent="0.2">
      <c r="A14" s="284" t="str">
        <f t="shared" si="0"/>
        <v>NÃO SELECIONADO</v>
      </c>
      <c r="B14" s="268" t="str">
        <f t="shared" si="1"/>
        <v/>
      </c>
      <c r="C14" s="268" t="str">
        <f t="shared" si="1"/>
        <v/>
      </c>
      <c r="D14" s="521" t="str">
        <f>IF($A14&lt;&gt;"NÃO SELECIONADO",'10_Cronograma Físico'!#REF!,"")</f>
        <v/>
      </c>
      <c r="E14" s="521" t="str">
        <f>IF($A14&lt;&gt;"NÃO SELECIONADO",'10_Cronograma Físico'!#REF!,"")</f>
        <v/>
      </c>
      <c r="F14" s="522" t="str">
        <f>IF($A14&lt;&gt;"NÃO SELECIONADO",'10_Cronograma Físico'!#REF!,"")</f>
        <v/>
      </c>
      <c r="G14" s="523" t="e">
        <f>SUM('10_Cronograma Físico'!#REF!)</f>
        <v>#REF!</v>
      </c>
      <c r="H14" s="523" t="e">
        <f>G14-J14</f>
        <v>#REF!</v>
      </c>
      <c r="I14" s="523">
        <v>0</v>
      </c>
      <c r="J14" s="523" t="e">
        <f>'11_Distribuição por Fonte'!#REF!+'11_Distribuição por Fonte'!#REF!</f>
        <v>#REF!</v>
      </c>
      <c r="K14" s="524">
        <v>0</v>
      </c>
    </row>
    <row r="15" spans="1:11" ht="33.75" customHeight="1" x14ac:dyDescent="0.2">
      <c r="A15" s="284" t="str">
        <f t="shared" si="0"/>
        <v>NÃO SELECIONADO</v>
      </c>
      <c r="B15" s="268" t="str">
        <f t="shared" si="1"/>
        <v/>
      </c>
      <c r="C15" s="268" t="str">
        <f t="shared" si="1"/>
        <v/>
      </c>
      <c r="D15" s="521" t="str">
        <f>IF($A15&lt;&gt;"NÃO SELECIONADO",'10_Cronograma Físico'!B15,"")</f>
        <v/>
      </c>
      <c r="E15" s="521" t="str">
        <f>IF($A15&lt;&gt;"NÃO SELECIONADO",'10_Cronograma Físico'!D15,"")</f>
        <v/>
      </c>
      <c r="F15" s="522" t="str">
        <f>IF($A15&lt;&gt;"NÃO SELECIONADO",'10_Cronograma Físico'!AC15,"")</f>
        <v/>
      </c>
      <c r="G15" s="523" t="e">
        <f>H15+J15</f>
        <v>#REF!</v>
      </c>
      <c r="H15" s="523">
        <f>244583+322659</f>
        <v>567242</v>
      </c>
      <c r="I15" s="523">
        <v>0</v>
      </c>
      <c r="J15" s="523" t="e">
        <f>'11_Distribuição por Fonte'!#REF!+'11_Distribuição por Fonte'!#REF!</f>
        <v>#REF!</v>
      </c>
      <c r="K15" s="524">
        <v>0</v>
      </c>
    </row>
    <row r="16" spans="1:11" ht="36" customHeight="1" x14ac:dyDescent="0.2">
      <c r="A16" s="284" t="str">
        <f t="shared" si="0"/>
        <v>NÃO SELECIONADO</v>
      </c>
      <c r="B16" s="268" t="str">
        <f t="shared" si="1"/>
        <v/>
      </c>
      <c r="C16" s="268" t="str">
        <f t="shared" si="1"/>
        <v/>
      </c>
      <c r="D16" s="521" t="str">
        <f>IF($A16&lt;&gt;"NÃO SELECIONADO",'10_Cronograma Físico'!B16,"")</f>
        <v/>
      </c>
      <c r="E16" s="521" t="str">
        <f>IF($A16&lt;&gt;"NÃO SELECIONADO",'10_Cronograma Físico'!D16,"")</f>
        <v/>
      </c>
      <c r="F16" s="522" t="str">
        <f>IF($A16&lt;&gt;"NÃO SELECIONADO",'10_Cronograma Físico'!AC16,"")</f>
        <v/>
      </c>
      <c r="G16" s="523">
        <f>H16</f>
        <v>385973</v>
      </c>
      <c r="H16" s="523">
        <f>165417+220556</f>
        <v>385973</v>
      </c>
      <c r="I16" s="523">
        <v>0</v>
      </c>
      <c r="J16" s="523" t="e">
        <f>'11_Distribuição por Fonte'!#REF!+'11_Distribuição por Fonte'!#REF!</f>
        <v>#REF!</v>
      </c>
      <c r="K16" s="524">
        <v>0</v>
      </c>
    </row>
    <row r="17" spans="1:11" ht="49.5" customHeight="1" x14ac:dyDescent="0.2">
      <c r="A17" s="284" t="str">
        <f t="shared" si="0"/>
        <v>NÃO SELECIONADO</v>
      </c>
      <c r="B17" s="268" t="str">
        <f t="shared" si="1"/>
        <v/>
      </c>
      <c r="C17" s="268" t="str">
        <f t="shared" si="1"/>
        <v/>
      </c>
      <c r="D17" s="521" t="str">
        <f>IF($A17&lt;&gt;"NÃO SELECIONADO",'10_Cronograma Físico'!#REF!,"")</f>
        <v/>
      </c>
      <c r="E17" s="521" t="str">
        <f>IF($A17&lt;&gt;"NÃO SELECIONADO",'10_Cronograma Físico'!#REF!,"")</f>
        <v/>
      </c>
      <c r="F17" s="522" t="str">
        <f>IF($A17&lt;&gt;"NÃO SELECIONADO",'10_Cronograma Físico'!#REF!,"")</f>
        <v/>
      </c>
      <c r="G17" s="523" t="e">
        <f>SUM('10_Cronograma Físico'!#REF!)</f>
        <v>#REF!</v>
      </c>
      <c r="H17" s="523" t="e">
        <f>G17-J17</f>
        <v>#REF!</v>
      </c>
      <c r="I17" s="523">
        <v>0</v>
      </c>
      <c r="J17" s="523" t="e">
        <f>'11_Distribuição por Fonte'!#REF!+'11_Distribuição por Fonte'!#REF!</f>
        <v>#REF!</v>
      </c>
      <c r="K17" s="524">
        <v>0</v>
      </c>
    </row>
    <row r="18" spans="1:11" ht="31.5" customHeight="1" x14ac:dyDescent="0.2">
      <c r="A18" s="965" t="str">
        <f>'3_Comp e Produtos'!A15</f>
        <v>COMPONENTE 3: APRIMORAMENTO DO PROCESSO DE RESSOCIABILIZAÇÃO</v>
      </c>
      <c r="B18" s="965"/>
      <c r="C18" s="965"/>
      <c r="D18" s="965"/>
      <c r="E18" s="965"/>
      <c r="F18" s="513" t="e">
        <f t="shared" ref="F18:K18" si="2">SUM(F19:F30)</f>
        <v>#REF!</v>
      </c>
      <c r="G18" s="513">
        <f t="shared" si="2"/>
        <v>26184776</v>
      </c>
      <c r="H18" s="513">
        <f t="shared" si="2"/>
        <v>6427937</v>
      </c>
      <c r="I18" s="513">
        <f t="shared" si="2"/>
        <v>0</v>
      </c>
      <c r="J18" s="513" t="e">
        <f t="shared" si="2"/>
        <v>#REF!</v>
      </c>
      <c r="K18" s="514">
        <f t="shared" si="2"/>
        <v>0</v>
      </c>
    </row>
    <row r="19" spans="1:11" ht="37.5" customHeight="1" x14ac:dyDescent="0.2">
      <c r="A19" s="515" t="str">
        <f>'3_Comp e Produtos'!A16</f>
        <v>3.1  Construção de 03 (três) novos Centros de Atendimento Socioeducativo (CASE), que respeitem as diretrizes do Sistema Nacional de Socioeducação (SINASE), 01 (um) no município de Osório e 01 (um) em Santa Cruz do Sul e 01 (um) em Porto Alegre, incluindo a implantação de um Centro de Profissionalização para a formação profissional e atividades culturais para os adolescentes, familiares e a comunidade do entorno; Implantar um Sistema de Vídeo-monitoramento das Unidades da FASE, entre outras medidas;</v>
      </c>
      <c r="B19" s="516" t="e">
        <f>IF($A19&lt;&gt;"NÃO SELECIONADO",#REF!,"")</f>
        <v>#REF!</v>
      </c>
      <c r="C19" s="516" t="e">
        <f>IF($A19&lt;&gt;"NÃO SELECIONADO",#REF!,"")</f>
        <v>#REF!</v>
      </c>
      <c r="D19" s="517">
        <f>IF($A19&lt;&gt;"NÃO SELECIONADO",'10_Cronograma Físico'!B18,"")</f>
        <v>42095</v>
      </c>
      <c r="E19" s="517">
        <f>IF($A19&lt;&gt;"NÃO SELECIONADO",'10_Cronograma Físico'!D18,"")</f>
        <v>42815</v>
      </c>
      <c r="F19" s="518">
        <f>IF($A19&lt;&gt;"NÃO SELECIONADO",'10_Cronograma Físico'!AC18,"")</f>
        <v>3125000</v>
      </c>
      <c r="G19" s="519">
        <v>1289750</v>
      </c>
      <c r="H19" s="519">
        <v>1089750</v>
      </c>
      <c r="I19" s="519">
        <v>0</v>
      </c>
      <c r="J19" s="519">
        <f>'11_Distribuição por Fonte'!C16+'11_Distribuição por Fonte'!F16</f>
        <v>562500</v>
      </c>
      <c r="K19" s="520">
        <v>0</v>
      </c>
    </row>
    <row r="20" spans="1:11" ht="48" customHeight="1" x14ac:dyDescent="0.2">
      <c r="A20" s="284" t="str">
        <f>IF('3_Comp e Produtos'!F17="Sim",'3_Comp e Produtos'!A17,"NÃO SELECIONADO")</f>
        <v xml:space="preserve">3.2  A elaboração e implementação de um plano de formação continuada dos servidores da Fundação, visando o fortalecimento do vínculo com os adolescentes, suas famílias e a comunidade de origem. Acompanhamento do progresso individual de cada adolescente (educativo, psicossocial e de saúde); </v>
      </c>
      <c r="B20" s="268" t="e">
        <f>IF($A20&lt;&gt;"NÃO SELECIONADO",#REF!,"")</f>
        <v>#REF!</v>
      </c>
      <c r="C20" s="268" t="e">
        <f>IF($A20&lt;&gt;"NÃO SELECIONADO",#REF!,"")</f>
        <v>#REF!</v>
      </c>
      <c r="D20" s="521">
        <f>IF($A20&lt;&gt;"NÃO SELECIONADO",'10_Cronograma Físico'!B19,"")</f>
        <v>0</v>
      </c>
      <c r="E20" s="521" t="str">
        <f>IF($A20&lt;&gt;"NÃO SELECIONADO",'10_Cronograma Físico'!D19,"")</f>
        <v/>
      </c>
      <c r="F20" s="522">
        <f>IF($A20&lt;&gt;"NÃO SELECIONADO",'10_Cronograma Físico'!AC19,"")</f>
        <v>8000000</v>
      </c>
      <c r="G20" s="523">
        <v>1175125</v>
      </c>
      <c r="H20" s="523">
        <v>1133375</v>
      </c>
      <c r="I20" s="523">
        <v>0</v>
      </c>
      <c r="J20" s="523">
        <f>'11_Distribuição por Fonte'!C17+'11_Distribuição por Fonte'!F17</f>
        <v>0</v>
      </c>
      <c r="K20" s="524">
        <v>0</v>
      </c>
    </row>
    <row r="21" spans="1:11" ht="35.25" customHeight="1" x14ac:dyDescent="0.2">
      <c r="A21" s="284" t="str">
        <f>IF('3_Comp e Produtos'!F20="Sim",'3_Comp e Produtos'!A20,"NÃO SELECIONADO")</f>
        <v>4.1  Plano Estratégico e Planos Operacionais Integrados para a prevenção e controle do crime violento no território</v>
      </c>
      <c r="B21" s="268" t="e">
        <f>IF($A21&lt;&gt;"NÃO SELECIONADO",#REF!,"")</f>
        <v>#REF!</v>
      </c>
      <c r="C21" s="268" t="e">
        <f>IF($A21&lt;&gt;"NÃO SELECIONADO",#REF!,"")</f>
        <v>#REF!</v>
      </c>
      <c r="D21" s="521">
        <f>IF($A21&lt;&gt;"NÃO SELECIONADO",'10_Cronograma Físico'!B20,"")</f>
        <v>42095</v>
      </c>
      <c r="E21" s="521">
        <f>IF($A21&lt;&gt;"NÃO SELECIONADO",'10_Cronograma Físico'!D20,"")</f>
        <v>42617</v>
      </c>
      <c r="F21" s="522">
        <f>IF($A21&lt;&gt;"NÃO SELECIONADO",'10_Cronograma Físico'!AC20,"")</f>
        <v>1625000</v>
      </c>
      <c r="G21" s="523">
        <v>189882</v>
      </c>
      <c r="H21" s="523">
        <v>89882</v>
      </c>
      <c r="I21" s="523"/>
      <c r="J21" s="523">
        <f>'11_Distribuição por Fonte'!C18+'11_Distribuição por Fonte'!F18</f>
        <v>0</v>
      </c>
      <c r="K21" s="524">
        <v>0</v>
      </c>
    </row>
    <row r="22" spans="1:11" ht="51.75" customHeight="1" x14ac:dyDescent="0.2">
      <c r="A22" s="284" t="str">
        <f>IF('3_Comp e Produtos'!F21="Sim",'3_Comp e Produtos'!A21,"NÃO SELECIONADO")</f>
        <v>4.2  Sistema de Gestão de Processos e Monitoramento</v>
      </c>
      <c r="B22" s="268" t="e">
        <f>IF($A22&lt;&gt;"NÃO SELECIONADO",#REF!,"")</f>
        <v>#REF!</v>
      </c>
      <c r="C22" s="268" t="e">
        <f>IF($A22&lt;&gt;"NÃO SELECIONADO",#REF!,"")</f>
        <v>#REF!</v>
      </c>
      <c r="D22" s="521">
        <f>IF($A22&lt;&gt;"NÃO SELECIONADO",'10_Cronograma Físico'!B21,"")</f>
        <v>42095</v>
      </c>
      <c r="E22" s="521">
        <f>IF($A22&lt;&gt;"NÃO SELECIONADO",'10_Cronograma Físico'!D21,"")</f>
        <v>42617</v>
      </c>
      <c r="F22" s="522">
        <f>IF($A22&lt;&gt;"NÃO SELECIONADO",'10_Cronograma Físico'!AC21,"")</f>
        <v>3500000</v>
      </c>
      <c r="G22" s="523">
        <v>1351000</v>
      </c>
      <c r="H22" s="523">
        <v>1257000</v>
      </c>
      <c r="I22" s="523">
        <v>0</v>
      </c>
      <c r="J22" s="523">
        <f>'11_Distribuição por Fonte'!C22+'11_Distribuição por Fonte'!F22</f>
        <v>0</v>
      </c>
      <c r="K22" s="524">
        <v>0</v>
      </c>
    </row>
    <row r="23" spans="1:11" ht="45" customHeight="1" x14ac:dyDescent="0.2">
      <c r="A23" s="284" t="e">
        <f>IF('3_Comp e Produtos'!#REF!="Sim",'3_Comp e Produtos'!#REF!,"NÃO SELECIONADO")</f>
        <v>#REF!</v>
      </c>
      <c r="B23" s="268" t="e">
        <f>IF($A23&lt;&gt;"NÃO SELECIONADO",#REF!,"")</f>
        <v>#REF!</v>
      </c>
      <c r="C23" s="268" t="e">
        <f>IF($A23&lt;&gt;"NÃO SELECIONADO",#REF!,"")</f>
        <v>#REF!</v>
      </c>
      <c r="D23" s="521" t="e">
        <f>IF($A23&lt;&gt;"NÃO SELECIONADO",'10_Cronograma Físico'!B22,"")</f>
        <v>#REF!</v>
      </c>
      <c r="E23" s="521" t="e">
        <f>IF($A23&lt;&gt;"NÃO SELECIONADO",'10_Cronograma Físico'!D22,"")</f>
        <v>#REF!</v>
      </c>
      <c r="F23" s="522" t="e">
        <f>IF($A23&lt;&gt;"NÃO SELECIONADO",'10_Cronograma Físico'!AC22,"")</f>
        <v>#REF!</v>
      </c>
      <c r="G23" s="523">
        <v>292236</v>
      </c>
      <c r="H23" s="523">
        <v>192236</v>
      </c>
      <c r="I23" s="523">
        <v>0</v>
      </c>
      <c r="J23" s="523">
        <f>'11_Distribuição por Fonte'!C23+'11_Distribuição por Fonte'!F23</f>
        <v>0</v>
      </c>
      <c r="K23" s="524">
        <v>0</v>
      </c>
    </row>
    <row r="24" spans="1:11" ht="40.5" customHeight="1" x14ac:dyDescent="0.2">
      <c r="A24" s="284" t="str">
        <f t="shared" ref="A24:A30" si="3">IF("$'3_Comp e Produtos'.#REF!#REF!"="Sim","$'3_Comp e Produtos'.#REF!#REF!","NÃO SELECIONADO")</f>
        <v>NÃO SELECIONADO</v>
      </c>
      <c r="B24" s="268" t="str">
        <f>IF($A24&lt;&gt;"NÃO SELECIONADO",#REF!,"")</f>
        <v/>
      </c>
      <c r="C24" s="268" t="str">
        <f>IF($A24&lt;&gt;"NÃO SELECIONADO",#REF!,"")</f>
        <v/>
      </c>
      <c r="D24" s="521" t="str">
        <f>IF($A24&lt;&gt;"NÃO SELECIONADO",'10_Cronograma Físico'!#REF!,"")</f>
        <v/>
      </c>
      <c r="E24" s="521" t="str">
        <f>IF($A24&lt;&gt;"NÃO SELECIONADO",'10_Cronograma Físico'!#REF!,"")</f>
        <v/>
      </c>
      <c r="F24" s="522" t="str">
        <f>IF($A24&lt;&gt;"NÃO SELECIONADO",'10_Cronograma Físico'!#REF!,"")</f>
        <v/>
      </c>
      <c r="G24" s="523">
        <v>284083</v>
      </c>
      <c r="H24" s="523">
        <v>241583</v>
      </c>
      <c r="I24" s="523">
        <v>0</v>
      </c>
      <c r="J24" s="523" t="e">
        <f>'11_Distribuição por Fonte'!#REF!+'11_Distribuição por Fonte'!#REF!</f>
        <v>#REF!</v>
      </c>
      <c r="K24" s="524">
        <v>0</v>
      </c>
    </row>
    <row r="25" spans="1:11" ht="40.5" customHeight="1" x14ac:dyDescent="0.2">
      <c r="A25" s="284" t="str">
        <f t="shared" si="3"/>
        <v>NÃO SELECIONADO</v>
      </c>
      <c r="B25" s="268" t="str">
        <f t="shared" ref="B25:B30" si="4">IF($A25&lt;&gt;"NÃO SELECIONADO","$'4_Componente 1'.B#REF!","")</f>
        <v/>
      </c>
      <c r="C25" s="268" t="str">
        <f t="shared" ref="C25:C30" si="5">IF($A25&lt;&gt;"NÃO SELECIONADO","$'4_Componente 1'.C#REF!","")</f>
        <v/>
      </c>
      <c r="D25" s="521" t="str">
        <f>IF($A25&lt;&gt;"NÃO SELECIONADO",'10_Cronograma Físico'!#REF!,"")</f>
        <v/>
      </c>
      <c r="E25" s="521" t="str">
        <f>IF($A25&lt;&gt;"NÃO SELECIONADO",'10_Cronograma Físico'!#REF!,"")</f>
        <v/>
      </c>
      <c r="F25" s="522" t="str">
        <f>IF($A25&lt;&gt;"NÃO SELECIONADO",'10_Cronograma Físico'!#REF!,"")</f>
        <v/>
      </c>
      <c r="G25" s="523">
        <v>587611</v>
      </c>
      <c r="H25" s="523">
        <v>287611</v>
      </c>
      <c r="I25" s="523">
        <v>0</v>
      </c>
      <c r="J25" s="523" t="e">
        <f>'11_Distribuição por Fonte'!#REF!+'11_Distribuição por Fonte'!#REF!</f>
        <v>#REF!</v>
      </c>
      <c r="K25" s="524">
        <v>0</v>
      </c>
    </row>
    <row r="26" spans="1:11" ht="48" customHeight="1" x14ac:dyDescent="0.2">
      <c r="A26" s="284" t="str">
        <f t="shared" si="3"/>
        <v>NÃO SELECIONADO</v>
      </c>
      <c r="B26" s="268" t="str">
        <f t="shared" si="4"/>
        <v/>
      </c>
      <c r="C26" s="268" t="str">
        <f t="shared" si="5"/>
        <v/>
      </c>
      <c r="D26" s="521" t="str">
        <f>IF($A26&lt;&gt;"NÃO SELECIONADO",'10_Cronograma Físico'!#REF!,"")</f>
        <v/>
      </c>
      <c r="E26" s="521" t="str">
        <f>IF($A26&lt;&gt;"NÃO SELECIONADO",'10_Cronograma Físico'!#REF!,"")</f>
        <v/>
      </c>
      <c r="F26" s="522">
        <f>468000</f>
        <v>468000</v>
      </c>
      <c r="G26" s="523">
        <v>468000</v>
      </c>
      <c r="H26" s="523">
        <v>468000</v>
      </c>
      <c r="I26" s="523">
        <v>0</v>
      </c>
      <c r="J26" s="523" t="e">
        <f>'11_Distribuição por Fonte'!#REF!+'11_Distribuição por Fonte'!#REF!</f>
        <v>#REF!</v>
      </c>
      <c r="K26" s="524">
        <v>0</v>
      </c>
    </row>
    <row r="27" spans="1:11" ht="43.5" customHeight="1" x14ac:dyDescent="0.2">
      <c r="A27" s="284" t="str">
        <f t="shared" si="3"/>
        <v>NÃO SELECIONADO</v>
      </c>
      <c r="B27" s="268" t="str">
        <f t="shared" si="4"/>
        <v/>
      </c>
      <c r="C27" s="268" t="str">
        <f t="shared" si="5"/>
        <v/>
      </c>
      <c r="D27" s="521" t="str">
        <f>IF($A27&lt;&gt;"NÃO SELECIONADO",'10_Cronograma Físico'!#REF!,"")</f>
        <v/>
      </c>
      <c r="E27" s="521" t="str">
        <f>IF($A27&lt;&gt;"NÃO SELECIONADO",'10_Cronograma Físico'!#REF!,"")</f>
        <v/>
      </c>
      <c r="F27" s="522">
        <f>350000</f>
        <v>350000</v>
      </c>
      <c r="G27" s="523">
        <v>700000</v>
      </c>
      <c r="H27" s="523">
        <v>350000</v>
      </c>
      <c r="I27" s="523">
        <v>0</v>
      </c>
      <c r="J27" s="523">
        <v>350000</v>
      </c>
      <c r="K27" s="524">
        <v>0</v>
      </c>
    </row>
    <row r="28" spans="1:11" ht="47.25" customHeight="1" x14ac:dyDescent="0.2">
      <c r="A28" s="284" t="str">
        <f t="shared" si="3"/>
        <v>NÃO SELECIONADO</v>
      </c>
      <c r="B28" s="268" t="str">
        <f t="shared" si="4"/>
        <v/>
      </c>
      <c r="C28" s="268" t="str">
        <f t="shared" si="5"/>
        <v/>
      </c>
      <c r="D28" s="521" t="str">
        <f>IF($A28&lt;&gt;"NÃO SELECIONADO",'10_Cronograma Físico'!#REF!,"")</f>
        <v/>
      </c>
      <c r="E28" s="521" t="str">
        <f>IF($A28&lt;&gt;"NÃO SELECIONADO",'10_Cronograma Físico'!#REF!,"")</f>
        <v/>
      </c>
      <c r="F28" s="522" t="str">
        <f>IF($A28&lt;&gt;"NÃO SELECIONADO",'10_Cronograma Físico'!#REF!,"")</f>
        <v/>
      </c>
      <c r="G28" s="523">
        <v>216000</v>
      </c>
      <c r="H28" s="523">
        <v>216000</v>
      </c>
      <c r="I28" s="523">
        <v>0</v>
      </c>
      <c r="J28" s="523" t="e">
        <f>'11_Distribuição por Fonte'!#REF!+'11_Distribuição por Fonte'!#REF!</f>
        <v>#REF!</v>
      </c>
      <c r="K28" s="524">
        <v>0</v>
      </c>
    </row>
    <row r="29" spans="1:11" ht="38.25" customHeight="1" x14ac:dyDescent="0.2">
      <c r="A29" s="284" t="str">
        <f t="shared" si="3"/>
        <v>NÃO SELECIONADO</v>
      </c>
      <c r="B29" s="268" t="str">
        <f t="shared" si="4"/>
        <v/>
      </c>
      <c r="C29" s="268" t="str">
        <f t="shared" si="5"/>
        <v/>
      </c>
      <c r="D29" s="521" t="str">
        <f>IF($A29&lt;&gt;"NÃO SELECIONADO",'10_Cronograma Físico'!#REF!,"")</f>
        <v/>
      </c>
      <c r="E29" s="521" t="str">
        <f>IF($A29&lt;&gt;"NÃO SELECIONADO",'10_Cronograma Físico'!#REF!,"")</f>
        <v/>
      </c>
      <c r="F29" s="522" t="str">
        <f>IF($A29&lt;&gt;"NÃO SELECIONADO",'10_Cronograma Físico'!#REF!,"")</f>
        <v/>
      </c>
      <c r="G29" s="523">
        <v>18386839</v>
      </c>
      <c r="H29" s="523">
        <v>0</v>
      </c>
      <c r="I29" s="523">
        <v>0</v>
      </c>
      <c r="J29" s="523">
        <f>10506765+7880074</f>
        <v>18386839</v>
      </c>
      <c r="K29" s="524">
        <v>0</v>
      </c>
    </row>
    <row r="30" spans="1:11" ht="43.5" customHeight="1" x14ac:dyDescent="0.2">
      <c r="A30" s="284" t="str">
        <f t="shared" si="3"/>
        <v>NÃO SELECIONADO</v>
      </c>
      <c r="B30" s="268" t="str">
        <f t="shared" si="4"/>
        <v/>
      </c>
      <c r="C30" s="268" t="str">
        <f t="shared" si="5"/>
        <v/>
      </c>
      <c r="D30" s="521" t="str">
        <f>IF($A30&lt;&gt;"NÃO SELECIONADO",'10_Cronograma Físico'!#REF!,"")</f>
        <v/>
      </c>
      <c r="E30" s="521" t="str">
        <f>IF($A30&lt;&gt;"NÃO SELECIONADO",'10_Cronograma Físico'!#REF!,"")</f>
        <v/>
      </c>
      <c r="F30" s="522" t="str">
        <f>IF($A30&lt;&gt;"NÃO SELECIONADO",'10_Cronograma Físico'!#REF!,"")</f>
        <v/>
      </c>
      <c r="G30" s="523">
        <v>1244250</v>
      </c>
      <c r="H30" s="523">
        <v>1102500</v>
      </c>
      <c r="I30" s="523">
        <v>0</v>
      </c>
      <c r="J30" s="523" t="e">
        <f>'11_Distribuição por Fonte'!#REF!+'11_Distribuição por Fonte'!#REF!</f>
        <v>#REF!</v>
      </c>
      <c r="K30" s="524">
        <v>0</v>
      </c>
    </row>
    <row r="31" spans="1:11" ht="33" customHeight="1" x14ac:dyDescent="0.2">
      <c r="A31" s="965" t="e">
        <f>NA()</f>
        <v>#N/A</v>
      </c>
      <c r="B31" s="965"/>
      <c r="C31" s="965"/>
      <c r="D31" s="965"/>
      <c r="E31" s="965"/>
      <c r="F31" s="513" t="e">
        <f t="shared" ref="F31:K31" si="6">SUM(F32:F36)</f>
        <v>#N/A</v>
      </c>
      <c r="G31" s="513" t="e">
        <f t="shared" si="6"/>
        <v>#N/A</v>
      </c>
      <c r="H31" s="513">
        <f t="shared" si="6"/>
        <v>1501400</v>
      </c>
      <c r="I31" s="513">
        <f t="shared" si="6"/>
        <v>0</v>
      </c>
      <c r="J31" s="513" t="e">
        <f t="shared" si="6"/>
        <v>#N/A</v>
      </c>
      <c r="K31" s="514">
        <f t="shared" si="6"/>
        <v>0</v>
      </c>
    </row>
    <row r="32" spans="1:11" ht="25.5" customHeight="1" x14ac:dyDescent="0.2">
      <c r="A32" s="515" t="e">
        <f>NA()</f>
        <v>#N/A</v>
      </c>
      <c r="B32" s="516" t="e">
        <f t="shared" ref="B32:C36" si="7">IF($A32&lt;&gt;"NÃO SELECIONADO","#REF!,"""")")</f>
        <v>#N/A</v>
      </c>
      <c r="C32" s="516" t="e">
        <f t="shared" si="7"/>
        <v>#N/A</v>
      </c>
      <c r="D32" s="517" t="e">
        <f>NA()</f>
        <v>#N/A</v>
      </c>
      <c r="E32" s="517" t="e">
        <f>NA()</f>
        <v>#N/A</v>
      </c>
      <c r="F32" s="518" t="e">
        <f>NA()</f>
        <v>#N/A</v>
      </c>
      <c r="G32" s="519" t="e">
        <f>H32+J32</f>
        <v>#N/A</v>
      </c>
      <c r="H32" s="519">
        <v>144000</v>
      </c>
      <c r="I32" s="519"/>
      <c r="J32" s="519" t="e">
        <f>NA()</f>
        <v>#N/A</v>
      </c>
      <c r="K32" s="520">
        <v>0</v>
      </c>
    </row>
    <row r="33" spans="1:11" ht="25.5" customHeight="1" x14ac:dyDescent="0.2">
      <c r="A33" s="284" t="e">
        <f>NA()</f>
        <v>#N/A</v>
      </c>
      <c r="B33" s="268" t="e">
        <f t="shared" si="7"/>
        <v>#N/A</v>
      </c>
      <c r="C33" s="268" t="e">
        <f t="shared" si="7"/>
        <v>#N/A</v>
      </c>
      <c r="D33" s="521" t="e">
        <f>NA()</f>
        <v>#N/A</v>
      </c>
      <c r="E33" s="521" t="e">
        <f>NA()</f>
        <v>#N/A</v>
      </c>
      <c r="F33" s="522" t="e">
        <f>NA()</f>
        <v>#N/A</v>
      </c>
      <c r="G33" s="523" t="e">
        <f>H33+J33</f>
        <v>#N/A</v>
      </c>
      <c r="H33" s="523">
        <f>101333+202667</f>
        <v>304000</v>
      </c>
      <c r="I33" s="523"/>
      <c r="J33" s="523" t="e">
        <f>NA()</f>
        <v>#N/A</v>
      </c>
      <c r="K33" s="524">
        <v>0</v>
      </c>
    </row>
    <row r="34" spans="1:11" ht="25.5" customHeight="1" x14ac:dyDescent="0.2">
      <c r="A34" s="284" t="e">
        <f>NA()</f>
        <v>#N/A</v>
      </c>
      <c r="B34" s="268" t="e">
        <f t="shared" si="7"/>
        <v>#N/A</v>
      </c>
      <c r="C34" s="268" t="e">
        <f t="shared" si="7"/>
        <v>#N/A</v>
      </c>
      <c r="D34" s="521" t="e">
        <f>NA()</f>
        <v>#N/A</v>
      </c>
      <c r="E34" s="521" t="e">
        <f>NA()</f>
        <v>#N/A</v>
      </c>
      <c r="F34" s="522" t="e">
        <f>NA()</f>
        <v>#N/A</v>
      </c>
      <c r="G34" s="523" t="e">
        <f>H34+J34</f>
        <v>#N/A</v>
      </c>
      <c r="H34" s="523">
        <f>228250+171188</f>
        <v>399438</v>
      </c>
      <c r="I34" s="523"/>
      <c r="J34" s="523" t="e">
        <f>NA()</f>
        <v>#N/A</v>
      </c>
      <c r="K34" s="524">
        <v>0</v>
      </c>
    </row>
    <row r="35" spans="1:11" ht="25.5" customHeight="1" x14ac:dyDescent="0.2">
      <c r="A35" s="284" t="e">
        <f>NA()</f>
        <v>#N/A</v>
      </c>
      <c r="B35" s="268" t="e">
        <f t="shared" si="7"/>
        <v>#N/A</v>
      </c>
      <c r="C35" s="268" t="e">
        <f t="shared" si="7"/>
        <v>#N/A</v>
      </c>
      <c r="D35" s="521" t="e">
        <f>NA()</f>
        <v>#N/A</v>
      </c>
      <c r="E35" s="521" t="e">
        <f>NA()</f>
        <v>#N/A</v>
      </c>
      <c r="F35" s="522" t="e">
        <f>NA()</f>
        <v>#N/A</v>
      </c>
      <c r="G35" s="523" t="e">
        <f>H35+J35</f>
        <v>#N/A</v>
      </c>
      <c r="H35" s="523">
        <f>50722+101444</f>
        <v>152166</v>
      </c>
      <c r="I35" s="523"/>
      <c r="J35" s="523" t="e">
        <f>NA()</f>
        <v>#N/A</v>
      </c>
      <c r="K35" s="524">
        <v>0</v>
      </c>
    </row>
    <row r="36" spans="1:11" ht="33.75" customHeight="1" x14ac:dyDescent="0.2">
      <c r="A36" s="284" t="e">
        <f>NA()</f>
        <v>#N/A</v>
      </c>
      <c r="B36" s="268" t="e">
        <f t="shared" si="7"/>
        <v>#N/A</v>
      </c>
      <c r="C36" s="268" t="e">
        <f t="shared" si="7"/>
        <v>#N/A</v>
      </c>
      <c r="D36" s="521" t="e">
        <f>NA()</f>
        <v>#N/A</v>
      </c>
      <c r="E36" s="521" t="e">
        <f>NA()</f>
        <v>#N/A</v>
      </c>
      <c r="F36" s="522" t="e">
        <f>NA()</f>
        <v>#N/A</v>
      </c>
      <c r="G36" s="523" t="e">
        <f>H36+J36</f>
        <v>#N/A</v>
      </c>
      <c r="H36" s="523">
        <f>215059+286737</f>
        <v>501796</v>
      </c>
      <c r="I36" s="523"/>
      <c r="J36" s="523" t="e">
        <f>NA()</f>
        <v>#N/A</v>
      </c>
      <c r="K36" s="524">
        <v>0</v>
      </c>
    </row>
    <row r="37" spans="1:11" ht="27.75" customHeight="1" x14ac:dyDescent="0.2">
      <c r="A37" s="963" t="str">
        <f>'3_Comp e Produtos'!A24</f>
        <v>ADMINISTRAÇÃO</v>
      </c>
      <c r="B37" s="963"/>
      <c r="C37" s="525"/>
      <c r="D37" s="525"/>
      <c r="E37" s="525"/>
      <c r="F37" s="526">
        <f t="shared" ref="F37:K37" si="8">SUM(F38:F38)</f>
        <v>7500000</v>
      </c>
      <c r="G37" s="526">
        <f t="shared" si="8"/>
        <v>1146444</v>
      </c>
      <c r="H37" s="526">
        <f t="shared" si="8"/>
        <v>802644</v>
      </c>
      <c r="I37" s="526">
        <f t="shared" si="8"/>
        <v>0</v>
      </c>
      <c r="J37" s="526">
        <f t="shared" si="8"/>
        <v>343800</v>
      </c>
      <c r="K37" s="527">
        <f t="shared" si="8"/>
        <v>0</v>
      </c>
    </row>
    <row r="38" spans="1:11" ht="35.25" customHeight="1" x14ac:dyDescent="0.2">
      <c r="A38" s="528" t="str">
        <f>IF('3_Comp e Produtos'!F25="Sim",'3_Comp e Produtos'!A25,"NÃO SELECIONADO")</f>
        <v>A1 - Gestão do Projeto</v>
      </c>
      <c r="B38" s="529" t="str">
        <f>IF($A38&lt;&gt;"NÃO SELECIONADO",'8_ADM'!B5,"")</f>
        <v>Consultoria em acompanhamento e avaliação do projeto</v>
      </c>
      <c r="C38" s="529" t="str">
        <f>IF($A38&lt;&gt;"NÃO SELECIONADO",'8_ADM'!C5,"")</f>
        <v xml:space="preserve">LINHA BASE: Dotar o escritório de projetos de condições para o acompanhamento e avaliação do andamento do projeto                              </v>
      </c>
      <c r="D38" s="530">
        <f>IF($A38&lt;&gt;"NÃO SELECIONADO",'10_Cronograma Físico'!B24,"")</f>
        <v>0</v>
      </c>
      <c r="E38" s="530" t="str">
        <f>IF($A38&lt;&gt;"NÃO SELECIONADO",'10_Cronograma Físico'!D24,"")</f>
        <v/>
      </c>
      <c r="F38" s="531">
        <f>IF($A38&lt;&gt;"NÃO SELECIONADO",'10_Cronograma Físico'!AC24,"")</f>
        <v>7500000</v>
      </c>
      <c r="G38" s="532">
        <f>H38+J38</f>
        <v>1146444</v>
      </c>
      <c r="H38" s="532">
        <f>401322+401322</f>
        <v>802644</v>
      </c>
      <c r="I38" s="532"/>
      <c r="J38" s="532">
        <f>'11_Distribuição por Fonte'!C25+'11_Distribuição por Fonte'!F25</f>
        <v>343800</v>
      </c>
      <c r="K38" s="533">
        <v>0</v>
      </c>
    </row>
    <row r="39" spans="1:11" ht="26.25" customHeight="1" x14ac:dyDescent="0.2">
      <c r="A39" s="534" t="s">
        <v>63</v>
      </c>
      <c r="B39" s="535"/>
      <c r="C39" s="536" t="s">
        <v>105</v>
      </c>
      <c r="D39" s="537" t="s">
        <v>106</v>
      </c>
      <c r="E39" s="538"/>
      <c r="F39" s="539" t="e">
        <f t="shared" ref="F39:K39" si="9">F37+F31+F18+F6</f>
        <v>#N/A</v>
      </c>
      <c r="G39" s="539" t="e">
        <f t="shared" si="9"/>
        <v>#N/A</v>
      </c>
      <c r="H39" s="540" t="e">
        <f t="shared" si="9"/>
        <v>#REF!</v>
      </c>
      <c r="I39" s="539">
        <f t="shared" si="9"/>
        <v>0</v>
      </c>
      <c r="J39" s="539" t="e">
        <f t="shared" si="9"/>
        <v>#N/A</v>
      </c>
      <c r="K39" s="541">
        <f t="shared" si="9"/>
        <v>0</v>
      </c>
    </row>
    <row r="40" spans="1:11" ht="27.75" customHeight="1" x14ac:dyDescent="0.2">
      <c r="A40" s="534" t="s">
        <v>63</v>
      </c>
      <c r="B40" s="535"/>
      <c r="C40" s="536" t="s">
        <v>107</v>
      </c>
      <c r="D40" s="537" t="s">
        <v>19</v>
      </c>
      <c r="E40" s="538"/>
      <c r="F40" s="539" t="e">
        <f t="shared" ref="F40:K40" si="10">F39/1.8</f>
        <v>#N/A</v>
      </c>
      <c r="G40" s="539" t="e">
        <f t="shared" si="10"/>
        <v>#N/A</v>
      </c>
      <c r="H40" s="540" t="e">
        <f t="shared" si="10"/>
        <v>#REF!</v>
      </c>
      <c r="I40" s="539">
        <f t="shared" si="10"/>
        <v>0</v>
      </c>
      <c r="J40" s="539" t="e">
        <f t="shared" si="10"/>
        <v>#N/A</v>
      </c>
      <c r="K40" s="541">
        <f t="shared" si="10"/>
        <v>0</v>
      </c>
    </row>
  </sheetData>
  <sheetProtection selectLockedCells="1" selectUnlockedCells="1"/>
  <mergeCells count="13">
    <mergeCell ref="A37:B37"/>
    <mergeCell ref="J2:K2"/>
    <mergeCell ref="A6:E6"/>
    <mergeCell ref="A18:E18"/>
    <mergeCell ref="A31:E31"/>
    <mergeCell ref="E2:E3"/>
    <mergeCell ref="F2:F3"/>
    <mergeCell ref="G2:G3"/>
    <mergeCell ref="H2:I2"/>
    <mergeCell ref="A2:A3"/>
    <mergeCell ref="B2:B3"/>
    <mergeCell ref="C2:C3"/>
    <mergeCell ref="D2:D3"/>
  </mergeCells>
  <phoneticPr fontId="24" type="noConversion"/>
  <printOptions horizontalCentered="1"/>
  <pageMargins left="0.39374999999999999" right="0.39374999999999999" top="0.78749999999999998" bottom="0.59097222222222223" header="0.31527777777777777" footer="0.31527777777777777"/>
  <pageSetup paperSize="9" scale="75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06"/>
  <sheetViews>
    <sheetView tabSelected="1" topLeftCell="A83" zoomScale="130" zoomScaleNormal="120" workbookViewId="0">
      <selection activeCell="B93" sqref="B93:D93"/>
    </sheetView>
  </sheetViews>
  <sheetFormatPr defaultRowHeight="15" x14ac:dyDescent="0.25"/>
  <cols>
    <col min="1" max="1" width="5" style="738" customWidth="1"/>
    <col min="2" max="2" width="68.28515625" style="738" customWidth="1"/>
    <col min="3" max="3" width="16.28515625" style="738" customWidth="1"/>
    <col min="4" max="4" width="15.42578125" style="738" customWidth="1"/>
    <col min="5" max="5" width="9.5703125" style="738" customWidth="1"/>
    <col min="6" max="6" width="8" style="738" customWidth="1"/>
    <col min="7" max="7" width="7.28515625" style="738" customWidth="1"/>
    <col min="8" max="8" width="10.85546875" style="740" customWidth="1"/>
    <col min="9" max="9" width="10.28515625" style="740" customWidth="1"/>
    <col min="10" max="10" width="7.5703125" style="738" customWidth="1"/>
    <col min="11" max="11" width="14.140625" style="738" customWidth="1"/>
    <col min="12" max="14" width="12.7109375" style="738" bestFit="1" customWidth="1"/>
    <col min="15" max="16384" width="9.140625" style="738"/>
  </cols>
  <sheetData>
    <row r="1" spans="1:14" ht="15.75" x14ac:dyDescent="0.25">
      <c r="A1" s="990" t="s">
        <v>108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4" ht="15.75" x14ac:dyDescent="0.25">
      <c r="A2" s="990" t="s">
        <v>228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</row>
    <row r="3" spans="1:14" ht="15.75" x14ac:dyDescent="0.25">
      <c r="A3" s="990" t="s">
        <v>315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</row>
    <row r="4" spans="1:14" ht="15.75" x14ac:dyDescent="0.25">
      <c r="A4" s="990" t="s">
        <v>109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</row>
    <row r="5" spans="1:14" ht="15.75" x14ac:dyDescent="0.25">
      <c r="A5" s="792"/>
      <c r="B5" s="793"/>
      <c r="C5" s="793"/>
      <c r="D5" s="793"/>
      <c r="E5" s="793"/>
      <c r="F5" s="793"/>
      <c r="G5" s="793"/>
      <c r="H5" s="793"/>
      <c r="I5" s="793"/>
      <c r="J5" s="793"/>
      <c r="K5" s="793"/>
    </row>
    <row r="6" spans="1:14" ht="15.75" x14ac:dyDescent="0.25">
      <c r="A6" s="792"/>
      <c r="B6" s="794" t="s">
        <v>408</v>
      </c>
      <c r="C6" s="793"/>
      <c r="D6" s="793"/>
      <c r="E6" s="793"/>
      <c r="F6" s="793"/>
      <c r="G6" s="793"/>
      <c r="H6" s="793"/>
      <c r="I6" s="793"/>
      <c r="J6" s="793"/>
      <c r="K6" s="793"/>
    </row>
    <row r="7" spans="1:14" ht="15.75" x14ac:dyDescent="0.25">
      <c r="A7" s="792"/>
      <c r="B7" s="795" t="s">
        <v>362</v>
      </c>
      <c r="C7" s="793"/>
      <c r="D7" s="793"/>
      <c r="E7" s="793"/>
      <c r="F7" s="793"/>
      <c r="G7" s="793"/>
      <c r="H7" s="793"/>
      <c r="I7" s="793"/>
      <c r="J7" s="793"/>
      <c r="K7" s="793"/>
    </row>
    <row r="8" spans="1:14" ht="15.75" x14ac:dyDescent="0.25">
      <c r="A8" s="792"/>
      <c r="B8" s="795" t="s">
        <v>409</v>
      </c>
      <c r="C8" s="793"/>
      <c r="D8" s="793"/>
      <c r="E8" s="793"/>
      <c r="F8" s="793"/>
      <c r="G8" s="793"/>
      <c r="H8" s="793"/>
      <c r="I8" s="793"/>
      <c r="J8" s="793"/>
      <c r="K8" s="793"/>
    </row>
    <row r="9" spans="1:14" x14ac:dyDescent="0.25">
      <c r="A9" s="737"/>
      <c r="B9" s="737"/>
      <c r="C9" s="739"/>
      <c r="D9" s="739"/>
      <c r="E9" s="739"/>
      <c r="F9" s="739"/>
      <c r="G9" s="739"/>
      <c r="H9" s="739"/>
      <c r="I9" s="739"/>
      <c r="J9" s="739"/>
      <c r="K9" s="739"/>
    </row>
    <row r="10" spans="1:14" ht="15.75" thickBot="1" x14ac:dyDescent="0.3"/>
    <row r="11" spans="1:14" ht="15.75" x14ac:dyDescent="0.25">
      <c r="A11" s="995" t="s">
        <v>110</v>
      </c>
      <c r="B11" s="995" t="s">
        <v>111</v>
      </c>
      <c r="C11" s="751" t="s">
        <v>112</v>
      </c>
      <c r="D11" s="751" t="s">
        <v>113</v>
      </c>
      <c r="E11" s="992" t="s">
        <v>114</v>
      </c>
      <c r="F11" s="970" t="s">
        <v>115</v>
      </c>
      <c r="G11" s="971"/>
      <c r="H11" s="970" t="s">
        <v>116</v>
      </c>
      <c r="I11" s="970"/>
      <c r="J11" s="992" t="s">
        <v>117</v>
      </c>
      <c r="K11" s="970" t="s">
        <v>118</v>
      </c>
    </row>
    <row r="12" spans="1:14" ht="15.75" x14ac:dyDescent="0.25">
      <c r="A12" s="996"/>
      <c r="B12" s="996"/>
      <c r="C12" s="752" t="s">
        <v>229</v>
      </c>
      <c r="D12" s="752" t="s">
        <v>119</v>
      </c>
      <c r="E12" s="993"/>
      <c r="F12" s="753" t="s">
        <v>82</v>
      </c>
      <c r="G12" s="753" t="s">
        <v>83</v>
      </c>
      <c r="H12" s="754" t="s">
        <v>120</v>
      </c>
      <c r="I12" s="754" t="s">
        <v>121</v>
      </c>
      <c r="J12" s="993"/>
      <c r="K12" s="994"/>
    </row>
    <row r="13" spans="1:14" ht="15.75" x14ac:dyDescent="0.25">
      <c r="A13" s="997"/>
      <c r="B13" s="997"/>
      <c r="C13" s="755" t="s">
        <v>310</v>
      </c>
      <c r="D13" s="756" t="s">
        <v>122</v>
      </c>
      <c r="E13" s="756" t="s">
        <v>123</v>
      </c>
      <c r="F13" s="757" t="s">
        <v>124</v>
      </c>
      <c r="G13" s="757" t="s">
        <v>124</v>
      </c>
      <c r="H13" s="758" t="s">
        <v>125</v>
      </c>
      <c r="I13" s="758" t="s">
        <v>126</v>
      </c>
      <c r="J13" s="756" t="s">
        <v>127</v>
      </c>
      <c r="K13" s="994"/>
      <c r="N13" s="741"/>
    </row>
    <row r="14" spans="1:14" ht="15.75" x14ac:dyDescent="0.25">
      <c r="A14" s="978" t="s">
        <v>336</v>
      </c>
      <c r="B14" s="979"/>
      <c r="C14" s="979"/>
      <c r="D14" s="979"/>
      <c r="E14" s="979"/>
      <c r="F14" s="979"/>
      <c r="G14" s="979"/>
      <c r="H14" s="979"/>
      <c r="I14" s="979"/>
      <c r="J14" s="979"/>
      <c r="K14" s="980"/>
      <c r="N14" s="741"/>
    </row>
    <row r="15" spans="1:14" ht="15.75" x14ac:dyDescent="0.25">
      <c r="A15" s="972" t="s">
        <v>128</v>
      </c>
      <c r="B15" s="973"/>
      <c r="C15" s="973"/>
      <c r="D15" s="973"/>
      <c r="E15" s="973"/>
      <c r="F15" s="973"/>
      <c r="G15" s="973"/>
      <c r="H15" s="973"/>
      <c r="I15" s="973"/>
      <c r="J15" s="973"/>
      <c r="K15" s="973"/>
    </row>
    <row r="16" spans="1:14" ht="57" customHeight="1" x14ac:dyDescent="0.25">
      <c r="A16" s="759" t="s">
        <v>230</v>
      </c>
      <c r="B16" s="760" t="s">
        <v>309</v>
      </c>
      <c r="C16" s="761">
        <f>490000/2.6</f>
        <v>188461.54</v>
      </c>
      <c r="D16" s="762" t="s">
        <v>363</v>
      </c>
      <c r="E16" s="759" t="s">
        <v>311</v>
      </c>
      <c r="F16" s="763">
        <v>100</v>
      </c>
      <c r="G16" s="763">
        <v>0</v>
      </c>
      <c r="H16" s="764">
        <v>42019</v>
      </c>
      <c r="I16" s="764">
        <v>42351</v>
      </c>
      <c r="J16" s="759"/>
      <c r="K16" s="765"/>
    </row>
    <row r="17" spans="1:12" s="747" customFormat="1" ht="78" customHeight="1" x14ac:dyDescent="0.25">
      <c r="A17" s="766" t="s">
        <v>233</v>
      </c>
      <c r="B17" s="767" t="s">
        <v>172</v>
      </c>
      <c r="C17" s="768">
        <v>1200000</v>
      </c>
      <c r="D17" s="769" t="s">
        <v>234</v>
      </c>
      <c r="E17" s="766" t="s">
        <v>235</v>
      </c>
      <c r="F17" s="770">
        <v>0</v>
      </c>
      <c r="G17" s="770">
        <v>100</v>
      </c>
      <c r="H17" s="771">
        <v>41275</v>
      </c>
      <c r="I17" s="771">
        <v>41895</v>
      </c>
      <c r="J17" s="766"/>
      <c r="K17" s="772"/>
    </row>
    <row r="18" spans="1:12" ht="47.25" x14ac:dyDescent="0.25">
      <c r="A18" s="766" t="s">
        <v>236</v>
      </c>
      <c r="B18" s="773" t="s">
        <v>339</v>
      </c>
      <c r="C18" s="768">
        <v>1000000</v>
      </c>
      <c r="D18" s="769" t="s">
        <v>237</v>
      </c>
      <c r="E18" s="766" t="s">
        <v>235</v>
      </c>
      <c r="F18" s="770">
        <v>100</v>
      </c>
      <c r="G18" s="770">
        <v>0</v>
      </c>
      <c r="H18" s="771">
        <v>42278</v>
      </c>
      <c r="I18" s="771">
        <v>43647</v>
      </c>
      <c r="J18" s="766"/>
      <c r="K18" s="765"/>
    </row>
    <row r="19" spans="1:12" ht="31.5" x14ac:dyDescent="0.25">
      <c r="A19" s="766" t="s">
        <v>364</v>
      </c>
      <c r="B19" s="773" t="s">
        <v>335</v>
      </c>
      <c r="C19" s="768">
        <f>800000*15%</f>
        <v>120000</v>
      </c>
      <c r="D19" s="769" t="s">
        <v>238</v>
      </c>
      <c r="E19" s="766" t="s">
        <v>235</v>
      </c>
      <c r="F19" s="770">
        <v>100</v>
      </c>
      <c r="G19" s="770">
        <v>0</v>
      </c>
      <c r="H19" s="771" t="s">
        <v>322</v>
      </c>
      <c r="I19" s="771">
        <v>42440</v>
      </c>
      <c r="J19" s="768"/>
      <c r="K19" s="765"/>
    </row>
    <row r="20" spans="1:12" ht="31.5" x14ac:dyDescent="0.25">
      <c r="A20" s="766" t="s">
        <v>365</v>
      </c>
      <c r="B20" s="760" t="s">
        <v>369</v>
      </c>
      <c r="C20" s="768">
        <v>1611538.46</v>
      </c>
      <c r="D20" s="769" t="s">
        <v>231</v>
      </c>
      <c r="E20" s="766" t="s">
        <v>235</v>
      </c>
      <c r="F20" s="770">
        <v>100</v>
      </c>
      <c r="G20" s="770">
        <v>0</v>
      </c>
      <c r="H20" s="771">
        <v>42005</v>
      </c>
      <c r="I20" s="771">
        <v>43647</v>
      </c>
      <c r="J20" s="768"/>
      <c r="K20" s="765"/>
    </row>
    <row r="21" spans="1:12" ht="15.75" x14ac:dyDescent="0.25">
      <c r="A21" s="766" t="s">
        <v>366</v>
      </c>
      <c r="B21" s="773" t="s">
        <v>340</v>
      </c>
      <c r="C21" s="768">
        <v>3700000</v>
      </c>
      <c r="D21" s="769" t="s">
        <v>130</v>
      </c>
      <c r="E21" s="766" t="s">
        <v>235</v>
      </c>
      <c r="F21" s="770">
        <v>100</v>
      </c>
      <c r="G21" s="770">
        <v>0</v>
      </c>
      <c r="H21" s="771">
        <v>42339</v>
      </c>
      <c r="I21" s="771">
        <v>43647</v>
      </c>
      <c r="J21" s="768"/>
      <c r="K21" s="765"/>
    </row>
    <row r="22" spans="1:12" ht="15.75" x14ac:dyDescent="0.25">
      <c r="A22" s="974" t="s">
        <v>244</v>
      </c>
      <c r="B22" s="975"/>
      <c r="C22" s="975"/>
      <c r="D22" s="975"/>
      <c r="E22" s="975"/>
      <c r="F22" s="975"/>
      <c r="G22" s="975"/>
      <c r="H22" s="975"/>
      <c r="I22" s="975"/>
      <c r="J22" s="976"/>
      <c r="K22" s="977"/>
    </row>
    <row r="23" spans="1:12" ht="15.75" x14ac:dyDescent="0.25">
      <c r="A23" s="766" t="s">
        <v>367</v>
      </c>
      <c r="B23" s="773" t="s">
        <v>343</v>
      </c>
      <c r="C23" s="768">
        <v>2400000</v>
      </c>
      <c r="D23" s="769" t="s">
        <v>245</v>
      </c>
      <c r="E23" s="766" t="s">
        <v>232</v>
      </c>
      <c r="F23" s="770">
        <v>100</v>
      </c>
      <c r="G23" s="770">
        <v>0</v>
      </c>
      <c r="H23" s="771">
        <v>42440</v>
      </c>
      <c r="I23" s="771">
        <v>42805</v>
      </c>
      <c r="J23" s="768"/>
      <c r="K23" s="765"/>
    </row>
    <row r="24" spans="1:12" ht="15.75" x14ac:dyDescent="0.25">
      <c r="A24" s="974" t="s">
        <v>252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81"/>
      <c r="L24" s="742"/>
    </row>
    <row r="25" spans="1:12" ht="16.5" thickBot="1" x14ac:dyDescent="0.3">
      <c r="A25" s="766" t="s">
        <v>368</v>
      </c>
      <c r="B25" s="773" t="s">
        <v>344</v>
      </c>
      <c r="C25" s="768">
        <v>100000</v>
      </c>
      <c r="D25" s="769" t="s">
        <v>132</v>
      </c>
      <c r="E25" s="766" t="s">
        <v>311</v>
      </c>
      <c r="F25" s="770">
        <v>100</v>
      </c>
      <c r="G25" s="770">
        <v>0</v>
      </c>
      <c r="H25" s="771">
        <v>42165</v>
      </c>
      <c r="I25" s="771">
        <v>42349</v>
      </c>
      <c r="J25" s="768"/>
      <c r="K25" s="765"/>
      <c r="L25" s="742"/>
    </row>
    <row r="26" spans="1:12" ht="16.5" thickBot="1" x14ac:dyDescent="0.3">
      <c r="A26" s="985" t="s">
        <v>308</v>
      </c>
      <c r="B26" s="986"/>
      <c r="C26" s="774">
        <f>C16+C17+C18+C19+C20+C21+C23+C25</f>
        <v>10320000</v>
      </c>
      <c r="D26" s="775"/>
      <c r="E26" s="776"/>
      <c r="F26" s="777">
        <f>(C25+C23+C21+C20+C19+C18+C16)/C26</f>
        <v>0.88</v>
      </c>
      <c r="G26" s="777">
        <f>1-F26</f>
        <v>0.12</v>
      </c>
      <c r="H26" s="776"/>
      <c r="I26" s="776"/>
      <c r="J26" s="776"/>
      <c r="K26" s="778"/>
      <c r="L26" s="742"/>
    </row>
    <row r="27" spans="1:12" ht="20.25" customHeight="1" x14ac:dyDescent="0.25">
      <c r="A27" s="998" t="s">
        <v>330</v>
      </c>
      <c r="B27" s="999"/>
      <c r="C27" s="999"/>
      <c r="D27" s="999"/>
      <c r="E27" s="999"/>
      <c r="F27" s="999"/>
      <c r="G27" s="999"/>
      <c r="H27" s="999"/>
      <c r="I27" s="999"/>
      <c r="J27" s="999"/>
      <c r="K27" s="1000"/>
      <c r="L27" s="742"/>
    </row>
    <row r="28" spans="1:12" ht="15.75" x14ac:dyDescent="0.25">
      <c r="A28" s="972" t="s">
        <v>128</v>
      </c>
      <c r="B28" s="973"/>
      <c r="C28" s="973"/>
      <c r="D28" s="973"/>
      <c r="E28" s="973"/>
      <c r="F28" s="973"/>
      <c r="G28" s="973"/>
      <c r="H28" s="973"/>
      <c r="I28" s="973"/>
      <c r="J28" s="973"/>
      <c r="K28" s="973"/>
      <c r="L28" s="742"/>
    </row>
    <row r="29" spans="1:12" ht="31.5" x14ac:dyDescent="0.25">
      <c r="A29" s="766" t="s">
        <v>379</v>
      </c>
      <c r="B29" s="773" t="s">
        <v>360</v>
      </c>
      <c r="C29" s="768">
        <v>20000</v>
      </c>
      <c r="D29" s="769" t="s">
        <v>231</v>
      </c>
      <c r="E29" s="766" t="s">
        <v>232</v>
      </c>
      <c r="F29" s="770">
        <v>0</v>
      </c>
      <c r="G29" s="770">
        <v>100</v>
      </c>
      <c r="H29" s="771">
        <v>42278</v>
      </c>
      <c r="I29" s="771">
        <v>42430</v>
      </c>
      <c r="J29" s="768"/>
      <c r="K29" s="765"/>
    </row>
    <row r="30" spans="1:12" ht="31.5" x14ac:dyDescent="0.25">
      <c r="A30" s="766" t="s">
        <v>378</v>
      </c>
      <c r="B30" s="773" t="s">
        <v>239</v>
      </c>
      <c r="C30" s="768">
        <v>250000</v>
      </c>
      <c r="D30" s="769" t="s">
        <v>240</v>
      </c>
      <c r="E30" s="766" t="s">
        <v>235</v>
      </c>
      <c r="F30" s="770">
        <v>100</v>
      </c>
      <c r="G30" s="770">
        <v>0</v>
      </c>
      <c r="H30" s="771">
        <v>42262</v>
      </c>
      <c r="I30" s="771">
        <v>43617</v>
      </c>
      <c r="J30" s="768"/>
      <c r="K30" s="765"/>
    </row>
    <row r="31" spans="1:12" ht="31.5" x14ac:dyDescent="0.25">
      <c r="A31" s="766" t="s">
        <v>377</v>
      </c>
      <c r="B31" s="773" t="s">
        <v>361</v>
      </c>
      <c r="C31" s="768">
        <v>100000</v>
      </c>
      <c r="D31" s="769" t="s">
        <v>130</v>
      </c>
      <c r="E31" s="766" t="s">
        <v>316</v>
      </c>
      <c r="F31" s="770">
        <v>100</v>
      </c>
      <c r="G31" s="770">
        <v>0</v>
      </c>
      <c r="H31" s="771">
        <v>42278</v>
      </c>
      <c r="I31" s="771">
        <v>42370</v>
      </c>
      <c r="J31" s="768"/>
      <c r="K31" s="765"/>
    </row>
    <row r="32" spans="1:12" s="750" customFormat="1" ht="31.5" x14ac:dyDescent="0.25">
      <c r="A32" s="766" t="s">
        <v>376</v>
      </c>
      <c r="B32" s="773" t="s">
        <v>351</v>
      </c>
      <c r="C32" s="768">
        <v>150000</v>
      </c>
      <c r="D32" s="769" t="s">
        <v>129</v>
      </c>
      <c r="E32" s="766" t="s">
        <v>316</v>
      </c>
      <c r="F32" s="770">
        <v>100</v>
      </c>
      <c r="G32" s="770">
        <v>0</v>
      </c>
      <c r="H32" s="771">
        <v>42353</v>
      </c>
      <c r="I32" s="771">
        <v>42444</v>
      </c>
      <c r="J32" s="768"/>
      <c r="K32" s="765"/>
    </row>
    <row r="33" spans="1:12" ht="15.75" x14ac:dyDescent="0.25">
      <c r="A33" s="972" t="s">
        <v>317</v>
      </c>
      <c r="B33" s="973"/>
      <c r="C33" s="973"/>
      <c r="D33" s="973"/>
      <c r="E33" s="973"/>
      <c r="F33" s="973"/>
      <c r="G33" s="973"/>
      <c r="H33" s="973"/>
      <c r="I33" s="973"/>
      <c r="J33" s="973"/>
      <c r="K33" s="973"/>
    </row>
    <row r="34" spans="1:12" ht="31.5" x14ac:dyDescent="0.25">
      <c r="A34" s="766" t="s">
        <v>375</v>
      </c>
      <c r="B34" s="773" t="s">
        <v>323</v>
      </c>
      <c r="C34" s="768">
        <v>150000</v>
      </c>
      <c r="D34" s="769" t="s">
        <v>129</v>
      </c>
      <c r="E34" s="766" t="s">
        <v>232</v>
      </c>
      <c r="F34" s="770">
        <v>100</v>
      </c>
      <c r="G34" s="770">
        <v>0</v>
      </c>
      <c r="H34" s="771" t="s">
        <v>318</v>
      </c>
      <c r="I34" s="771">
        <v>42690</v>
      </c>
      <c r="J34" s="768"/>
      <c r="K34" s="765"/>
    </row>
    <row r="35" spans="1:12" ht="15.75" x14ac:dyDescent="0.25">
      <c r="A35" s="974" t="s">
        <v>244</v>
      </c>
      <c r="B35" s="975"/>
      <c r="C35" s="975"/>
      <c r="D35" s="975"/>
      <c r="E35" s="975"/>
      <c r="F35" s="975"/>
      <c r="G35" s="975"/>
      <c r="H35" s="975"/>
      <c r="I35" s="975"/>
      <c r="J35" s="976"/>
      <c r="K35" s="977"/>
    </row>
    <row r="36" spans="1:12" ht="15.75" x14ac:dyDescent="0.25">
      <c r="A36" s="779"/>
      <c r="B36" s="780"/>
      <c r="C36" s="780"/>
      <c r="D36" s="780"/>
      <c r="E36" s="780"/>
      <c r="F36" s="780"/>
      <c r="G36" s="780"/>
      <c r="H36" s="780"/>
      <c r="I36" s="780"/>
      <c r="J36" s="781"/>
      <c r="K36" s="782"/>
    </row>
    <row r="37" spans="1:12" s="750" customFormat="1" ht="15.75" x14ac:dyDescent="0.25">
      <c r="A37" s="766" t="s">
        <v>374</v>
      </c>
      <c r="B37" s="773" t="s">
        <v>348</v>
      </c>
      <c r="C37" s="768">
        <v>1550000</v>
      </c>
      <c r="D37" s="769" t="s">
        <v>245</v>
      </c>
      <c r="E37" s="766" t="s">
        <v>232</v>
      </c>
      <c r="F37" s="770">
        <v>100</v>
      </c>
      <c r="G37" s="770">
        <v>0</v>
      </c>
      <c r="H37" s="771">
        <v>42566</v>
      </c>
      <c r="I37" s="771">
        <v>42933</v>
      </c>
      <c r="J37" s="768"/>
      <c r="K37" s="765"/>
    </row>
    <row r="38" spans="1:12" ht="47.25" x14ac:dyDescent="0.25">
      <c r="A38" s="766" t="s">
        <v>373</v>
      </c>
      <c r="B38" s="773" t="s">
        <v>407</v>
      </c>
      <c r="C38" s="768">
        <v>250000</v>
      </c>
      <c r="D38" s="769" t="s">
        <v>132</v>
      </c>
      <c r="E38" s="766" t="s">
        <v>232</v>
      </c>
      <c r="F38" s="770">
        <v>100</v>
      </c>
      <c r="G38" s="770">
        <v>0</v>
      </c>
      <c r="H38" s="771">
        <v>42370</v>
      </c>
      <c r="I38" s="771">
        <v>42567</v>
      </c>
      <c r="J38" s="768"/>
      <c r="K38" s="765"/>
    </row>
    <row r="39" spans="1:12" ht="15.75" x14ac:dyDescent="0.25">
      <c r="A39" s="766" t="s">
        <v>372</v>
      </c>
      <c r="B39" s="773" t="s">
        <v>329</v>
      </c>
      <c r="C39" s="768">
        <v>60000</v>
      </c>
      <c r="D39" s="769" t="s">
        <v>132</v>
      </c>
      <c r="E39" s="766" t="s">
        <v>232</v>
      </c>
      <c r="F39" s="770">
        <v>100</v>
      </c>
      <c r="G39" s="770">
        <v>0</v>
      </c>
      <c r="H39" s="771">
        <v>42323</v>
      </c>
      <c r="I39" s="771">
        <v>42506</v>
      </c>
      <c r="J39" s="768"/>
      <c r="K39" s="765"/>
    </row>
    <row r="40" spans="1:12" ht="15.75" x14ac:dyDescent="0.25">
      <c r="A40" s="974" t="s">
        <v>246</v>
      </c>
      <c r="B40" s="975"/>
      <c r="C40" s="975"/>
      <c r="D40" s="975"/>
      <c r="E40" s="975"/>
      <c r="F40" s="975"/>
      <c r="G40" s="975"/>
      <c r="H40" s="975"/>
      <c r="I40" s="975"/>
      <c r="J40" s="975"/>
      <c r="K40" s="981"/>
    </row>
    <row r="41" spans="1:12" s="750" customFormat="1" ht="31.5" x14ac:dyDescent="0.25">
      <c r="A41" s="766" t="s">
        <v>371</v>
      </c>
      <c r="B41" s="773" t="s">
        <v>349</v>
      </c>
      <c r="C41" s="768">
        <v>150000</v>
      </c>
      <c r="D41" s="769" t="s">
        <v>325</v>
      </c>
      <c r="E41" s="766" t="s">
        <v>232</v>
      </c>
      <c r="F41" s="770">
        <v>100</v>
      </c>
      <c r="G41" s="770">
        <v>0</v>
      </c>
      <c r="H41" s="771">
        <v>42552</v>
      </c>
      <c r="I41" s="771">
        <v>42917</v>
      </c>
      <c r="J41" s="768"/>
      <c r="K41" s="765"/>
    </row>
    <row r="42" spans="1:12" s="750" customFormat="1" ht="31.5" x14ac:dyDescent="0.25">
      <c r="A42" s="766" t="s">
        <v>370</v>
      </c>
      <c r="B42" s="773" t="s">
        <v>350</v>
      </c>
      <c r="C42" s="768">
        <v>125000</v>
      </c>
      <c r="D42" s="769" t="s">
        <v>325</v>
      </c>
      <c r="E42" s="766" t="s">
        <v>232</v>
      </c>
      <c r="F42" s="770">
        <v>100</v>
      </c>
      <c r="G42" s="770">
        <v>0</v>
      </c>
      <c r="H42" s="771">
        <v>42552</v>
      </c>
      <c r="I42" s="771">
        <v>42917</v>
      </c>
      <c r="J42" s="768"/>
      <c r="K42" s="765"/>
    </row>
    <row r="43" spans="1:12" ht="31.5" x14ac:dyDescent="0.25">
      <c r="A43" s="766" t="s">
        <v>380</v>
      </c>
      <c r="B43" s="773" t="s">
        <v>324</v>
      </c>
      <c r="C43" s="768">
        <v>120000</v>
      </c>
      <c r="D43" s="769" t="s">
        <v>325</v>
      </c>
      <c r="E43" s="766" t="s">
        <v>232</v>
      </c>
      <c r="F43" s="770">
        <v>100</v>
      </c>
      <c r="G43" s="770">
        <v>0</v>
      </c>
      <c r="H43" s="771" t="s">
        <v>322</v>
      </c>
      <c r="I43" s="771">
        <v>42567</v>
      </c>
      <c r="J43" s="768"/>
      <c r="K43" s="765"/>
    </row>
    <row r="44" spans="1:12" ht="31.5" x14ac:dyDescent="0.25">
      <c r="A44" s="766" t="s">
        <v>381</v>
      </c>
      <c r="B44" s="773" t="s">
        <v>326</v>
      </c>
      <c r="C44" s="768">
        <v>353000</v>
      </c>
      <c r="D44" s="769" t="s">
        <v>333</v>
      </c>
      <c r="E44" s="766" t="s">
        <v>232</v>
      </c>
      <c r="F44" s="770">
        <v>100</v>
      </c>
      <c r="G44" s="770">
        <v>0</v>
      </c>
      <c r="H44" s="771" t="s">
        <v>322</v>
      </c>
      <c r="I44" s="771">
        <v>42714</v>
      </c>
      <c r="J44" s="768"/>
      <c r="K44" s="765"/>
      <c r="L44" s="742"/>
    </row>
    <row r="45" spans="1:12" ht="15.75" hidden="1" x14ac:dyDescent="0.25">
      <c r="A45" s="766">
        <v>2.11</v>
      </c>
      <c r="B45" s="773" t="s">
        <v>248</v>
      </c>
      <c r="C45" s="768">
        <f>2140000/2</f>
        <v>1070000</v>
      </c>
      <c r="D45" s="769" t="s">
        <v>131</v>
      </c>
      <c r="E45" s="766" t="s">
        <v>232</v>
      </c>
      <c r="F45" s="770">
        <v>100</v>
      </c>
      <c r="G45" s="770">
        <v>0</v>
      </c>
      <c r="H45" s="771">
        <v>41708</v>
      </c>
      <c r="I45" s="771">
        <v>41983</v>
      </c>
      <c r="J45" s="768"/>
      <c r="K45" s="765"/>
      <c r="L45" s="738">
        <f>C44/6</f>
        <v>58833.333333333299</v>
      </c>
    </row>
    <row r="46" spans="1:12" ht="31.5" x14ac:dyDescent="0.25">
      <c r="A46" s="766" t="s">
        <v>382</v>
      </c>
      <c r="B46" s="773" t="s">
        <v>353</v>
      </c>
      <c r="C46" s="768">
        <v>100000</v>
      </c>
      <c r="D46" s="769" t="s">
        <v>333</v>
      </c>
      <c r="E46" s="766" t="s">
        <v>232</v>
      </c>
      <c r="F46" s="770">
        <v>100</v>
      </c>
      <c r="G46" s="770">
        <v>0</v>
      </c>
      <c r="H46" s="771">
        <v>42430</v>
      </c>
      <c r="I46" s="771">
        <v>42705</v>
      </c>
      <c r="J46" s="768"/>
      <c r="K46" s="765"/>
    </row>
    <row r="47" spans="1:12" ht="31.5" x14ac:dyDescent="0.25">
      <c r="A47" s="766" t="s">
        <v>383</v>
      </c>
      <c r="B47" s="773" t="s">
        <v>327</v>
      </c>
      <c r="C47" s="768">
        <v>120000</v>
      </c>
      <c r="D47" s="769" t="s">
        <v>328</v>
      </c>
      <c r="E47" s="766" t="s">
        <v>232</v>
      </c>
      <c r="F47" s="770">
        <v>100</v>
      </c>
      <c r="G47" s="770">
        <v>0</v>
      </c>
      <c r="H47" s="771">
        <v>42323</v>
      </c>
      <c r="I47" s="771">
        <v>42705</v>
      </c>
      <c r="J47" s="768"/>
      <c r="K47" s="765"/>
      <c r="L47" s="742"/>
    </row>
    <row r="48" spans="1:12" ht="15.75" hidden="1" x14ac:dyDescent="0.25">
      <c r="A48" s="783">
        <v>2.13</v>
      </c>
      <c r="B48" s="784" t="s">
        <v>249</v>
      </c>
      <c r="C48" s="761">
        <v>150000</v>
      </c>
      <c r="D48" s="759" t="s">
        <v>132</v>
      </c>
      <c r="E48" s="759" t="s">
        <v>232</v>
      </c>
      <c r="F48" s="763">
        <v>100</v>
      </c>
      <c r="G48" s="763">
        <v>0</v>
      </c>
      <c r="H48" s="764">
        <v>41708</v>
      </c>
      <c r="I48" s="764">
        <v>41983</v>
      </c>
      <c r="J48" s="759"/>
      <c r="K48" s="785"/>
    </row>
    <row r="49" spans="1:150" ht="15.75" hidden="1" x14ac:dyDescent="0.25">
      <c r="A49" s="783">
        <v>2.14</v>
      </c>
      <c r="B49" s="786" t="s">
        <v>250</v>
      </c>
      <c r="C49" s="761">
        <v>60000</v>
      </c>
      <c r="D49" s="759" t="s">
        <v>132</v>
      </c>
      <c r="E49" s="759" t="s">
        <v>232</v>
      </c>
      <c r="F49" s="763">
        <v>100</v>
      </c>
      <c r="G49" s="763">
        <v>0</v>
      </c>
      <c r="H49" s="764">
        <v>41708</v>
      </c>
      <c r="I49" s="764">
        <v>41983</v>
      </c>
      <c r="J49" s="759"/>
      <c r="K49" s="785"/>
    </row>
    <row r="50" spans="1:150" ht="15.75" x14ac:dyDescent="0.25">
      <c r="A50" s="974" t="s">
        <v>252</v>
      </c>
      <c r="B50" s="975"/>
      <c r="C50" s="975"/>
      <c r="D50" s="975"/>
      <c r="E50" s="975"/>
      <c r="F50" s="975"/>
      <c r="G50" s="975"/>
      <c r="H50" s="975"/>
      <c r="I50" s="975"/>
      <c r="J50" s="975"/>
      <c r="K50" s="981"/>
    </row>
    <row r="51" spans="1:150" ht="32.25" thickBot="1" x14ac:dyDescent="0.3">
      <c r="A51" s="766" t="s">
        <v>384</v>
      </c>
      <c r="B51" s="773" t="s">
        <v>253</v>
      </c>
      <c r="C51" s="768">
        <v>90000</v>
      </c>
      <c r="D51" s="769" t="s">
        <v>231</v>
      </c>
      <c r="E51" s="766" t="s">
        <v>232</v>
      </c>
      <c r="F51" s="770">
        <v>0</v>
      </c>
      <c r="G51" s="770">
        <v>100</v>
      </c>
      <c r="H51" s="771">
        <v>42278</v>
      </c>
      <c r="I51" s="771">
        <v>42675</v>
      </c>
      <c r="J51" s="768"/>
      <c r="K51" s="765"/>
    </row>
    <row r="52" spans="1:150" ht="16.5" thickBot="1" x14ac:dyDescent="0.3">
      <c r="A52" s="985" t="s">
        <v>313</v>
      </c>
      <c r="B52" s="986"/>
      <c r="C52" s="787">
        <f>C51+C47+C46+C44+C43+C42+C41+C39+C38+C37+C34+C32+C31+C30+C29</f>
        <v>3588000</v>
      </c>
      <c r="D52" s="775"/>
      <c r="E52" s="776"/>
      <c r="F52" s="777">
        <f>(C52-C29-C51)/C52</f>
        <v>0.97</v>
      </c>
      <c r="G52" s="777">
        <f>1-F52</f>
        <v>0.03</v>
      </c>
      <c r="H52" s="776"/>
      <c r="I52" s="776"/>
      <c r="J52" s="776"/>
      <c r="K52" s="778"/>
    </row>
    <row r="53" spans="1:150" ht="15.75" x14ac:dyDescent="0.25">
      <c r="A53" s="978" t="s">
        <v>331</v>
      </c>
      <c r="B53" s="979"/>
      <c r="C53" s="979"/>
      <c r="D53" s="979"/>
      <c r="E53" s="979"/>
      <c r="F53" s="979"/>
      <c r="G53" s="979"/>
      <c r="H53" s="979"/>
      <c r="I53" s="979"/>
      <c r="J53" s="979"/>
      <c r="K53" s="980"/>
    </row>
    <row r="54" spans="1:150" ht="15.75" x14ac:dyDescent="0.25">
      <c r="A54" s="972" t="s">
        <v>128</v>
      </c>
      <c r="B54" s="973"/>
      <c r="C54" s="973"/>
      <c r="D54" s="973"/>
      <c r="E54" s="973"/>
      <c r="F54" s="973"/>
      <c r="G54" s="973"/>
      <c r="H54" s="973"/>
      <c r="I54" s="973"/>
      <c r="J54" s="973"/>
      <c r="K54" s="973"/>
    </row>
    <row r="55" spans="1:150" ht="31.5" x14ac:dyDescent="0.25">
      <c r="A55" s="766" t="s">
        <v>385</v>
      </c>
      <c r="B55" s="773" t="s">
        <v>319</v>
      </c>
      <c r="C55" s="768">
        <v>100000</v>
      </c>
      <c r="D55" s="769" t="s">
        <v>129</v>
      </c>
      <c r="E55" s="766" t="s">
        <v>316</v>
      </c>
      <c r="F55" s="770">
        <v>100</v>
      </c>
      <c r="G55" s="770">
        <v>0</v>
      </c>
      <c r="H55" s="771">
        <v>42309</v>
      </c>
      <c r="I55" s="771">
        <v>42675</v>
      </c>
      <c r="J55" s="768"/>
      <c r="K55" s="765"/>
    </row>
    <row r="56" spans="1:150" ht="31.5" x14ac:dyDescent="0.25">
      <c r="A56" s="766" t="s">
        <v>386</v>
      </c>
      <c r="B56" s="773" t="s">
        <v>355</v>
      </c>
      <c r="C56" s="768">
        <v>200000</v>
      </c>
      <c r="D56" s="769" t="s">
        <v>129</v>
      </c>
      <c r="E56" s="766" t="s">
        <v>316</v>
      </c>
      <c r="F56" s="770">
        <v>100</v>
      </c>
      <c r="G56" s="770">
        <v>0</v>
      </c>
      <c r="H56" s="771">
        <v>42323</v>
      </c>
      <c r="I56" s="771">
        <v>42522</v>
      </c>
      <c r="J56" s="768"/>
      <c r="K56" s="765"/>
    </row>
    <row r="57" spans="1:150" ht="31.5" x14ac:dyDescent="0.25">
      <c r="A57" s="766" t="s">
        <v>387</v>
      </c>
      <c r="B57" s="773" t="s">
        <v>320</v>
      </c>
      <c r="C57" s="768">
        <v>65000</v>
      </c>
      <c r="D57" s="769" t="s">
        <v>321</v>
      </c>
      <c r="E57" s="766" t="s">
        <v>235</v>
      </c>
      <c r="F57" s="770">
        <v>100</v>
      </c>
      <c r="G57" s="770">
        <v>0</v>
      </c>
      <c r="H57" s="771" t="s">
        <v>322</v>
      </c>
      <c r="I57" s="771">
        <v>42690</v>
      </c>
      <c r="J57" s="768"/>
      <c r="K57" s="765"/>
    </row>
    <row r="58" spans="1:150" ht="15.75" x14ac:dyDescent="0.25">
      <c r="A58" s="982" t="s">
        <v>317</v>
      </c>
      <c r="B58" s="983"/>
      <c r="C58" s="983"/>
      <c r="D58" s="983"/>
      <c r="E58" s="983"/>
      <c r="F58" s="983"/>
      <c r="G58" s="983"/>
      <c r="H58" s="983"/>
      <c r="I58" s="983"/>
      <c r="J58" s="983"/>
      <c r="K58" s="984"/>
    </row>
    <row r="59" spans="1:150" ht="31.5" x14ac:dyDescent="0.25">
      <c r="A59" s="766" t="s">
        <v>388</v>
      </c>
      <c r="B59" s="773" t="s">
        <v>354</v>
      </c>
      <c r="C59" s="768">
        <v>100000</v>
      </c>
      <c r="D59" s="769" t="s">
        <v>132</v>
      </c>
      <c r="E59" s="766" t="s">
        <v>235</v>
      </c>
      <c r="F59" s="770">
        <v>100</v>
      </c>
      <c r="G59" s="770">
        <v>0</v>
      </c>
      <c r="H59" s="771" t="s">
        <v>318</v>
      </c>
      <c r="I59" s="771">
        <v>42537</v>
      </c>
      <c r="J59" s="768"/>
      <c r="K59" s="765"/>
    </row>
    <row r="60" spans="1:150" ht="15.75" x14ac:dyDescent="0.25">
      <c r="A60" s="974" t="s">
        <v>244</v>
      </c>
      <c r="B60" s="975"/>
      <c r="C60" s="975"/>
      <c r="D60" s="975"/>
      <c r="E60" s="975"/>
      <c r="F60" s="975"/>
      <c r="G60" s="975"/>
      <c r="H60" s="975"/>
      <c r="I60" s="975"/>
      <c r="J60" s="976"/>
      <c r="K60" s="977"/>
    </row>
    <row r="61" spans="1:150" s="749" customFormat="1" ht="15.75" x14ac:dyDescent="0.25">
      <c r="A61" s="766" t="s">
        <v>389</v>
      </c>
      <c r="B61" s="773" t="s">
        <v>356</v>
      </c>
      <c r="C61" s="768">
        <v>5000000</v>
      </c>
      <c r="D61" s="769" t="s">
        <v>245</v>
      </c>
      <c r="E61" s="766" t="s">
        <v>311</v>
      </c>
      <c r="F61" s="770">
        <v>100</v>
      </c>
      <c r="G61" s="770">
        <v>0</v>
      </c>
      <c r="H61" s="771">
        <v>42583</v>
      </c>
      <c r="I61" s="771" t="s">
        <v>352</v>
      </c>
      <c r="J61" s="768"/>
      <c r="K61" s="765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0"/>
      <c r="AE61" s="750"/>
      <c r="AF61" s="750"/>
      <c r="AG61" s="750"/>
      <c r="AH61" s="750"/>
      <c r="AI61" s="750"/>
      <c r="AJ61" s="750"/>
      <c r="AK61" s="750"/>
      <c r="AL61" s="750"/>
      <c r="AM61" s="750"/>
      <c r="AN61" s="750"/>
      <c r="AO61" s="750"/>
      <c r="AP61" s="750"/>
      <c r="AQ61" s="750"/>
      <c r="AR61" s="750"/>
      <c r="AS61" s="750"/>
      <c r="AT61" s="750"/>
      <c r="AU61" s="750"/>
      <c r="AV61" s="750"/>
      <c r="AW61" s="750"/>
      <c r="AX61" s="750"/>
      <c r="AY61" s="750"/>
      <c r="AZ61" s="750"/>
      <c r="BA61" s="750"/>
      <c r="BB61" s="750"/>
      <c r="BC61" s="750"/>
      <c r="BD61" s="750"/>
      <c r="BE61" s="750"/>
      <c r="BF61" s="750"/>
      <c r="BG61" s="750"/>
      <c r="BH61" s="750"/>
      <c r="BI61" s="750"/>
      <c r="BJ61" s="750"/>
      <c r="BK61" s="750"/>
      <c r="BL61" s="750"/>
      <c r="BM61" s="750"/>
      <c r="BN61" s="750"/>
      <c r="BO61" s="750"/>
      <c r="BP61" s="750"/>
      <c r="BQ61" s="750"/>
      <c r="BR61" s="750"/>
      <c r="BS61" s="750"/>
      <c r="BT61" s="750"/>
      <c r="BU61" s="750"/>
      <c r="BV61" s="750"/>
      <c r="BW61" s="750"/>
      <c r="BX61" s="750"/>
      <c r="BY61" s="750"/>
      <c r="BZ61" s="750"/>
      <c r="CA61" s="750"/>
      <c r="CB61" s="750"/>
      <c r="CC61" s="750"/>
      <c r="CD61" s="750"/>
      <c r="CE61" s="750"/>
      <c r="CF61" s="750"/>
      <c r="CG61" s="750"/>
      <c r="CH61" s="750"/>
      <c r="CI61" s="750"/>
      <c r="CJ61" s="750"/>
      <c r="CK61" s="750"/>
      <c r="CL61" s="750"/>
      <c r="CM61" s="750"/>
      <c r="CN61" s="750"/>
      <c r="CO61" s="750"/>
      <c r="CP61" s="750"/>
      <c r="CQ61" s="750"/>
      <c r="CR61" s="750"/>
      <c r="CS61" s="750"/>
      <c r="CT61" s="750"/>
      <c r="CU61" s="750"/>
      <c r="CV61" s="750"/>
      <c r="CW61" s="750"/>
      <c r="CX61" s="750"/>
      <c r="CY61" s="750"/>
      <c r="CZ61" s="750"/>
      <c r="DA61" s="750"/>
      <c r="DB61" s="750"/>
      <c r="DC61" s="750"/>
      <c r="DD61" s="750"/>
      <c r="DE61" s="750"/>
      <c r="DF61" s="750"/>
      <c r="DG61" s="750"/>
      <c r="DH61" s="750"/>
      <c r="DI61" s="750"/>
      <c r="DJ61" s="750"/>
      <c r="DK61" s="750"/>
      <c r="DL61" s="750"/>
      <c r="DM61" s="750"/>
      <c r="DN61" s="750"/>
      <c r="DO61" s="750"/>
      <c r="DP61" s="750"/>
      <c r="DQ61" s="750"/>
      <c r="DR61" s="750"/>
      <c r="DS61" s="750"/>
      <c r="DT61" s="750"/>
      <c r="DU61" s="750"/>
      <c r="DV61" s="750"/>
      <c r="DW61" s="750"/>
      <c r="DX61" s="750"/>
      <c r="DY61" s="750"/>
      <c r="DZ61" s="750"/>
      <c r="EA61" s="750"/>
      <c r="EB61" s="750"/>
      <c r="EC61" s="750"/>
      <c r="ED61" s="750"/>
      <c r="EE61" s="750"/>
      <c r="EF61" s="750"/>
      <c r="EG61" s="750"/>
      <c r="EH61" s="750"/>
      <c r="EI61" s="750"/>
      <c r="EJ61" s="750"/>
      <c r="EK61" s="750"/>
      <c r="EL61" s="750"/>
      <c r="EM61" s="750"/>
      <c r="EN61" s="750"/>
      <c r="EO61" s="750"/>
      <c r="EP61" s="750"/>
      <c r="EQ61" s="750"/>
      <c r="ER61" s="750"/>
      <c r="ES61" s="750"/>
      <c r="ET61" s="750"/>
    </row>
    <row r="62" spans="1:150" ht="15.75" x14ac:dyDescent="0.25">
      <c r="A62" s="974" t="s">
        <v>246</v>
      </c>
      <c r="B62" s="975"/>
      <c r="C62" s="975"/>
      <c r="D62" s="975"/>
      <c r="E62" s="975"/>
      <c r="F62" s="975"/>
      <c r="G62" s="975"/>
      <c r="H62" s="975"/>
      <c r="I62" s="975"/>
      <c r="J62" s="975"/>
      <c r="K62" s="981"/>
      <c r="M62" s="742"/>
    </row>
    <row r="63" spans="1:150" ht="47.25" x14ac:dyDescent="0.25">
      <c r="A63" s="766" t="s">
        <v>390</v>
      </c>
      <c r="B63" s="773" t="s">
        <v>357</v>
      </c>
      <c r="C63" s="768">
        <v>100000</v>
      </c>
      <c r="D63" s="769" t="s">
        <v>334</v>
      </c>
      <c r="E63" s="766" t="s">
        <v>235</v>
      </c>
      <c r="F63" s="770">
        <v>100</v>
      </c>
      <c r="G63" s="770">
        <v>0</v>
      </c>
      <c r="H63" s="771">
        <v>42323</v>
      </c>
      <c r="I63" s="771">
        <v>42720</v>
      </c>
      <c r="J63" s="768"/>
      <c r="K63" s="765"/>
      <c r="L63" s="742"/>
    </row>
    <row r="64" spans="1:150" ht="31.5" x14ac:dyDescent="0.25">
      <c r="A64" s="766" t="s">
        <v>391</v>
      </c>
      <c r="B64" s="773" t="s">
        <v>358</v>
      </c>
      <c r="C64" s="768">
        <v>1000000</v>
      </c>
      <c r="D64" s="769" t="s">
        <v>333</v>
      </c>
      <c r="E64" s="766" t="s">
        <v>316</v>
      </c>
      <c r="F64" s="770">
        <v>100</v>
      </c>
      <c r="G64" s="770">
        <v>0</v>
      </c>
      <c r="H64" s="771">
        <v>42278</v>
      </c>
      <c r="I64" s="771">
        <v>42522</v>
      </c>
      <c r="J64" s="768"/>
      <c r="K64" s="765"/>
      <c r="L64" s="742"/>
    </row>
    <row r="65" spans="1:12" ht="15.75" x14ac:dyDescent="0.25">
      <c r="A65" s="987" t="s">
        <v>252</v>
      </c>
      <c r="B65" s="988"/>
      <c r="C65" s="988"/>
      <c r="D65" s="988"/>
      <c r="E65" s="988"/>
      <c r="F65" s="988"/>
      <c r="G65" s="988"/>
      <c r="H65" s="988"/>
      <c r="I65" s="988"/>
      <c r="J65" s="988"/>
      <c r="K65" s="989"/>
      <c r="L65" s="742"/>
    </row>
    <row r="66" spans="1:12" ht="32.25" thickBot="1" x14ac:dyDescent="0.3">
      <c r="A66" s="766" t="s">
        <v>392</v>
      </c>
      <c r="B66" s="773" t="s">
        <v>359</v>
      </c>
      <c r="C66" s="768">
        <v>20000</v>
      </c>
      <c r="D66" s="769" t="s">
        <v>231</v>
      </c>
      <c r="E66" s="766" t="s">
        <v>232</v>
      </c>
      <c r="F66" s="770">
        <v>0</v>
      </c>
      <c r="G66" s="770">
        <v>100</v>
      </c>
      <c r="H66" s="771">
        <v>42278</v>
      </c>
      <c r="I66" s="771">
        <v>42339</v>
      </c>
      <c r="J66" s="768"/>
      <c r="K66" s="765"/>
      <c r="L66" s="742"/>
    </row>
    <row r="67" spans="1:12" ht="16.5" thickBot="1" x14ac:dyDescent="0.3">
      <c r="A67" s="985" t="s">
        <v>314</v>
      </c>
      <c r="B67" s="986"/>
      <c r="C67" s="787">
        <f>C55+C56+C57+C59+C61+C63+C64+C66</f>
        <v>6585000</v>
      </c>
      <c r="D67" s="776"/>
      <c r="E67" s="776"/>
      <c r="F67" s="788">
        <f>(C67-C66)/C67</f>
        <v>0.997</v>
      </c>
      <c r="G67" s="788">
        <f>1-F67</f>
        <v>3.0000000000000001E-3</v>
      </c>
      <c r="H67" s="776"/>
      <c r="I67" s="776"/>
      <c r="J67" s="776"/>
      <c r="K67" s="778"/>
      <c r="L67" s="742"/>
    </row>
    <row r="68" spans="1:12" ht="15.75" x14ac:dyDescent="0.25">
      <c r="A68" s="978" t="s">
        <v>137</v>
      </c>
      <c r="B68" s="979"/>
      <c r="C68" s="979"/>
      <c r="D68" s="979"/>
      <c r="E68" s="979"/>
      <c r="F68" s="979"/>
      <c r="G68" s="979"/>
      <c r="H68" s="979"/>
      <c r="I68" s="979"/>
      <c r="J68" s="979"/>
      <c r="K68" s="980"/>
      <c r="L68" s="742"/>
    </row>
    <row r="69" spans="1:12" ht="15.75" x14ac:dyDescent="0.25">
      <c r="A69" s="972" t="s">
        <v>128</v>
      </c>
      <c r="B69" s="973"/>
      <c r="C69" s="973"/>
      <c r="D69" s="973"/>
      <c r="E69" s="973"/>
      <c r="F69" s="973"/>
      <c r="G69" s="973"/>
      <c r="H69" s="973"/>
      <c r="I69" s="973"/>
      <c r="J69" s="973"/>
      <c r="K69" s="973"/>
      <c r="L69" s="742"/>
    </row>
    <row r="70" spans="1:12" ht="63" x14ac:dyDescent="0.25">
      <c r="A70" s="766" t="s">
        <v>394</v>
      </c>
      <c r="B70" s="773" t="s">
        <v>393</v>
      </c>
      <c r="C70" s="768">
        <v>650000</v>
      </c>
      <c r="D70" s="769" t="s">
        <v>130</v>
      </c>
      <c r="E70" s="766" t="s">
        <v>235</v>
      </c>
      <c r="F70" s="770">
        <v>100</v>
      </c>
      <c r="G70" s="770">
        <v>0</v>
      </c>
      <c r="H70" s="771">
        <v>42379</v>
      </c>
      <c r="I70" s="771">
        <v>42715</v>
      </c>
      <c r="J70" s="768"/>
      <c r="K70" s="765"/>
      <c r="L70" s="742"/>
    </row>
    <row r="71" spans="1:12" ht="47.25" x14ac:dyDescent="0.25">
      <c r="A71" s="766" t="s">
        <v>395</v>
      </c>
      <c r="B71" s="773" t="s">
        <v>242</v>
      </c>
      <c r="C71" s="768">
        <v>500000</v>
      </c>
      <c r="D71" s="769" t="s">
        <v>130</v>
      </c>
      <c r="E71" s="766" t="s">
        <v>235</v>
      </c>
      <c r="F71" s="770">
        <v>100</v>
      </c>
      <c r="G71" s="770">
        <v>0</v>
      </c>
      <c r="H71" s="771">
        <v>42379</v>
      </c>
      <c r="I71" s="771">
        <v>42746</v>
      </c>
      <c r="J71" s="768"/>
      <c r="K71" s="765"/>
    </row>
    <row r="72" spans="1:12" ht="31.5" x14ac:dyDescent="0.25">
      <c r="A72" s="766" t="s">
        <v>396</v>
      </c>
      <c r="B72" s="773" t="s">
        <v>243</v>
      </c>
      <c r="C72" s="768">
        <v>500000</v>
      </c>
      <c r="D72" s="769" t="s">
        <v>130</v>
      </c>
      <c r="E72" s="766" t="s">
        <v>232</v>
      </c>
      <c r="F72" s="770">
        <v>100</v>
      </c>
      <c r="G72" s="770">
        <v>0</v>
      </c>
      <c r="H72" s="771">
        <v>42309</v>
      </c>
      <c r="I72" s="771">
        <v>43709</v>
      </c>
      <c r="J72" s="768"/>
      <c r="K72" s="765"/>
    </row>
    <row r="73" spans="1:12" ht="15.75" x14ac:dyDescent="0.25">
      <c r="A73" s="766" t="s">
        <v>399</v>
      </c>
      <c r="B73" s="773" t="s">
        <v>332</v>
      </c>
      <c r="C73" s="768">
        <v>40000</v>
      </c>
      <c r="D73" s="769" t="s">
        <v>321</v>
      </c>
      <c r="E73" s="766" t="s">
        <v>232</v>
      </c>
      <c r="F73" s="770">
        <v>100</v>
      </c>
      <c r="G73" s="770">
        <v>0</v>
      </c>
      <c r="H73" s="771">
        <v>42248</v>
      </c>
      <c r="I73" s="771">
        <v>42614</v>
      </c>
      <c r="J73" s="768"/>
      <c r="K73" s="765"/>
      <c r="L73" s="748"/>
    </row>
    <row r="74" spans="1:12" ht="47.25" x14ac:dyDescent="0.25">
      <c r="A74" s="766" t="s">
        <v>400</v>
      </c>
      <c r="B74" s="773" t="s">
        <v>337</v>
      </c>
      <c r="C74" s="768">
        <v>11000</v>
      </c>
      <c r="D74" s="769" t="s">
        <v>321</v>
      </c>
      <c r="E74" s="766" t="s">
        <v>232</v>
      </c>
      <c r="F74" s="770">
        <v>100</v>
      </c>
      <c r="G74" s="770">
        <v>0</v>
      </c>
      <c r="H74" s="771">
        <v>42248</v>
      </c>
      <c r="I74" s="771">
        <v>42339</v>
      </c>
      <c r="J74" s="768"/>
      <c r="K74" s="765"/>
      <c r="L74" s="748"/>
    </row>
    <row r="75" spans="1:12" ht="15.75" x14ac:dyDescent="0.25">
      <c r="A75" s="974" t="s">
        <v>246</v>
      </c>
      <c r="B75" s="975"/>
      <c r="C75" s="975"/>
      <c r="D75" s="975"/>
      <c r="E75" s="975"/>
      <c r="F75" s="975"/>
      <c r="G75" s="975"/>
      <c r="H75" s="975"/>
      <c r="I75" s="975"/>
      <c r="J75" s="975"/>
      <c r="K75" s="981"/>
    </row>
    <row r="76" spans="1:12" ht="32.25" thickBot="1" x14ac:dyDescent="0.3">
      <c r="A76" s="766" t="s">
        <v>401</v>
      </c>
      <c r="B76" s="773" t="s">
        <v>251</v>
      </c>
      <c r="C76" s="768">
        <v>700000</v>
      </c>
      <c r="D76" s="769" t="s">
        <v>131</v>
      </c>
      <c r="E76" s="766" t="s">
        <v>232</v>
      </c>
      <c r="F76" s="770">
        <v>100</v>
      </c>
      <c r="G76" s="770">
        <v>0</v>
      </c>
      <c r="H76" s="771">
        <v>42379</v>
      </c>
      <c r="I76" s="771">
        <v>42592</v>
      </c>
      <c r="J76" s="768" t="s">
        <v>241</v>
      </c>
      <c r="K76" s="765"/>
    </row>
    <row r="77" spans="1:12" ht="16.5" thickBot="1" x14ac:dyDescent="0.3">
      <c r="A77" s="985" t="s">
        <v>312</v>
      </c>
      <c r="B77" s="986"/>
      <c r="C77" s="787">
        <f>C76+C74+C73+C72+C71+C70</f>
        <v>2401000</v>
      </c>
      <c r="D77" s="776"/>
      <c r="E77" s="776"/>
      <c r="F77" s="788">
        <v>1</v>
      </c>
      <c r="G77" s="788">
        <v>0</v>
      </c>
      <c r="H77" s="776"/>
      <c r="I77" s="776"/>
      <c r="J77" s="776"/>
      <c r="K77" s="778"/>
    </row>
    <row r="78" spans="1:12" ht="18.75" customHeight="1" x14ac:dyDescent="0.25">
      <c r="A78" s="978" t="s">
        <v>341</v>
      </c>
      <c r="B78" s="979"/>
      <c r="C78" s="979"/>
      <c r="D78" s="979"/>
      <c r="E78" s="979"/>
      <c r="F78" s="979"/>
      <c r="G78" s="979"/>
      <c r="H78" s="979"/>
      <c r="I78" s="979"/>
      <c r="J78" s="979"/>
      <c r="K78" s="980"/>
    </row>
    <row r="79" spans="1:12" ht="15.75" x14ac:dyDescent="0.25">
      <c r="A79" s="972" t="s">
        <v>128</v>
      </c>
      <c r="B79" s="973"/>
      <c r="C79" s="973"/>
      <c r="D79" s="973"/>
      <c r="E79" s="973"/>
      <c r="F79" s="973"/>
      <c r="G79" s="973"/>
      <c r="H79" s="973"/>
      <c r="I79" s="973"/>
      <c r="J79" s="973"/>
      <c r="K79" s="973"/>
    </row>
    <row r="80" spans="1:12" ht="15.75" x14ac:dyDescent="0.25">
      <c r="A80" s="766" t="s">
        <v>398</v>
      </c>
      <c r="B80" s="773" t="s">
        <v>347</v>
      </c>
      <c r="C80" s="768">
        <v>100000</v>
      </c>
      <c r="D80" s="769" t="s">
        <v>321</v>
      </c>
      <c r="E80" s="766" t="s">
        <v>232</v>
      </c>
      <c r="F80" s="770">
        <v>100</v>
      </c>
      <c r="G80" s="770">
        <v>0</v>
      </c>
      <c r="H80" s="771" t="s">
        <v>318</v>
      </c>
      <c r="I80" s="771">
        <v>42614</v>
      </c>
      <c r="J80" s="768"/>
      <c r="K80" s="765"/>
    </row>
    <row r="81" spans="1:12" ht="15.75" x14ac:dyDescent="0.25">
      <c r="A81" s="982" t="s">
        <v>317</v>
      </c>
      <c r="B81" s="983"/>
      <c r="C81" s="983"/>
      <c r="D81" s="983"/>
      <c r="E81" s="983"/>
      <c r="F81" s="983"/>
      <c r="G81" s="983"/>
      <c r="H81" s="983"/>
      <c r="I81" s="983"/>
      <c r="J81" s="983"/>
      <c r="K81" s="984"/>
    </row>
    <row r="82" spans="1:12" ht="15.75" x14ac:dyDescent="0.25">
      <c r="A82" s="766" t="s">
        <v>402</v>
      </c>
      <c r="B82" s="773" t="s">
        <v>338</v>
      </c>
      <c r="C82" s="768">
        <v>1500</v>
      </c>
      <c r="D82" s="769" t="s">
        <v>132</v>
      </c>
      <c r="E82" s="766" t="s">
        <v>232</v>
      </c>
      <c r="F82" s="770">
        <v>100</v>
      </c>
      <c r="G82" s="770">
        <v>0</v>
      </c>
      <c r="H82" s="771">
        <v>42278</v>
      </c>
      <c r="I82" s="771">
        <v>42309</v>
      </c>
      <c r="J82" s="768"/>
      <c r="K82" s="765"/>
    </row>
    <row r="83" spans="1:12" ht="47.25" x14ac:dyDescent="0.25">
      <c r="A83" s="766" t="s">
        <v>403</v>
      </c>
      <c r="B83" s="773" t="s">
        <v>346</v>
      </c>
      <c r="C83" s="768">
        <v>50000</v>
      </c>
      <c r="D83" s="769" t="s">
        <v>397</v>
      </c>
      <c r="E83" s="766" t="s">
        <v>232</v>
      </c>
      <c r="F83" s="770">
        <v>0</v>
      </c>
      <c r="G83" s="770">
        <v>100</v>
      </c>
      <c r="H83" s="771" t="s">
        <v>318</v>
      </c>
      <c r="I83" s="771">
        <v>42614</v>
      </c>
      <c r="J83" s="768"/>
      <c r="K83" s="765"/>
    </row>
    <row r="84" spans="1:12" ht="15.75" x14ac:dyDescent="0.25">
      <c r="A84" s="974" t="s">
        <v>246</v>
      </c>
      <c r="B84" s="975"/>
      <c r="C84" s="975"/>
      <c r="D84" s="975"/>
      <c r="E84" s="975"/>
      <c r="F84" s="975"/>
      <c r="G84" s="975"/>
      <c r="H84" s="975"/>
      <c r="I84" s="975"/>
      <c r="J84" s="975"/>
      <c r="K84" s="981"/>
    </row>
    <row r="85" spans="1:12" ht="16.5" thickBot="1" x14ac:dyDescent="0.3">
      <c r="A85" s="766" t="s">
        <v>404</v>
      </c>
      <c r="B85" s="773" t="s">
        <v>345</v>
      </c>
      <c r="C85" s="768">
        <v>100000</v>
      </c>
      <c r="D85" s="769" t="s">
        <v>131</v>
      </c>
      <c r="E85" s="766" t="s">
        <v>232</v>
      </c>
      <c r="F85" s="770">
        <v>100</v>
      </c>
      <c r="G85" s="770">
        <v>0</v>
      </c>
      <c r="H85" s="771">
        <v>42248</v>
      </c>
      <c r="I85" s="771">
        <v>42614</v>
      </c>
      <c r="J85" s="768"/>
      <c r="K85" s="765"/>
    </row>
    <row r="86" spans="1:12" ht="16.5" thickBot="1" x14ac:dyDescent="0.3">
      <c r="A86" s="985" t="s">
        <v>342</v>
      </c>
      <c r="B86" s="986"/>
      <c r="C86" s="787">
        <f>C85+C83+C82+C80</f>
        <v>251500</v>
      </c>
      <c r="D86" s="776"/>
      <c r="E86" s="776"/>
      <c r="F86" s="788">
        <f>(C85+C82+C80)/C86</f>
        <v>0.80100000000000005</v>
      </c>
      <c r="G86" s="788">
        <f>1-F86</f>
        <v>0.19900000000000001</v>
      </c>
      <c r="H86" s="776"/>
      <c r="I86" s="776"/>
      <c r="J86" s="776"/>
      <c r="K86" s="778"/>
    </row>
    <row r="87" spans="1:12" ht="16.5" thickBot="1" x14ac:dyDescent="0.3">
      <c r="A87" s="789"/>
      <c r="B87" s="789"/>
      <c r="C87" s="789"/>
      <c r="D87" s="789"/>
      <c r="E87" s="789"/>
      <c r="F87" s="789"/>
      <c r="G87" s="789"/>
      <c r="H87" s="790"/>
      <c r="I87" s="790"/>
      <c r="J87" s="789"/>
      <c r="K87" s="789"/>
    </row>
    <row r="88" spans="1:12" ht="16.5" thickBot="1" x14ac:dyDescent="0.3">
      <c r="A88" s="985" t="s">
        <v>406</v>
      </c>
      <c r="B88" s="986" t="s">
        <v>405</v>
      </c>
      <c r="C88" s="787">
        <f>C86+C77+C67+C52+C26</f>
        <v>23145500</v>
      </c>
      <c r="D88" s="776"/>
      <c r="E88" s="776"/>
      <c r="F88" s="791">
        <f>1-G88</f>
        <v>0.94</v>
      </c>
      <c r="G88" s="791">
        <f>1380000/C88</f>
        <v>0.06</v>
      </c>
      <c r="H88" s="776"/>
      <c r="I88" s="776"/>
      <c r="J88" s="776"/>
      <c r="K88" s="778"/>
    </row>
    <row r="89" spans="1:12" ht="10.5" customHeight="1" x14ac:dyDescent="0.25">
      <c r="A89" s="789"/>
      <c r="B89" s="789"/>
      <c r="C89" s="789"/>
      <c r="D89" s="789"/>
      <c r="E89" s="789"/>
      <c r="F89" s="789"/>
      <c r="G89" s="789"/>
      <c r="H89" s="790"/>
      <c r="I89" s="790"/>
      <c r="J89" s="789"/>
      <c r="K89" s="789"/>
    </row>
    <row r="90" spans="1:12" ht="16.5" thickBot="1" x14ac:dyDescent="0.3">
      <c r="A90" s="796"/>
      <c r="B90" s="1001" t="s">
        <v>410</v>
      </c>
      <c r="C90" s="1001"/>
      <c r="D90" s="1002"/>
      <c r="E90" s="1002"/>
      <c r="F90" s="1002"/>
      <c r="G90" s="1002"/>
      <c r="H90" s="1002"/>
      <c r="I90" s="1002"/>
      <c r="J90" s="1002"/>
      <c r="K90" s="1002"/>
      <c r="L90" s="1002"/>
    </row>
    <row r="91" spans="1:12" ht="68.25" customHeight="1" x14ac:dyDescent="0.25">
      <c r="A91" s="797" t="s">
        <v>122</v>
      </c>
      <c r="B91" s="1003" t="s">
        <v>411</v>
      </c>
      <c r="C91" s="1003"/>
      <c r="D91" s="1004"/>
      <c r="E91" s="1004"/>
      <c r="F91" s="1004"/>
      <c r="G91" s="1004"/>
      <c r="H91" s="1004"/>
      <c r="I91" s="1004"/>
      <c r="J91" s="1004"/>
      <c r="K91" s="1004"/>
      <c r="L91" s="1004"/>
    </row>
    <row r="92" spans="1:12" ht="11.25" customHeight="1" x14ac:dyDescent="0.25">
      <c r="A92" s="797"/>
      <c r="B92" s="798"/>
      <c r="C92" s="799"/>
      <c r="D92" s="800"/>
      <c r="E92" s="800"/>
      <c r="F92" s="800"/>
      <c r="G92" s="801"/>
      <c r="H92" s="801"/>
      <c r="I92" s="800"/>
      <c r="J92" s="800"/>
      <c r="K92" s="800"/>
      <c r="L92" s="801"/>
    </row>
    <row r="93" spans="1:12" ht="15.75" x14ac:dyDescent="0.25">
      <c r="A93" s="797" t="s">
        <v>123</v>
      </c>
      <c r="B93" s="1005" t="s">
        <v>412</v>
      </c>
      <c r="C93" s="1005"/>
      <c r="D93" s="1005"/>
      <c r="E93" s="802"/>
      <c r="F93" s="802"/>
      <c r="G93" s="803"/>
      <c r="H93" s="803"/>
      <c r="I93" s="804"/>
      <c r="J93" s="804"/>
      <c r="K93" s="805"/>
      <c r="L93" s="803"/>
    </row>
    <row r="94" spans="1:12" ht="15.75" x14ac:dyDescent="0.25">
      <c r="A94" s="797"/>
      <c r="B94" s="806"/>
      <c r="C94" s="807"/>
      <c r="D94" s="806"/>
      <c r="E94" s="802"/>
      <c r="F94" s="802"/>
      <c r="G94" s="803"/>
      <c r="H94" s="803"/>
      <c r="I94" s="804"/>
      <c r="J94" s="804"/>
      <c r="K94" s="805"/>
      <c r="L94" s="803"/>
    </row>
    <row r="95" spans="1:12" ht="15.75" x14ac:dyDescent="0.25">
      <c r="A95" s="797" t="s">
        <v>127</v>
      </c>
      <c r="B95" s="802" t="s">
        <v>413</v>
      </c>
      <c r="C95" s="808"/>
      <c r="D95" s="802"/>
      <c r="E95" s="802"/>
      <c r="F95" s="802"/>
      <c r="G95" s="803"/>
      <c r="H95" s="803"/>
      <c r="I95" s="804"/>
      <c r="J95" s="804"/>
      <c r="K95" s="805"/>
      <c r="L95" s="803"/>
    </row>
    <row r="96" spans="1:12" ht="15.75" x14ac:dyDescent="0.25">
      <c r="A96" s="797"/>
      <c r="B96" s="802"/>
      <c r="C96" s="808"/>
      <c r="D96" s="802"/>
      <c r="E96" s="802"/>
      <c r="F96" s="802"/>
      <c r="G96" s="803"/>
      <c r="H96" s="803"/>
      <c r="I96" s="804"/>
      <c r="J96" s="804"/>
      <c r="K96" s="805"/>
      <c r="L96" s="803"/>
    </row>
    <row r="97" spans="1:12" ht="15.75" x14ac:dyDescent="0.25">
      <c r="A97" s="797" t="s">
        <v>414</v>
      </c>
      <c r="B97" s="802" t="s">
        <v>415</v>
      </c>
      <c r="C97" s="808"/>
      <c r="D97" s="802"/>
      <c r="E97" s="802"/>
      <c r="F97" s="804"/>
      <c r="G97" s="809"/>
      <c r="H97" s="803"/>
      <c r="I97" s="805"/>
      <c r="J97" s="810"/>
      <c r="K97" s="810"/>
      <c r="L97" s="811"/>
    </row>
    <row r="98" spans="1:12" ht="15.75" x14ac:dyDescent="0.25">
      <c r="A98" s="797"/>
      <c r="B98" s="802"/>
      <c r="C98" s="808"/>
      <c r="D98" s="802"/>
      <c r="E98" s="802"/>
      <c r="F98" s="804"/>
      <c r="G98" s="809"/>
      <c r="H98" s="803"/>
      <c r="I98" s="805"/>
      <c r="J98" s="810"/>
      <c r="K98" s="810"/>
      <c r="L98" s="811"/>
    </row>
    <row r="99" spans="1:12" ht="15.75" x14ac:dyDescent="0.25">
      <c r="A99" s="797" t="s">
        <v>416</v>
      </c>
      <c r="B99" s="802" t="s">
        <v>417</v>
      </c>
      <c r="C99" s="808"/>
      <c r="D99" s="802"/>
      <c r="E99" s="802"/>
      <c r="F99" s="804"/>
      <c r="G99" s="809"/>
      <c r="H99" s="803"/>
      <c r="I99" s="805"/>
      <c r="J99" s="812"/>
      <c r="K99" s="810"/>
      <c r="L99" s="811"/>
    </row>
    <row r="100" spans="1:12" ht="15.75" x14ac:dyDescent="0.25">
      <c r="A100" s="797"/>
      <c r="B100" s="802"/>
      <c r="C100" s="808"/>
      <c r="D100" s="802"/>
      <c r="E100" s="805"/>
      <c r="F100" s="805"/>
      <c r="G100" s="803"/>
      <c r="H100" s="803"/>
      <c r="I100" s="812"/>
      <c r="J100" s="812"/>
      <c r="K100" s="810"/>
      <c r="L100" s="811"/>
    </row>
    <row r="101" spans="1:12" ht="15.75" x14ac:dyDescent="0.25">
      <c r="A101" s="797" t="s">
        <v>418</v>
      </c>
      <c r="B101" s="802" t="s">
        <v>419</v>
      </c>
      <c r="C101" s="808"/>
      <c r="D101" s="802"/>
      <c r="E101" s="805"/>
      <c r="F101" s="805"/>
      <c r="G101" s="808"/>
      <c r="H101" s="803"/>
      <c r="I101" s="812"/>
      <c r="J101" s="812"/>
      <c r="K101" s="810"/>
      <c r="L101" s="811"/>
    </row>
    <row r="102" spans="1:12" ht="15.75" x14ac:dyDescent="0.25">
      <c r="A102" s="797"/>
      <c r="B102" s="802"/>
      <c r="C102" s="808"/>
      <c r="D102" s="802"/>
      <c r="E102" s="805"/>
      <c r="F102" s="805"/>
      <c r="G102" s="803"/>
      <c r="H102" s="803"/>
      <c r="I102" s="812"/>
      <c r="J102" s="812"/>
      <c r="K102" s="810"/>
      <c r="L102" s="811"/>
    </row>
    <row r="103" spans="1:12" ht="15.75" x14ac:dyDescent="0.25">
      <c r="A103" s="797" t="s">
        <v>420</v>
      </c>
      <c r="B103" s="802" t="s">
        <v>421</v>
      </c>
      <c r="C103" s="808"/>
      <c r="D103" s="802"/>
      <c r="E103" s="802"/>
      <c r="F103" s="802"/>
      <c r="G103" s="808"/>
      <c r="H103" s="808"/>
      <c r="I103" s="812"/>
      <c r="J103" s="812"/>
      <c r="K103" s="810"/>
      <c r="L103" s="811"/>
    </row>
    <row r="104" spans="1:12" x14ac:dyDescent="0.25">
      <c r="A104" s="811"/>
      <c r="B104" s="810"/>
      <c r="C104" s="811"/>
      <c r="D104" s="810"/>
      <c r="E104" s="810"/>
      <c r="F104" s="810"/>
      <c r="G104" s="811"/>
      <c r="H104" s="811"/>
      <c r="I104" s="812"/>
      <c r="J104" s="812"/>
      <c r="K104" s="810"/>
      <c r="L104" s="811"/>
    </row>
    <row r="105" spans="1:12" ht="15.75" x14ac:dyDescent="0.25">
      <c r="A105" s="797" t="s">
        <v>422</v>
      </c>
      <c r="B105" s="802" t="s">
        <v>423</v>
      </c>
      <c r="C105" s="808"/>
      <c r="D105" s="802"/>
      <c r="E105" s="802"/>
      <c r="F105" s="802"/>
      <c r="G105" s="811"/>
      <c r="H105" s="811"/>
      <c r="I105" s="812"/>
      <c r="J105" s="812"/>
      <c r="K105" s="810"/>
      <c r="L105" s="811"/>
    </row>
    <row r="106" spans="1:12" ht="15.75" x14ac:dyDescent="0.25">
      <c r="A106" s="789"/>
      <c r="B106" s="789"/>
      <c r="C106" s="789"/>
      <c r="D106" s="789"/>
      <c r="E106" s="789"/>
      <c r="F106" s="789"/>
      <c r="G106" s="789"/>
      <c r="H106" s="790"/>
      <c r="I106" s="790"/>
      <c r="J106" s="789"/>
      <c r="K106" s="789"/>
    </row>
  </sheetData>
  <mergeCells count="43">
    <mergeCell ref="A27:K27"/>
    <mergeCell ref="B90:L90"/>
    <mergeCell ref="B91:L91"/>
    <mergeCell ref="B93:D93"/>
    <mergeCell ref="A88:B88"/>
    <mergeCell ref="A77:B77"/>
    <mergeCell ref="A86:B86"/>
    <mergeCell ref="A78:K78"/>
    <mergeCell ref="A79:K79"/>
    <mergeCell ref="A81:K81"/>
    <mergeCell ref="A84:K84"/>
    <mergeCell ref="A75:K75"/>
    <mergeCell ref="A67:B67"/>
    <mergeCell ref="A60:K60"/>
    <mergeCell ref="A65:K65"/>
    <mergeCell ref="A1:K1"/>
    <mergeCell ref="A2:K2"/>
    <mergeCell ref="A3:K3"/>
    <mergeCell ref="A4:K4"/>
    <mergeCell ref="A69:K69"/>
    <mergeCell ref="H11:I11"/>
    <mergeCell ref="J11:J12"/>
    <mergeCell ref="K11:K13"/>
    <mergeCell ref="A14:K14"/>
    <mergeCell ref="A11:A13"/>
    <mergeCell ref="B11:B13"/>
    <mergeCell ref="E11:E12"/>
    <mergeCell ref="F11:G11"/>
    <mergeCell ref="A33:K33"/>
    <mergeCell ref="A35:K35"/>
    <mergeCell ref="A68:K68"/>
    <mergeCell ref="A54:K54"/>
    <mergeCell ref="A28:K28"/>
    <mergeCell ref="A40:K40"/>
    <mergeCell ref="A58:K58"/>
    <mergeCell ref="A62:K62"/>
    <mergeCell ref="A53:K53"/>
    <mergeCell ref="A15:K15"/>
    <mergeCell ref="A50:K50"/>
    <mergeCell ref="A52:B52"/>
    <mergeCell ref="A22:K22"/>
    <mergeCell ref="A24:K24"/>
    <mergeCell ref="A26:B26"/>
  </mergeCells>
  <phoneticPr fontId="24" type="noConversion"/>
  <pageMargins left="0.7" right="0.7" top="0.25" bottom="0.25" header="0.3" footer="0.3"/>
  <pageSetup scale="54" fitToHeight="3" orientation="portrait" r:id="rId1"/>
  <headerFooter>
    <oddHeader>&amp;R&amp;"-,Bold"&amp;8
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48"/>
  <sheetViews>
    <sheetView showGridLines="0" zoomScale="80" zoomScaleNormal="80" workbookViewId="0">
      <selection activeCell="B32" sqref="B32"/>
    </sheetView>
  </sheetViews>
  <sheetFormatPr defaultRowHeight="12.75" x14ac:dyDescent="0.2"/>
  <cols>
    <col min="1" max="1" width="9" style="5" customWidth="1"/>
    <col min="2" max="2" width="95.140625" customWidth="1"/>
  </cols>
  <sheetData>
    <row r="7" spans="1:2" x14ac:dyDescent="0.2">
      <c r="B7" s="6"/>
    </row>
    <row r="8" spans="1:2" x14ac:dyDescent="0.2">
      <c r="B8" s="6"/>
    </row>
    <row r="9" spans="1:2" x14ac:dyDescent="0.2">
      <c r="B9" s="6"/>
    </row>
    <row r="10" spans="1:2" ht="15" x14ac:dyDescent="0.25">
      <c r="B10" s="7" t="s">
        <v>0</v>
      </c>
    </row>
    <row r="12" spans="1:2" ht="15.75" x14ac:dyDescent="0.25">
      <c r="A12" s="819"/>
      <c r="B12" s="819"/>
    </row>
    <row r="15" spans="1:2" x14ac:dyDescent="0.2">
      <c r="A15" s="8"/>
      <c r="B15" s="1"/>
    </row>
    <row r="16" spans="1:2" ht="15" x14ac:dyDescent="0.25">
      <c r="A16" s="9" t="s">
        <v>1</v>
      </c>
      <c r="B16" s="10" t="s">
        <v>2</v>
      </c>
    </row>
    <row r="17" spans="1:2" ht="15" x14ac:dyDescent="0.25">
      <c r="A17" s="11"/>
      <c r="B17" s="12"/>
    </row>
    <row r="18" spans="1:2" ht="15" x14ac:dyDescent="0.25">
      <c r="A18" s="13">
        <v>1</v>
      </c>
      <c r="B18" s="12" t="s">
        <v>3</v>
      </c>
    </row>
    <row r="19" spans="1:2" ht="15" x14ac:dyDescent="0.25">
      <c r="A19" s="13">
        <v>2</v>
      </c>
      <c r="B19" s="12" t="s">
        <v>4</v>
      </c>
    </row>
    <row r="20" spans="1:2" ht="7.9" customHeight="1" x14ac:dyDescent="0.25">
      <c r="A20" s="13"/>
      <c r="B20" s="10"/>
    </row>
    <row r="21" spans="1:2" ht="15" x14ac:dyDescent="0.25">
      <c r="A21" s="13">
        <v>3</v>
      </c>
      <c r="B21" s="12" t="s">
        <v>5</v>
      </c>
    </row>
    <row r="22" spans="1:2" ht="15" x14ac:dyDescent="0.25">
      <c r="A22" s="13">
        <v>4</v>
      </c>
      <c r="B22" s="12" t="s">
        <v>6</v>
      </c>
    </row>
    <row r="23" spans="1:2" ht="15" x14ac:dyDescent="0.25">
      <c r="A23" s="13">
        <v>5</v>
      </c>
      <c r="B23" s="12" t="s">
        <v>7</v>
      </c>
    </row>
    <row r="24" spans="1:2" ht="15" x14ac:dyDescent="0.25">
      <c r="A24" s="13">
        <v>6</v>
      </c>
      <c r="B24" s="542" t="s">
        <v>136</v>
      </c>
    </row>
    <row r="25" spans="1:2" ht="15" x14ac:dyDescent="0.25">
      <c r="A25" s="7">
        <v>7</v>
      </c>
      <c r="B25" s="542" t="s">
        <v>137</v>
      </c>
    </row>
    <row r="26" spans="1:2" ht="15" x14ac:dyDescent="0.25">
      <c r="A26" s="15">
        <v>8</v>
      </c>
      <c r="B26" s="14" t="s">
        <v>8</v>
      </c>
    </row>
    <row r="27" spans="1:2" ht="15" x14ac:dyDescent="0.25">
      <c r="A27" s="15">
        <v>9</v>
      </c>
      <c r="B27" s="16" t="s">
        <v>9</v>
      </c>
    </row>
    <row r="28" spans="1:2" ht="15" x14ac:dyDescent="0.25">
      <c r="A28" s="7">
        <v>10</v>
      </c>
      <c r="B28" s="16" t="s">
        <v>10</v>
      </c>
    </row>
    <row r="29" spans="1:2" ht="15" x14ac:dyDescent="0.25">
      <c r="A29" s="7">
        <v>11</v>
      </c>
      <c r="B29" s="14" t="s">
        <v>11</v>
      </c>
    </row>
    <row r="30" spans="1:2" ht="15" x14ac:dyDescent="0.25">
      <c r="A30" s="17">
        <v>12</v>
      </c>
      <c r="B30" s="14" t="s">
        <v>12</v>
      </c>
    </row>
    <row r="31" spans="1:2" ht="15" x14ac:dyDescent="0.25">
      <c r="A31" s="19">
        <v>13</v>
      </c>
      <c r="B31" s="18" t="s">
        <v>216</v>
      </c>
    </row>
    <row r="32" spans="1:2" ht="15" x14ac:dyDescent="0.25">
      <c r="A32" s="19">
        <v>14</v>
      </c>
      <c r="B32" s="20" t="s">
        <v>139</v>
      </c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</sheetData>
  <sheetProtection selectLockedCells="1" selectUnlockedCells="1"/>
  <mergeCells count="1">
    <mergeCell ref="A12:B12"/>
  </mergeCells>
  <phoneticPr fontId="24" type="noConversion"/>
  <printOptions horizontalCentered="1"/>
  <pageMargins left="0.59027777777777779" right="0.59027777777777779" top="0.59027777777777779" bottom="0.78749999999999998" header="0.51180555555555551" footer="0.51180555555555551"/>
  <pageSetup paperSize="9" scale="85" firstPageNumber="0" orientation="portrait" horizontalDpi="300" verticalDpi="300" r:id="rId1"/>
  <headerFooter alignWithMargins="0">
    <oddFooter>&amp;L&amp;D&amp;C&amp;A&amp;RPág.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showGridLines="0" zoomScale="80" zoomScaleNormal="80" zoomScaleSheetLayoutView="75" workbookViewId="0">
      <pane ySplit="4" topLeftCell="A5" activePane="bottomLeft" state="frozen"/>
      <selection pane="bottomLeft" activeCell="D12" sqref="D12"/>
    </sheetView>
  </sheetViews>
  <sheetFormatPr defaultColWidth="4.5703125" defaultRowHeight="12.75" x14ac:dyDescent="0.2"/>
  <cols>
    <col min="1" max="1" width="110.5703125" style="22" customWidth="1"/>
    <col min="2" max="2" width="9.5703125" style="23" customWidth="1"/>
    <col min="3" max="3" width="0" style="21" hidden="1" customWidth="1"/>
    <col min="4" max="4" width="14.85546875" style="24" customWidth="1"/>
    <col min="5" max="5" width="15.85546875" style="24" customWidth="1"/>
    <col min="6" max="6" width="11" style="23" customWidth="1"/>
    <col min="7" max="7" width="5.7109375" style="21" customWidth="1"/>
    <col min="8" max="11" width="0" style="21" hidden="1" customWidth="1"/>
    <col min="12" max="16384" width="4.5703125" style="21"/>
  </cols>
  <sheetData>
    <row r="1" spans="1:11" x14ac:dyDescent="0.2">
      <c r="A1" s="25"/>
      <c r="B1" s="26" t="s">
        <v>13</v>
      </c>
      <c r="C1" s="26"/>
      <c r="D1" s="27" t="s">
        <v>14</v>
      </c>
      <c r="E1" s="28">
        <v>2.5</v>
      </c>
      <c r="F1" s="29"/>
    </row>
    <row r="2" spans="1:11" ht="15.75" x14ac:dyDescent="0.2">
      <c r="A2" s="30" t="s">
        <v>15</v>
      </c>
      <c r="B2" s="31"/>
      <c r="C2" s="32"/>
      <c r="D2" s="33"/>
      <c r="E2" s="33"/>
      <c r="F2" s="34"/>
    </row>
    <row r="3" spans="1:11" ht="13.5" customHeight="1" x14ac:dyDescent="0.2">
      <c r="A3" s="35" t="s">
        <v>16</v>
      </c>
      <c r="B3" s="36"/>
      <c r="C3" s="37"/>
      <c r="D3" s="38"/>
      <c r="E3" s="38"/>
      <c r="F3" s="39"/>
      <c r="H3" s="40"/>
      <c r="I3" s="40"/>
      <c r="J3" s="40"/>
      <c r="K3" s="40"/>
    </row>
    <row r="4" spans="1:11" ht="12.75" customHeight="1" x14ac:dyDescent="0.2">
      <c r="A4" s="41" t="s">
        <v>17</v>
      </c>
      <c r="B4" s="42" t="s">
        <v>18</v>
      </c>
      <c r="C4" s="43"/>
      <c r="D4" s="44" t="s">
        <v>19</v>
      </c>
      <c r="E4" s="44" t="s">
        <v>20</v>
      </c>
      <c r="F4" s="45" t="s">
        <v>21</v>
      </c>
      <c r="H4" s="46" t="s">
        <v>22</v>
      </c>
      <c r="I4" s="47" t="s">
        <v>23</v>
      </c>
      <c r="J4" s="48" t="s">
        <v>24</v>
      </c>
      <c r="K4" s="49" t="s">
        <v>25</v>
      </c>
    </row>
    <row r="5" spans="1:11" ht="13.5" customHeight="1" x14ac:dyDescent="0.2">
      <c r="A5" s="50" t="s">
        <v>26</v>
      </c>
      <c r="B5" s="51"/>
      <c r="C5" s="52"/>
      <c r="D5" s="53"/>
      <c r="E5" s="53"/>
      <c r="F5" s="54"/>
      <c r="H5" s="55"/>
      <c r="I5" s="56"/>
      <c r="J5" s="57"/>
      <c r="K5" s="58"/>
    </row>
    <row r="6" spans="1:11" ht="26.25" customHeight="1" x14ac:dyDescent="0.2">
      <c r="A6" s="659" t="str">
        <f>'4_Componente 1'!A2:B2</f>
        <v>COMPONENTE 1: PREVENÇÃO SOCIAL DA VIOLÊNCIA</v>
      </c>
      <c r="B6" s="59"/>
      <c r="C6" s="52">
        <f>COUNTIF(C7:C25,"verdadeiro")</f>
        <v>0</v>
      </c>
      <c r="D6" s="60">
        <f>SUM(D7:D10)</f>
        <v>18700000</v>
      </c>
      <c r="E6" s="60">
        <f>SUM(E7:E10)</f>
        <v>46750000</v>
      </c>
      <c r="F6" s="61"/>
      <c r="H6" s="62"/>
      <c r="I6" s="63"/>
      <c r="J6" s="64"/>
      <c r="K6" s="65"/>
    </row>
    <row r="7" spans="1:11" ht="26.1" customHeight="1" x14ac:dyDescent="0.2">
      <c r="A7" s="574" t="s">
        <v>140</v>
      </c>
      <c r="B7" s="67" t="s">
        <v>27</v>
      </c>
      <c r="C7" s="68" t="b">
        <f t="shared" ref="C7:C14" si="0">AND(OR(ISBLANK(A7),A7=" ",A7="  "),B7="Sim")</f>
        <v>0</v>
      </c>
      <c r="D7" s="69">
        <f>'4_Componente 1'!A8</f>
        <v>13703000</v>
      </c>
      <c r="E7" s="69">
        <f>D7*$E$1</f>
        <v>34257500</v>
      </c>
      <c r="F7" s="70" t="s">
        <v>27</v>
      </c>
      <c r="H7" s="71"/>
      <c r="I7" s="72"/>
      <c r="J7" s="73"/>
      <c r="K7" s="74"/>
    </row>
    <row r="8" spans="1:11" ht="26.1" customHeight="1" x14ac:dyDescent="0.2">
      <c r="A8" s="574" t="s">
        <v>141</v>
      </c>
      <c r="B8" s="67" t="s">
        <v>27</v>
      </c>
      <c r="C8" s="68" t="b">
        <f t="shared" si="0"/>
        <v>0</v>
      </c>
      <c r="D8" s="69">
        <f>'4_Componente 1'!A13</f>
        <v>1800000</v>
      </c>
      <c r="E8" s="69">
        <f t="shared" ref="E8:E18" si="1">D8*$E$1</f>
        <v>4500000</v>
      </c>
      <c r="F8" s="70" t="s">
        <v>27</v>
      </c>
      <c r="H8" s="71"/>
      <c r="I8" s="72"/>
      <c r="J8" s="73"/>
      <c r="K8" s="74"/>
    </row>
    <row r="9" spans="1:11" ht="26.1" customHeight="1" x14ac:dyDescent="0.2">
      <c r="A9" s="575" t="s">
        <v>142</v>
      </c>
      <c r="B9" s="67" t="s">
        <v>27</v>
      </c>
      <c r="C9" s="68" t="b">
        <f t="shared" si="0"/>
        <v>0</v>
      </c>
      <c r="D9" s="69">
        <f>'4_Componente 1'!A18</f>
        <v>2197000</v>
      </c>
      <c r="E9" s="69">
        <f t="shared" si="1"/>
        <v>5492500</v>
      </c>
      <c r="F9" s="70" t="s">
        <v>27</v>
      </c>
      <c r="H9" s="71"/>
      <c r="I9" s="72"/>
      <c r="J9" s="73"/>
      <c r="K9" s="74"/>
    </row>
    <row r="10" spans="1:11" ht="26.1" customHeight="1" x14ac:dyDescent="0.2">
      <c r="A10" s="574" t="s">
        <v>143</v>
      </c>
      <c r="B10" s="657" t="s">
        <v>27</v>
      </c>
      <c r="C10" s="68" t="b">
        <f t="shared" si="0"/>
        <v>0</v>
      </c>
      <c r="D10" s="69">
        <f>'4_Componente 1'!A23</f>
        <v>1000000</v>
      </c>
      <c r="E10" s="69">
        <f t="shared" si="1"/>
        <v>2500000</v>
      </c>
      <c r="F10" s="70" t="s">
        <v>27</v>
      </c>
      <c r="H10" s="71"/>
      <c r="I10" s="72"/>
      <c r="J10" s="73"/>
      <c r="K10" s="74"/>
    </row>
    <row r="11" spans="1:11" ht="28.5" customHeight="1" x14ac:dyDescent="0.2">
      <c r="A11" s="660" t="str">
        <f>'5_Componente 2'!A2:B2</f>
        <v xml:space="preserve">COMPONENTE 2: PREVENÇÃO SITUACIONAL E QUALIFICAÇÃO DA SEGURANÇA PÚBLICA </v>
      </c>
      <c r="B11" s="658"/>
      <c r="C11" s="656">
        <f>COUNTIF(C15:C61,"verdadeiro")</f>
        <v>0</v>
      </c>
      <c r="D11" s="60">
        <f>SUM(D12:D14)</f>
        <v>6000000</v>
      </c>
      <c r="E11" s="60">
        <f>SUM(E12:E14)</f>
        <v>15000000</v>
      </c>
      <c r="F11" s="78" t="s">
        <v>27</v>
      </c>
      <c r="H11" s="71"/>
      <c r="I11" s="72"/>
      <c r="J11" s="75"/>
      <c r="K11" s="74"/>
    </row>
    <row r="12" spans="1:11" ht="26.1" customHeight="1" x14ac:dyDescent="0.2">
      <c r="A12" s="574" t="s">
        <v>153</v>
      </c>
      <c r="B12" s="67" t="s">
        <v>27</v>
      </c>
      <c r="C12" s="68"/>
      <c r="D12" s="69">
        <f>'5_Componente 2'!A12</f>
        <v>850500</v>
      </c>
      <c r="E12" s="69">
        <f t="shared" si="1"/>
        <v>2126250</v>
      </c>
      <c r="F12" s="70" t="s">
        <v>27</v>
      </c>
      <c r="H12" s="71"/>
      <c r="I12" s="72"/>
      <c r="J12" s="73"/>
      <c r="K12" s="74"/>
    </row>
    <row r="13" spans="1:11" ht="26.1" customHeight="1" x14ac:dyDescent="0.2">
      <c r="A13" s="574" t="s">
        <v>144</v>
      </c>
      <c r="B13" s="67" t="s">
        <v>27</v>
      </c>
      <c r="C13" s="68"/>
      <c r="D13" s="69">
        <f>'5_Componente 2'!A18</f>
        <v>1471500</v>
      </c>
      <c r="E13" s="69">
        <f t="shared" si="1"/>
        <v>3678750</v>
      </c>
      <c r="F13" s="70" t="s">
        <v>27</v>
      </c>
      <c r="H13" s="71"/>
      <c r="I13" s="72"/>
      <c r="J13" s="73"/>
      <c r="K13" s="74"/>
    </row>
    <row r="14" spans="1:11" ht="26.1" customHeight="1" x14ac:dyDescent="0.2">
      <c r="A14" s="574" t="s">
        <v>145</v>
      </c>
      <c r="B14" s="67" t="s">
        <v>27</v>
      </c>
      <c r="C14" s="68" t="b">
        <f t="shared" si="0"/>
        <v>0</v>
      </c>
      <c r="D14" s="69">
        <f>'5_Componente 2'!A21</f>
        <v>3678000</v>
      </c>
      <c r="E14" s="69">
        <f t="shared" si="1"/>
        <v>9195000</v>
      </c>
      <c r="F14" s="70" t="s">
        <v>27</v>
      </c>
      <c r="H14" s="71"/>
      <c r="I14" s="72"/>
      <c r="J14" s="73"/>
      <c r="K14" s="74"/>
    </row>
    <row r="15" spans="1:11" ht="28.5" customHeight="1" x14ac:dyDescent="0.2">
      <c r="A15" s="661" t="str">
        <f>'6_Componente 3'!A2:B2</f>
        <v>COMPONENTE 3: APRIMORAMENTO DO PROCESSO DE RESSOCIABILIZAÇÃO</v>
      </c>
      <c r="B15" s="76"/>
      <c r="C15" s="77">
        <f>COUNTIF(C17:C63,"verdadeiro")</f>
        <v>0</v>
      </c>
      <c r="D15" s="60">
        <f>SUM(D16:D18)</f>
        <v>25100000</v>
      </c>
      <c r="E15" s="60">
        <f>SUM(E16:E18)</f>
        <v>62750000</v>
      </c>
      <c r="F15" s="78" t="s">
        <v>28</v>
      </c>
      <c r="H15" s="71"/>
      <c r="I15" s="72"/>
      <c r="J15" s="75"/>
      <c r="K15" s="74"/>
    </row>
    <row r="16" spans="1:11" ht="67.5" customHeight="1" x14ac:dyDescent="0.2">
      <c r="A16" s="574" t="s">
        <v>146</v>
      </c>
      <c r="B16" s="67" t="s">
        <v>27</v>
      </c>
      <c r="C16" s="68"/>
      <c r="D16" s="69">
        <f>'6_Componente 3'!A8</f>
        <v>22550000</v>
      </c>
      <c r="E16" s="69">
        <f t="shared" si="1"/>
        <v>56375000</v>
      </c>
      <c r="F16" s="70" t="s">
        <v>27</v>
      </c>
      <c r="H16" s="71"/>
      <c r="I16" s="72"/>
      <c r="J16" s="73"/>
      <c r="K16" s="74"/>
    </row>
    <row r="17" spans="1:11" ht="43.5" customHeight="1" x14ac:dyDescent="0.2">
      <c r="A17" s="574" t="s">
        <v>147</v>
      </c>
      <c r="B17" s="67" t="s">
        <v>27</v>
      </c>
      <c r="C17" s="68" t="b">
        <f t="shared" ref="C17:C23" si="2">AND(OR(ISBLANK(A17),A17=" ",A17="  "),B17="Sim")</f>
        <v>0</v>
      </c>
      <c r="D17" s="69">
        <f>'6_Componente 3'!A11</f>
        <v>1300000</v>
      </c>
      <c r="E17" s="69">
        <f t="shared" si="1"/>
        <v>3250000</v>
      </c>
      <c r="F17" s="70" t="s">
        <v>27</v>
      </c>
      <c r="H17" s="71"/>
      <c r="I17" s="72"/>
      <c r="J17" s="73"/>
      <c r="K17" s="74"/>
    </row>
    <row r="18" spans="1:11" ht="74.25" customHeight="1" x14ac:dyDescent="0.2">
      <c r="A18" s="574" t="s">
        <v>148</v>
      </c>
      <c r="B18" s="67" t="s">
        <v>27</v>
      </c>
      <c r="C18" s="68" t="b">
        <f t="shared" si="2"/>
        <v>0</v>
      </c>
      <c r="D18" s="69">
        <f>'6_Componente 3'!A16</f>
        <v>1250000</v>
      </c>
      <c r="E18" s="69">
        <f t="shared" si="1"/>
        <v>3125000</v>
      </c>
      <c r="F18" s="70" t="s">
        <v>27</v>
      </c>
      <c r="H18" s="71"/>
      <c r="I18" s="72"/>
      <c r="J18" s="73"/>
      <c r="K18" s="74"/>
    </row>
    <row r="19" spans="1:11" ht="28.5" customHeight="1" x14ac:dyDescent="0.2">
      <c r="A19" s="661" t="str">
        <f>'7_Componente 4'!A2:B2</f>
        <v xml:space="preserve">COMPONENTE 4: FORTALECIMENTO INSTITUCIONAL DO EXECUTOR </v>
      </c>
      <c r="B19" s="76"/>
      <c r="C19" s="77">
        <f>COUNTIF(C21:C67,"verdadeiro")</f>
        <v>0</v>
      </c>
      <c r="D19" s="60">
        <f>SUM(D20:D23)</f>
        <v>3200000</v>
      </c>
      <c r="E19" s="60">
        <f>SUM(E20:E23)</f>
        <v>8000000</v>
      </c>
      <c r="F19" s="78" t="s">
        <v>28</v>
      </c>
      <c r="H19" s="71"/>
      <c r="I19" s="72"/>
      <c r="J19" s="75"/>
      <c r="K19" s="74"/>
    </row>
    <row r="20" spans="1:11" ht="31.5" customHeight="1" x14ac:dyDescent="0.2">
      <c r="A20" s="574" t="s">
        <v>149</v>
      </c>
      <c r="B20" s="67" t="s">
        <v>27</v>
      </c>
      <c r="C20" s="68" t="b">
        <f t="shared" si="2"/>
        <v>0</v>
      </c>
      <c r="D20" s="69">
        <f>'7_Componente 4'!A7</f>
        <v>650000</v>
      </c>
      <c r="E20" s="69">
        <f>D20*$E$1</f>
        <v>1625000</v>
      </c>
      <c r="F20" s="70" t="s">
        <v>27</v>
      </c>
      <c r="H20" s="71"/>
      <c r="I20" s="72"/>
      <c r="J20" s="73"/>
      <c r="K20" s="74"/>
    </row>
    <row r="21" spans="1:11" ht="26.1" customHeight="1" x14ac:dyDescent="0.2">
      <c r="A21" s="574" t="s">
        <v>150</v>
      </c>
      <c r="B21" s="67" t="s">
        <v>27</v>
      </c>
      <c r="C21" s="68" t="b">
        <f t="shared" si="2"/>
        <v>0</v>
      </c>
      <c r="D21" s="69">
        <f>'7_Componente 4'!A11</f>
        <v>1400000</v>
      </c>
      <c r="E21" s="69">
        <f>D21*$E$1</f>
        <v>3500000</v>
      </c>
      <c r="F21" s="70" t="s">
        <v>27</v>
      </c>
      <c r="H21" s="71"/>
      <c r="I21" s="72"/>
      <c r="J21" s="73"/>
      <c r="K21" s="74"/>
    </row>
    <row r="22" spans="1:11" ht="26.1" customHeight="1" x14ac:dyDescent="0.2">
      <c r="A22" s="574" t="s">
        <v>151</v>
      </c>
      <c r="B22" s="67" t="s">
        <v>27</v>
      </c>
      <c r="C22" s="68" t="b">
        <f t="shared" si="2"/>
        <v>0</v>
      </c>
      <c r="D22" s="69">
        <f>'7_Componente 4'!A14</f>
        <v>650000</v>
      </c>
      <c r="E22" s="69">
        <f>D22*$E$1</f>
        <v>1625000</v>
      </c>
      <c r="F22" s="70" t="s">
        <v>27</v>
      </c>
      <c r="H22" s="71"/>
      <c r="I22" s="72"/>
      <c r="J22" s="73"/>
      <c r="K22" s="74"/>
    </row>
    <row r="23" spans="1:11" ht="26.1" customHeight="1" x14ac:dyDescent="0.2">
      <c r="A23" s="574" t="s">
        <v>152</v>
      </c>
      <c r="B23" s="67" t="s">
        <v>27</v>
      </c>
      <c r="C23" s="68" t="b">
        <f t="shared" si="2"/>
        <v>0</v>
      </c>
      <c r="D23" s="69">
        <f>'7_Componente 4'!A18</f>
        <v>500000</v>
      </c>
      <c r="E23" s="69">
        <f>D23*$E$1</f>
        <v>1250000</v>
      </c>
      <c r="F23" s="70" t="s">
        <v>27</v>
      </c>
      <c r="H23" s="71"/>
      <c r="I23" s="72"/>
      <c r="J23" s="73"/>
      <c r="K23" s="74"/>
    </row>
    <row r="24" spans="1:11" ht="12.75" customHeight="1" x14ac:dyDescent="0.2">
      <c r="A24" s="50" t="s">
        <v>29</v>
      </c>
      <c r="B24" s="81"/>
      <c r="C24" s="68"/>
      <c r="D24" s="82"/>
      <c r="E24" s="82"/>
      <c r="F24" s="83"/>
      <c r="H24" s="84"/>
      <c r="I24" s="85"/>
      <c r="J24" s="86"/>
      <c r="K24" s="87"/>
    </row>
    <row r="25" spans="1:11" x14ac:dyDescent="0.2">
      <c r="A25" s="66" t="s">
        <v>30</v>
      </c>
      <c r="B25" s="67" t="s">
        <v>27</v>
      </c>
      <c r="C25" s="68" t="b">
        <f>AND(OR(ISBLANK(A25),A25=" ",A25="  "),B25="Sim")</f>
        <v>0</v>
      </c>
      <c r="D25" s="80">
        <f>'8_ADM'!B20</f>
        <v>3000000</v>
      </c>
      <c r="E25" s="69">
        <f>D25*$E$1</f>
        <v>7500000</v>
      </c>
      <c r="F25" s="70" t="s">
        <v>27</v>
      </c>
      <c r="H25" s="71"/>
      <c r="I25" s="72"/>
      <c r="J25" s="79"/>
      <c r="K25" s="74"/>
    </row>
    <row r="26" spans="1:11" x14ac:dyDescent="0.2">
      <c r="A26" s="88" t="s">
        <v>31</v>
      </c>
      <c r="B26" s="89"/>
      <c r="C26" s="90" t="b">
        <f>AND(OR(ISBLANK(A26),A26=" ",A26="  "),B26="Sim")</f>
        <v>0</v>
      </c>
      <c r="D26" s="91"/>
      <c r="E26" s="91"/>
      <c r="F26" s="92" t="s">
        <v>28</v>
      </c>
      <c r="H26" s="93"/>
      <c r="I26" s="94"/>
      <c r="J26" s="95"/>
      <c r="K26" s="96"/>
    </row>
    <row r="28" spans="1:11" x14ac:dyDescent="0.2">
      <c r="G28" s="97"/>
    </row>
    <row r="29" spans="1:11" x14ac:dyDescent="0.2">
      <c r="D29" s="24">
        <f>D6+D11+D15+D19+D25</f>
        <v>56000000</v>
      </c>
      <c r="E29" s="24">
        <f>E6+E11+E15+E19+E25</f>
        <v>140000000</v>
      </c>
    </row>
  </sheetData>
  <sheetProtection selectLockedCells="1" selectUnlockedCells="1"/>
  <phoneticPr fontId="24" type="noConversion"/>
  <conditionalFormatting sqref="B25:B26 F25:F26 F7:F23 B7:B23">
    <cfRule type="cellIs" dxfId="5" priority="1" stopIfTrue="1" operator="equal">
      <formula>"Sim"</formula>
    </cfRule>
  </conditionalFormatting>
  <dataValidations count="1">
    <dataValidation type="list" operator="equal" allowBlank="1" showErrorMessage="1" sqref="F25:F26 B25:B26 F7:F23 B12:B14 B16:B18 B7:B10 B20:B23">
      <formula1>"Sim,Não"</formula1>
      <formula2>0</formula2>
    </dataValidation>
  </dataValidations>
  <printOptions horizontalCentered="1"/>
  <pageMargins left="0.2361111111111111" right="0.39374999999999999" top="0.59097222222222223" bottom="0.62986111111111109" header="0.31527777777777777" footer="0.31527777777777777"/>
  <pageSetup paperSize="9" scale="85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34"/>
  <sheetViews>
    <sheetView showGridLines="0" view="pageBreakPreview" zoomScale="85" zoomScaleNormal="100" zoomScaleSheetLayoutView="85" workbookViewId="0">
      <pane xSplit="2" ySplit="4" topLeftCell="D5" activePane="bottomRight" state="frozen"/>
      <selection pane="topRight" activeCell="I1" sqref="I1"/>
      <selection pane="bottomLeft" activeCell="A21" sqref="A21"/>
      <selection pane="bottomRight" activeCell="G6" sqref="G6"/>
    </sheetView>
  </sheetViews>
  <sheetFormatPr defaultRowHeight="12.75" x14ac:dyDescent="0.2"/>
  <cols>
    <col min="1" max="1" width="30.7109375" style="98" customWidth="1"/>
    <col min="2" max="2" width="53.28515625" style="99" customWidth="1"/>
    <col min="3" max="3" width="35.42578125" style="99" customWidth="1"/>
    <col min="4" max="4" width="27.5703125" style="99" customWidth="1"/>
    <col min="5" max="5" width="10.7109375" style="571" customWidth="1"/>
    <col min="6" max="6" width="10.7109375" style="572" customWidth="1"/>
    <col min="7" max="7" width="11.7109375" style="99" customWidth="1"/>
    <col min="8" max="8" width="26.85546875" style="99" customWidth="1"/>
    <col min="9" max="9" width="8" style="571" customWidth="1"/>
    <col min="10" max="10" width="11.42578125" style="572" customWidth="1"/>
    <col min="11" max="11" width="14.140625" style="99" customWidth="1"/>
    <col min="12" max="12" width="26.85546875" style="100" customWidth="1"/>
    <col min="13" max="13" width="8.42578125" style="571" customWidth="1"/>
    <col min="14" max="14" width="11.7109375" style="572" customWidth="1"/>
    <col min="15" max="15" width="11.7109375" style="573" customWidth="1"/>
    <col min="16" max="16" width="26.42578125" style="99" customWidth="1"/>
    <col min="17" max="17" width="7.5703125" style="571" customWidth="1"/>
    <col min="18" max="18" width="10.7109375" style="572" customWidth="1"/>
    <col min="19" max="19" width="11.5703125" style="573" customWidth="1"/>
    <col min="20" max="20" width="26.42578125" style="99" customWidth="1"/>
    <col min="21" max="21" width="6.7109375" style="571" customWidth="1"/>
    <col min="22" max="22" width="10.7109375" style="572" customWidth="1"/>
    <col min="23" max="23" width="13.42578125" style="573" customWidth="1"/>
    <col min="24" max="16384" width="9.140625" style="99"/>
  </cols>
  <sheetData>
    <row r="1" spans="1:59" ht="13.5" thickBot="1" x14ac:dyDescent="0.25">
      <c r="A1" s="101" t="s">
        <v>32</v>
      </c>
      <c r="B1" s="102"/>
      <c r="C1" s="103"/>
      <c r="D1" s="103"/>
      <c r="E1" s="543"/>
      <c r="F1" s="544"/>
      <c r="G1" s="104"/>
      <c r="H1" s="104"/>
      <c r="I1" s="543"/>
      <c r="J1" s="545"/>
      <c r="K1" s="104"/>
      <c r="L1" s="105"/>
      <c r="M1" s="543"/>
      <c r="N1" s="545"/>
      <c r="O1" s="546"/>
      <c r="P1" s="104"/>
      <c r="Q1" s="543"/>
      <c r="R1" s="545"/>
      <c r="S1" s="546"/>
      <c r="T1" s="104"/>
      <c r="U1" s="543"/>
      <c r="V1" s="545"/>
      <c r="W1" s="546"/>
    </row>
    <row r="2" spans="1:59" s="100" customFormat="1" ht="13.5" customHeight="1" thickBot="1" x14ac:dyDescent="0.25">
      <c r="A2" s="839" t="s">
        <v>212</v>
      </c>
      <c r="B2" s="840"/>
      <c r="C2" s="107"/>
      <c r="D2" s="107"/>
      <c r="E2" s="547"/>
      <c r="F2" s="548"/>
      <c r="G2" s="107"/>
      <c r="H2" s="107"/>
      <c r="I2" s="547"/>
      <c r="J2" s="548"/>
      <c r="K2" s="107"/>
      <c r="L2" s="107"/>
      <c r="M2" s="547"/>
      <c r="N2" s="548"/>
      <c r="O2" s="549"/>
      <c r="P2" s="107"/>
      <c r="Q2" s="547"/>
      <c r="R2" s="548"/>
      <c r="S2" s="549"/>
      <c r="T2" s="108"/>
      <c r="U2" s="550"/>
      <c r="V2" s="551"/>
      <c r="W2" s="55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</row>
    <row r="3" spans="1:59" s="111" customFormat="1" ht="23.85" customHeight="1" thickBot="1" x14ac:dyDescent="0.25">
      <c r="A3" s="841" t="s">
        <v>33</v>
      </c>
      <c r="B3" s="843" t="s">
        <v>34</v>
      </c>
      <c r="C3" s="845" t="s">
        <v>35</v>
      </c>
      <c r="D3" s="847" t="s">
        <v>36</v>
      </c>
      <c r="E3" s="847"/>
      <c r="F3" s="836" t="s">
        <v>65</v>
      </c>
      <c r="G3" s="836"/>
      <c r="H3" s="835" t="s">
        <v>38</v>
      </c>
      <c r="I3" s="835"/>
      <c r="J3" s="836" t="s">
        <v>65</v>
      </c>
      <c r="K3" s="836"/>
      <c r="L3" s="835" t="s">
        <v>39</v>
      </c>
      <c r="M3" s="835"/>
      <c r="N3" s="836" t="s">
        <v>65</v>
      </c>
      <c r="O3" s="836"/>
      <c r="P3" s="837" t="s">
        <v>40</v>
      </c>
      <c r="Q3" s="837"/>
      <c r="R3" s="838" t="s">
        <v>65</v>
      </c>
      <c r="S3" s="838"/>
      <c r="T3" s="835" t="s">
        <v>210</v>
      </c>
      <c r="U3" s="835"/>
      <c r="V3" s="836" t="s">
        <v>65</v>
      </c>
      <c r="W3" s="836"/>
    </row>
    <row r="4" spans="1:59" ht="13.5" thickBot="1" x14ac:dyDescent="0.25">
      <c r="A4" s="842"/>
      <c r="B4" s="844"/>
      <c r="C4" s="846"/>
      <c r="D4" s="602" t="s">
        <v>42</v>
      </c>
      <c r="E4" s="601" t="s">
        <v>43</v>
      </c>
      <c r="F4" s="601" t="s">
        <v>44</v>
      </c>
      <c r="G4" s="604" t="s">
        <v>45</v>
      </c>
      <c r="H4" s="602" t="s">
        <v>46</v>
      </c>
      <c r="I4" s="601" t="s">
        <v>47</v>
      </c>
      <c r="J4" s="601" t="s">
        <v>44</v>
      </c>
      <c r="K4" s="604" t="s">
        <v>45</v>
      </c>
      <c r="L4" s="602" t="s">
        <v>48</v>
      </c>
      <c r="M4" s="113" t="s">
        <v>49</v>
      </c>
      <c r="N4" s="113" t="s">
        <v>44</v>
      </c>
      <c r="O4" s="115" t="s">
        <v>45</v>
      </c>
      <c r="P4" s="602" t="s">
        <v>48</v>
      </c>
      <c r="Q4" s="601" t="s">
        <v>49</v>
      </c>
      <c r="R4" s="601" t="s">
        <v>44</v>
      </c>
      <c r="S4" s="603" t="s">
        <v>45</v>
      </c>
      <c r="T4" s="602" t="s">
        <v>50</v>
      </c>
      <c r="U4" s="601" t="s">
        <v>49</v>
      </c>
      <c r="V4" s="601" t="s">
        <v>44</v>
      </c>
      <c r="W4" s="600" t="s">
        <v>45</v>
      </c>
    </row>
    <row r="5" spans="1:59" ht="35.25" customHeight="1" x14ac:dyDescent="0.2">
      <c r="A5" s="829" t="s">
        <v>175</v>
      </c>
      <c r="B5" s="599" t="s">
        <v>173</v>
      </c>
      <c r="C5" s="820" t="s">
        <v>174</v>
      </c>
      <c r="D5" s="116"/>
      <c r="E5" s="117"/>
      <c r="F5" s="118"/>
      <c r="G5" s="119">
        <v>0</v>
      </c>
      <c r="H5" s="589"/>
      <c r="I5" s="117"/>
      <c r="J5" s="118"/>
      <c r="K5" s="119">
        <v>0</v>
      </c>
      <c r="L5" s="145" t="s">
        <v>247</v>
      </c>
      <c r="M5" s="117"/>
      <c r="N5" s="146">
        <v>450000</v>
      </c>
      <c r="O5" s="119">
        <v>2700000</v>
      </c>
      <c r="P5" s="129"/>
      <c r="Q5" s="120"/>
      <c r="R5" s="128"/>
      <c r="S5" s="126"/>
      <c r="T5" s="595" t="s">
        <v>173</v>
      </c>
      <c r="U5" s="120">
        <v>6</v>
      </c>
      <c r="V5" s="121">
        <v>800000</v>
      </c>
      <c r="W5" s="122">
        <v>4800000</v>
      </c>
    </row>
    <row r="6" spans="1:59" ht="45" x14ac:dyDescent="0.2">
      <c r="A6" s="830"/>
      <c r="B6" s="598" t="s">
        <v>172</v>
      </c>
      <c r="C6" s="821"/>
      <c r="D6" s="123"/>
      <c r="E6" s="124"/>
      <c r="F6" s="125"/>
      <c r="G6" s="126">
        <v>0</v>
      </c>
      <c r="H6" s="597" t="s">
        <v>255</v>
      </c>
      <c r="I6" s="148"/>
      <c r="J6" s="694">
        <v>992.16</v>
      </c>
      <c r="K6" s="126">
        <f>4953000</f>
        <v>4953000</v>
      </c>
      <c r="L6" s="150"/>
      <c r="M6" s="124"/>
      <c r="N6" s="151"/>
      <c r="O6" s="126"/>
      <c r="P6" s="596" t="s">
        <v>171</v>
      </c>
      <c r="Q6" s="127"/>
      <c r="R6" s="572">
        <v>300000</v>
      </c>
      <c r="S6" s="152">
        <v>1200000</v>
      </c>
      <c r="T6" s="131"/>
      <c r="U6" s="132"/>
      <c r="V6" s="133"/>
      <c r="W6" s="130">
        <v>0</v>
      </c>
    </row>
    <row r="7" spans="1:59" ht="31.15" customHeight="1" x14ac:dyDescent="0.2">
      <c r="A7" s="830"/>
      <c r="B7" s="595" t="s">
        <v>170</v>
      </c>
      <c r="C7" s="821"/>
      <c r="D7" s="123"/>
      <c r="E7" s="124"/>
      <c r="F7" s="125"/>
      <c r="G7" s="126">
        <v>0</v>
      </c>
      <c r="H7" s="587" t="s">
        <v>169</v>
      </c>
      <c r="I7" s="124"/>
      <c r="J7" s="125">
        <v>12500</v>
      </c>
      <c r="K7" s="126">
        <v>50000</v>
      </c>
      <c r="L7" s="123"/>
      <c r="M7" s="124"/>
      <c r="N7" s="151"/>
      <c r="O7" s="126"/>
      <c r="P7" s="129"/>
      <c r="Q7" s="127"/>
      <c r="R7" s="128"/>
      <c r="S7" s="152">
        <v>0</v>
      </c>
      <c r="T7" s="123"/>
      <c r="U7" s="127"/>
      <c r="V7" s="128"/>
      <c r="W7" s="130">
        <v>0</v>
      </c>
    </row>
    <row r="8" spans="1:59" ht="17.45" customHeight="1" thickBot="1" x14ac:dyDescent="0.25">
      <c r="A8" s="695">
        <f>G8+K8+O8+S8+W8</f>
        <v>13703000</v>
      </c>
      <c r="B8" s="594"/>
      <c r="C8" s="822"/>
      <c r="D8" s="155"/>
      <c r="E8" s="155"/>
      <c r="F8" s="155"/>
      <c r="G8" s="156"/>
      <c r="H8" s="593"/>
      <c r="I8" s="155"/>
      <c r="J8" s="155"/>
      <c r="K8" s="668">
        <f>SUM(K5:K7)</f>
        <v>5003000</v>
      </c>
      <c r="L8" s="155" t="s">
        <v>45</v>
      </c>
      <c r="M8" s="155">
        <f>SUM(M5:M7)</f>
        <v>0</v>
      </c>
      <c r="N8" s="155">
        <f>SUM(N5:N7)</f>
        <v>450000</v>
      </c>
      <c r="O8" s="156">
        <f>SUM(O5:O7)</f>
        <v>2700000</v>
      </c>
      <c r="P8" s="155"/>
      <c r="Q8" s="155"/>
      <c r="R8" s="155"/>
      <c r="S8" s="156">
        <f>SUM(S5:S6)</f>
        <v>1200000</v>
      </c>
      <c r="T8" s="155"/>
      <c r="U8" s="155"/>
      <c r="V8" s="155"/>
      <c r="W8" s="157">
        <f>SUM(W5:W7)</f>
        <v>4800000</v>
      </c>
    </row>
    <row r="9" spans="1:59" ht="54.6" customHeight="1" x14ac:dyDescent="0.2">
      <c r="A9" s="829" t="s">
        <v>168</v>
      </c>
      <c r="B9" s="144" t="s">
        <v>167</v>
      </c>
      <c r="C9" s="820" t="s">
        <v>166</v>
      </c>
      <c r="D9" s="116"/>
      <c r="E9" s="117"/>
      <c r="F9" s="118"/>
      <c r="G9" s="119">
        <v>0</v>
      </c>
      <c r="H9" s="117"/>
      <c r="I9" s="117"/>
      <c r="J9" s="117"/>
      <c r="K9" s="126"/>
      <c r="L9" s="145"/>
      <c r="M9" s="117"/>
      <c r="N9" s="146"/>
      <c r="O9" s="119">
        <f>N9*M9</f>
        <v>0</v>
      </c>
      <c r="P9" s="129"/>
      <c r="Q9" s="120"/>
      <c r="R9" s="128"/>
      <c r="S9" s="126"/>
      <c r="T9" s="116"/>
      <c r="U9" s="120"/>
      <c r="V9" s="121"/>
      <c r="W9" s="122">
        <v>0</v>
      </c>
    </row>
    <row r="10" spans="1:59" ht="42.6" customHeight="1" x14ac:dyDescent="0.2">
      <c r="A10" s="830"/>
      <c r="B10" s="147" t="s">
        <v>165</v>
      </c>
      <c r="C10" s="821"/>
      <c r="D10" s="123"/>
      <c r="E10" s="124"/>
      <c r="F10" s="125"/>
      <c r="G10" s="126">
        <v>0</v>
      </c>
      <c r="H10" s="587"/>
      <c r="I10" s="148"/>
      <c r="J10" s="149"/>
      <c r="K10" s="126">
        <v>0</v>
      </c>
      <c r="L10" s="150"/>
      <c r="M10" s="124"/>
      <c r="N10" s="151"/>
      <c r="O10" s="126"/>
      <c r="Q10" s="127"/>
      <c r="S10" s="152">
        <v>0</v>
      </c>
      <c r="T10" s="131"/>
      <c r="U10" s="132"/>
      <c r="V10" s="133"/>
      <c r="W10" s="130">
        <v>0</v>
      </c>
    </row>
    <row r="11" spans="1:59" ht="31.15" customHeight="1" x14ac:dyDescent="0.2">
      <c r="A11" s="830"/>
      <c r="B11" s="832" t="s">
        <v>257</v>
      </c>
      <c r="C11" s="821"/>
      <c r="D11" s="123"/>
      <c r="E11" s="124"/>
      <c r="F11" s="125"/>
      <c r="G11" s="126">
        <v>0</v>
      </c>
      <c r="H11" s="587" t="s">
        <v>256</v>
      </c>
      <c r="I11" s="124"/>
      <c r="J11" s="125"/>
      <c r="K11" s="126">
        <v>1800000</v>
      </c>
      <c r="L11" s="123"/>
      <c r="M11" s="124"/>
      <c r="N11" s="151"/>
      <c r="O11" s="126"/>
      <c r="P11" s="129"/>
      <c r="Q11" s="127"/>
      <c r="R11" s="128"/>
      <c r="S11" s="152">
        <v>0</v>
      </c>
      <c r="T11" s="123"/>
      <c r="U11" s="127"/>
      <c r="V11" s="128"/>
      <c r="W11" s="130">
        <v>0</v>
      </c>
    </row>
    <row r="12" spans="1:59" x14ac:dyDescent="0.2">
      <c r="A12" s="831"/>
      <c r="B12" s="833"/>
      <c r="C12" s="821"/>
      <c r="D12" s="153"/>
      <c r="E12" s="124"/>
      <c r="F12" s="125"/>
      <c r="G12" s="126"/>
      <c r="H12" s="580"/>
      <c r="I12" s="154"/>
      <c r="J12" s="128"/>
      <c r="K12" s="126"/>
      <c r="L12" s="123"/>
      <c r="M12" s="124"/>
      <c r="N12" s="151"/>
      <c r="O12" s="126"/>
      <c r="P12" s="129"/>
      <c r="Q12" s="127"/>
      <c r="R12" s="128"/>
      <c r="S12" s="126"/>
      <c r="T12" s="131"/>
      <c r="U12" s="132"/>
      <c r="V12" s="133"/>
      <c r="W12" s="130"/>
    </row>
    <row r="13" spans="1:59" ht="17.45" customHeight="1" thickBot="1" x14ac:dyDescent="0.25">
      <c r="A13" s="695">
        <f>G13+K13+O13+S13+W13</f>
        <v>1800000</v>
      </c>
      <c r="B13" s="834"/>
      <c r="C13" s="822"/>
      <c r="D13" s="155"/>
      <c r="E13" s="155"/>
      <c r="F13" s="155"/>
      <c r="G13" s="156"/>
      <c r="H13" s="593"/>
      <c r="I13" s="155"/>
      <c r="J13" s="155"/>
      <c r="K13" s="668">
        <f>SUM(K9:K11)</f>
        <v>1800000</v>
      </c>
      <c r="L13" s="155" t="s">
        <v>45</v>
      </c>
      <c r="M13" s="155">
        <f>SUM(M9:M11)</f>
        <v>0</v>
      </c>
      <c r="N13" s="155">
        <f>SUM(N9:N11)</f>
        <v>0</v>
      </c>
      <c r="O13" s="156">
        <f>SUM(O9:O11)</f>
        <v>0</v>
      </c>
      <c r="P13" s="155"/>
      <c r="Q13" s="155"/>
      <c r="R13" s="155"/>
      <c r="S13" s="156">
        <f>SUM(S9:S10)</f>
        <v>0</v>
      </c>
      <c r="T13" s="155"/>
      <c r="U13" s="155"/>
      <c r="V13" s="155"/>
      <c r="W13" s="157">
        <f>SUM(W9:W11)</f>
        <v>0</v>
      </c>
    </row>
    <row r="14" spans="1:59" ht="59.45" customHeight="1" thickBot="1" x14ac:dyDescent="0.25">
      <c r="A14" s="829" t="s">
        <v>164</v>
      </c>
      <c r="B14" s="158" t="s">
        <v>163</v>
      </c>
      <c r="C14" s="820" t="s">
        <v>162</v>
      </c>
      <c r="D14" s="116"/>
      <c r="E14" s="117"/>
      <c r="F14" s="159"/>
      <c r="G14" s="119"/>
      <c r="H14" s="589" t="s">
        <v>254</v>
      </c>
      <c r="I14" s="117"/>
      <c r="J14" s="118">
        <v>182833</v>
      </c>
      <c r="K14" s="119">
        <v>1097000</v>
      </c>
      <c r="L14" s="116"/>
      <c r="M14" s="117"/>
      <c r="N14" s="159"/>
      <c r="O14" s="119"/>
      <c r="P14" s="160"/>
      <c r="Q14" s="161"/>
      <c r="R14" s="162"/>
      <c r="S14" s="119"/>
      <c r="T14" s="116"/>
      <c r="U14" s="120"/>
      <c r="V14" s="163"/>
      <c r="W14" s="122"/>
    </row>
    <row r="15" spans="1:59" ht="74.650000000000006" customHeight="1" x14ac:dyDescent="0.2">
      <c r="A15" s="830"/>
      <c r="B15" s="164" t="s">
        <v>161</v>
      </c>
      <c r="C15" s="821"/>
      <c r="D15" s="123"/>
      <c r="E15" s="124"/>
      <c r="F15" s="165"/>
      <c r="G15" s="126"/>
      <c r="H15" s="589"/>
      <c r="I15" s="154"/>
      <c r="J15" s="166"/>
      <c r="K15" s="126"/>
      <c r="L15" s="167"/>
      <c r="M15" s="168"/>
      <c r="N15" s="169"/>
      <c r="O15" s="126"/>
      <c r="P15" s="170" t="s">
        <v>261</v>
      </c>
      <c r="Q15" s="171"/>
      <c r="R15" s="172">
        <v>150000</v>
      </c>
      <c r="S15" s="126">
        <v>900000</v>
      </c>
      <c r="T15" s="123"/>
      <c r="U15" s="127"/>
      <c r="V15" s="173"/>
      <c r="W15" s="130"/>
    </row>
    <row r="16" spans="1:59" ht="74.650000000000006" customHeight="1" thickBot="1" x14ac:dyDescent="0.25">
      <c r="A16" s="830"/>
      <c r="B16" s="174" t="s">
        <v>160</v>
      </c>
      <c r="C16" s="821"/>
      <c r="D16" s="123" t="s">
        <v>259</v>
      </c>
      <c r="E16" s="124"/>
      <c r="F16" s="165"/>
      <c r="G16" s="126">
        <v>200000</v>
      </c>
      <c r="H16" s="592"/>
      <c r="I16" s="154"/>
      <c r="J16" s="166"/>
      <c r="K16" s="126"/>
      <c r="L16" s="167"/>
      <c r="M16" s="168"/>
      <c r="N16" s="169"/>
      <c r="O16" s="126"/>
      <c r="P16" s="170"/>
      <c r="Q16" s="171"/>
      <c r="R16" s="172"/>
      <c r="S16" s="126"/>
      <c r="T16" s="123"/>
      <c r="U16" s="127"/>
      <c r="V16" s="173"/>
      <c r="W16" s="130"/>
    </row>
    <row r="17" spans="1:23" ht="68.45" customHeight="1" thickBot="1" x14ac:dyDescent="0.25">
      <c r="A17" s="831"/>
      <c r="B17" s="174" t="s">
        <v>159</v>
      </c>
      <c r="C17" s="821"/>
      <c r="D17" s="123"/>
      <c r="E17" s="124"/>
      <c r="F17" s="165"/>
      <c r="G17" s="126"/>
      <c r="H17" s="591"/>
      <c r="I17" s="154"/>
      <c r="J17" s="166"/>
      <c r="K17" s="126"/>
      <c r="L17" s="167"/>
      <c r="M17" s="168"/>
      <c r="N17" s="169"/>
      <c r="O17" s="126">
        <v>0</v>
      </c>
      <c r="P17" s="170"/>
      <c r="Q17" s="171"/>
      <c r="R17" s="172"/>
      <c r="S17" s="126"/>
      <c r="T17" s="123"/>
      <c r="U17" s="127"/>
      <c r="V17" s="173"/>
      <c r="W17" s="130"/>
    </row>
    <row r="18" spans="1:23" ht="12.75" customHeight="1" thickBot="1" x14ac:dyDescent="0.25">
      <c r="A18" s="695">
        <f>G18+K18+O18+S18+W18</f>
        <v>2197000</v>
      </c>
      <c r="C18" s="822"/>
      <c r="D18" s="135"/>
      <c r="E18" s="135"/>
      <c r="F18" s="135"/>
      <c r="G18" s="175">
        <f>SUM(G14:G17)</f>
        <v>200000</v>
      </c>
      <c r="H18" s="590"/>
      <c r="I18" s="135"/>
      <c r="J18" s="135"/>
      <c r="K18" s="175">
        <f>SUM(K14:K17)</f>
        <v>1097000</v>
      </c>
      <c r="L18" s="135">
        <f>SUM(L14:L17)</f>
        <v>0</v>
      </c>
      <c r="M18" s="135">
        <f>SUM(M14:M17)</f>
        <v>0</v>
      </c>
      <c r="N18" s="135">
        <f>SUM(N14:N17)</f>
        <v>0</v>
      </c>
      <c r="O18" s="175"/>
      <c r="P18" s="135">
        <f>SUM(P14:P17)</f>
        <v>0</v>
      </c>
      <c r="Q18" s="135">
        <f>SUM(Q14:Q17)</f>
        <v>0</v>
      </c>
      <c r="R18" s="135">
        <f>SUM(R14:R17)</f>
        <v>150000</v>
      </c>
      <c r="S18" s="176">
        <f>S14+S15+S17</f>
        <v>900000</v>
      </c>
      <c r="T18" s="135">
        <f>SUM(T14:T17)</f>
        <v>0</v>
      </c>
      <c r="U18" s="135">
        <f>SUM(U14:U17)</f>
        <v>0</v>
      </c>
      <c r="V18" s="135">
        <f>SUM(V14:V17)</f>
        <v>0</v>
      </c>
      <c r="W18" s="177">
        <f>SUM(W14:W17)</f>
        <v>0</v>
      </c>
    </row>
    <row r="19" spans="1:23" ht="91.35" customHeight="1" x14ac:dyDescent="0.2">
      <c r="A19" s="823" t="s">
        <v>158</v>
      </c>
      <c r="B19" s="579" t="s">
        <v>157</v>
      </c>
      <c r="C19" s="826" t="s">
        <v>156</v>
      </c>
      <c r="D19" s="116"/>
      <c r="E19" s="117"/>
      <c r="F19" s="159"/>
      <c r="G19" s="119"/>
      <c r="H19" s="589" t="s">
        <v>258</v>
      </c>
      <c r="I19" s="117"/>
      <c r="J19" s="118"/>
      <c r="K19" s="119">
        <v>100000</v>
      </c>
      <c r="L19" s="178"/>
      <c r="M19" s="179"/>
      <c r="N19" s="180"/>
      <c r="O19" s="119"/>
      <c r="P19" s="160"/>
      <c r="Q19" s="181"/>
      <c r="R19" s="181"/>
      <c r="S19" s="119"/>
      <c r="T19" s="116"/>
      <c r="U19" s="120"/>
      <c r="V19" s="121"/>
      <c r="W19" s="122"/>
    </row>
    <row r="20" spans="1:23" ht="91.35" customHeight="1" thickBot="1" x14ac:dyDescent="0.25">
      <c r="A20" s="824"/>
      <c r="B20" s="579" t="s">
        <v>262</v>
      </c>
      <c r="C20" s="827"/>
      <c r="D20" s="131"/>
      <c r="E20" s="148"/>
      <c r="F20" s="588"/>
      <c r="G20" s="191"/>
      <c r="H20" s="587"/>
      <c r="I20" s="148"/>
      <c r="J20" s="149"/>
      <c r="K20" s="191"/>
      <c r="L20" s="586" t="s">
        <v>260</v>
      </c>
      <c r="M20" s="585"/>
      <c r="N20" s="584"/>
      <c r="O20" s="191">
        <v>300000</v>
      </c>
      <c r="P20" s="583"/>
      <c r="Q20" s="582"/>
      <c r="R20" s="582"/>
      <c r="S20" s="191"/>
      <c r="T20" s="579" t="s">
        <v>155</v>
      </c>
      <c r="U20" s="132">
        <v>1</v>
      </c>
      <c r="V20" s="133">
        <v>400000</v>
      </c>
      <c r="W20" s="581">
        <v>400000</v>
      </c>
    </row>
    <row r="21" spans="1:23" ht="91.35" customHeight="1" x14ac:dyDescent="0.2">
      <c r="A21" s="824"/>
      <c r="B21" s="579" t="s">
        <v>263</v>
      </c>
      <c r="C21" s="827"/>
      <c r="D21" s="131" t="s">
        <v>264</v>
      </c>
      <c r="E21" s="148"/>
      <c r="F21" s="588"/>
      <c r="G21" s="191">
        <v>200000</v>
      </c>
      <c r="H21" s="587"/>
      <c r="I21" s="148"/>
      <c r="J21" s="149"/>
      <c r="K21" s="191"/>
      <c r="M21" s="585"/>
      <c r="N21" s="584"/>
      <c r="O21" s="119"/>
      <c r="P21" s="583"/>
      <c r="Q21" s="582"/>
      <c r="R21" s="582"/>
      <c r="S21" s="191"/>
      <c r="T21" s="579"/>
      <c r="U21" s="132"/>
      <c r="V21" s="133"/>
      <c r="W21" s="581"/>
    </row>
    <row r="22" spans="1:23" ht="14.85" customHeight="1" x14ac:dyDescent="0.2">
      <c r="A22" s="825"/>
      <c r="B22" s="579"/>
      <c r="C22" s="827"/>
      <c r="D22" s="123"/>
      <c r="E22" s="124"/>
      <c r="F22" s="165"/>
      <c r="G22" s="126"/>
      <c r="H22" s="580"/>
      <c r="I22" s="127"/>
      <c r="J22" s="128"/>
      <c r="K22" s="126"/>
      <c r="L22" s="182"/>
      <c r="M22" s="183"/>
      <c r="N22" s="184"/>
      <c r="O22" s="126">
        <f>N22*M22</f>
        <v>0</v>
      </c>
      <c r="P22" s="185"/>
      <c r="Q22" s="171"/>
      <c r="R22" s="172"/>
      <c r="S22" s="126"/>
      <c r="T22" s="123"/>
      <c r="U22" s="127"/>
      <c r="V22" s="128"/>
      <c r="W22" s="130"/>
    </row>
    <row r="23" spans="1:23" ht="15.95" customHeight="1" thickBot="1" x14ac:dyDescent="0.25">
      <c r="A23" s="695">
        <f>G23+K23+O23+S23+W23</f>
        <v>1000000</v>
      </c>
      <c r="B23" s="579"/>
      <c r="C23" s="828"/>
      <c r="D23" s="139"/>
      <c r="E23" s="186"/>
      <c r="F23" s="187"/>
      <c r="G23" s="138">
        <f>G21</f>
        <v>200000</v>
      </c>
      <c r="H23" s="578">
        <f>SUM(H19:H21)</f>
        <v>0</v>
      </c>
      <c r="I23" s="142">
        <f>SUM(I19:I21)</f>
        <v>0</v>
      </c>
      <c r="J23" s="142">
        <f>SUM(J19:J21)</f>
        <v>0</v>
      </c>
      <c r="K23" s="188">
        <f>SUM(K19:K21)</f>
        <v>100000</v>
      </c>
      <c r="L23" s="142" t="s">
        <v>45</v>
      </c>
      <c r="M23" s="142"/>
      <c r="N23" s="142"/>
      <c r="O23" s="189">
        <f>O20</f>
        <v>300000</v>
      </c>
      <c r="P23" s="142">
        <f t="shared" ref="P23:W23" si="0">SUM(P19:P21)</f>
        <v>0</v>
      </c>
      <c r="Q23" s="142">
        <f t="shared" si="0"/>
        <v>0</v>
      </c>
      <c r="R23" s="142">
        <f t="shared" si="0"/>
        <v>0</v>
      </c>
      <c r="S23" s="188">
        <f t="shared" si="0"/>
        <v>0</v>
      </c>
      <c r="T23" s="142">
        <f t="shared" si="0"/>
        <v>0</v>
      </c>
      <c r="U23" s="142">
        <f t="shared" si="0"/>
        <v>1</v>
      </c>
      <c r="V23" s="142">
        <f t="shared" si="0"/>
        <v>400000</v>
      </c>
      <c r="W23" s="190">
        <f t="shared" si="0"/>
        <v>400000</v>
      </c>
    </row>
    <row r="24" spans="1:23" s="198" customFormat="1" ht="13.5" thickBot="1" x14ac:dyDescent="0.25">
      <c r="A24" s="192" t="s">
        <v>154</v>
      </c>
      <c r="B24" s="577">
        <f>SUM(A5:A23)</f>
        <v>18700000</v>
      </c>
      <c r="C24" s="570"/>
      <c r="D24" s="195" t="s">
        <v>52</v>
      </c>
      <c r="E24" s="195"/>
      <c r="F24" s="195"/>
      <c r="G24" s="196">
        <f>G8+G13+G18+G23</f>
        <v>400000</v>
      </c>
      <c r="H24" s="195" t="s">
        <v>52</v>
      </c>
      <c r="I24" s="195"/>
      <c r="J24" s="195"/>
      <c r="K24" s="196">
        <f>K23+K18+K13+K8</f>
        <v>8000000</v>
      </c>
      <c r="L24" s="195" t="s">
        <v>52</v>
      </c>
      <c r="M24" s="195"/>
      <c r="N24" s="195"/>
      <c r="O24" s="196">
        <f>O8+O13+O18+O23</f>
        <v>3000000</v>
      </c>
      <c r="P24" s="195" t="s">
        <v>52</v>
      </c>
      <c r="Q24" s="195"/>
      <c r="R24" s="195"/>
      <c r="S24" s="197">
        <f>S8+S13+S18+S23</f>
        <v>2100000</v>
      </c>
      <c r="T24" s="195" t="s">
        <v>52</v>
      </c>
      <c r="U24" s="195"/>
      <c r="V24" s="195"/>
      <c r="W24" s="197">
        <f>W8+W13+W18+W23</f>
        <v>5200000</v>
      </c>
    </row>
    <row r="27" spans="1:23" x14ac:dyDescent="0.2">
      <c r="T27" s="98"/>
    </row>
    <row r="30" spans="1:23" x14ac:dyDescent="0.2">
      <c r="H30" s="98"/>
    </row>
    <row r="31" spans="1:23" x14ac:dyDescent="0.2">
      <c r="D31" s="199"/>
    </row>
    <row r="33" spans="4:8" x14ac:dyDescent="0.2">
      <c r="D33" s="200"/>
      <c r="G33" s="98"/>
    </row>
    <row r="34" spans="4:8" x14ac:dyDescent="0.2">
      <c r="G34" s="98"/>
      <c r="H34" s="98"/>
    </row>
  </sheetData>
  <sheetProtection selectLockedCells="1" selectUnlockedCells="1"/>
  <mergeCells count="23">
    <mergeCell ref="F3:G3"/>
    <mergeCell ref="A2:B2"/>
    <mergeCell ref="A3:A4"/>
    <mergeCell ref="B3:B4"/>
    <mergeCell ref="C3:C4"/>
    <mergeCell ref="D3:E3"/>
    <mergeCell ref="H3:I3"/>
    <mergeCell ref="J3:K3"/>
    <mergeCell ref="T3:U3"/>
    <mergeCell ref="V3:W3"/>
    <mergeCell ref="L3:M3"/>
    <mergeCell ref="N3:O3"/>
    <mergeCell ref="P3:Q3"/>
    <mergeCell ref="R3:S3"/>
    <mergeCell ref="C5:C8"/>
    <mergeCell ref="A19:A22"/>
    <mergeCell ref="C19:C23"/>
    <mergeCell ref="A9:A12"/>
    <mergeCell ref="C9:C13"/>
    <mergeCell ref="B11:B13"/>
    <mergeCell ref="A14:A17"/>
    <mergeCell ref="C14:C18"/>
    <mergeCell ref="A5:A7"/>
  </mergeCells>
  <phoneticPr fontId="24" type="noConversion"/>
  <printOptions verticalCentered="1"/>
  <pageMargins left="0.39374999999999999" right="0.48" top="0.78749999999999998" bottom="0.59097222222222223" header="0.31527777777777777" footer="0.31527777777777777"/>
  <pageSetup paperSize="9" scale="50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32"/>
  <sheetViews>
    <sheetView showGridLines="0" view="pageBreakPreview" zoomScale="110" zoomScaleNormal="100" zoomScaleSheetLayoutView="110" workbookViewId="0">
      <pane xSplit="2" ySplit="4" topLeftCell="C14" activePane="bottomRight" state="frozen"/>
      <selection pane="topRight" activeCell="I1" sqref="I1"/>
      <selection pane="bottomLeft" activeCell="A21" sqref="A21"/>
      <selection pane="bottomRight" activeCell="B15" sqref="B15"/>
    </sheetView>
  </sheetViews>
  <sheetFormatPr defaultRowHeight="12.75" x14ac:dyDescent="0.2"/>
  <cols>
    <col min="1" max="1" width="30.7109375" style="98" customWidth="1"/>
    <col min="2" max="2" width="53.28515625" style="99" customWidth="1"/>
    <col min="3" max="3" width="35.42578125" style="99" customWidth="1"/>
    <col min="4" max="4" width="27.5703125" style="99" customWidth="1"/>
    <col min="5" max="5" width="10.7109375" style="571" customWidth="1"/>
    <col min="6" max="6" width="10.7109375" style="572" customWidth="1"/>
    <col min="7" max="7" width="12.7109375" style="99" customWidth="1"/>
    <col min="8" max="8" width="26.85546875" style="99" customWidth="1"/>
    <col min="9" max="9" width="8" style="571" customWidth="1"/>
    <col min="10" max="10" width="11.42578125" style="572" customWidth="1"/>
    <col min="11" max="11" width="14.140625" style="99" customWidth="1"/>
    <col min="12" max="12" width="26.85546875" style="100" customWidth="1"/>
    <col min="13" max="13" width="8.42578125" style="571" customWidth="1"/>
    <col min="14" max="14" width="11.7109375" style="572" customWidth="1"/>
    <col min="15" max="15" width="11.7109375" style="573" customWidth="1"/>
    <col min="16" max="16" width="26.42578125" style="99" customWidth="1"/>
    <col min="17" max="17" width="7.5703125" style="571" customWidth="1"/>
    <col min="18" max="18" width="10.7109375" style="572" customWidth="1"/>
    <col min="19" max="19" width="11.5703125" style="573" customWidth="1"/>
    <col min="20" max="20" width="26.42578125" style="99" customWidth="1"/>
    <col min="21" max="21" width="6.7109375" style="571" customWidth="1"/>
    <col min="22" max="22" width="10.7109375" style="572" customWidth="1"/>
    <col min="23" max="23" width="13.42578125" style="573" customWidth="1"/>
    <col min="24" max="16384" width="9.140625" style="99"/>
  </cols>
  <sheetData>
    <row r="1" spans="1:59" ht="13.5" thickBot="1" x14ac:dyDescent="0.25">
      <c r="A1" s="101" t="s">
        <v>32</v>
      </c>
      <c r="B1" s="102"/>
      <c r="C1" s="103"/>
      <c r="D1" s="103"/>
      <c r="E1" s="543"/>
      <c r="F1" s="544"/>
      <c r="G1" s="104"/>
      <c r="H1" s="104"/>
      <c r="I1" s="543"/>
      <c r="J1" s="545"/>
      <c r="K1" s="104"/>
      <c r="L1" s="105"/>
      <c r="M1" s="543"/>
      <c r="N1" s="545"/>
      <c r="O1" s="546"/>
      <c r="P1" s="104"/>
      <c r="Q1" s="543"/>
      <c r="R1" s="545"/>
      <c r="S1" s="546"/>
      <c r="T1" s="104"/>
      <c r="U1" s="543"/>
      <c r="V1" s="545"/>
      <c r="W1" s="546"/>
    </row>
    <row r="2" spans="1:59" s="100" customFormat="1" ht="13.5" customHeight="1" thickBot="1" x14ac:dyDescent="0.25">
      <c r="A2" s="839" t="s">
        <v>213</v>
      </c>
      <c r="B2" s="839"/>
      <c r="C2" s="107"/>
      <c r="D2" s="107"/>
      <c r="E2" s="547"/>
      <c r="F2" s="548"/>
      <c r="G2" s="107"/>
      <c r="H2" s="107"/>
      <c r="I2" s="547"/>
      <c r="J2" s="548"/>
      <c r="K2" s="107"/>
      <c r="L2" s="107"/>
      <c r="M2" s="547"/>
      <c r="N2" s="548"/>
      <c r="O2" s="549"/>
      <c r="P2" s="107"/>
      <c r="Q2" s="547"/>
      <c r="R2" s="548"/>
      <c r="S2" s="549"/>
      <c r="T2" s="108"/>
      <c r="U2" s="550"/>
      <c r="V2" s="551"/>
      <c r="W2" s="55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</row>
    <row r="3" spans="1:59" s="111" customFormat="1" ht="23.85" customHeight="1" thickBot="1" x14ac:dyDescent="0.25">
      <c r="A3" s="841" t="s">
        <v>33</v>
      </c>
      <c r="B3" s="843" t="s">
        <v>34</v>
      </c>
      <c r="C3" s="845" t="s">
        <v>35</v>
      </c>
      <c r="D3" s="847" t="s">
        <v>36</v>
      </c>
      <c r="E3" s="847"/>
      <c r="F3" s="836" t="s">
        <v>211</v>
      </c>
      <c r="G3" s="836"/>
      <c r="H3" s="835" t="s">
        <v>38</v>
      </c>
      <c r="I3" s="835"/>
      <c r="J3" s="836" t="s">
        <v>211</v>
      </c>
      <c r="K3" s="836"/>
      <c r="L3" s="835" t="s">
        <v>39</v>
      </c>
      <c r="M3" s="835"/>
      <c r="N3" s="836" t="s">
        <v>211</v>
      </c>
      <c r="O3" s="836"/>
      <c r="P3" s="837" t="s">
        <v>40</v>
      </c>
      <c r="Q3" s="837"/>
      <c r="R3" s="836" t="s">
        <v>211</v>
      </c>
      <c r="S3" s="836"/>
      <c r="T3" s="835" t="s">
        <v>210</v>
      </c>
      <c r="U3" s="835"/>
      <c r="V3" s="836" t="s">
        <v>211</v>
      </c>
      <c r="W3" s="836"/>
    </row>
    <row r="4" spans="1:59" ht="13.5" thickBot="1" x14ac:dyDescent="0.25">
      <c r="A4" s="842"/>
      <c r="B4" s="844"/>
      <c r="C4" s="846"/>
      <c r="D4" s="602" t="s">
        <v>42</v>
      </c>
      <c r="E4" s="601" t="s">
        <v>43</v>
      </c>
      <c r="F4" s="601" t="s">
        <v>44</v>
      </c>
      <c r="G4" s="604" t="s">
        <v>45</v>
      </c>
      <c r="H4" s="602" t="s">
        <v>46</v>
      </c>
      <c r="I4" s="601" t="s">
        <v>47</v>
      </c>
      <c r="J4" s="601" t="s">
        <v>44</v>
      </c>
      <c r="K4" s="604" t="s">
        <v>45</v>
      </c>
      <c r="L4" s="602" t="s">
        <v>48</v>
      </c>
      <c r="M4" s="113" t="s">
        <v>49</v>
      </c>
      <c r="N4" s="113" t="s">
        <v>44</v>
      </c>
      <c r="O4" s="115" t="s">
        <v>45</v>
      </c>
      <c r="P4" s="602" t="s">
        <v>48</v>
      </c>
      <c r="Q4" s="601" t="s">
        <v>49</v>
      </c>
      <c r="R4" s="601" t="s">
        <v>44</v>
      </c>
      <c r="S4" s="603" t="s">
        <v>45</v>
      </c>
      <c r="T4" s="602" t="s">
        <v>50</v>
      </c>
      <c r="U4" s="601" t="s">
        <v>49</v>
      </c>
      <c r="V4" s="601" t="s">
        <v>44</v>
      </c>
      <c r="W4" s="600" t="s">
        <v>45</v>
      </c>
    </row>
    <row r="5" spans="1:59" s="629" customFormat="1" ht="24.75" thickBot="1" x14ac:dyDescent="0.25">
      <c r="A5" s="852" t="s">
        <v>189</v>
      </c>
      <c r="B5" s="634" t="s">
        <v>293</v>
      </c>
      <c r="C5" s="854" t="s">
        <v>188</v>
      </c>
      <c r="D5" s="597"/>
      <c r="E5" s="633"/>
      <c r="F5" s="697"/>
      <c r="G5" s="119"/>
      <c r="H5" s="631"/>
      <c r="I5" s="630"/>
      <c r="J5" s="630"/>
      <c r="K5" s="119"/>
      <c r="L5" s="631"/>
      <c r="M5" s="640"/>
      <c r="N5" s="639"/>
      <c r="O5" s="639"/>
      <c r="P5" s="597" t="s">
        <v>187</v>
      </c>
      <c r="Q5" s="630"/>
      <c r="R5" s="630"/>
      <c r="S5" s="618">
        <v>90000</v>
      </c>
      <c r="T5" s="595"/>
      <c r="U5" s="633"/>
      <c r="V5" s="633"/>
      <c r="W5" s="633"/>
    </row>
    <row r="6" spans="1:59" s="629" customFormat="1" ht="36" customHeight="1" thickBot="1" x14ac:dyDescent="0.25">
      <c r="A6" s="853"/>
      <c r="B6" s="848" t="s">
        <v>299</v>
      </c>
      <c r="C6" s="855"/>
      <c r="D6" s="631"/>
      <c r="E6" s="630"/>
      <c r="F6" s="698"/>
      <c r="G6" s="119"/>
      <c r="H6" s="597" t="s">
        <v>186</v>
      </c>
      <c r="I6" s="635"/>
      <c r="J6" s="696">
        <v>8000</v>
      </c>
      <c r="K6" s="119">
        <v>40000</v>
      </c>
      <c r="L6" s="638"/>
      <c r="M6" s="635"/>
      <c r="N6" s="638"/>
      <c r="O6" s="638"/>
      <c r="P6" s="637"/>
      <c r="Q6" s="635"/>
      <c r="R6" s="635"/>
      <c r="S6" s="618"/>
      <c r="T6" s="636"/>
      <c r="U6" s="635"/>
      <c r="V6" s="635"/>
      <c r="W6" s="635"/>
    </row>
    <row r="7" spans="1:59" s="629" customFormat="1" ht="24.75" thickBot="1" x14ac:dyDescent="0.25">
      <c r="A7" s="853"/>
      <c r="B7" s="849"/>
      <c r="C7" s="855"/>
      <c r="D7" s="636" t="s">
        <v>181</v>
      </c>
      <c r="E7" s="635">
        <v>1200</v>
      </c>
      <c r="F7" s="694">
        <f>G7/E7</f>
        <v>489.17</v>
      </c>
      <c r="G7" s="119">
        <v>587000</v>
      </c>
      <c r="H7" s="597"/>
      <c r="I7" s="635"/>
      <c r="J7" s="696"/>
      <c r="K7" s="119"/>
      <c r="L7" s="638"/>
      <c r="M7" s="635"/>
      <c r="N7" s="638"/>
      <c r="O7" s="638"/>
      <c r="P7" s="637"/>
      <c r="Q7" s="635"/>
      <c r="R7" s="635"/>
      <c r="S7" s="618"/>
      <c r="T7" s="636"/>
      <c r="U7" s="635"/>
      <c r="V7" s="635"/>
      <c r="W7" s="635"/>
    </row>
    <row r="8" spans="1:59" s="629" customFormat="1" ht="24" x14ac:dyDescent="0.2">
      <c r="A8" s="853"/>
      <c r="B8" s="634" t="s">
        <v>300</v>
      </c>
      <c r="C8" s="855"/>
      <c r="E8" s="633"/>
      <c r="F8" s="697"/>
      <c r="G8" s="119"/>
      <c r="H8" s="597"/>
      <c r="I8" s="632"/>
      <c r="J8" s="696"/>
      <c r="K8" s="119"/>
      <c r="L8" s="631"/>
      <c r="M8" s="630"/>
      <c r="N8" s="630"/>
      <c r="O8" s="630"/>
      <c r="P8" s="597" t="s">
        <v>185</v>
      </c>
      <c r="Q8" s="630"/>
      <c r="R8" s="630"/>
      <c r="S8" s="618">
        <v>133500</v>
      </c>
      <c r="T8" s="631"/>
      <c r="U8" s="630"/>
      <c r="V8" s="630"/>
      <c r="W8" s="630"/>
    </row>
    <row r="9" spans="1:59" ht="89.25" hidden="1" customHeight="1" x14ac:dyDescent="0.2">
      <c r="A9" s="853"/>
      <c r="B9" s="579"/>
      <c r="C9" s="628"/>
      <c r="D9" s="131"/>
      <c r="E9" s="148"/>
      <c r="F9" s="125"/>
      <c r="G9" s="126"/>
      <c r="H9" s="123"/>
      <c r="I9" s="124"/>
      <c r="J9" s="125"/>
      <c r="K9" s="126"/>
      <c r="L9" s="131"/>
      <c r="M9" s="132"/>
      <c r="N9" s="133"/>
      <c r="O9" s="191"/>
      <c r="P9" s="606"/>
      <c r="Q9" s="132"/>
      <c r="R9" s="133"/>
      <c r="S9" s="191"/>
      <c r="T9" s="131"/>
      <c r="U9" s="132"/>
      <c r="V9" s="133"/>
      <c r="W9" s="581"/>
    </row>
    <row r="10" spans="1:59" ht="89.25" hidden="1" customHeight="1" x14ac:dyDescent="0.2">
      <c r="A10" s="853"/>
      <c r="B10" s="579"/>
      <c r="C10" s="628"/>
      <c r="D10" s="123"/>
      <c r="E10" s="124"/>
      <c r="F10" s="125"/>
      <c r="G10" s="126"/>
      <c r="H10" s="123"/>
      <c r="I10" s="124"/>
      <c r="J10" s="125"/>
      <c r="K10" s="126"/>
      <c r="L10" s="123"/>
      <c r="M10" s="127"/>
      <c r="N10" s="128"/>
      <c r="O10" s="126"/>
      <c r="P10" s="129"/>
      <c r="Q10" s="127"/>
      <c r="R10" s="128"/>
      <c r="S10" s="126"/>
      <c r="T10" s="131"/>
      <c r="U10" s="132"/>
      <c r="V10" s="133"/>
      <c r="W10" s="130"/>
    </row>
    <row r="11" spans="1:59" ht="122.25" hidden="1" customHeight="1" x14ac:dyDescent="0.2">
      <c r="A11" s="853"/>
      <c r="B11" s="579"/>
      <c r="C11" s="628"/>
      <c r="D11" s="134"/>
      <c r="E11" s="124"/>
      <c r="F11" s="125"/>
      <c r="G11" s="126"/>
      <c r="H11" s="123"/>
      <c r="I11" s="124"/>
      <c r="J11" s="125"/>
      <c r="K11" s="126"/>
      <c r="L11" s="123"/>
      <c r="M11" s="127"/>
      <c r="N11" s="128"/>
      <c r="O11" s="126"/>
      <c r="P11" s="129"/>
      <c r="Q11" s="127"/>
      <c r="R11" s="128"/>
      <c r="S11" s="126"/>
      <c r="T11" s="123"/>
      <c r="U11" s="127"/>
      <c r="V11" s="128"/>
      <c r="W11" s="130"/>
    </row>
    <row r="12" spans="1:59" ht="13.5" thickBot="1" x14ac:dyDescent="0.25">
      <c r="A12" s="695">
        <f>G12+K12+O12+S12+W12</f>
        <v>850500</v>
      </c>
      <c r="B12" s="627"/>
      <c r="C12" s="626"/>
      <c r="D12" s="135"/>
      <c r="E12" s="136"/>
      <c r="F12" s="137"/>
      <c r="G12" s="138">
        <f>SUM(G5:G8)</f>
        <v>587000</v>
      </c>
      <c r="H12" s="139"/>
      <c r="I12" s="136"/>
      <c r="J12" s="137"/>
      <c r="K12" s="138">
        <f>SUM(K5:K8)</f>
        <v>40000</v>
      </c>
      <c r="L12" s="139"/>
      <c r="M12" s="140"/>
      <c r="N12" s="141"/>
      <c r="O12" s="138"/>
      <c r="P12" s="625"/>
      <c r="Q12" s="624"/>
      <c r="R12" s="623"/>
      <c r="S12" s="622">
        <f>SUM(S5:S8)</f>
        <v>223500</v>
      </c>
      <c r="T12" s="142"/>
      <c r="U12" s="140"/>
      <c r="V12" s="141"/>
      <c r="W12" s="143"/>
    </row>
    <row r="13" spans="1:59" ht="54.6" customHeight="1" x14ac:dyDescent="0.2">
      <c r="A13" s="830" t="s">
        <v>184</v>
      </c>
      <c r="B13" s="144" t="s">
        <v>294</v>
      </c>
      <c r="C13" s="820" t="s">
        <v>183</v>
      </c>
      <c r="D13" s="116" t="s">
        <v>182</v>
      </c>
      <c r="E13" s="117">
        <v>400</v>
      </c>
      <c r="F13" s="118">
        <v>64800</v>
      </c>
      <c r="G13" s="119">
        <v>300000</v>
      </c>
      <c r="H13" s="116"/>
      <c r="I13" s="117"/>
      <c r="J13" s="118"/>
      <c r="K13" s="119">
        <v>0</v>
      </c>
      <c r="L13" s="145"/>
      <c r="M13" s="117"/>
      <c r="N13" s="146"/>
      <c r="O13" s="621">
        <f>N13*M13</f>
        <v>0</v>
      </c>
      <c r="P13" s="620"/>
      <c r="Q13" s="610"/>
      <c r="R13" s="619"/>
      <c r="S13" s="618"/>
      <c r="T13" s="617"/>
      <c r="U13" s="120"/>
      <c r="V13" s="121"/>
      <c r="W13" s="122">
        <v>0</v>
      </c>
    </row>
    <row r="14" spans="1:59" ht="42.6" customHeight="1" x14ac:dyDescent="0.2">
      <c r="A14" s="830"/>
      <c r="B14" s="147" t="s">
        <v>292</v>
      </c>
      <c r="C14" s="821"/>
      <c r="D14" s="123" t="s">
        <v>181</v>
      </c>
      <c r="E14" s="124">
        <v>1200</v>
      </c>
      <c r="F14" s="125">
        <v>12000</v>
      </c>
      <c r="G14" s="126">
        <v>60000</v>
      </c>
      <c r="H14" s="131"/>
      <c r="I14" s="148"/>
      <c r="J14" s="149"/>
      <c r="K14" s="126"/>
      <c r="L14" s="616"/>
      <c r="M14" s="614"/>
      <c r="N14" s="613"/>
      <c r="O14" s="612"/>
      <c r="P14" s="611"/>
      <c r="Q14" s="610"/>
      <c r="R14" s="609"/>
      <c r="S14" s="608">
        <v>0</v>
      </c>
      <c r="T14" s="607"/>
      <c r="U14" s="132"/>
      <c r="V14" s="133"/>
      <c r="W14" s="130">
        <v>0</v>
      </c>
    </row>
    <row r="15" spans="1:59" ht="42.6" customHeight="1" thickBot="1" x14ac:dyDescent="0.25">
      <c r="A15" s="830"/>
      <c r="B15" s="576" t="s">
        <v>295</v>
      </c>
      <c r="C15" s="821"/>
      <c r="D15" s="123"/>
      <c r="E15" s="124"/>
      <c r="F15" s="125"/>
      <c r="G15" s="126"/>
      <c r="H15" s="131"/>
      <c r="I15" s="148"/>
      <c r="J15" s="149"/>
      <c r="K15" s="126"/>
      <c r="L15" s="615" t="s">
        <v>180</v>
      </c>
      <c r="M15" s="614"/>
      <c r="N15" s="613"/>
      <c r="O15" s="612">
        <v>500000</v>
      </c>
      <c r="P15" s="611"/>
      <c r="Q15" s="610"/>
      <c r="R15" s="609"/>
      <c r="S15" s="608"/>
      <c r="T15" s="607"/>
      <c r="U15" s="132"/>
      <c r="V15" s="133"/>
      <c r="W15" s="130"/>
    </row>
    <row r="16" spans="1:59" ht="51.75" thickBot="1" x14ac:dyDescent="0.25">
      <c r="A16" s="830"/>
      <c r="B16" s="576" t="s">
        <v>296</v>
      </c>
      <c r="C16" s="821"/>
      <c r="D16" s="123"/>
      <c r="E16" s="124"/>
      <c r="F16" s="125"/>
      <c r="G16" s="126"/>
      <c r="H16" s="131" t="s">
        <v>265</v>
      </c>
      <c r="I16" s="148"/>
      <c r="J16" s="149"/>
      <c r="K16" s="126">
        <v>250000</v>
      </c>
      <c r="L16" s="150"/>
      <c r="M16" s="124"/>
      <c r="N16" s="151"/>
      <c r="O16" s="612"/>
      <c r="P16" s="611"/>
      <c r="Q16" s="610"/>
      <c r="R16" s="609"/>
      <c r="S16" s="608"/>
      <c r="T16" s="607"/>
      <c r="U16" s="132"/>
      <c r="V16" s="133"/>
      <c r="W16" s="130"/>
    </row>
    <row r="17" spans="1:23" ht="41.25" customHeight="1" thickBot="1" x14ac:dyDescent="0.25">
      <c r="A17" s="830"/>
      <c r="B17" s="576" t="s">
        <v>297</v>
      </c>
      <c r="C17" s="821"/>
      <c r="D17" s="123"/>
      <c r="E17" s="124"/>
      <c r="F17" s="125"/>
      <c r="G17" s="126">
        <v>0</v>
      </c>
      <c r="H17" s="131" t="s">
        <v>266</v>
      </c>
      <c r="I17" s="124"/>
      <c r="J17" s="125"/>
      <c r="K17" s="126">
        <v>100000</v>
      </c>
      <c r="L17" s="123" t="s">
        <v>51</v>
      </c>
      <c r="M17" s="124"/>
      <c r="N17" s="151"/>
      <c r="O17" s="126">
        <v>190000</v>
      </c>
      <c r="P17" s="606" t="s">
        <v>179</v>
      </c>
      <c r="Q17" s="132"/>
      <c r="R17" s="133"/>
      <c r="S17" s="191">
        <v>71500</v>
      </c>
      <c r="T17" s="123"/>
      <c r="U17" s="127"/>
      <c r="V17" s="128"/>
      <c r="W17" s="130">
        <v>0</v>
      </c>
    </row>
    <row r="18" spans="1:23" ht="17.45" customHeight="1" thickBot="1" x14ac:dyDescent="0.25">
      <c r="A18" s="695">
        <f>G18+K18+O18+S18+W18</f>
        <v>1471500</v>
      </c>
      <c r="C18" s="822"/>
      <c r="D18" s="155"/>
      <c r="E18" s="155"/>
      <c r="F18" s="155"/>
      <c r="G18" s="138">
        <f>SUM(G13:G17)</f>
        <v>360000</v>
      </c>
      <c r="H18" s="155"/>
      <c r="I18" s="155"/>
      <c r="J18" s="155"/>
      <c r="K18" s="138">
        <f>SUM(K13:K17)</f>
        <v>350000</v>
      </c>
      <c r="L18" s="155" t="s">
        <v>45</v>
      </c>
      <c r="M18" s="155">
        <f>SUM(M13:M17)</f>
        <v>0</v>
      </c>
      <c r="N18" s="155">
        <f>SUM(N13:N17)</f>
        <v>0</v>
      </c>
      <c r="O18" s="138">
        <f>SUM(O13:O17)</f>
        <v>690000</v>
      </c>
      <c r="P18" s="155"/>
      <c r="Q18" s="155"/>
      <c r="R18" s="155"/>
      <c r="S18" s="138">
        <f>SUM(S13:S17)</f>
        <v>71500</v>
      </c>
      <c r="T18" s="155"/>
      <c r="U18" s="155"/>
      <c r="V18" s="155"/>
      <c r="W18" s="138">
        <f>SUM(W13:W17)</f>
        <v>0</v>
      </c>
    </row>
    <row r="19" spans="1:23" ht="59.45" customHeight="1" thickBot="1" x14ac:dyDescent="0.25">
      <c r="A19" s="829" t="s">
        <v>178</v>
      </c>
      <c r="B19" s="850" t="s">
        <v>298</v>
      </c>
      <c r="C19" s="820" t="s">
        <v>177</v>
      </c>
      <c r="D19" s="116"/>
      <c r="E19" s="117"/>
      <c r="F19" s="159"/>
      <c r="G19" s="119"/>
      <c r="H19" s="116"/>
      <c r="I19" s="117"/>
      <c r="J19" s="159"/>
      <c r="K19" s="119"/>
      <c r="L19" s="116" t="s">
        <v>267</v>
      </c>
      <c r="M19" s="117"/>
      <c r="N19" s="159"/>
      <c r="O19" s="119">
        <v>1040000</v>
      </c>
      <c r="P19" s="160"/>
      <c r="Q19" s="161"/>
      <c r="R19" s="162"/>
      <c r="S19" s="119"/>
      <c r="T19" s="116" t="s">
        <v>176</v>
      </c>
      <c r="U19" s="120">
        <v>6</v>
      </c>
      <c r="V19" s="163">
        <f>W19/U19</f>
        <v>261333.3</v>
      </c>
      <c r="W19" s="122">
        <v>1568000</v>
      </c>
    </row>
    <row r="20" spans="1:23" ht="74.650000000000006" customHeight="1" x14ac:dyDescent="0.2">
      <c r="A20" s="830"/>
      <c r="B20" s="851"/>
      <c r="C20" s="821"/>
      <c r="D20" s="123"/>
      <c r="E20" s="124"/>
      <c r="F20" s="165"/>
      <c r="G20" s="126"/>
      <c r="H20" s="116"/>
      <c r="I20" s="154"/>
      <c r="J20" s="166"/>
      <c r="K20" s="126"/>
      <c r="L20" s="116" t="s">
        <v>268</v>
      </c>
      <c r="M20" s="168"/>
      <c r="N20" s="169"/>
      <c r="O20" s="126">
        <v>1070000</v>
      </c>
      <c r="P20" s="170"/>
      <c r="Q20" s="171"/>
      <c r="R20" s="172"/>
      <c r="S20" s="126"/>
      <c r="T20" s="123"/>
      <c r="U20" s="127"/>
      <c r="V20" s="605"/>
      <c r="W20" s="130"/>
    </row>
    <row r="21" spans="1:23" ht="12.75" customHeight="1" thickBot="1" x14ac:dyDescent="0.25">
      <c r="A21" s="695">
        <f>G21+K21+O21+S21+W21</f>
        <v>3678000</v>
      </c>
      <c r="C21" s="822"/>
      <c r="D21" s="135"/>
      <c r="E21" s="135"/>
      <c r="F21" s="135"/>
      <c r="G21" s="175">
        <f>SUM(G19:G20)</f>
        <v>0</v>
      </c>
      <c r="H21" s="135"/>
      <c r="I21" s="135"/>
      <c r="J21" s="135"/>
      <c r="K21" s="175">
        <f t="shared" ref="K21:R21" si="0">SUM(K19:K20)</f>
        <v>0</v>
      </c>
      <c r="L21" s="135">
        <f t="shared" si="0"/>
        <v>0</v>
      </c>
      <c r="M21" s="135">
        <f t="shared" si="0"/>
        <v>0</v>
      </c>
      <c r="N21" s="135">
        <f t="shared" si="0"/>
        <v>0</v>
      </c>
      <c r="O21" s="175">
        <f t="shared" si="0"/>
        <v>2110000</v>
      </c>
      <c r="P21" s="135">
        <f t="shared" si="0"/>
        <v>0</v>
      </c>
      <c r="Q21" s="135">
        <f t="shared" si="0"/>
        <v>0</v>
      </c>
      <c r="R21" s="135">
        <f t="shared" si="0"/>
        <v>0</v>
      </c>
      <c r="S21" s="176"/>
      <c r="T21" s="135">
        <f>SUM(T19:T20)</f>
        <v>0</v>
      </c>
      <c r="U21" s="135">
        <f>SUM(U19:U20)</f>
        <v>6</v>
      </c>
      <c r="V21" s="135">
        <f>SUM(V19:V20)</f>
        <v>261333</v>
      </c>
      <c r="W21" s="177">
        <f>SUM(W19:W20)</f>
        <v>1568000</v>
      </c>
    </row>
    <row r="22" spans="1:23" s="198" customFormat="1" ht="13.5" thickBot="1" x14ac:dyDescent="0.25">
      <c r="A22" s="192"/>
      <c r="B22" s="577">
        <f>A21+A18+A12</f>
        <v>6000000</v>
      </c>
      <c r="C22" s="570"/>
      <c r="D22" s="195" t="s">
        <v>52</v>
      </c>
      <c r="E22" s="195"/>
      <c r="F22" s="195"/>
      <c r="G22" s="196">
        <f>G21+G18+G12</f>
        <v>947000</v>
      </c>
      <c r="H22" s="195" t="s">
        <v>52</v>
      </c>
      <c r="I22" s="195"/>
      <c r="J22" s="195"/>
      <c r="K22" s="196">
        <f>K21+K18+K12</f>
        <v>390000</v>
      </c>
      <c r="L22" s="195" t="s">
        <v>52</v>
      </c>
      <c r="M22" s="195"/>
      <c r="N22" s="195"/>
      <c r="O22" s="196">
        <f>O21+O18+O12</f>
        <v>2800000</v>
      </c>
      <c r="P22" s="195" t="s">
        <v>52</v>
      </c>
      <c r="Q22" s="195"/>
      <c r="R22" s="195"/>
      <c r="S22" s="196">
        <f>S21+S18+S12</f>
        <v>295000</v>
      </c>
      <c r="T22" s="195" t="s">
        <v>52</v>
      </c>
      <c r="U22" s="195"/>
      <c r="V22" s="195"/>
      <c r="W22" s="196">
        <f>W21+W18+W12</f>
        <v>1568000</v>
      </c>
    </row>
    <row r="25" spans="1:23" x14ac:dyDescent="0.2">
      <c r="T25" s="98"/>
    </row>
    <row r="28" spans="1:23" x14ac:dyDescent="0.2">
      <c r="H28" s="98"/>
    </row>
    <row r="29" spans="1:23" x14ac:dyDescent="0.2">
      <c r="D29" s="199"/>
    </row>
    <row r="31" spans="1:23" x14ac:dyDescent="0.2">
      <c r="D31" s="200"/>
      <c r="G31" s="98"/>
    </row>
    <row r="32" spans="1:23" x14ac:dyDescent="0.2">
      <c r="G32" s="98"/>
      <c r="H32" s="98"/>
    </row>
  </sheetData>
  <sheetProtection selectLockedCells="1" selectUnlockedCells="1"/>
  <mergeCells count="22">
    <mergeCell ref="A19:A20"/>
    <mergeCell ref="C19:C21"/>
    <mergeCell ref="B6:B7"/>
    <mergeCell ref="B19:B20"/>
    <mergeCell ref="A5:A11"/>
    <mergeCell ref="C5:C8"/>
    <mergeCell ref="A13:A17"/>
    <mergeCell ref="C13:C18"/>
    <mergeCell ref="T3:U3"/>
    <mergeCell ref="V3:W3"/>
    <mergeCell ref="L3:M3"/>
    <mergeCell ref="N3:O3"/>
    <mergeCell ref="P3:Q3"/>
    <mergeCell ref="R3:S3"/>
    <mergeCell ref="H3:I3"/>
    <mergeCell ref="J3:K3"/>
    <mergeCell ref="A2:B2"/>
    <mergeCell ref="A3:A4"/>
    <mergeCell ref="B3:B4"/>
    <mergeCell ref="C3:C4"/>
    <mergeCell ref="D3:E3"/>
    <mergeCell ref="F3:G3"/>
  </mergeCells>
  <phoneticPr fontId="24" type="noConversion"/>
  <printOptions verticalCentered="1"/>
  <pageMargins left="0.39374999999999999" right="0.39374999999999999" top="0.78749999999999998" bottom="0.59097222222222223" header="0.31527777777777777" footer="0.31527777777777777"/>
  <pageSetup paperSize="9" scale="28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colBreaks count="2" manualBreakCount="2">
    <brk id="7" max="1048575" man="1"/>
    <brk id="15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26"/>
  <sheetViews>
    <sheetView showGridLines="0" zoomScale="80" zoomScaleNormal="80" zoomScaleSheetLayoutView="85" workbookViewId="0">
      <pane xSplit="2" ySplit="4" topLeftCell="D5" activePane="bottomRight" state="frozen"/>
      <selection pane="topRight" activeCell="C1" sqref="C1"/>
      <selection pane="bottomLeft" activeCell="A17" sqref="A17"/>
      <selection pane="bottomRight" activeCell="B10" sqref="B10"/>
    </sheetView>
  </sheetViews>
  <sheetFormatPr defaultRowHeight="12.75" x14ac:dyDescent="0.2"/>
  <cols>
    <col min="1" max="1" width="30.7109375" style="98" customWidth="1"/>
    <col min="2" max="2" width="40.5703125" style="99" customWidth="1"/>
    <col min="3" max="3" width="25.5703125" style="99" customWidth="1"/>
    <col min="4" max="4" width="31.28515625" style="99" customWidth="1"/>
    <col min="5" max="5" width="10.7109375" style="571" customWidth="1"/>
    <col min="6" max="6" width="10.7109375" style="572" customWidth="1"/>
    <col min="7" max="7" width="12.7109375" style="99" customWidth="1"/>
    <col min="8" max="8" width="26.140625" style="99" customWidth="1"/>
    <col min="9" max="9" width="6.7109375" style="571" customWidth="1"/>
    <col min="10" max="10" width="13" style="572" customWidth="1"/>
    <col min="11" max="11" width="14.7109375" style="99" customWidth="1"/>
    <col min="12" max="12" width="26.140625" style="100" customWidth="1"/>
    <col min="13" max="13" width="6.7109375" style="571" customWidth="1"/>
    <col min="14" max="14" width="10.7109375" style="572" customWidth="1"/>
    <col min="15" max="15" width="12.7109375" style="573" customWidth="1"/>
    <col min="16" max="16" width="28.7109375" style="99" customWidth="1"/>
    <col min="17" max="17" width="7.5703125" style="571" customWidth="1"/>
    <col min="18" max="18" width="10.7109375" style="572" customWidth="1"/>
    <col min="19" max="19" width="11.5703125" style="573" customWidth="1"/>
    <col min="20" max="20" width="27.85546875" style="99" customWidth="1"/>
    <col min="21" max="21" width="6.7109375" style="571" customWidth="1"/>
    <col min="22" max="22" width="14.7109375" style="572" customWidth="1"/>
    <col min="23" max="23" width="14" style="573" customWidth="1"/>
    <col min="24" max="16384" width="9.140625" style="99"/>
  </cols>
  <sheetData>
    <row r="1" spans="1:59" ht="13.5" thickBot="1" x14ac:dyDescent="0.25">
      <c r="A1" s="101" t="s">
        <v>32</v>
      </c>
      <c r="B1" s="102"/>
      <c r="C1" s="103"/>
      <c r="D1" s="103"/>
      <c r="E1" s="543"/>
      <c r="F1" s="544"/>
      <c r="G1" s="104"/>
      <c r="H1" s="104"/>
      <c r="I1" s="543"/>
      <c r="J1" s="545"/>
      <c r="K1" s="104"/>
      <c r="L1" s="105"/>
      <c r="M1" s="543"/>
      <c r="N1" s="545"/>
      <c r="O1" s="546"/>
      <c r="P1" s="104"/>
      <c r="Q1" s="543"/>
      <c r="R1" s="545"/>
      <c r="S1" s="546"/>
      <c r="T1" s="104"/>
      <c r="U1" s="543"/>
      <c r="V1" s="545"/>
      <c r="W1" s="546"/>
    </row>
    <row r="2" spans="1:59" s="100" customFormat="1" ht="34.5" customHeight="1" thickBot="1" x14ac:dyDescent="0.25">
      <c r="A2" s="839" t="s">
        <v>225</v>
      </c>
      <c r="B2" s="839"/>
      <c r="C2" s="107"/>
      <c r="D2" s="107"/>
      <c r="E2" s="547"/>
      <c r="F2" s="548"/>
      <c r="G2" s="107"/>
      <c r="H2" s="107"/>
      <c r="I2" s="547"/>
      <c r="J2" s="548"/>
      <c r="K2" s="107"/>
      <c r="L2" s="107"/>
      <c r="M2" s="547"/>
      <c r="N2" s="548"/>
      <c r="O2" s="549"/>
      <c r="P2" s="107"/>
      <c r="Q2" s="547"/>
      <c r="R2" s="548"/>
      <c r="S2" s="549"/>
      <c r="T2" s="108"/>
      <c r="U2" s="550"/>
      <c r="V2" s="551"/>
      <c r="W2" s="55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</row>
    <row r="3" spans="1:59" s="111" customFormat="1" ht="30.75" customHeight="1" thickBot="1" x14ac:dyDescent="0.25">
      <c r="A3" s="841" t="s">
        <v>33</v>
      </c>
      <c r="B3" s="843" t="s">
        <v>34</v>
      </c>
      <c r="C3" s="856" t="s">
        <v>35</v>
      </c>
      <c r="D3" s="847" t="s">
        <v>36</v>
      </c>
      <c r="E3" s="847"/>
      <c r="F3" s="836" t="s">
        <v>37</v>
      </c>
      <c r="G3" s="836"/>
      <c r="H3" s="835" t="s">
        <v>38</v>
      </c>
      <c r="I3" s="835"/>
      <c r="J3" s="836" t="s">
        <v>37</v>
      </c>
      <c r="K3" s="836"/>
      <c r="L3" s="835" t="s">
        <v>39</v>
      </c>
      <c r="M3" s="835"/>
      <c r="N3" s="857" t="s">
        <v>37</v>
      </c>
      <c r="O3" s="857"/>
      <c r="P3" s="837" t="s">
        <v>40</v>
      </c>
      <c r="Q3" s="837"/>
      <c r="R3" s="838" t="s">
        <v>37</v>
      </c>
      <c r="S3" s="838"/>
      <c r="T3" s="867" t="s">
        <v>41</v>
      </c>
      <c r="U3" s="867"/>
      <c r="V3" s="857" t="s">
        <v>37</v>
      </c>
      <c r="W3" s="857"/>
    </row>
    <row r="4" spans="1:59" ht="13.5" thickBot="1" x14ac:dyDescent="0.25">
      <c r="A4" s="842"/>
      <c r="B4" s="844"/>
      <c r="C4" s="856"/>
      <c r="D4" s="112" t="s">
        <v>42</v>
      </c>
      <c r="E4" s="113" t="s">
        <v>43</v>
      </c>
      <c r="F4" s="113" t="s">
        <v>44</v>
      </c>
      <c r="G4" s="114" t="s">
        <v>45</v>
      </c>
      <c r="H4" s="112" t="s">
        <v>46</v>
      </c>
      <c r="I4" s="113" t="s">
        <v>47</v>
      </c>
      <c r="J4" s="113" t="s">
        <v>44</v>
      </c>
      <c r="K4" s="114" t="s">
        <v>45</v>
      </c>
      <c r="L4" s="112" t="s">
        <v>48</v>
      </c>
      <c r="M4" s="113" t="s">
        <v>49</v>
      </c>
      <c r="N4" s="201" t="s">
        <v>44</v>
      </c>
      <c r="O4" s="202" t="s">
        <v>45</v>
      </c>
      <c r="P4" s="112" t="s">
        <v>48</v>
      </c>
      <c r="Q4" s="113" t="s">
        <v>49</v>
      </c>
      <c r="R4" s="113" t="s">
        <v>44</v>
      </c>
      <c r="S4" s="115" t="s">
        <v>45</v>
      </c>
      <c r="T4" s="203" t="s">
        <v>50</v>
      </c>
      <c r="U4" s="201" t="s">
        <v>49</v>
      </c>
      <c r="V4" s="201" t="s">
        <v>44</v>
      </c>
      <c r="W4" s="204" t="s">
        <v>45</v>
      </c>
    </row>
    <row r="5" spans="1:59" ht="35.25" customHeight="1" x14ac:dyDescent="0.2">
      <c r="A5" s="877" t="s">
        <v>218</v>
      </c>
      <c r="B5" s="886" t="s">
        <v>307</v>
      </c>
      <c r="C5" s="879" t="s">
        <v>219</v>
      </c>
      <c r="D5" s="669"/>
      <c r="E5" s="670"/>
      <c r="F5" s="671"/>
      <c r="G5" s="672"/>
      <c r="H5" s="669"/>
      <c r="I5" s="670"/>
      <c r="J5" s="671"/>
      <c r="K5" s="673"/>
      <c r="L5" s="669" t="s">
        <v>272</v>
      </c>
      <c r="M5" s="670"/>
      <c r="N5" s="674"/>
      <c r="O5" s="675">
        <v>500000</v>
      </c>
      <c r="P5" s="669"/>
      <c r="Q5" s="670"/>
      <c r="R5" s="671"/>
      <c r="S5" s="676"/>
      <c r="T5" s="677" t="s">
        <v>273</v>
      </c>
      <c r="U5" s="678">
        <v>3</v>
      </c>
      <c r="V5" s="674">
        <f>W5/U5</f>
        <v>6016667</v>
      </c>
      <c r="W5" s="679">
        <v>18050000</v>
      </c>
    </row>
    <row r="6" spans="1:59" ht="51" customHeight="1" x14ac:dyDescent="0.2">
      <c r="A6" s="877"/>
      <c r="B6" s="887"/>
      <c r="C6" s="880"/>
      <c r="D6" s="669"/>
      <c r="E6" s="670"/>
      <c r="F6" s="671"/>
      <c r="G6" s="672"/>
      <c r="H6" s="669"/>
      <c r="I6" s="670"/>
      <c r="J6" s="671"/>
      <c r="K6" s="673"/>
      <c r="L6" s="669"/>
      <c r="M6" s="670"/>
      <c r="N6" s="674"/>
      <c r="O6" s="675"/>
      <c r="P6" s="669"/>
      <c r="Q6" s="670"/>
      <c r="R6" s="671"/>
      <c r="S6" s="692"/>
      <c r="T6" s="677"/>
      <c r="U6" s="678"/>
      <c r="V6" s="674"/>
      <c r="W6" s="679"/>
    </row>
    <row r="7" spans="1:59" ht="53.25" customHeight="1" x14ac:dyDescent="0.2">
      <c r="A7" s="878"/>
      <c r="B7" s="887"/>
      <c r="C7" s="880"/>
      <c r="D7" s="680"/>
      <c r="E7" s="681"/>
      <c r="F7" s="682"/>
      <c r="G7" s="683"/>
      <c r="H7" s="684"/>
      <c r="I7" s="681"/>
      <c r="J7" s="682"/>
      <c r="K7" s="685"/>
      <c r="L7" s="746" t="s">
        <v>306</v>
      </c>
      <c r="M7" s="686"/>
      <c r="N7" s="687"/>
      <c r="O7" s="685">
        <v>1000000</v>
      </c>
      <c r="P7" s="688"/>
      <c r="Q7" s="686"/>
      <c r="R7" s="687"/>
      <c r="S7" s="693"/>
      <c r="T7" s="684" t="s">
        <v>301</v>
      </c>
      <c r="U7" s="686"/>
      <c r="V7" s="687"/>
      <c r="W7" s="685">
        <v>3000000</v>
      </c>
    </row>
    <row r="8" spans="1:59" x14ac:dyDescent="0.2">
      <c r="A8" s="222">
        <f>G8+K8+O8+S8+W8</f>
        <v>22550000</v>
      </c>
      <c r="B8" s="691"/>
      <c r="C8" s="881"/>
      <c r="D8" s="684"/>
      <c r="E8" s="681"/>
      <c r="F8" s="682"/>
      <c r="G8" s="689">
        <f>SUM(G5:G7)</f>
        <v>0</v>
      </c>
      <c r="H8" s="684"/>
      <c r="I8" s="681"/>
      <c r="J8" s="682"/>
      <c r="K8" s="689">
        <f>SUM(K5:K7)</f>
        <v>0</v>
      </c>
      <c r="L8" s="684"/>
      <c r="M8" s="686"/>
      <c r="N8" s="687"/>
      <c r="O8" s="689">
        <f>SUM(O5:O7)</f>
        <v>1500000</v>
      </c>
      <c r="P8" s="688"/>
      <c r="Q8" s="686"/>
      <c r="R8" s="687"/>
      <c r="S8" s="689">
        <f>SUM(S5:S7)</f>
        <v>0</v>
      </c>
      <c r="T8" s="688"/>
      <c r="U8" s="686"/>
      <c r="V8" s="687"/>
      <c r="W8" s="689">
        <f>SUM(W5:W7)</f>
        <v>21050000</v>
      </c>
    </row>
    <row r="9" spans="1:59" ht="36.75" customHeight="1" x14ac:dyDescent="0.2">
      <c r="A9" s="882" t="s">
        <v>220</v>
      </c>
      <c r="B9" s="744" t="s">
        <v>303</v>
      </c>
      <c r="C9" s="884" t="s">
        <v>221</v>
      </c>
      <c r="D9" s="213" t="s">
        <v>269</v>
      </c>
      <c r="E9" s="559"/>
      <c r="F9" s="554"/>
      <c r="G9" s="683">
        <v>1100000</v>
      </c>
      <c r="H9" s="213" t="s">
        <v>302</v>
      </c>
      <c r="I9" s="690"/>
      <c r="J9" s="207"/>
      <c r="K9" s="685">
        <v>50000</v>
      </c>
      <c r="L9" s="123"/>
      <c r="M9" s="559"/>
      <c r="N9" s="563"/>
      <c r="O9" s="685"/>
      <c r="P9" s="216"/>
      <c r="Q9" s="214"/>
      <c r="R9" s="215"/>
      <c r="S9" s="693"/>
      <c r="T9" s="206"/>
      <c r="U9" s="208"/>
      <c r="V9" s="210"/>
      <c r="W9" s="685"/>
    </row>
    <row r="10" spans="1:59" ht="54.75" customHeight="1" x14ac:dyDescent="0.2">
      <c r="A10" s="883"/>
      <c r="B10" s="745" t="s">
        <v>304</v>
      </c>
      <c r="C10" s="885"/>
      <c r="D10" s="211"/>
      <c r="E10" s="559"/>
      <c r="F10" s="554"/>
      <c r="G10" s="560"/>
      <c r="H10" s="211"/>
      <c r="I10" s="559"/>
      <c r="J10" s="554"/>
      <c r="K10" s="560"/>
      <c r="L10" s="123" t="s">
        <v>270</v>
      </c>
      <c r="M10" s="559"/>
      <c r="N10" s="563"/>
      <c r="O10" s="560">
        <v>150000</v>
      </c>
      <c r="P10" s="648"/>
      <c r="Q10" s="214"/>
      <c r="R10" s="215"/>
      <c r="S10" s="564"/>
      <c r="T10" s="211"/>
      <c r="U10" s="214"/>
      <c r="V10" s="215"/>
      <c r="W10" s="560"/>
    </row>
    <row r="11" spans="1:59" x14ac:dyDescent="0.2">
      <c r="A11" s="222">
        <f>G11+K11+O11+S11+W11</f>
        <v>1300000</v>
      </c>
      <c r="B11" s="147"/>
      <c r="D11" s="221"/>
      <c r="E11" s="559"/>
      <c r="F11" s="554"/>
      <c r="G11" s="219">
        <f>SUM(G9:G10)</f>
        <v>1100000</v>
      </c>
      <c r="H11" s="216"/>
      <c r="I11" s="214"/>
      <c r="J11" s="215"/>
      <c r="K11" s="219">
        <f>SUM(K9:K10)</f>
        <v>50000</v>
      </c>
      <c r="L11" s="213"/>
      <c r="M11" s="214"/>
      <c r="N11" s="215"/>
      <c r="O11" s="219">
        <f>SUM(O9:O10)</f>
        <v>150000</v>
      </c>
      <c r="P11" s="216"/>
      <c r="Q11" s="214"/>
      <c r="R11" s="215"/>
      <c r="S11" s="219">
        <f>SUM(S9:S10)</f>
        <v>0</v>
      </c>
      <c r="T11" s="216"/>
      <c r="U11" s="214"/>
      <c r="V11" s="215"/>
      <c r="W11" s="219">
        <f>SUM(W9:W10)</f>
        <v>0</v>
      </c>
    </row>
    <row r="12" spans="1:59" ht="90.75" customHeight="1" x14ac:dyDescent="0.2">
      <c r="A12" s="889" t="s">
        <v>222</v>
      </c>
      <c r="B12" s="890" t="s">
        <v>305</v>
      </c>
      <c r="C12" s="888" t="s">
        <v>223</v>
      </c>
      <c r="D12" s="868"/>
      <c r="E12" s="908"/>
      <c r="F12" s="896"/>
      <c r="G12" s="858"/>
      <c r="H12" s="905" t="s">
        <v>224</v>
      </c>
      <c r="I12" s="902"/>
      <c r="J12" s="896"/>
      <c r="K12" s="864">
        <v>500000</v>
      </c>
      <c r="L12" s="899" t="s">
        <v>271</v>
      </c>
      <c r="M12" s="902"/>
      <c r="N12" s="909"/>
      <c r="O12" s="910">
        <f>600000+150000</f>
        <v>750000</v>
      </c>
      <c r="P12" s="893"/>
      <c r="Q12" s="874"/>
      <c r="R12" s="874"/>
      <c r="S12" s="864"/>
      <c r="T12" s="868"/>
      <c r="U12" s="871"/>
      <c r="V12" s="861"/>
      <c r="W12" s="858"/>
    </row>
    <row r="13" spans="1:59" ht="21.95" customHeight="1" x14ac:dyDescent="0.2">
      <c r="A13" s="889"/>
      <c r="B13" s="891"/>
      <c r="C13" s="888"/>
      <c r="D13" s="869"/>
      <c r="E13" s="903"/>
      <c r="F13" s="897"/>
      <c r="G13" s="859"/>
      <c r="H13" s="906"/>
      <c r="I13" s="903"/>
      <c r="J13" s="897"/>
      <c r="K13" s="865"/>
      <c r="L13" s="900"/>
      <c r="M13" s="903"/>
      <c r="N13" s="897"/>
      <c r="O13" s="865"/>
      <c r="P13" s="894"/>
      <c r="Q13" s="875"/>
      <c r="R13" s="875"/>
      <c r="S13" s="865"/>
      <c r="T13" s="869"/>
      <c r="U13" s="872"/>
      <c r="V13" s="862"/>
      <c r="W13" s="859"/>
    </row>
    <row r="14" spans="1:59" x14ac:dyDescent="0.2">
      <c r="A14" s="889"/>
      <c r="B14" s="891"/>
      <c r="C14" s="888"/>
      <c r="D14" s="869"/>
      <c r="E14" s="903"/>
      <c r="F14" s="897"/>
      <c r="G14" s="859"/>
      <c r="H14" s="906"/>
      <c r="I14" s="903"/>
      <c r="J14" s="897"/>
      <c r="K14" s="865"/>
      <c r="L14" s="900"/>
      <c r="M14" s="903"/>
      <c r="N14" s="897"/>
      <c r="O14" s="865"/>
      <c r="P14" s="894"/>
      <c r="Q14" s="875"/>
      <c r="R14" s="875"/>
      <c r="S14" s="865"/>
      <c r="T14" s="869"/>
      <c r="U14" s="872"/>
      <c r="V14" s="862"/>
      <c r="W14" s="859"/>
    </row>
    <row r="15" spans="1:59" x14ac:dyDescent="0.2">
      <c r="A15" s="889"/>
      <c r="B15" s="892"/>
      <c r="C15" s="888"/>
      <c r="D15" s="870"/>
      <c r="E15" s="904"/>
      <c r="F15" s="898"/>
      <c r="G15" s="860"/>
      <c r="H15" s="907"/>
      <c r="I15" s="904"/>
      <c r="J15" s="898"/>
      <c r="K15" s="866"/>
      <c r="L15" s="901"/>
      <c r="M15" s="904"/>
      <c r="N15" s="898"/>
      <c r="O15" s="866"/>
      <c r="P15" s="895"/>
      <c r="Q15" s="876"/>
      <c r="R15" s="876"/>
      <c r="S15" s="866"/>
      <c r="T15" s="870"/>
      <c r="U15" s="873"/>
      <c r="V15" s="863"/>
      <c r="W15" s="860"/>
    </row>
    <row r="16" spans="1:59" ht="15.6" customHeight="1" thickBot="1" x14ac:dyDescent="0.25">
      <c r="A16" s="222">
        <f>G16+K16+O16+S16+W16</f>
        <v>1250000</v>
      </c>
      <c r="B16" s="205"/>
      <c r="C16" s="888"/>
      <c r="D16" s="217"/>
      <c r="E16" s="559"/>
      <c r="F16" s="227"/>
      <c r="G16" s="219">
        <f>G12</f>
        <v>0</v>
      </c>
      <c r="H16" s="216"/>
      <c r="I16" s="214"/>
      <c r="J16" s="215"/>
      <c r="K16" s="219">
        <f>K12</f>
        <v>500000</v>
      </c>
      <c r="L16" s="230"/>
      <c r="M16" s="231"/>
      <c r="N16" s="232"/>
      <c r="O16" s="219">
        <f>O12</f>
        <v>750000</v>
      </c>
      <c r="P16" s="213"/>
      <c r="Q16" s="214"/>
      <c r="R16" s="215"/>
      <c r="S16" s="219">
        <f>S12</f>
        <v>0</v>
      </c>
      <c r="T16" s="211"/>
      <c r="U16" s="561"/>
      <c r="V16" s="567"/>
      <c r="W16" s="219">
        <f>W12</f>
        <v>0</v>
      </c>
    </row>
    <row r="17" spans="1:23" s="198" customFormat="1" ht="13.5" thickBot="1" x14ac:dyDescent="0.25">
      <c r="A17" s="192" t="s">
        <v>53</v>
      </c>
      <c r="B17" s="193">
        <f>A16+A11+A8</f>
        <v>25100000</v>
      </c>
      <c r="C17" s="240"/>
      <c r="D17" s="241"/>
      <c r="E17" s="242"/>
      <c r="F17" s="243"/>
      <c r="G17" s="570">
        <f>G16+G11+G8</f>
        <v>1100000</v>
      </c>
      <c r="H17" s="244"/>
      <c r="I17" s="242"/>
      <c r="J17" s="243"/>
      <c r="K17" s="570">
        <f>K16+K11+K8</f>
        <v>550000</v>
      </c>
      <c r="L17" s="245"/>
      <c r="M17" s="242"/>
      <c r="N17" s="243"/>
      <c r="O17" s="570">
        <f>O16+O11+O8</f>
        <v>2400000</v>
      </c>
      <c r="P17" s="244"/>
      <c r="Q17" s="242"/>
      <c r="R17" s="243"/>
      <c r="S17" s="570">
        <f>S16+S11+S8</f>
        <v>0</v>
      </c>
      <c r="T17" s="244"/>
      <c r="U17" s="242"/>
      <c r="V17" s="243"/>
      <c r="W17" s="570">
        <f>W16+W11+W8</f>
        <v>21050000</v>
      </c>
    </row>
    <row r="19" spans="1:23" x14ac:dyDescent="0.2">
      <c r="T19" s="98"/>
    </row>
    <row r="22" spans="1:23" x14ac:dyDescent="0.2">
      <c r="H22" s="98"/>
    </row>
    <row r="25" spans="1:23" x14ac:dyDescent="0.2">
      <c r="G25" s="98"/>
    </row>
    <row r="26" spans="1:23" x14ac:dyDescent="0.2">
      <c r="G26" s="98"/>
      <c r="H26" s="98"/>
    </row>
  </sheetData>
  <sheetProtection selectLockedCells="1" selectUnlockedCells="1"/>
  <mergeCells count="42">
    <mergeCell ref="Q12:Q15"/>
    <mergeCell ref="H12:H15"/>
    <mergeCell ref="E12:E15"/>
    <mergeCell ref="J12:J15"/>
    <mergeCell ref="K12:K15"/>
    <mergeCell ref="N12:N15"/>
    <mergeCell ref="O12:O15"/>
    <mergeCell ref="C12:C16"/>
    <mergeCell ref="A12:A15"/>
    <mergeCell ref="B12:B15"/>
    <mergeCell ref="P12:P15"/>
    <mergeCell ref="F12:F15"/>
    <mergeCell ref="G12:G15"/>
    <mergeCell ref="D12:D15"/>
    <mergeCell ref="L12:L15"/>
    <mergeCell ref="M12:M15"/>
    <mergeCell ref="I12:I15"/>
    <mergeCell ref="A5:A7"/>
    <mergeCell ref="C5:C8"/>
    <mergeCell ref="A9:A10"/>
    <mergeCell ref="C9:C10"/>
    <mergeCell ref="B5:B7"/>
    <mergeCell ref="W12:W15"/>
    <mergeCell ref="V12:V15"/>
    <mergeCell ref="S12:S15"/>
    <mergeCell ref="T3:U3"/>
    <mergeCell ref="R3:S3"/>
    <mergeCell ref="T12:T15"/>
    <mergeCell ref="U12:U15"/>
    <mergeCell ref="R12:R15"/>
    <mergeCell ref="A2:B2"/>
    <mergeCell ref="A3:A4"/>
    <mergeCell ref="B3:B4"/>
    <mergeCell ref="C3:C4"/>
    <mergeCell ref="V3:W3"/>
    <mergeCell ref="H3:I3"/>
    <mergeCell ref="J3:K3"/>
    <mergeCell ref="L3:M3"/>
    <mergeCell ref="N3:O3"/>
    <mergeCell ref="D3:E3"/>
    <mergeCell ref="F3:G3"/>
    <mergeCell ref="P3:Q3"/>
  </mergeCells>
  <phoneticPr fontId="24" type="noConversion"/>
  <printOptions verticalCentered="1"/>
  <pageMargins left="0.39374999999999999" right="0.39374999999999999" top="0.78749999999999998" bottom="0.59097222222222223" header="0.31527777777777777" footer="0.31527777777777777"/>
  <pageSetup paperSize="9" scale="75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colBreaks count="2" manualBreakCount="2">
    <brk id="7" max="1048575" man="1"/>
    <brk id="15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28"/>
  <sheetViews>
    <sheetView showGridLines="0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17" sqref="A17"/>
      <selection pane="bottomRight" activeCell="A3" sqref="A3:A4"/>
    </sheetView>
  </sheetViews>
  <sheetFormatPr defaultRowHeight="12.75" x14ac:dyDescent="0.2"/>
  <cols>
    <col min="1" max="1" width="30.7109375" style="98" customWidth="1"/>
    <col min="2" max="2" width="40.5703125" style="99" customWidth="1"/>
    <col min="3" max="3" width="25.5703125" style="99" customWidth="1"/>
    <col min="4" max="4" width="31.28515625" style="99" customWidth="1"/>
    <col min="5" max="5" width="10.7109375" style="571" customWidth="1"/>
    <col min="6" max="6" width="10.7109375" style="572" customWidth="1"/>
    <col min="7" max="7" width="12.7109375" style="99" customWidth="1"/>
    <col min="8" max="8" width="26.140625" style="99" customWidth="1"/>
    <col min="9" max="9" width="6.7109375" style="571" customWidth="1"/>
    <col min="10" max="10" width="8.140625" style="572" customWidth="1"/>
    <col min="11" max="11" width="14.7109375" style="99" customWidth="1"/>
    <col min="12" max="12" width="26.140625" style="100" customWidth="1"/>
    <col min="13" max="13" width="6.7109375" style="571" customWidth="1"/>
    <col min="14" max="14" width="10.7109375" style="572" customWidth="1"/>
    <col min="15" max="15" width="12.7109375" style="573" customWidth="1"/>
    <col min="16" max="16" width="28.7109375" style="99" customWidth="1"/>
    <col min="17" max="17" width="7.5703125" style="571" customWidth="1"/>
    <col min="18" max="18" width="10.7109375" style="572" customWidth="1"/>
    <col min="19" max="19" width="11.5703125" style="573" customWidth="1"/>
    <col min="20" max="20" width="27.85546875" style="99" customWidth="1"/>
    <col min="21" max="21" width="6.7109375" style="571" customWidth="1"/>
    <col min="22" max="22" width="10.7109375" style="572" customWidth="1"/>
    <col min="23" max="23" width="10" style="573" customWidth="1"/>
    <col min="24" max="16384" width="9.140625" style="99"/>
  </cols>
  <sheetData>
    <row r="1" spans="1:59" ht="13.5" thickBot="1" x14ac:dyDescent="0.25">
      <c r="A1" s="101" t="s">
        <v>32</v>
      </c>
      <c r="B1" s="102"/>
      <c r="C1" s="103"/>
      <c r="D1" s="103"/>
      <c r="E1" s="543"/>
      <c r="F1" s="544"/>
      <c r="G1" s="104"/>
      <c r="H1" s="104"/>
      <c r="I1" s="543"/>
      <c r="J1" s="545"/>
      <c r="K1" s="104"/>
      <c r="L1" s="105"/>
      <c r="M1" s="543"/>
      <c r="N1" s="545"/>
      <c r="O1" s="546"/>
      <c r="P1" s="104"/>
      <c r="Q1" s="543"/>
      <c r="R1" s="545"/>
      <c r="S1" s="546"/>
      <c r="T1" s="104"/>
      <c r="U1" s="543"/>
      <c r="V1" s="545"/>
      <c r="W1" s="546"/>
    </row>
    <row r="2" spans="1:59" s="100" customFormat="1" ht="15" customHeight="1" thickBot="1" x14ac:dyDescent="0.25">
      <c r="A2" s="839" t="s">
        <v>209</v>
      </c>
      <c r="B2" s="839"/>
      <c r="C2" s="107"/>
      <c r="D2" s="107"/>
      <c r="E2" s="547"/>
      <c r="F2" s="548"/>
      <c r="G2" s="107"/>
      <c r="H2" s="107"/>
      <c r="I2" s="547"/>
      <c r="J2" s="548"/>
      <c r="K2" s="107"/>
      <c r="L2" s="107"/>
      <c r="M2" s="547"/>
      <c r="N2" s="548"/>
      <c r="O2" s="549"/>
      <c r="P2" s="107"/>
      <c r="Q2" s="547"/>
      <c r="R2" s="548"/>
      <c r="S2" s="549"/>
      <c r="T2" s="108"/>
      <c r="U2" s="550"/>
      <c r="V2" s="551"/>
      <c r="W2" s="55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</row>
    <row r="3" spans="1:59" s="111" customFormat="1" ht="13.5" customHeight="1" thickBot="1" x14ac:dyDescent="0.25">
      <c r="A3" s="841" t="s">
        <v>33</v>
      </c>
      <c r="B3" s="843" t="s">
        <v>34</v>
      </c>
      <c r="C3" s="856" t="s">
        <v>35</v>
      </c>
      <c r="D3" s="847" t="s">
        <v>36</v>
      </c>
      <c r="E3" s="847"/>
      <c r="F3" s="836" t="s">
        <v>65</v>
      </c>
      <c r="G3" s="836"/>
      <c r="H3" s="835" t="s">
        <v>38</v>
      </c>
      <c r="I3" s="835"/>
      <c r="J3" s="836" t="s">
        <v>65</v>
      </c>
      <c r="K3" s="836"/>
      <c r="L3" s="835" t="s">
        <v>39</v>
      </c>
      <c r="M3" s="835"/>
      <c r="N3" s="857" t="s">
        <v>65</v>
      </c>
      <c r="O3" s="857"/>
      <c r="P3" s="837" t="s">
        <v>40</v>
      </c>
      <c r="Q3" s="837"/>
      <c r="R3" s="838" t="s">
        <v>65</v>
      </c>
      <c r="S3" s="838"/>
      <c r="T3" s="867" t="s">
        <v>210</v>
      </c>
      <c r="U3" s="867"/>
      <c r="V3" s="857" t="s">
        <v>65</v>
      </c>
      <c r="W3" s="857"/>
    </row>
    <row r="4" spans="1:59" ht="13.5" thickBot="1" x14ac:dyDescent="0.25">
      <c r="A4" s="841"/>
      <c r="B4" s="844"/>
      <c r="C4" s="856"/>
      <c r="D4" s="112" t="s">
        <v>42</v>
      </c>
      <c r="E4" s="113" t="s">
        <v>43</v>
      </c>
      <c r="F4" s="113" t="s">
        <v>44</v>
      </c>
      <c r="G4" s="114" t="s">
        <v>45</v>
      </c>
      <c r="H4" s="112" t="s">
        <v>46</v>
      </c>
      <c r="I4" s="113" t="s">
        <v>47</v>
      </c>
      <c r="J4" s="113" t="s">
        <v>44</v>
      </c>
      <c r="K4" s="114" t="s">
        <v>45</v>
      </c>
      <c r="L4" s="112" t="s">
        <v>48</v>
      </c>
      <c r="M4" s="113" t="s">
        <v>49</v>
      </c>
      <c r="N4" s="201" t="s">
        <v>44</v>
      </c>
      <c r="O4" s="202" t="s">
        <v>45</v>
      </c>
      <c r="P4" s="112" t="s">
        <v>48</v>
      </c>
      <c r="Q4" s="113" t="s">
        <v>49</v>
      </c>
      <c r="R4" s="113" t="s">
        <v>44</v>
      </c>
      <c r="S4" s="115" t="s">
        <v>45</v>
      </c>
      <c r="T4" s="203" t="s">
        <v>50</v>
      </c>
      <c r="U4" s="201" t="s">
        <v>49</v>
      </c>
      <c r="V4" s="201" t="s">
        <v>44</v>
      </c>
      <c r="W4" s="204" t="s">
        <v>45</v>
      </c>
    </row>
    <row r="5" spans="1:59" ht="40.5" customHeight="1" x14ac:dyDescent="0.2">
      <c r="A5" s="911" t="s">
        <v>208</v>
      </c>
      <c r="B5" s="913" t="s">
        <v>207</v>
      </c>
      <c r="C5" s="914" t="s">
        <v>206</v>
      </c>
      <c r="D5" s="206"/>
      <c r="E5" s="553"/>
      <c r="F5" s="554"/>
      <c r="G5" s="555">
        <v>0</v>
      </c>
      <c r="H5" s="652" t="s">
        <v>190</v>
      </c>
      <c r="I5" s="553"/>
      <c r="J5" s="556"/>
      <c r="K5" s="555">
        <v>650000</v>
      </c>
      <c r="L5" s="206"/>
      <c r="M5" s="557"/>
      <c r="N5" s="558"/>
      <c r="O5" s="555">
        <v>0</v>
      </c>
      <c r="P5" s="206"/>
      <c r="Q5" s="208"/>
      <c r="R5" s="209"/>
      <c r="S5" s="555">
        <v>0</v>
      </c>
      <c r="T5" s="206"/>
      <c r="U5" s="208"/>
      <c r="V5" s="210"/>
      <c r="W5" s="555">
        <v>0</v>
      </c>
    </row>
    <row r="6" spans="1:59" x14ac:dyDescent="0.2">
      <c r="A6" s="912"/>
      <c r="B6" s="913"/>
      <c r="C6" s="914"/>
      <c r="D6" s="211"/>
      <c r="E6" s="559"/>
      <c r="F6" s="554"/>
      <c r="G6" s="560">
        <v>0</v>
      </c>
      <c r="H6" s="652"/>
      <c r="I6" s="559"/>
      <c r="J6" s="554"/>
      <c r="K6" s="560"/>
      <c r="L6" s="213"/>
      <c r="M6" s="214"/>
      <c r="N6" s="215"/>
      <c r="O6" s="560">
        <v>0</v>
      </c>
      <c r="P6" s="216"/>
      <c r="Q6" s="214"/>
      <c r="R6" s="215"/>
      <c r="S6" s="560">
        <v>0</v>
      </c>
      <c r="T6" s="211"/>
      <c r="U6" s="214"/>
      <c r="V6" s="215"/>
      <c r="W6" s="560">
        <v>0</v>
      </c>
    </row>
    <row r="7" spans="1:59" x14ac:dyDescent="0.2">
      <c r="A7" s="694">
        <f>SUM(G7:W7)</f>
        <v>650000</v>
      </c>
      <c r="B7" s="913"/>
      <c r="C7" s="914"/>
      <c r="D7" s="218"/>
      <c r="E7" s="559"/>
      <c r="F7" s="554"/>
      <c r="G7" s="560">
        <f>SUM(G5:G6)</f>
        <v>0</v>
      </c>
      <c r="H7" s="213"/>
      <c r="I7" s="559"/>
      <c r="J7" s="554"/>
      <c r="K7" s="219">
        <f>SUM(K5:K6)</f>
        <v>650000</v>
      </c>
      <c r="L7" s="213"/>
      <c r="M7" s="214"/>
      <c r="N7" s="215"/>
      <c r="O7" s="219">
        <f>SUM(O5:O6)</f>
        <v>0</v>
      </c>
      <c r="P7" s="216"/>
      <c r="Q7" s="214"/>
      <c r="R7" s="655"/>
      <c r="S7" s="654">
        <f>SUM(S5:S6)</f>
        <v>0</v>
      </c>
      <c r="T7" s="216"/>
      <c r="U7" s="214"/>
      <c r="V7" s="215"/>
      <c r="W7" s="219">
        <f>SUM(W5:W6)</f>
        <v>0</v>
      </c>
    </row>
    <row r="8" spans="1:59" ht="22.9" customHeight="1" x14ac:dyDescent="0.2">
      <c r="A8" s="921" t="s">
        <v>205</v>
      </c>
      <c r="B8" s="653" t="s">
        <v>204</v>
      </c>
      <c r="C8" s="924" t="s">
        <v>203</v>
      </c>
      <c r="D8" s="220"/>
      <c r="E8" s="559"/>
      <c r="F8" s="554"/>
      <c r="G8" s="560">
        <v>0</v>
      </c>
      <c r="H8" s="652" t="s">
        <v>190</v>
      </c>
      <c r="I8" s="559"/>
      <c r="J8" s="554"/>
      <c r="K8" s="560">
        <v>500000</v>
      </c>
      <c r="L8" s="123"/>
      <c r="M8" s="559"/>
      <c r="N8" s="563"/>
      <c r="O8" s="560">
        <v>0</v>
      </c>
      <c r="Q8" s="651"/>
      <c r="R8" s="609"/>
      <c r="S8" s="650"/>
      <c r="T8" s="649"/>
      <c r="U8" s="208"/>
      <c r="V8" s="210"/>
      <c r="W8" s="560">
        <v>0</v>
      </c>
    </row>
    <row r="9" spans="1:59" ht="37.5" customHeight="1" x14ac:dyDescent="0.2">
      <c r="A9" s="922"/>
      <c r="B9" s="646" t="s">
        <v>202</v>
      </c>
      <c r="C9" s="924"/>
      <c r="D9" s="211"/>
      <c r="E9" s="559"/>
      <c r="F9" s="554"/>
      <c r="G9" s="560">
        <v>0</v>
      </c>
      <c r="H9" s="211"/>
      <c r="I9" s="559"/>
      <c r="J9" s="554"/>
      <c r="K9" s="560">
        <v>0</v>
      </c>
      <c r="L9" s="653" t="s">
        <v>201</v>
      </c>
      <c r="M9" s="559"/>
      <c r="N9" s="210"/>
      <c r="O9" s="555">
        <v>700000</v>
      </c>
      <c r="Q9" s="214"/>
      <c r="R9" s="210"/>
      <c r="S9" s="555"/>
      <c r="T9" s="211"/>
      <c r="U9" s="214"/>
      <c r="V9" s="215"/>
      <c r="W9" s="560">
        <v>0</v>
      </c>
    </row>
    <row r="10" spans="1:59" ht="43.5" customHeight="1" x14ac:dyDescent="0.2">
      <c r="A10" s="923"/>
      <c r="B10" s="925" t="s">
        <v>200</v>
      </c>
      <c r="C10" s="924"/>
      <c r="D10" s="647" t="s">
        <v>275</v>
      </c>
      <c r="E10" s="559"/>
      <c r="F10" s="554"/>
      <c r="G10" s="560">
        <v>200000</v>
      </c>
      <c r="H10" s="211"/>
      <c r="I10" s="561"/>
      <c r="J10" s="558"/>
      <c r="K10" s="560">
        <v>0</v>
      </c>
      <c r="L10" s="211"/>
      <c r="M10" s="559"/>
      <c r="N10" s="563"/>
      <c r="O10" s="560">
        <v>0</v>
      </c>
      <c r="P10" s="216"/>
      <c r="Q10" s="214"/>
      <c r="R10" s="215"/>
      <c r="S10" s="564"/>
      <c r="T10" s="206"/>
      <c r="U10" s="214"/>
      <c r="V10" s="215"/>
      <c r="W10" s="560">
        <v>0</v>
      </c>
    </row>
    <row r="11" spans="1:59" x14ac:dyDescent="0.2">
      <c r="A11" s="694">
        <f>SUM(G11:W11)</f>
        <v>1400000</v>
      </c>
      <c r="B11" s="925"/>
      <c r="C11" s="924"/>
      <c r="D11" s="221"/>
      <c r="E11" s="559"/>
      <c r="F11" s="554"/>
      <c r="G11" s="219">
        <f>SUM(G7:G10)</f>
        <v>200000</v>
      </c>
      <c r="H11" s="216"/>
      <c r="I11" s="214"/>
      <c r="J11" s="215"/>
      <c r="K11" s="219">
        <f>SUM(K8:K10)</f>
        <v>500000</v>
      </c>
      <c r="L11" s="213"/>
      <c r="M11" s="214"/>
      <c r="N11" s="215"/>
      <c r="O11" s="219">
        <f>SUM(O7:O10)</f>
        <v>700000</v>
      </c>
      <c r="P11" s="216"/>
      <c r="Q11" s="214"/>
      <c r="R11" s="215"/>
      <c r="S11" s="219">
        <f>SUM(S9:S10)</f>
        <v>0</v>
      </c>
      <c r="T11" s="216"/>
      <c r="U11" s="214"/>
      <c r="V11" s="215"/>
      <c r="W11" s="219">
        <f>SUM(W7:W10)</f>
        <v>0</v>
      </c>
    </row>
    <row r="12" spans="1:59" ht="65.45" customHeight="1" x14ac:dyDescent="0.2">
      <c r="A12" s="915" t="s">
        <v>199</v>
      </c>
      <c r="B12" s="645" t="s">
        <v>198</v>
      </c>
      <c r="C12" s="926" t="s">
        <v>197</v>
      </c>
      <c r="D12" s="220"/>
      <c r="E12" s="553"/>
      <c r="F12" s="565"/>
      <c r="G12" s="560">
        <v>0</v>
      </c>
      <c r="H12" s="641" t="s">
        <v>190</v>
      </c>
      <c r="I12" s="553"/>
      <c r="J12" s="565">
        <v>200000</v>
      </c>
      <c r="K12" s="560">
        <v>650000</v>
      </c>
      <c r="L12" s="213"/>
      <c r="M12" s="553"/>
      <c r="N12" s="565"/>
      <c r="O12" s="560">
        <f>N12*M12</f>
        <v>0</v>
      </c>
      <c r="P12" s="223"/>
      <c r="Q12" s="224"/>
      <c r="R12" s="225"/>
      <c r="S12" s="560">
        <v>0</v>
      </c>
      <c r="T12" s="226"/>
      <c r="U12" s="561"/>
      <c r="V12" s="566"/>
      <c r="W12" s="560">
        <v>0</v>
      </c>
    </row>
    <row r="13" spans="1:59" ht="27.75" customHeight="1" x14ac:dyDescent="0.2">
      <c r="A13" s="917"/>
      <c r="B13" s="645" t="s">
        <v>196</v>
      </c>
      <c r="C13" s="926"/>
      <c r="D13" s="220"/>
      <c r="E13" s="559"/>
      <c r="F13" s="227"/>
      <c r="G13" s="560">
        <v>0</v>
      </c>
      <c r="H13" s="641"/>
      <c r="I13" s="228"/>
      <c r="J13" s="229"/>
      <c r="K13" s="560"/>
      <c r="L13" s="230"/>
      <c r="M13" s="231"/>
      <c r="N13" s="232"/>
      <c r="O13" s="560">
        <v>0</v>
      </c>
      <c r="P13" s="233"/>
      <c r="Q13" s="224"/>
      <c r="R13" s="225"/>
      <c r="S13" s="560">
        <v>0</v>
      </c>
      <c r="T13" s="220"/>
      <c r="U13" s="561"/>
      <c r="V13" s="567"/>
      <c r="W13" s="219">
        <f>SUM(W10:W12)</f>
        <v>0</v>
      </c>
    </row>
    <row r="14" spans="1:59" ht="15.6" customHeight="1" x14ac:dyDescent="0.2">
      <c r="A14" s="694">
        <f>SUM(K14:W14)</f>
        <v>650000</v>
      </c>
      <c r="B14" s="205"/>
      <c r="C14" s="926"/>
      <c r="D14" s="217"/>
      <c r="E14" s="559"/>
      <c r="F14" s="227"/>
      <c r="G14" s="219">
        <v>0</v>
      </c>
      <c r="H14" s="644"/>
      <c r="I14" s="214"/>
      <c r="J14" s="215"/>
      <c r="K14" s="219">
        <f>SUM(K12:K13)</f>
        <v>650000</v>
      </c>
      <c r="L14" s="230"/>
      <c r="M14" s="231"/>
      <c r="N14" s="232"/>
      <c r="O14" s="219">
        <f>SUM(O12:O13)</f>
        <v>0</v>
      </c>
      <c r="P14" s="213"/>
      <c r="Q14" s="214"/>
      <c r="R14" s="215"/>
      <c r="S14" s="219">
        <f>SUM(S12:S13)</f>
        <v>0</v>
      </c>
      <c r="T14" s="211"/>
      <c r="U14" s="561"/>
      <c r="V14" s="567"/>
      <c r="W14" s="219"/>
    </row>
    <row r="15" spans="1:59" ht="24" customHeight="1" x14ac:dyDescent="0.2">
      <c r="A15" s="915" t="s">
        <v>195</v>
      </c>
      <c r="B15" s="205" t="s">
        <v>194</v>
      </c>
      <c r="C15" s="918" t="s">
        <v>193</v>
      </c>
      <c r="D15" s="213"/>
      <c r="E15" s="559"/>
      <c r="F15" s="227"/>
      <c r="G15" s="560"/>
      <c r="H15" s="641"/>
      <c r="I15" s="568"/>
      <c r="J15" s="565"/>
      <c r="K15" s="560"/>
      <c r="L15" s="234"/>
      <c r="M15" s="235"/>
      <c r="N15" s="236"/>
      <c r="O15" s="560">
        <v>0</v>
      </c>
      <c r="P15" s="237"/>
      <c r="Q15" s="569"/>
      <c r="R15" s="569"/>
      <c r="S15" s="560"/>
      <c r="T15" s="206"/>
      <c r="U15" s="561"/>
      <c r="V15" s="566"/>
      <c r="W15" s="560">
        <v>0</v>
      </c>
    </row>
    <row r="16" spans="1:59" ht="22.5" x14ac:dyDescent="0.2">
      <c r="A16" s="916"/>
      <c r="B16" s="205" t="s">
        <v>192</v>
      </c>
      <c r="C16" s="919"/>
      <c r="D16" s="217"/>
      <c r="E16" s="559"/>
      <c r="F16" s="227"/>
      <c r="G16" s="560"/>
      <c r="H16" s="641" t="s">
        <v>274</v>
      </c>
      <c r="I16" s="561"/>
      <c r="J16" s="562"/>
      <c r="K16" s="560">
        <v>500000</v>
      </c>
      <c r="L16" s="234"/>
      <c r="M16" s="235"/>
      <c r="N16" s="236"/>
      <c r="O16" s="560">
        <v>0</v>
      </c>
      <c r="P16" s="643"/>
      <c r="Q16" s="569"/>
      <c r="R16" s="642"/>
      <c r="S16" s="560"/>
      <c r="T16" s="211"/>
      <c r="U16" s="561"/>
      <c r="V16" s="567"/>
      <c r="W16" s="560">
        <v>0</v>
      </c>
    </row>
    <row r="17" spans="1:23" ht="43.5" customHeight="1" x14ac:dyDescent="0.2">
      <c r="A17" s="917"/>
      <c r="B17" s="205" t="s">
        <v>191</v>
      </c>
      <c r="C17" s="919"/>
      <c r="D17" s="217"/>
      <c r="E17" s="559"/>
      <c r="F17" s="227"/>
      <c r="G17" s="560"/>
      <c r="H17" s="641"/>
      <c r="I17" s="561"/>
      <c r="J17" s="562"/>
      <c r="K17" s="560"/>
      <c r="L17" s="234"/>
      <c r="M17" s="235"/>
      <c r="N17" s="236"/>
      <c r="O17" s="560">
        <v>0</v>
      </c>
      <c r="P17" s="233"/>
      <c r="Q17" s="224"/>
      <c r="R17" s="225"/>
      <c r="S17" s="560"/>
      <c r="T17" s="206"/>
      <c r="U17" s="561"/>
      <c r="V17" s="562"/>
      <c r="W17" s="560">
        <v>0</v>
      </c>
    </row>
    <row r="18" spans="1:23" ht="18" customHeight="1" thickBot="1" x14ac:dyDescent="0.25">
      <c r="A18" s="694">
        <f>SUM(K18:W18)</f>
        <v>500000</v>
      </c>
      <c r="B18" s="205"/>
      <c r="C18" s="920"/>
      <c r="D18" s="213"/>
      <c r="E18" s="238"/>
      <c r="F18" s="227"/>
      <c r="G18" s="219"/>
      <c r="H18" s="216"/>
      <c r="I18" s="214"/>
      <c r="J18" s="215"/>
      <c r="K18" s="219">
        <f>SUM(K15:K17)</f>
        <v>500000</v>
      </c>
      <c r="L18" s="234"/>
      <c r="M18" s="235"/>
      <c r="N18" s="236"/>
      <c r="O18" s="219">
        <f>SUM(O15:O17)</f>
        <v>0</v>
      </c>
      <c r="P18" s="213"/>
      <c r="Q18" s="214"/>
      <c r="R18" s="215"/>
      <c r="S18" s="219">
        <f>SUM(S15:S17)</f>
        <v>0</v>
      </c>
      <c r="T18" s="211"/>
      <c r="U18" s="561"/>
      <c r="V18" s="562"/>
      <c r="W18" s="219">
        <f>SUM(W15:W17)</f>
        <v>0</v>
      </c>
    </row>
    <row r="19" spans="1:23" s="198" customFormat="1" ht="13.5" thickBot="1" x14ac:dyDescent="0.25">
      <c r="A19" s="192" t="s">
        <v>53</v>
      </c>
      <c r="B19" s="193">
        <f>SUM(A7:A18)</f>
        <v>3200000</v>
      </c>
      <c r="C19" s="240"/>
      <c r="D19" s="241"/>
      <c r="E19" s="242"/>
      <c r="F19" s="243"/>
      <c r="G19" s="570">
        <f>G7+G11+G14+G18</f>
        <v>200000</v>
      </c>
      <c r="H19" s="244"/>
      <c r="I19" s="242"/>
      <c r="J19" s="243"/>
      <c r="K19" s="570">
        <f>K7+K11+K14+K18</f>
        <v>2300000</v>
      </c>
      <c r="L19" s="245"/>
      <c r="M19" s="242"/>
      <c r="N19" s="243"/>
      <c r="O19" s="570">
        <f>O7+O11+O14+O18</f>
        <v>700000</v>
      </c>
      <c r="P19" s="244"/>
      <c r="Q19" s="242"/>
      <c r="R19" s="243"/>
      <c r="S19" s="570">
        <f>S7+S11+S14+S18</f>
        <v>0</v>
      </c>
      <c r="T19" s="244"/>
      <c r="U19" s="242"/>
      <c r="V19" s="243"/>
      <c r="W19" s="570">
        <f>W7+W11+W14+W18</f>
        <v>0</v>
      </c>
    </row>
    <row r="21" spans="1:23" x14ac:dyDescent="0.2">
      <c r="T21" s="98"/>
    </row>
    <row r="24" spans="1:23" x14ac:dyDescent="0.2">
      <c r="H24" s="98"/>
    </row>
    <row r="27" spans="1:23" x14ac:dyDescent="0.2">
      <c r="G27" s="98"/>
    </row>
    <row r="28" spans="1:23" x14ac:dyDescent="0.2">
      <c r="G28" s="98"/>
      <c r="H28" s="98"/>
    </row>
  </sheetData>
  <sheetProtection selectLockedCells="1" selectUnlockedCells="1"/>
  <mergeCells count="24">
    <mergeCell ref="D3:E3"/>
    <mergeCell ref="F3:G3"/>
    <mergeCell ref="H3:I3"/>
    <mergeCell ref="N3:O3"/>
    <mergeCell ref="P3:Q3"/>
    <mergeCell ref="V3:W3"/>
    <mergeCell ref="R3:S3"/>
    <mergeCell ref="L3:M3"/>
    <mergeCell ref="J3:K3"/>
    <mergeCell ref="T3:U3"/>
    <mergeCell ref="A15:A17"/>
    <mergeCell ref="C15:C18"/>
    <mergeCell ref="A8:A10"/>
    <mergeCell ref="C8:C11"/>
    <mergeCell ref="B10:B11"/>
    <mergeCell ref="A12:A13"/>
    <mergeCell ref="C12:C14"/>
    <mergeCell ref="A2:B2"/>
    <mergeCell ref="A3:A4"/>
    <mergeCell ref="B3:B4"/>
    <mergeCell ref="C3:C4"/>
    <mergeCell ref="A5:A6"/>
    <mergeCell ref="B5:B7"/>
    <mergeCell ref="C5:C7"/>
  </mergeCells>
  <phoneticPr fontId="24" type="noConversion"/>
  <printOptions verticalCentered="1"/>
  <pageMargins left="0.39374999999999999" right="0.39374999999999999" top="0.78749999999999998" bottom="0.59097222222222223" header="0.31527777777777777" footer="0.31527777777777777"/>
  <pageSetup paperSize="9" scale="30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24"/>
  <sheetViews>
    <sheetView showGridLines="0" zoomScale="80" zoomScaleNormal="8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4" sqref="B24"/>
    </sheetView>
  </sheetViews>
  <sheetFormatPr defaultRowHeight="12.75" x14ac:dyDescent="0.2"/>
  <cols>
    <col min="1" max="1" width="30.7109375" customWidth="1"/>
    <col min="2" max="2" width="44.28515625" customWidth="1"/>
    <col min="3" max="3" width="44.7109375" customWidth="1"/>
    <col min="4" max="4" width="28.7109375" customWidth="1"/>
    <col min="5" max="5" width="10.7109375" style="246" customWidth="1"/>
    <col min="6" max="6" width="10.7109375" style="33" customWidth="1"/>
    <col min="7" max="7" width="12.7109375" customWidth="1"/>
    <col min="8" max="8" width="27.85546875" customWidth="1"/>
    <col min="9" max="9" width="6.7109375" style="247" customWidth="1"/>
    <col min="10" max="10" width="8.140625" style="248" customWidth="1"/>
    <col min="11" max="11" width="12.7109375" customWidth="1"/>
    <col min="12" max="12" width="27.140625" customWidth="1"/>
    <col min="13" max="13" width="6.7109375" style="246" customWidth="1"/>
    <col min="14" max="14" width="8.140625" style="33" customWidth="1"/>
    <col min="15" max="15" width="11" style="33" customWidth="1"/>
    <col min="16" max="16" width="27.42578125" customWidth="1"/>
    <col min="17" max="17" width="6.7109375" style="246" customWidth="1"/>
    <col min="18" max="18" width="10.7109375" style="33" customWidth="1"/>
    <col min="19" max="19" width="11.42578125" style="33" customWidth="1"/>
    <col min="20" max="20" width="27.140625" customWidth="1"/>
    <col min="21" max="21" width="6.7109375" style="246" customWidth="1"/>
    <col min="22" max="22" width="8.140625" style="33" customWidth="1"/>
    <col min="23" max="23" width="10.7109375" style="33" customWidth="1"/>
  </cols>
  <sheetData>
    <row r="1" spans="1:59" ht="28.5" customHeight="1" x14ac:dyDescent="0.2">
      <c r="A1" s="249" t="s">
        <v>32</v>
      </c>
      <c r="B1" s="250"/>
      <c r="C1" s="251"/>
      <c r="D1" s="251"/>
      <c r="E1" s="252"/>
      <c r="F1" s="253"/>
      <c r="G1" s="254"/>
      <c r="H1" s="254"/>
      <c r="I1" s="255"/>
      <c r="J1" s="256"/>
      <c r="K1" s="254"/>
      <c r="L1" s="254"/>
      <c r="M1" s="257"/>
      <c r="N1" s="106"/>
      <c r="O1" s="106"/>
      <c r="P1" s="254"/>
      <c r="Q1" s="257"/>
      <c r="R1" s="106"/>
      <c r="S1" s="106"/>
      <c r="T1" s="254"/>
      <c r="U1" s="257"/>
      <c r="V1" s="106"/>
      <c r="W1" s="258"/>
    </row>
    <row r="2" spans="1:59" s="267" customFormat="1" ht="13.5" thickBot="1" x14ac:dyDescent="0.25">
      <c r="A2" s="259" t="str">
        <f>'3_Comp e Produtos'!A24</f>
        <v>ADMINISTRAÇÃO</v>
      </c>
      <c r="B2" s="260"/>
      <c r="C2" s="261"/>
      <c r="D2" s="261"/>
      <c r="E2" s="262"/>
      <c r="F2" s="263"/>
      <c r="G2" s="261"/>
      <c r="H2" s="261"/>
      <c r="I2" s="264"/>
      <c r="J2" s="265"/>
      <c r="K2" s="261"/>
      <c r="L2" s="261"/>
      <c r="M2" s="262"/>
      <c r="N2" s="263"/>
      <c r="O2" s="263"/>
      <c r="P2" s="261"/>
      <c r="Q2" s="262"/>
      <c r="R2" s="263"/>
      <c r="S2" s="263"/>
      <c r="T2" s="261"/>
      <c r="U2" s="262"/>
      <c r="V2" s="263"/>
      <c r="W2" s="109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</row>
    <row r="3" spans="1:59" s="111" customFormat="1" ht="23.85" customHeight="1" thickBot="1" x14ac:dyDescent="0.25">
      <c r="A3" s="841" t="s">
        <v>33</v>
      </c>
      <c r="B3" s="843" t="s">
        <v>34</v>
      </c>
      <c r="C3" s="845" t="s">
        <v>35</v>
      </c>
      <c r="D3" s="847" t="s">
        <v>36</v>
      </c>
      <c r="E3" s="847"/>
      <c r="F3" s="836" t="s">
        <v>65</v>
      </c>
      <c r="G3" s="836"/>
      <c r="H3" s="835" t="s">
        <v>38</v>
      </c>
      <c r="I3" s="835"/>
      <c r="J3" s="836" t="s">
        <v>65</v>
      </c>
      <c r="K3" s="836"/>
      <c r="L3" s="835" t="s">
        <v>39</v>
      </c>
      <c r="M3" s="835"/>
      <c r="N3" s="836" t="s">
        <v>65</v>
      </c>
      <c r="O3" s="836"/>
      <c r="P3" s="837" t="s">
        <v>40</v>
      </c>
      <c r="Q3" s="837"/>
      <c r="R3" s="838" t="s">
        <v>65</v>
      </c>
      <c r="S3" s="838"/>
      <c r="T3" s="835" t="s">
        <v>210</v>
      </c>
      <c r="U3" s="835"/>
      <c r="V3" s="836" t="s">
        <v>65</v>
      </c>
      <c r="W3" s="836"/>
    </row>
    <row r="4" spans="1:59" s="99" customFormat="1" ht="13.5" thickBot="1" x14ac:dyDescent="0.25">
      <c r="A4" s="842"/>
      <c r="B4" s="844"/>
      <c r="C4" s="846"/>
      <c r="D4" s="602" t="s">
        <v>42</v>
      </c>
      <c r="E4" s="601" t="s">
        <v>43</v>
      </c>
      <c r="F4" s="601" t="s">
        <v>44</v>
      </c>
      <c r="G4" s="604" t="s">
        <v>45</v>
      </c>
      <c r="H4" s="602" t="s">
        <v>46</v>
      </c>
      <c r="I4" s="601" t="s">
        <v>47</v>
      </c>
      <c r="J4" s="601" t="s">
        <v>44</v>
      </c>
      <c r="K4" s="604" t="s">
        <v>45</v>
      </c>
      <c r="L4" s="602" t="s">
        <v>48</v>
      </c>
      <c r="M4" s="113" t="s">
        <v>49</v>
      </c>
      <c r="N4" s="113" t="s">
        <v>44</v>
      </c>
      <c r="O4" s="115" t="s">
        <v>45</v>
      </c>
      <c r="P4" s="602" t="s">
        <v>48</v>
      </c>
      <c r="Q4" s="601" t="s">
        <v>49</v>
      </c>
      <c r="R4" s="601" t="s">
        <v>44</v>
      </c>
      <c r="S4" s="603" t="s">
        <v>45</v>
      </c>
      <c r="T4" s="602" t="s">
        <v>50</v>
      </c>
      <c r="U4" s="601" t="s">
        <v>49</v>
      </c>
      <c r="V4" s="601" t="s">
        <v>44</v>
      </c>
      <c r="W4" s="600" t="s">
        <v>45</v>
      </c>
    </row>
    <row r="5" spans="1:59" s="99" customFormat="1" ht="35.25" customHeight="1" x14ac:dyDescent="0.2">
      <c r="A5" s="829" t="s">
        <v>276</v>
      </c>
      <c r="B5" s="599" t="s">
        <v>277</v>
      </c>
      <c r="C5" s="820" t="s">
        <v>280</v>
      </c>
      <c r="D5" s="116"/>
      <c r="E5" s="117"/>
      <c r="F5" s="118"/>
      <c r="G5" s="119">
        <v>0</v>
      </c>
      <c r="H5" s="589" t="s">
        <v>281</v>
      </c>
      <c r="I5" s="117"/>
      <c r="J5" s="118"/>
      <c r="K5" s="119">
        <v>650000</v>
      </c>
      <c r="L5" s="145"/>
      <c r="M5" s="117"/>
      <c r="N5" s="146"/>
      <c r="O5" s="119"/>
      <c r="P5" s="129"/>
      <c r="Q5" s="120"/>
      <c r="R5" s="128"/>
      <c r="S5" s="126"/>
      <c r="T5" s="595"/>
      <c r="U5" s="120"/>
      <c r="V5" s="121"/>
      <c r="W5" s="122"/>
    </row>
    <row r="6" spans="1:59" s="99" customFormat="1" ht="45" x14ac:dyDescent="0.2">
      <c r="A6" s="830"/>
      <c r="B6" s="598" t="s">
        <v>278</v>
      </c>
      <c r="C6" s="821"/>
      <c r="D6" s="123"/>
      <c r="E6" s="124"/>
      <c r="F6" s="125"/>
      <c r="G6" s="126">
        <v>0</v>
      </c>
      <c r="H6" s="597"/>
      <c r="I6" s="148"/>
      <c r="J6" s="694"/>
      <c r="K6" s="126"/>
      <c r="L6" s="150" t="s">
        <v>285</v>
      </c>
      <c r="M6" s="124"/>
      <c r="N6" s="151"/>
      <c r="O6" s="126">
        <v>600000</v>
      </c>
      <c r="P6" s="596"/>
      <c r="Q6" s="127"/>
      <c r="R6" s="572"/>
      <c r="S6" s="152"/>
      <c r="T6" s="131"/>
      <c r="U6" s="132"/>
      <c r="V6" s="133"/>
      <c r="W6" s="130">
        <v>0</v>
      </c>
    </row>
    <row r="7" spans="1:59" s="99" customFormat="1" ht="70.5" customHeight="1" x14ac:dyDescent="0.2">
      <c r="A7" s="830"/>
      <c r="B7" s="595" t="s">
        <v>279</v>
      </c>
      <c r="C7" s="821"/>
      <c r="D7" s="123" t="s">
        <v>283</v>
      </c>
      <c r="E7" s="124"/>
      <c r="F7" s="125"/>
      <c r="G7" s="126">
        <v>450000</v>
      </c>
      <c r="H7" s="587" t="s">
        <v>284</v>
      </c>
      <c r="I7" s="124"/>
      <c r="J7" s="125"/>
      <c r="K7" s="126">
        <v>400000</v>
      </c>
      <c r="L7" s="123"/>
      <c r="M7" s="124"/>
      <c r="N7" s="151"/>
      <c r="O7" s="126"/>
      <c r="P7" s="123" t="s">
        <v>282</v>
      </c>
      <c r="Q7" s="127"/>
      <c r="R7" s="128"/>
      <c r="S7" s="152">
        <v>900000</v>
      </c>
      <c r="T7" s="123"/>
      <c r="U7" s="127"/>
      <c r="V7" s="128"/>
      <c r="W7" s="130">
        <v>0</v>
      </c>
    </row>
    <row r="8" spans="1:59" s="99" customFormat="1" ht="17.45" customHeight="1" thickBot="1" x14ac:dyDescent="0.25">
      <c r="A8" s="695">
        <f>G8+K8+O8+S8+W8</f>
        <v>3000000</v>
      </c>
      <c r="B8" s="594"/>
      <c r="C8" s="822"/>
      <c r="D8" s="155"/>
      <c r="E8" s="155"/>
      <c r="F8" s="155"/>
      <c r="G8" s="668">
        <f>SUM(G5:G7)</f>
        <v>450000</v>
      </c>
      <c r="H8" s="593"/>
      <c r="I8" s="155"/>
      <c r="J8" s="155"/>
      <c r="K8" s="668">
        <f>SUM(K5:K7)</f>
        <v>1050000</v>
      </c>
      <c r="L8" s="155" t="s">
        <v>45</v>
      </c>
      <c r="M8" s="155">
        <f>SUM(M5:M7)</f>
        <v>0</v>
      </c>
      <c r="N8" s="155">
        <f>SUM(N5:N7)</f>
        <v>0</v>
      </c>
      <c r="O8" s="156">
        <f>SUM(O5:O7)</f>
        <v>600000</v>
      </c>
      <c r="P8" s="155"/>
      <c r="Q8" s="155"/>
      <c r="R8" s="155"/>
      <c r="S8" s="156">
        <f>SUM(S5:S7)</f>
        <v>900000</v>
      </c>
      <c r="T8" s="155"/>
      <c r="U8" s="155"/>
      <c r="V8" s="155"/>
      <c r="W8" s="157">
        <f>SUM(W5:W7)</f>
        <v>0</v>
      </c>
    </row>
    <row r="9" spans="1:59" s="21" customFormat="1" ht="12.75" customHeight="1" x14ac:dyDescent="0.2">
      <c r="A9" s="927"/>
      <c r="B9" s="928"/>
      <c r="C9" s="929"/>
      <c r="D9" s="276"/>
      <c r="E9" s="273"/>
      <c r="F9" s="270"/>
      <c r="G9" s="212"/>
      <c r="H9" s="276"/>
      <c r="I9" s="271"/>
      <c r="J9" s="207"/>
      <c r="K9" s="212"/>
      <c r="L9" s="272"/>
      <c r="M9" s="269"/>
      <c r="N9" s="270"/>
      <c r="O9" s="212"/>
      <c r="P9" s="272"/>
      <c r="Q9" s="271"/>
      <c r="R9" s="207"/>
      <c r="S9" s="212"/>
      <c r="T9" s="276"/>
      <c r="U9" s="271"/>
      <c r="V9" s="207"/>
      <c r="W9" s="212"/>
    </row>
    <row r="10" spans="1:59" s="21" customFormat="1" x14ac:dyDescent="0.2">
      <c r="A10" s="927"/>
      <c r="B10" s="928"/>
      <c r="C10" s="929"/>
      <c r="D10" s="272"/>
      <c r="E10" s="273"/>
      <c r="F10" s="274"/>
      <c r="G10" s="212"/>
      <c r="H10" s="285"/>
      <c r="I10" s="286"/>
      <c r="J10" s="207"/>
      <c r="K10" s="212"/>
      <c r="L10" s="276"/>
      <c r="M10" s="275"/>
      <c r="N10" s="207"/>
      <c r="O10" s="212"/>
      <c r="P10" s="272"/>
      <c r="Q10" s="275"/>
      <c r="R10" s="207"/>
      <c r="S10" s="212"/>
      <c r="T10" s="276"/>
      <c r="U10" s="275"/>
      <c r="V10" s="207"/>
      <c r="W10" s="212"/>
    </row>
    <row r="11" spans="1:59" s="21" customFormat="1" x14ac:dyDescent="0.2">
      <c r="A11" s="927"/>
      <c r="B11" s="928"/>
      <c r="C11" s="929"/>
      <c r="D11" s="272"/>
      <c r="E11" s="273"/>
      <c r="F11" s="274"/>
      <c r="G11" s="212"/>
      <c r="H11" s="276"/>
      <c r="I11" s="275"/>
      <c r="J11" s="207"/>
      <c r="K11" s="212"/>
      <c r="L11" s="276"/>
      <c r="M11" s="275"/>
      <c r="N11" s="207"/>
      <c r="O11" s="212"/>
      <c r="P11" s="272"/>
      <c r="Q11" s="275"/>
      <c r="R11" s="207"/>
      <c r="S11" s="212"/>
      <c r="T11" s="276"/>
      <c r="U11" s="275"/>
      <c r="V11" s="207"/>
      <c r="W11" s="212"/>
    </row>
    <row r="12" spans="1:59" s="21" customFormat="1" x14ac:dyDescent="0.2">
      <c r="A12" s="927"/>
      <c r="B12" s="928"/>
      <c r="C12" s="929"/>
      <c r="D12" s="287"/>
      <c r="E12" s="269"/>
      <c r="F12" s="270"/>
      <c r="G12" s="212"/>
      <c r="H12" s="276"/>
      <c r="I12" s="275"/>
      <c r="J12" s="207"/>
      <c r="K12" s="212"/>
      <c r="L12" s="276"/>
      <c r="M12" s="275"/>
      <c r="N12" s="207"/>
      <c r="O12" s="212"/>
      <c r="P12" s="272"/>
      <c r="Q12" s="275"/>
      <c r="R12" s="207"/>
      <c r="S12" s="212"/>
      <c r="T12" s="276"/>
      <c r="U12" s="275"/>
      <c r="V12" s="207"/>
      <c r="W12" s="212"/>
    </row>
    <row r="13" spans="1:59" s="21" customFormat="1" x14ac:dyDescent="0.2">
      <c r="A13" s="927"/>
      <c r="B13" s="928"/>
      <c r="C13" s="929"/>
      <c r="D13" s="288"/>
      <c r="E13" s="273"/>
      <c r="F13" s="274"/>
      <c r="G13" s="212"/>
      <c r="H13" s="276"/>
      <c r="I13" s="275"/>
      <c r="J13" s="207"/>
      <c r="K13" s="212"/>
      <c r="L13" s="276"/>
      <c r="M13" s="275"/>
      <c r="N13" s="207"/>
      <c r="O13" s="212"/>
      <c r="P13" s="272"/>
      <c r="Q13" s="275"/>
      <c r="R13" s="207"/>
      <c r="S13" s="212"/>
      <c r="T13" s="276"/>
      <c r="U13" s="275"/>
      <c r="V13" s="207"/>
      <c r="W13" s="212"/>
    </row>
    <row r="14" spans="1:59" s="21" customFormat="1" x14ac:dyDescent="0.2">
      <c r="A14" s="927"/>
      <c r="B14" s="928"/>
      <c r="C14" s="929"/>
      <c r="D14" s="272"/>
      <c r="E14" s="273"/>
      <c r="F14" s="274"/>
      <c r="G14" s="212"/>
      <c r="H14" s="276"/>
      <c r="I14" s="275"/>
      <c r="J14" s="207"/>
      <c r="K14" s="212"/>
      <c r="L14" s="276"/>
      <c r="M14" s="275"/>
      <c r="N14" s="207"/>
      <c r="O14" s="212"/>
      <c r="P14" s="272"/>
      <c r="Q14" s="275"/>
      <c r="R14" s="207"/>
      <c r="S14" s="212"/>
      <c r="T14" s="276"/>
      <c r="U14" s="275"/>
      <c r="V14" s="207"/>
      <c r="W14" s="212"/>
    </row>
    <row r="15" spans="1:59" s="21" customFormat="1" x14ac:dyDescent="0.2">
      <c r="A15" s="927"/>
      <c r="B15" s="928"/>
      <c r="C15" s="929"/>
      <c r="D15" s="272"/>
      <c r="E15" s="273"/>
      <c r="F15" s="289"/>
      <c r="G15" s="212"/>
      <c r="H15" s="276"/>
      <c r="I15" s="275"/>
      <c r="J15" s="207"/>
      <c r="K15" s="212"/>
      <c r="L15" s="276"/>
      <c r="M15" s="275"/>
      <c r="N15" s="207"/>
      <c r="O15" s="212"/>
      <c r="P15" s="272"/>
      <c r="Q15" s="275"/>
      <c r="R15" s="207"/>
      <c r="S15" s="212"/>
      <c r="T15" s="276"/>
      <c r="U15" s="275"/>
      <c r="V15" s="207"/>
      <c r="W15" s="212"/>
    </row>
    <row r="16" spans="1:59" s="21" customFormat="1" x14ac:dyDescent="0.2">
      <c r="A16" s="927"/>
      <c r="B16" s="928"/>
      <c r="C16" s="929"/>
      <c r="D16" s="272"/>
      <c r="E16" s="273"/>
      <c r="F16" s="289"/>
      <c r="G16" s="212"/>
      <c r="H16" s="276"/>
      <c r="I16" s="275"/>
      <c r="J16" s="207"/>
      <c r="K16" s="212"/>
      <c r="L16" s="276"/>
      <c r="M16" s="275"/>
      <c r="N16" s="207"/>
      <c r="O16" s="212"/>
      <c r="P16" s="272"/>
      <c r="Q16" s="275"/>
      <c r="R16" s="207"/>
      <c r="S16" s="212"/>
      <c r="T16" s="276"/>
      <c r="U16" s="275"/>
      <c r="V16" s="207"/>
      <c r="W16" s="212"/>
    </row>
    <row r="17" spans="1:23" s="21" customFormat="1" x14ac:dyDescent="0.2">
      <c r="A17" s="927"/>
      <c r="B17" s="928"/>
      <c r="C17" s="929"/>
      <c r="D17" s="272"/>
      <c r="E17" s="273"/>
      <c r="F17" s="289"/>
      <c r="G17" s="212"/>
      <c r="H17" s="276"/>
      <c r="I17" s="275"/>
      <c r="J17" s="207"/>
      <c r="K17" s="212"/>
      <c r="L17" s="276"/>
      <c r="M17" s="275"/>
      <c r="N17" s="207"/>
      <c r="O17" s="212"/>
      <c r="P17" s="272"/>
      <c r="Q17" s="275"/>
      <c r="R17" s="207"/>
      <c r="S17" s="212"/>
      <c r="T17" s="276"/>
      <c r="U17" s="275"/>
      <c r="V17" s="207"/>
      <c r="W17" s="212"/>
    </row>
    <row r="18" spans="1:23" s="21" customFormat="1" x14ac:dyDescent="0.2">
      <c r="A18" s="277"/>
      <c r="B18" s="928"/>
      <c r="C18" s="929"/>
      <c r="D18" s="272"/>
      <c r="E18" s="273"/>
      <c r="F18" s="289"/>
      <c r="G18" s="212"/>
      <c r="H18" s="276"/>
      <c r="I18" s="275"/>
      <c r="J18" s="207"/>
      <c r="K18" s="212"/>
      <c r="L18" s="276"/>
      <c r="M18" s="275"/>
      <c r="N18" s="207"/>
      <c r="O18" s="212"/>
      <c r="P18" s="272"/>
      <c r="Q18" s="275"/>
      <c r="R18" s="207"/>
      <c r="S18" s="212"/>
      <c r="T18" s="276"/>
      <c r="U18" s="275"/>
      <c r="V18" s="207"/>
      <c r="W18" s="212"/>
    </row>
    <row r="19" spans="1:23" x14ac:dyDescent="0.2">
      <c r="A19" s="278" t="s">
        <v>54</v>
      </c>
      <c r="B19" s="290">
        <f>SUM(G19:W19)</f>
        <v>0</v>
      </c>
      <c r="C19" s="279"/>
      <c r="D19" s="280"/>
      <c r="E19" s="281"/>
      <c r="F19" s="282"/>
      <c r="G19" s="194">
        <f>SUM(G9:G18)</f>
        <v>0</v>
      </c>
      <c r="H19" s="283"/>
      <c r="I19" s="281"/>
      <c r="J19" s="282"/>
      <c r="K19" s="194">
        <f>SUM(K9:K18)</f>
        <v>0</v>
      </c>
      <c r="L19" s="283"/>
      <c r="M19" s="281"/>
      <c r="N19" s="282"/>
      <c r="O19" s="194">
        <f>SUM(O9:O18)</f>
        <v>0</v>
      </c>
      <c r="P19" s="283"/>
      <c r="Q19" s="281"/>
      <c r="R19" s="282"/>
      <c r="S19" s="194">
        <f>SUM(S9:S18)</f>
        <v>0</v>
      </c>
      <c r="T19" s="283"/>
      <c r="U19" s="281"/>
      <c r="V19" s="282"/>
      <c r="W19" s="194">
        <f>SUM(W9:W18)</f>
        <v>0</v>
      </c>
    </row>
    <row r="20" spans="1:23" x14ac:dyDescent="0.2">
      <c r="A20" s="278" t="s">
        <v>53</v>
      </c>
      <c r="B20" s="291">
        <f>A18+A8</f>
        <v>3000000</v>
      </c>
      <c r="C20" s="279"/>
      <c r="D20" s="280"/>
      <c r="E20" s="281"/>
      <c r="F20" s="282"/>
      <c r="G20" s="194"/>
      <c r="H20" s="283"/>
      <c r="I20" s="281"/>
      <c r="J20" s="282"/>
      <c r="K20" s="194"/>
      <c r="L20" s="283"/>
      <c r="M20" s="281"/>
      <c r="N20" s="282"/>
      <c r="O20" s="194"/>
      <c r="P20" s="283"/>
      <c r="Q20" s="281"/>
      <c r="R20" s="282"/>
      <c r="S20" s="194"/>
      <c r="T20" s="283"/>
      <c r="U20" s="281"/>
      <c r="V20" s="282"/>
      <c r="W20" s="194"/>
    </row>
    <row r="24" spans="1:23" x14ac:dyDescent="0.2">
      <c r="B24" s="292" t="e">
        <f>B20/'3_Comp e Produtos'!E3</f>
        <v>#DIV/0!</v>
      </c>
    </row>
  </sheetData>
  <sheetProtection selectLockedCells="1" selectUnlockedCells="1"/>
  <mergeCells count="18">
    <mergeCell ref="D3:E3"/>
    <mergeCell ref="L3:M3"/>
    <mergeCell ref="V3:W3"/>
    <mergeCell ref="N3:O3"/>
    <mergeCell ref="P3:Q3"/>
    <mergeCell ref="R3:S3"/>
    <mergeCell ref="T3:U3"/>
    <mergeCell ref="J3:K3"/>
    <mergeCell ref="F3:G3"/>
    <mergeCell ref="H3:I3"/>
    <mergeCell ref="A9:A17"/>
    <mergeCell ref="B9:B18"/>
    <mergeCell ref="C9:C18"/>
    <mergeCell ref="C3:C4"/>
    <mergeCell ref="A3:A4"/>
    <mergeCell ref="B3:B4"/>
    <mergeCell ref="A5:A7"/>
    <mergeCell ref="C5:C8"/>
  </mergeCells>
  <phoneticPr fontId="24" type="noConversion"/>
  <printOptions horizontalCentered="1"/>
  <pageMargins left="0.39374999999999999" right="0.39374999999999999" top="0.78749999999999998" bottom="0.59097222222222223" header="0.31527777777777777" footer="0.31527777777777777"/>
  <pageSetup paperSize="9" scale="75" firstPageNumber="0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colBreaks count="2" manualBreakCount="2">
    <brk id="7" max="1048575" man="1"/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39"/>
  <sheetViews>
    <sheetView zoomScale="80" zoomScaleNormal="80" workbookViewId="0">
      <selection activeCell="A23" sqref="A23:H23"/>
    </sheetView>
  </sheetViews>
  <sheetFormatPr defaultRowHeight="12.75" x14ac:dyDescent="0.2"/>
  <cols>
    <col min="1" max="1" width="88.85546875" style="293" customWidth="1"/>
    <col min="2" max="2" width="14.85546875" style="293" customWidth="1"/>
    <col min="3" max="3" width="14.28515625" style="293" customWidth="1"/>
    <col min="4" max="4" width="18.140625" style="293" customWidth="1"/>
    <col min="5" max="5" width="18.7109375" style="293" customWidth="1"/>
    <col min="6" max="6" width="18.5703125" style="293" customWidth="1"/>
    <col min="7" max="7" width="14.28515625" style="293" customWidth="1"/>
    <col min="8" max="8" width="11.85546875" style="294" customWidth="1"/>
    <col min="9" max="9" width="19.28515625" style="293" customWidth="1"/>
    <col min="10" max="10" width="11.140625" style="293" customWidth="1"/>
    <col min="11" max="16384" width="9.140625" style="293"/>
  </cols>
  <sheetData>
    <row r="1" spans="1:18" x14ac:dyDescent="0.2">
      <c r="A1" s="930" t="s">
        <v>214</v>
      </c>
      <c r="B1" s="930"/>
      <c r="C1" s="930"/>
      <c r="D1" s="930"/>
      <c r="E1" s="930"/>
      <c r="F1" s="930"/>
      <c r="G1" s="930"/>
      <c r="H1" s="930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x14ac:dyDescent="0.2">
      <c r="A2" s="931" t="s">
        <v>55</v>
      </c>
      <c r="B2" s="931"/>
      <c r="C2" s="931"/>
      <c r="D2" s="931"/>
      <c r="E2" s="931"/>
      <c r="F2" s="931"/>
      <c r="G2" s="932" t="s">
        <v>65</v>
      </c>
      <c r="H2" s="932"/>
    </row>
    <row r="3" spans="1:18" ht="38.25" x14ac:dyDescent="0.2">
      <c r="A3" s="296" t="s">
        <v>56</v>
      </c>
      <c r="B3" s="297" t="s">
        <v>36</v>
      </c>
      <c r="C3" s="297" t="s">
        <v>38</v>
      </c>
      <c r="D3" s="297" t="s">
        <v>57</v>
      </c>
      <c r="E3" s="297" t="s">
        <v>40</v>
      </c>
      <c r="F3" s="297" t="s">
        <v>210</v>
      </c>
      <c r="G3" s="297" t="s">
        <v>53</v>
      </c>
      <c r="H3" s="298" t="s">
        <v>58</v>
      </c>
    </row>
    <row r="4" spans="1:18" ht="12.75" customHeight="1" x14ac:dyDescent="0.2">
      <c r="A4" s="933" t="s">
        <v>26</v>
      </c>
      <c r="B4" s="933"/>
      <c r="C4" s="933"/>
      <c r="D4" s="933"/>
      <c r="E4" s="933"/>
      <c r="F4" s="933"/>
      <c r="G4" s="933"/>
      <c r="H4" s="933"/>
    </row>
    <row r="5" spans="1:18" ht="13.5" customHeight="1" x14ac:dyDescent="0.2">
      <c r="A5" s="662" t="str">
        <f>'3_Comp e Produtos'!A6</f>
        <v>COMPONENTE 1: PREVENÇÃO SOCIAL DA VIOLÊNCIA</v>
      </c>
      <c r="B5" s="663">
        <f>'4_Componente 1'!G24</f>
        <v>400000</v>
      </c>
      <c r="C5" s="663">
        <f>'4_Componente 1'!K24</f>
        <v>8000000</v>
      </c>
      <c r="D5" s="663">
        <f>'4_Componente 1'!O24</f>
        <v>3000000</v>
      </c>
      <c r="E5" s="663">
        <f>'4_Componente 1'!S24</f>
        <v>2100000</v>
      </c>
      <c r="F5" s="663">
        <f>'4_Componente 1'!W24</f>
        <v>5200000</v>
      </c>
      <c r="G5" s="663">
        <f>SUM(B5:F5)</f>
        <v>18700000</v>
      </c>
      <c r="H5" s="301">
        <f>G5/$G$9</f>
        <v>0.3528</v>
      </c>
    </row>
    <row r="6" spans="1:18" ht="13.5" customHeight="1" x14ac:dyDescent="0.2">
      <c r="A6" s="662" t="str">
        <f>'3_Comp e Produtos'!A11</f>
        <v xml:space="preserve">COMPONENTE 2: PREVENÇÃO SITUACIONAL E QUALIFICAÇÃO DA SEGURANÇA PÚBLICA </v>
      </c>
      <c r="B6" s="663">
        <f>'5_Componente 2'!G22</f>
        <v>947000</v>
      </c>
      <c r="C6" s="663">
        <f>'5_Componente 2'!K22</f>
        <v>390000</v>
      </c>
      <c r="D6" s="663">
        <f>'5_Componente 2'!O22</f>
        <v>2800000</v>
      </c>
      <c r="E6" s="663">
        <f>'5_Componente 2'!S22</f>
        <v>295000</v>
      </c>
      <c r="F6" s="663">
        <f>'5_Componente 2'!W22</f>
        <v>1568000</v>
      </c>
      <c r="G6" s="663">
        <f>SUM(B6:F6)</f>
        <v>6000000</v>
      </c>
      <c r="H6" s="301">
        <f>G6/$G$9</f>
        <v>0.1132</v>
      </c>
    </row>
    <row r="7" spans="1:18" ht="13.5" customHeight="1" x14ac:dyDescent="0.2">
      <c r="A7" s="299" t="str">
        <f>'3_Comp e Produtos'!A15</f>
        <v>COMPONENTE 3: APRIMORAMENTO DO PROCESSO DE RESSOCIABILIZAÇÃO</v>
      </c>
      <c r="B7" s="663">
        <f>'6_Componente 3'!G17</f>
        <v>1100000</v>
      </c>
      <c r="C7" s="663">
        <f>'6_Componente 3'!K17</f>
        <v>550000</v>
      </c>
      <c r="D7" s="663">
        <f>'6_Componente 3'!O17</f>
        <v>2400000</v>
      </c>
      <c r="E7" s="663">
        <f>'6_Componente 3'!S17</f>
        <v>0</v>
      </c>
      <c r="F7" s="663">
        <f>'6_Componente 3'!W17</f>
        <v>21050000</v>
      </c>
      <c r="G7" s="663">
        <f>SUM(B7:F7)</f>
        <v>25100000</v>
      </c>
      <c r="H7" s="301">
        <f>G7/$G$9</f>
        <v>0.47360000000000002</v>
      </c>
    </row>
    <row r="8" spans="1:18" x14ac:dyDescent="0.2">
      <c r="A8" s="662" t="str">
        <f>'3_Comp e Produtos'!A19</f>
        <v xml:space="preserve">COMPONENTE 4: FORTALECIMENTO INSTITUCIONAL DO EXECUTOR </v>
      </c>
      <c r="B8" s="663">
        <f>'7_Componente 4'!G19</f>
        <v>200000</v>
      </c>
      <c r="C8" s="663">
        <f>'7_Componente 4'!K19</f>
        <v>2300000</v>
      </c>
      <c r="D8" s="663">
        <f>'7_Componente 4'!O19</f>
        <v>700000</v>
      </c>
      <c r="E8" s="663">
        <f>'7_Componente 4'!S19</f>
        <v>0</v>
      </c>
      <c r="F8" s="663">
        <f>'7_Componente 4'!W19</f>
        <v>0</v>
      </c>
      <c r="G8" s="663">
        <f>SUM(B8:F8)</f>
        <v>3200000</v>
      </c>
      <c r="H8" s="301">
        <f>G8/$G$9</f>
        <v>6.0400000000000002E-2</v>
      </c>
      <c r="I8" s="302"/>
    </row>
    <row r="9" spans="1:18" s="306" customFormat="1" x14ac:dyDescent="0.2">
      <c r="A9" s="303" t="s">
        <v>59</v>
      </c>
      <c r="B9" s="664">
        <f t="shared" ref="B9:H9" si="0">SUM(B5:B8)</f>
        <v>2647000</v>
      </c>
      <c r="C9" s="664">
        <f t="shared" si="0"/>
        <v>11240000</v>
      </c>
      <c r="D9" s="664">
        <f t="shared" si="0"/>
        <v>8900000</v>
      </c>
      <c r="E9" s="664">
        <f t="shared" si="0"/>
        <v>2395000</v>
      </c>
      <c r="F9" s="664">
        <f t="shared" si="0"/>
        <v>27818000</v>
      </c>
      <c r="G9" s="663">
        <f t="shared" si="0"/>
        <v>53000000</v>
      </c>
      <c r="H9" s="304">
        <f t="shared" si="0"/>
        <v>1</v>
      </c>
      <c r="I9" s="305"/>
    </row>
    <row r="10" spans="1:18" ht="13.5" thickBot="1" x14ac:dyDescent="0.25">
      <c r="A10" s="307" t="s">
        <v>60</v>
      </c>
      <c r="B10" s="308">
        <f t="shared" ref="B10:G10" si="1">B9/$G9</f>
        <v>4.99E-2</v>
      </c>
      <c r="C10" s="308">
        <f t="shared" si="1"/>
        <v>0.21210000000000001</v>
      </c>
      <c r="D10" s="308">
        <f t="shared" si="1"/>
        <v>0.16789999999999999</v>
      </c>
      <c r="E10" s="308">
        <f t="shared" si="1"/>
        <v>4.5199999999999997E-2</v>
      </c>
      <c r="F10" s="308">
        <f t="shared" si="1"/>
        <v>0.52490000000000003</v>
      </c>
      <c r="G10" s="308">
        <f t="shared" si="1"/>
        <v>1</v>
      </c>
      <c r="H10" s="309"/>
    </row>
    <row r="11" spans="1:18" ht="12.75" customHeight="1" x14ac:dyDescent="0.2">
      <c r="A11" s="935" t="s">
        <v>29</v>
      </c>
      <c r="B11" s="935"/>
      <c r="C11" s="935"/>
      <c r="D11" s="935"/>
      <c r="E11" s="935"/>
      <c r="F11" s="935"/>
      <c r="G11" s="935"/>
      <c r="H11" s="935"/>
      <c r="I11" s="302"/>
    </row>
    <row r="12" spans="1:18" x14ac:dyDescent="0.2">
      <c r="A12" s="299" t="str">
        <f>'3_Comp e Produtos'!A25</f>
        <v>A1 - Gestão do Projeto</v>
      </c>
      <c r="B12" s="663">
        <f>'8_ADM'!G8</f>
        <v>450000</v>
      </c>
      <c r="C12" s="663">
        <f>'8_ADM'!K8</f>
        <v>1050000</v>
      </c>
      <c r="D12" s="663">
        <f>'8_ADM'!O8</f>
        <v>600000</v>
      </c>
      <c r="E12" s="663">
        <f>'8_ADM'!S8</f>
        <v>900000</v>
      </c>
      <c r="F12" s="663">
        <f>'8_ADM'!W8</f>
        <v>0</v>
      </c>
      <c r="G12" s="663">
        <f>SUM(B12:F12)</f>
        <v>3000000</v>
      </c>
      <c r="H12" s="301">
        <f>G12/G$15</f>
        <v>1</v>
      </c>
      <c r="I12" s="302"/>
    </row>
    <row r="13" spans="1:18" x14ac:dyDescent="0.2">
      <c r="A13" s="299" t="str">
        <f>'3_Comp e Produtos'!A26</f>
        <v>A2 -Avaliação Independente</v>
      </c>
      <c r="B13" s="310">
        <f>'8_ADM'!G$19</f>
        <v>0</v>
      </c>
      <c r="C13" s="310">
        <f>'8_ADM'!K$19</f>
        <v>0</v>
      </c>
      <c r="D13" s="310">
        <f>'8_ADM'!O$19</f>
        <v>0</v>
      </c>
      <c r="E13" s="310">
        <f>'8_ADM'!S$19</f>
        <v>0</v>
      </c>
      <c r="F13" s="310">
        <f>'8_ADM'!W$19</f>
        <v>0</v>
      </c>
      <c r="G13" s="300">
        <f>SUM(B13:F13)</f>
        <v>0</v>
      </c>
      <c r="H13" s="301">
        <f>G13/G$15</f>
        <v>0</v>
      </c>
      <c r="I13" s="302"/>
    </row>
    <row r="14" spans="1:18" x14ac:dyDescent="0.2">
      <c r="A14" s="299" t="s">
        <v>61</v>
      </c>
      <c r="B14" s="310">
        <v>0</v>
      </c>
      <c r="C14" s="310">
        <v>0</v>
      </c>
      <c r="D14" s="310">
        <v>0</v>
      </c>
      <c r="E14" s="310">
        <v>0</v>
      </c>
      <c r="F14" s="310">
        <v>0</v>
      </c>
      <c r="G14" s="663">
        <v>0</v>
      </c>
      <c r="H14" s="301"/>
      <c r="I14" s="302"/>
    </row>
    <row r="15" spans="1:18" x14ac:dyDescent="0.2">
      <c r="A15" s="311" t="s">
        <v>62</v>
      </c>
      <c r="B15" s="663">
        <f t="shared" ref="B15:G15" si="2">SUM(B12:B14)</f>
        <v>450000</v>
      </c>
      <c r="C15" s="663">
        <f t="shared" si="2"/>
        <v>1050000</v>
      </c>
      <c r="D15" s="663">
        <f t="shared" si="2"/>
        <v>600000</v>
      </c>
      <c r="E15" s="663">
        <f t="shared" si="2"/>
        <v>900000</v>
      </c>
      <c r="F15" s="663">
        <f t="shared" si="2"/>
        <v>0</v>
      </c>
      <c r="G15" s="663">
        <f t="shared" si="2"/>
        <v>3000000</v>
      </c>
      <c r="H15" s="309">
        <f>SUM(H12:H13)</f>
        <v>1</v>
      </c>
      <c r="I15" s="302"/>
    </row>
    <row r="16" spans="1:18" x14ac:dyDescent="0.2">
      <c r="A16" s="307" t="s">
        <v>58</v>
      </c>
      <c r="B16" s="308">
        <f t="shared" ref="B16:G16" si="3">B15/$G15</f>
        <v>0.15</v>
      </c>
      <c r="C16" s="308">
        <f t="shared" si="3"/>
        <v>0.35</v>
      </c>
      <c r="D16" s="308">
        <f t="shared" si="3"/>
        <v>0.2</v>
      </c>
      <c r="E16" s="308">
        <f t="shared" si="3"/>
        <v>0.3</v>
      </c>
      <c r="F16" s="308">
        <f t="shared" si="3"/>
        <v>0</v>
      </c>
      <c r="G16" s="312">
        <f t="shared" si="3"/>
        <v>1</v>
      </c>
      <c r="H16" s="313">
        <f>G15/G9</f>
        <v>5.6599999999999998E-2</v>
      </c>
      <c r="I16" s="302"/>
    </row>
    <row r="17" spans="1:9" s="306" customFormat="1" x14ac:dyDescent="0.2">
      <c r="A17" s="314" t="s">
        <v>63</v>
      </c>
      <c r="B17" s="315">
        <f>B9+B15</f>
        <v>3097000</v>
      </c>
      <c r="C17" s="315">
        <f>C9+C15</f>
        <v>12290000</v>
      </c>
      <c r="D17" s="315">
        <f>D9+D15</f>
        <v>9500000</v>
      </c>
      <c r="E17" s="315">
        <f>E9+E15</f>
        <v>3295000</v>
      </c>
      <c r="F17" s="315">
        <f>F9+F15</f>
        <v>27818000</v>
      </c>
      <c r="G17" s="315">
        <f>G9+G15+G14</f>
        <v>56000000</v>
      </c>
      <c r="H17" s="934"/>
      <c r="I17" s="305"/>
    </row>
    <row r="18" spans="1:9" s="319" customFormat="1" x14ac:dyDescent="0.2">
      <c r="A18" s="316" t="s">
        <v>58</v>
      </c>
      <c r="B18" s="317">
        <f t="shared" ref="B18:G18" si="4">B17/$G17</f>
        <v>5.5300000000000002E-2</v>
      </c>
      <c r="C18" s="317">
        <f t="shared" si="4"/>
        <v>0.2195</v>
      </c>
      <c r="D18" s="317">
        <f t="shared" si="4"/>
        <v>0.1696</v>
      </c>
      <c r="E18" s="317">
        <f t="shared" si="4"/>
        <v>5.8799999999999998E-2</v>
      </c>
      <c r="F18" s="317">
        <f t="shared" si="4"/>
        <v>0.49680000000000002</v>
      </c>
      <c r="G18" s="317">
        <f t="shared" si="4"/>
        <v>1</v>
      </c>
      <c r="H18" s="934"/>
      <c r="I18" s="318"/>
    </row>
    <row r="19" spans="1:9" x14ac:dyDescent="0.2">
      <c r="F19" s="936"/>
      <c r="G19" s="936"/>
      <c r="H19" s="936"/>
    </row>
    <row r="20" spans="1:9" x14ac:dyDescent="0.2">
      <c r="A20" s="320" t="s">
        <v>215</v>
      </c>
      <c r="B20" s="321"/>
      <c r="C20" s="321"/>
      <c r="D20" s="321"/>
      <c r="E20" s="321"/>
      <c r="F20" s="321"/>
      <c r="G20" s="322" t="s">
        <v>64</v>
      </c>
      <c r="H20" s="323">
        <f>'3_Comp e Produtos'!E1</f>
        <v>2.5</v>
      </c>
    </row>
    <row r="21" spans="1:9" ht="13.15" customHeight="1" x14ac:dyDescent="0.2">
      <c r="A21" s="931" t="str">
        <f>A2</f>
        <v>ESTA PLANILHA NÃO DEVE SER PREENCHIDA. CONSOLIDA OS RECURSOS DOS COMPONENTES E SUBCOMPONENTES.</v>
      </c>
      <c r="B21" s="931"/>
      <c r="C21" s="931"/>
      <c r="D21" s="931"/>
      <c r="E21" s="931"/>
      <c r="F21" s="931"/>
      <c r="G21" s="937" t="s">
        <v>37</v>
      </c>
      <c r="H21" s="937"/>
    </row>
    <row r="22" spans="1:9" ht="38.25" x14ac:dyDescent="0.2">
      <c r="A22" s="324" t="s">
        <v>66</v>
      </c>
      <c r="B22" s="325" t="s">
        <v>36</v>
      </c>
      <c r="C22" s="325" t="s">
        <v>38</v>
      </c>
      <c r="D22" s="325" t="s">
        <v>57</v>
      </c>
      <c r="E22" s="325" t="s">
        <v>40</v>
      </c>
      <c r="F22" s="325" t="s">
        <v>210</v>
      </c>
      <c r="G22" s="325" t="s">
        <v>53</v>
      </c>
      <c r="H22" s="326" t="s">
        <v>58</v>
      </c>
    </row>
    <row r="23" spans="1:9" ht="12.75" customHeight="1" x14ac:dyDescent="0.2">
      <c r="A23" s="938" t="s">
        <v>26</v>
      </c>
      <c r="B23" s="938"/>
      <c r="C23" s="938"/>
      <c r="D23" s="938"/>
      <c r="E23" s="938"/>
      <c r="F23" s="938"/>
      <c r="G23" s="938"/>
      <c r="H23" s="938"/>
    </row>
    <row r="24" spans="1:9" x14ac:dyDescent="0.2">
      <c r="A24" s="327" t="str">
        <f>A5</f>
        <v>COMPONENTE 1: PREVENÇÃO SOCIAL DA VIOLÊNCIA</v>
      </c>
      <c r="B24" s="666">
        <f>B5*$H$20</f>
        <v>1000000</v>
      </c>
      <c r="C24" s="666">
        <f t="shared" ref="C24:G27" si="5">C5*$H$20</f>
        <v>20000000</v>
      </c>
      <c r="D24" s="666">
        <f t="shared" si="5"/>
        <v>7500000</v>
      </c>
      <c r="E24" s="666">
        <f t="shared" si="5"/>
        <v>5250000</v>
      </c>
      <c r="F24" s="666">
        <f t="shared" si="5"/>
        <v>13000000</v>
      </c>
      <c r="G24" s="666">
        <f t="shared" si="5"/>
        <v>46750000</v>
      </c>
      <c r="H24" s="328">
        <f>G24/G$28</f>
        <v>0.3528</v>
      </c>
    </row>
    <row r="25" spans="1:9" x14ac:dyDescent="0.2">
      <c r="A25" s="665" t="str">
        <f>A6</f>
        <v xml:space="preserve">COMPONENTE 2: PREVENÇÃO SITUACIONAL E QUALIFICAÇÃO DA SEGURANÇA PÚBLICA </v>
      </c>
      <c r="B25" s="666">
        <f>B6*$H$20</f>
        <v>2367500</v>
      </c>
      <c r="C25" s="666">
        <f t="shared" si="5"/>
        <v>975000</v>
      </c>
      <c r="D25" s="666">
        <f t="shared" si="5"/>
        <v>7000000</v>
      </c>
      <c r="E25" s="666">
        <f t="shared" si="5"/>
        <v>737500</v>
      </c>
      <c r="F25" s="666">
        <f t="shared" si="5"/>
        <v>3920000</v>
      </c>
      <c r="G25" s="666">
        <f t="shared" si="5"/>
        <v>15000000</v>
      </c>
      <c r="H25" s="328">
        <f>G25/G$28</f>
        <v>0.1132</v>
      </c>
    </row>
    <row r="26" spans="1:9" x14ac:dyDescent="0.2">
      <c r="A26" s="327" t="str">
        <f>A7</f>
        <v>COMPONENTE 3: APRIMORAMENTO DO PROCESSO DE RESSOCIABILIZAÇÃO</v>
      </c>
      <c r="B26" s="666">
        <f>B7*$H$20</f>
        <v>2750000</v>
      </c>
      <c r="C26" s="666">
        <f t="shared" si="5"/>
        <v>1375000</v>
      </c>
      <c r="D26" s="666">
        <f t="shared" si="5"/>
        <v>6000000</v>
      </c>
      <c r="E26" s="666">
        <f t="shared" si="5"/>
        <v>0</v>
      </c>
      <c r="F26" s="666">
        <f t="shared" si="5"/>
        <v>52625000</v>
      </c>
      <c r="G26" s="666">
        <f t="shared" si="5"/>
        <v>62750000</v>
      </c>
      <c r="H26" s="328">
        <f>G26/G$28</f>
        <v>0.47360000000000002</v>
      </c>
    </row>
    <row r="27" spans="1:9" x14ac:dyDescent="0.2">
      <c r="A27" s="327" t="str">
        <f>A8</f>
        <v xml:space="preserve">COMPONENTE 4: FORTALECIMENTO INSTITUCIONAL DO EXECUTOR </v>
      </c>
      <c r="B27" s="666">
        <f>B8*$H$20</f>
        <v>500000</v>
      </c>
      <c r="C27" s="666">
        <f t="shared" si="5"/>
        <v>5750000</v>
      </c>
      <c r="D27" s="666">
        <f t="shared" si="5"/>
        <v>1750000</v>
      </c>
      <c r="E27" s="666">
        <f t="shared" si="5"/>
        <v>0</v>
      </c>
      <c r="F27" s="666">
        <f t="shared" si="5"/>
        <v>0</v>
      </c>
      <c r="G27" s="666">
        <f t="shared" si="5"/>
        <v>8000000</v>
      </c>
      <c r="H27" s="328">
        <f>G27/G$28</f>
        <v>6.0400000000000002E-2</v>
      </c>
    </row>
    <row r="28" spans="1:9" x14ac:dyDescent="0.2">
      <c r="A28" s="329" t="s">
        <v>59</v>
      </c>
      <c r="B28" s="667">
        <f t="shared" ref="B28:G28" si="6">SUM(B24:B27)</f>
        <v>6617500</v>
      </c>
      <c r="C28" s="667">
        <f t="shared" si="6"/>
        <v>28100000</v>
      </c>
      <c r="D28" s="667">
        <f t="shared" si="6"/>
        <v>22250000</v>
      </c>
      <c r="E28" s="667">
        <f t="shared" si="6"/>
        <v>5987500</v>
      </c>
      <c r="F28" s="667">
        <f t="shared" si="6"/>
        <v>69545000</v>
      </c>
      <c r="G28" s="666">
        <f t="shared" si="6"/>
        <v>132500000</v>
      </c>
      <c r="H28" s="328">
        <f>G28/G$28</f>
        <v>1</v>
      </c>
    </row>
    <row r="29" spans="1:9" ht="13.5" thickBot="1" x14ac:dyDescent="0.25">
      <c r="A29" s="330" t="s">
        <v>60</v>
      </c>
      <c r="B29" s="331">
        <f t="shared" ref="B29:G29" si="7">B28/$G28</f>
        <v>4.99E-2</v>
      </c>
      <c r="C29" s="331">
        <f t="shared" si="7"/>
        <v>0.21210000000000001</v>
      </c>
      <c r="D29" s="331">
        <f t="shared" si="7"/>
        <v>0.16789999999999999</v>
      </c>
      <c r="E29" s="331">
        <f t="shared" si="7"/>
        <v>4.5199999999999997E-2</v>
      </c>
      <c r="F29" s="331">
        <f t="shared" si="7"/>
        <v>0.52490000000000003</v>
      </c>
      <c r="G29" s="331">
        <f t="shared" si="7"/>
        <v>1</v>
      </c>
      <c r="H29" s="332"/>
    </row>
    <row r="30" spans="1:9" ht="12.75" customHeight="1" x14ac:dyDescent="0.2">
      <c r="A30" s="939" t="s">
        <v>29</v>
      </c>
      <c r="B30" s="939"/>
      <c r="C30" s="939"/>
      <c r="D30" s="939"/>
      <c r="E30" s="939"/>
      <c r="F30" s="939"/>
      <c r="G30" s="939"/>
      <c r="H30" s="939"/>
    </row>
    <row r="31" spans="1:9" x14ac:dyDescent="0.2">
      <c r="A31" s="299" t="str">
        <f>A12</f>
        <v>A1 - Gestão do Projeto</v>
      </c>
      <c r="B31" s="666">
        <f>B12*$H$20</f>
        <v>1125000</v>
      </c>
      <c r="C31" s="666">
        <f>C12*$H$20</f>
        <v>2625000</v>
      </c>
      <c r="D31" s="666">
        <f>D12*$H$20</f>
        <v>1500000</v>
      </c>
      <c r="E31" s="666">
        <f>E12*$H$20</f>
        <v>2250000</v>
      </c>
      <c r="F31" s="666">
        <f>F12*$H$20</f>
        <v>0</v>
      </c>
      <c r="G31" s="666">
        <f>SUM(B31:F31)</f>
        <v>7500000</v>
      </c>
      <c r="H31" s="301">
        <f>G31/G34</f>
        <v>1</v>
      </c>
    </row>
    <row r="32" spans="1:9" x14ac:dyDescent="0.2">
      <c r="A32" s="299" t="str">
        <f>A13</f>
        <v>A2 -Avaliação Independente</v>
      </c>
      <c r="B32" s="310">
        <f>B13/$H$20</f>
        <v>0</v>
      </c>
      <c r="C32" s="310">
        <f>C13/$H$20</f>
        <v>0</v>
      </c>
      <c r="D32" s="310">
        <f>D13/$H$20</f>
        <v>0</v>
      </c>
      <c r="E32" s="310">
        <f>E13/$H$20</f>
        <v>0</v>
      </c>
      <c r="F32" s="310">
        <f>F13/$H$20</f>
        <v>0</v>
      </c>
      <c r="G32" s="300">
        <f>SUM(B32:F32)</f>
        <v>0</v>
      </c>
      <c r="H32" s="301">
        <f>G32/G34</f>
        <v>0</v>
      </c>
    </row>
    <row r="33" spans="1:10" x14ac:dyDescent="0.2">
      <c r="A33" s="299" t="s">
        <v>61</v>
      </c>
      <c r="B33" s="310">
        <v>0</v>
      </c>
      <c r="C33" s="310">
        <v>0</v>
      </c>
      <c r="D33" s="310">
        <v>0</v>
      </c>
      <c r="E33" s="310">
        <v>0</v>
      </c>
      <c r="F33" s="310">
        <v>0</v>
      </c>
      <c r="G33" s="663">
        <f>G14*$H$20</f>
        <v>0</v>
      </c>
      <c r="H33" s="301"/>
    </row>
    <row r="34" spans="1:10" ht="13.5" thickBot="1" x14ac:dyDescent="0.25">
      <c r="A34" s="311" t="s">
        <v>62</v>
      </c>
      <c r="B34" s="663">
        <f t="shared" ref="B34:G34" si="8">SUM(B31:B33)</f>
        <v>1125000</v>
      </c>
      <c r="C34" s="663">
        <f t="shared" si="8"/>
        <v>2625000</v>
      </c>
      <c r="D34" s="663">
        <f t="shared" si="8"/>
        <v>1500000</v>
      </c>
      <c r="E34" s="663">
        <f t="shared" si="8"/>
        <v>2250000</v>
      </c>
      <c r="F34" s="663">
        <f t="shared" si="8"/>
        <v>0</v>
      </c>
      <c r="G34" s="663">
        <f t="shared" si="8"/>
        <v>7500000</v>
      </c>
      <c r="H34" s="309">
        <f>SUM(H31:H32)</f>
        <v>1</v>
      </c>
      <c r="I34" s="333"/>
      <c r="J34" s="334"/>
    </row>
    <row r="35" spans="1:10" ht="13.5" thickBot="1" x14ac:dyDescent="0.25">
      <c r="A35" s="307" t="s">
        <v>58</v>
      </c>
      <c r="B35" s="308">
        <f t="shared" ref="B35:G35" si="9">B34/$G34</f>
        <v>0.15</v>
      </c>
      <c r="C35" s="308">
        <f t="shared" si="9"/>
        <v>0.35</v>
      </c>
      <c r="D35" s="308">
        <f t="shared" si="9"/>
        <v>0.2</v>
      </c>
      <c r="E35" s="308">
        <f t="shared" si="9"/>
        <v>0.3</v>
      </c>
      <c r="F35" s="308">
        <f t="shared" si="9"/>
        <v>0</v>
      </c>
      <c r="G35" s="312">
        <f t="shared" si="9"/>
        <v>1</v>
      </c>
      <c r="H35" s="313">
        <f>G34/G28</f>
        <v>5.6599999999999998E-2</v>
      </c>
      <c r="I35" s="333"/>
      <c r="J35" s="333"/>
    </row>
    <row r="36" spans="1:10" x14ac:dyDescent="0.2">
      <c r="A36" s="314" t="s">
        <v>63</v>
      </c>
      <c r="B36" s="315">
        <f>B28+B34</f>
        <v>7742500</v>
      </c>
      <c r="C36" s="315">
        <f>C28+C34</f>
        <v>30725000</v>
      </c>
      <c r="D36" s="315">
        <f>D28+D34</f>
        <v>23750000</v>
      </c>
      <c r="E36" s="315">
        <f>E28+E34</f>
        <v>8237500</v>
      </c>
      <c r="F36" s="315">
        <f>F28+F34</f>
        <v>69545000</v>
      </c>
      <c r="G36" s="315">
        <f>G28+G34+G33</f>
        <v>140000000</v>
      </c>
      <c r="H36" s="934"/>
      <c r="I36" s="333"/>
      <c r="J36" s="333"/>
    </row>
    <row r="37" spans="1:10" x14ac:dyDescent="0.2">
      <c r="A37" s="316" t="s">
        <v>58</v>
      </c>
      <c r="B37" s="317">
        <f t="shared" ref="B37:G37" si="10">B36/$G36</f>
        <v>5.5300000000000002E-2</v>
      </c>
      <c r="C37" s="317">
        <f t="shared" si="10"/>
        <v>0.2195</v>
      </c>
      <c r="D37" s="317">
        <f t="shared" si="10"/>
        <v>0.1696</v>
      </c>
      <c r="E37" s="317">
        <f t="shared" si="10"/>
        <v>5.8799999999999998E-2</v>
      </c>
      <c r="F37" s="317">
        <f t="shared" si="10"/>
        <v>0.49680000000000002</v>
      </c>
      <c r="G37" s="317">
        <f t="shared" si="10"/>
        <v>1</v>
      </c>
      <c r="H37" s="934"/>
      <c r="J37" s="333"/>
    </row>
    <row r="38" spans="1:10" x14ac:dyDescent="0.2">
      <c r="I38" s="333"/>
    </row>
    <row r="39" spans="1:10" x14ac:dyDescent="0.2">
      <c r="G39" s="333"/>
    </row>
  </sheetData>
  <sheetProtection selectLockedCells="1" selectUnlockedCells="1"/>
  <mergeCells count="12">
    <mergeCell ref="A1:H1"/>
    <mergeCell ref="A2:F2"/>
    <mergeCell ref="G2:H2"/>
    <mergeCell ref="A4:H4"/>
    <mergeCell ref="H36:H37"/>
    <mergeCell ref="A11:H11"/>
    <mergeCell ref="H17:H18"/>
    <mergeCell ref="F19:H19"/>
    <mergeCell ref="A21:F21"/>
    <mergeCell ref="G21:H21"/>
    <mergeCell ref="A23:H23"/>
    <mergeCell ref="A30:H30"/>
  </mergeCells>
  <phoneticPr fontId="24" type="noConversion"/>
  <conditionalFormatting sqref="G10 G29">
    <cfRule type="cellIs" dxfId="4" priority="1" stopIfTrue="1" operator="between">
      <formula>0</formula>
      <formula>0.1</formula>
    </cfRule>
  </conditionalFormatting>
  <conditionalFormatting sqref="H16 H35">
    <cfRule type="cellIs" dxfId="3" priority="2" stopIfTrue="1" operator="greaterThan">
      <formula>0.05</formula>
    </cfRule>
  </conditionalFormatting>
  <printOptions horizontalCentered="1"/>
  <pageMargins left="0.39374999999999999" right="0.39374999999999999" top="0.59097222222222223" bottom="0.59097222222222223" header="0.31527777777777777" footer="0.31527777777777777"/>
  <pageSetup paperSize="9" scale="68" firstPageNumber="0" fitToHeight="2" orientation="landscape" horizontalDpi="300" verticalDpi="300" r:id="rId1"/>
  <headerFooter alignWithMargins="0">
    <oddHeader>&amp;LBID Modernização da AGU&amp;CPLANO DE AÇÃO E DE INVESTIMENTOS - PAI</oddHeader>
    <oddFooter>&amp;L&amp;D&amp;C&amp;A&amp;R&amp;P / &amp;N</oddFooter>
  </headerFooter>
  <rowBreaks count="2" manualBreakCount="2">
    <brk id="18" max="16383" man="1"/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39853091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3241/OC-BR</Approval_x0020_Number>
    <Document_x0020_Author xmlns="9c571b2f-e523-4ab2-ba2e-09e151a03ef4">Caprirolo, Dino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BR-L1343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Plan&lt;/USER_STAGE&gt;&lt;PD_OBJ_TYPE&gt;0&lt;/PD_OBJ_TYPE&gt;&lt;MAKERECORD&gt;N&lt;/MAKERECORD&gt;&lt;PD_FILEPT_NO&gt;PO-BR-L1343-GS&lt;/PD_FILEPT_NO&gt;&lt;/Data&gt;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6B5F88D832FBA4D80A02BC6E7338723" ma:contentTypeVersion="0" ma:contentTypeDescription="A content type to manage public (operations) IDB documents" ma:contentTypeScope="" ma:versionID="d57df923461d551a3f1154a2b03ef4b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44250C-4DE4-4688-B327-665A018B62E9}"/>
</file>

<file path=customXml/itemProps2.xml><?xml version="1.0" encoding="utf-8"?>
<ds:datastoreItem xmlns:ds="http://schemas.openxmlformats.org/officeDocument/2006/customXml" ds:itemID="{9C43DC83-C9BE-4922-B581-469FC6B55279}"/>
</file>

<file path=customXml/itemProps3.xml><?xml version="1.0" encoding="utf-8"?>
<ds:datastoreItem xmlns:ds="http://schemas.openxmlformats.org/officeDocument/2006/customXml" ds:itemID="{D00F4C98-C321-4A3A-B3C1-B0B3C43AC6A0}"/>
</file>

<file path=customXml/itemProps4.xml><?xml version="1.0" encoding="utf-8"?>
<ds:datastoreItem xmlns:ds="http://schemas.openxmlformats.org/officeDocument/2006/customXml" ds:itemID="{CF0FA481-4401-48B8-BDE9-32EA8F0A905E}"/>
</file>

<file path=customXml/itemProps5.xml><?xml version="1.0" encoding="utf-8"?>
<ds:datastoreItem xmlns:ds="http://schemas.openxmlformats.org/officeDocument/2006/customXml" ds:itemID="{8A2469C8-6733-4752-9ACC-F03041456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44</vt:i4>
      </vt:variant>
    </vt:vector>
  </HeadingPairs>
  <TitlesOfParts>
    <vt:vector size="58" baseType="lpstr">
      <vt:lpstr>1_Capa</vt:lpstr>
      <vt:lpstr>2_Índice</vt:lpstr>
      <vt:lpstr>3_Comp e Produtos</vt:lpstr>
      <vt:lpstr>4_Componente 1</vt:lpstr>
      <vt:lpstr>5_Componente 2</vt:lpstr>
      <vt:lpstr>6_Componente 3</vt:lpstr>
      <vt:lpstr>7_Componente 4</vt:lpstr>
      <vt:lpstr>8_ADM</vt:lpstr>
      <vt:lpstr>9_Consolidação Tipo Recurso</vt:lpstr>
      <vt:lpstr>10_Cronograma Físico</vt:lpstr>
      <vt:lpstr>11_Distribuição por Fonte</vt:lpstr>
      <vt:lpstr>12_Orçamento Global</vt:lpstr>
      <vt:lpstr>13_POA 18 meses</vt:lpstr>
      <vt:lpstr>PA Ago15</vt:lpstr>
      <vt:lpstr>__xlnm.Print_Area_1</vt:lpstr>
      <vt:lpstr>__xlnm.Print_Area_3</vt:lpstr>
      <vt:lpstr>'6_Componente 3'!__xlnm.Print_Area_4</vt:lpstr>
      <vt:lpstr>'7_Componente 4'!__xlnm.Print_Area_4</vt:lpstr>
      <vt:lpstr>'4_Componente 1'!__xlnm.Print_Area_5</vt:lpstr>
      <vt:lpstr>'5_Componente 2'!__xlnm.Print_Area_5</vt:lpstr>
      <vt:lpstr>__xlnm.Print_Area_6</vt:lpstr>
      <vt:lpstr>__xlnm.Print_Area_7</vt:lpstr>
      <vt:lpstr>__xlnm.Print_Area_8</vt:lpstr>
      <vt:lpstr>__xlnm.Print_Titles_11</vt:lpstr>
      <vt:lpstr>__xlnm.Print_Titles_3</vt:lpstr>
      <vt:lpstr>'6_Componente 3'!__xlnm.Print_Titles_4</vt:lpstr>
      <vt:lpstr>'7_Componente 4'!__xlnm.Print_Titles_4</vt:lpstr>
      <vt:lpstr>'4_Componente 1'!__xlnm.Print_Titles_5</vt:lpstr>
      <vt:lpstr>'5_Componente 2'!__xlnm.Print_Titles_5</vt:lpstr>
      <vt:lpstr>__xlnm.Print_Titles_6</vt:lpstr>
      <vt:lpstr>__xlnm.Print_Titles_8</vt:lpstr>
      <vt:lpstr>__xlnm.Print_Titles_9</vt:lpstr>
      <vt:lpstr>'4_Componente 1'!Excel_BuiltIn_Print_Titles_4_1</vt:lpstr>
      <vt:lpstr>'5_Componente 2'!Excel_BuiltIn_Print_Titles_4_1</vt:lpstr>
      <vt:lpstr>'6_Componente 3'!Excel_BuiltIn_Print_Titles_5</vt:lpstr>
      <vt:lpstr>'7_Componente 4'!Excel_BuiltIn_Print_Titles_5</vt:lpstr>
      <vt:lpstr>'6_Componente 3'!Excel_BuiltIn_Print_Titles_5_1</vt:lpstr>
      <vt:lpstr>'7_Componente 4'!Excel_BuiltIn_Print_Titles_5_1</vt:lpstr>
      <vt:lpstr>Excel_BuiltIn_Print_Titles_8</vt:lpstr>
      <vt:lpstr>Excel_BuiltIn_Print_Titles_9</vt:lpstr>
      <vt:lpstr>'1_Capa'!Print_Area</vt:lpstr>
      <vt:lpstr>'10_Cronograma Físico'!Print_Area</vt:lpstr>
      <vt:lpstr>'3_Comp e Produtos'!Print_Area</vt:lpstr>
      <vt:lpstr>'4_Componente 1'!Print_Area</vt:lpstr>
      <vt:lpstr>'5_Componente 2'!Print_Area</vt:lpstr>
      <vt:lpstr>'6_Componente 3'!Print_Area</vt:lpstr>
      <vt:lpstr>'7_Componente 4'!Print_Area</vt:lpstr>
      <vt:lpstr>'8_ADM'!Print_Area</vt:lpstr>
      <vt:lpstr>'9_Consolidação Tipo Recurso'!Print_Area</vt:lpstr>
      <vt:lpstr>'10_Cronograma Físico'!Print_Titles</vt:lpstr>
      <vt:lpstr>'11_Distribuição por Fonte'!Print_Titles</vt:lpstr>
      <vt:lpstr>'13_POA 18 meses'!Print_Titles</vt:lpstr>
      <vt:lpstr>'3_Comp e Produtos'!Print_Titles</vt:lpstr>
      <vt:lpstr>'4_Componente 1'!Print_Titles</vt:lpstr>
      <vt:lpstr>'5_Componente 2'!Print_Titles</vt:lpstr>
      <vt:lpstr>'6_Componente 3'!Print_Titles</vt:lpstr>
      <vt:lpstr>'7_Componente 4'!Print_Titles</vt:lpstr>
      <vt:lpstr>'8_ADM'!Print_Titles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- 3241_OC-BR</dc:title>
  <dc:creator>Aldo</dc:creator>
  <cp:lastModifiedBy>Test</cp:lastModifiedBy>
  <cp:lastPrinted>2015-09-13T18:48:38Z</cp:lastPrinted>
  <dcterms:created xsi:type="dcterms:W3CDTF">2012-08-04T14:02:07Z</dcterms:created>
  <dcterms:modified xsi:type="dcterms:W3CDTF">2015-09-14T20:22:38Z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0x01010046CF21643EE8D14686A648AA6DAD089200F6B5F88D832FBA4D80A02BC6E7338723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