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harts/chart4.xml" ContentType="application/vnd.openxmlformats-officedocument.drawingml.chart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66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godoy.IDB\OneDrive - Inter-American Development Bank Group\PR-L1145\Post Negociacion\"/>
    </mc:Choice>
  </mc:AlternateContent>
  <bookViews>
    <workbookView xWindow="0" yWindow="180" windowWidth="8172" windowHeight="2616" tabRatio="672" firstSheet="1" activeTab="2"/>
  </bookViews>
  <sheets>
    <sheet name="Cuadro de Costos" sheetId="10" state="hidden" r:id="rId1"/>
    <sheet name="CC D" sheetId="25" r:id="rId2"/>
    <sheet name="PEP" sheetId="23" r:id="rId3"/>
    <sheet name="POA Año 1" sheetId="38" r:id="rId4"/>
    <sheet name="PF M BID" sheetId="26" r:id="rId5"/>
    <sheet name="PF A BID" sheetId="32" r:id="rId6"/>
    <sheet name="PA" sheetId="33" state="hidden" r:id="rId7"/>
    <sheet name="Tramo 1" sheetId="27" state="hidden" r:id="rId8"/>
    <sheet name="Tramo 2" sheetId="34" state="hidden" r:id="rId9"/>
    <sheet name="Tramo3" sheetId="35" state="hidden" r:id="rId10"/>
    <sheet name="Tramo 4" sheetId="36" state="hidden" r:id="rId11"/>
    <sheet name="Fisc Tramo 1" sheetId="30" state="hidden" r:id="rId12"/>
    <sheet name="Fisc Tramo 2" sheetId="37" state="hidden" r:id="rId13"/>
  </sheets>
  <externalReferences>
    <externalReference r:id="rId14"/>
    <externalReference r:id="rId15"/>
    <externalReference r:id="rId16"/>
  </externalReferences>
  <definedNames>
    <definedName name="_1" localSheetId="11" hidden="1">#REF!</definedName>
    <definedName name="_1" localSheetId="12" hidden="1">#REF!</definedName>
    <definedName name="_1" localSheetId="5" hidden="1">#REF!</definedName>
    <definedName name="_1" localSheetId="3" hidden="1">#REF!</definedName>
    <definedName name="_1" localSheetId="8" hidden="1">#REF!</definedName>
    <definedName name="_1" localSheetId="10" hidden="1">#REF!</definedName>
    <definedName name="_1" localSheetId="9" hidden="1">#REF!</definedName>
    <definedName name="_1" hidden="1">#REF!</definedName>
    <definedName name="_2" localSheetId="11">#REF!</definedName>
    <definedName name="_2" localSheetId="12">#REF!</definedName>
    <definedName name="_2" localSheetId="5">#REF!</definedName>
    <definedName name="_2" localSheetId="3">#REF!</definedName>
    <definedName name="_2" localSheetId="8">#REF!</definedName>
    <definedName name="_2" localSheetId="10">#REF!</definedName>
    <definedName name="_2" localSheetId="9">#REF!</definedName>
    <definedName name="_2">#REF!</definedName>
    <definedName name="_3" localSheetId="11">#REF!</definedName>
    <definedName name="_3" localSheetId="12">#REF!</definedName>
    <definedName name="_3" localSheetId="5">#REF!</definedName>
    <definedName name="_3" localSheetId="3">#REF!</definedName>
    <definedName name="_3" localSheetId="8">#REF!</definedName>
    <definedName name="_3" localSheetId="10">#REF!</definedName>
    <definedName name="_3" localSheetId="9">#REF!</definedName>
    <definedName name="_3">#REF!</definedName>
    <definedName name="_6" localSheetId="11">#REF!</definedName>
    <definedName name="_6" localSheetId="12">#REF!</definedName>
    <definedName name="_6" localSheetId="5">#REF!</definedName>
    <definedName name="_6" localSheetId="3">#REF!</definedName>
    <definedName name="_6" localSheetId="8">#REF!</definedName>
    <definedName name="_6" localSheetId="10">#REF!</definedName>
    <definedName name="_6" localSheetId="9">#REF!</definedName>
    <definedName name="_6">#REF!</definedName>
    <definedName name="_8" localSheetId="11">#REF!</definedName>
    <definedName name="_8" localSheetId="12">#REF!</definedName>
    <definedName name="_8" localSheetId="5">#REF!</definedName>
    <definedName name="_8" localSheetId="3">#REF!</definedName>
    <definedName name="_8" localSheetId="8">#REF!</definedName>
    <definedName name="_8" localSheetId="10">#REF!</definedName>
    <definedName name="_8" localSheetId="9">#REF!</definedName>
    <definedName name="_8">#REF!</definedName>
    <definedName name="_asd" localSheetId="12">#REF!</definedName>
    <definedName name="_asd" localSheetId="3">#REF!</definedName>
    <definedName name="_asd">#REF!</definedName>
    <definedName name="_f" localSheetId="11">#REF!</definedName>
    <definedName name="_f" localSheetId="12">#REF!</definedName>
    <definedName name="_f" localSheetId="5">#REF!</definedName>
    <definedName name="_f" localSheetId="3">#REF!</definedName>
    <definedName name="_f" localSheetId="8">#REF!</definedName>
    <definedName name="_f" localSheetId="10">#REF!</definedName>
    <definedName name="_f" localSheetId="9">#REF!</definedName>
    <definedName name="_f">#REF!</definedName>
    <definedName name="_Fill" localSheetId="11" hidden="1">#REF!</definedName>
    <definedName name="_Fill" localSheetId="12" hidden="1">#REF!</definedName>
    <definedName name="_Fill" localSheetId="5" hidden="1">#REF!</definedName>
    <definedName name="_Fill" localSheetId="3" hidden="1">#REF!</definedName>
    <definedName name="_Fill" localSheetId="8" hidden="1">#REF!</definedName>
    <definedName name="_Fill" localSheetId="10" hidden="1">#REF!</definedName>
    <definedName name="_Fill" localSheetId="9" hidden="1">#REF!</definedName>
    <definedName name="_Fill" hidden="1">#REF!</definedName>
    <definedName name="_xlnm._FilterDatabase" localSheetId="1" hidden="1">'CC D'!$A$7:$I$34</definedName>
    <definedName name="aaa" localSheetId="11">#REF!</definedName>
    <definedName name="aaa" localSheetId="12">#REF!</definedName>
    <definedName name="aaa" localSheetId="5">#REF!</definedName>
    <definedName name="aaa" localSheetId="4">#REF!</definedName>
    <definedName name="aaa" localSheetId="3">#REF!</definedName>
    <definedName name="aaa" localSheetId="7">#REF!</definedName>
    <definedName name="aaa" localSheetId="8">#REF!</definedName>
    <definedName name="aaa" localSheetId="10">#REF!</definedName>
    <definedName name="aaa" localSheetId="9">#REF!</definedName>
    <definedName name="aaa">#REF!</definedName>
    <definedName name="Component1">[1]RRF!$C$8</definedName>
    <definedName name="Component11">[1]RRF!$C$44</definedName>
    <definedName name="Component2">[1]RRF!$C$12</definedName>
    <definedName name="Component3">[1]RRF!$C$19</definedName>
    <definedName name="Component4">[1]RRF!$C$26</definedName>
    <definedName name="Component7">[1]RRF!$C$31</definedName>
    <definedName name="Component8">[1]RRF!$C$35</definedName>
    <definedName name="Component9">[1]RRF!$C$40</definedName>
    <definedName name="d" localSheetId="12">#REF!</definedName>
    <definedName name="d" localSheetId="3">#REF!</definedName>
    <definedName name="d" localSheetId="8">#REF!</definedName>
    <definedName name="d" localSheetId="10">#REF!</definedName>
    <definedName name="d" localSheetId="9">#REF!</definedName>
    <definedName name="d">#REF!</definedName>
    <definedName name="DDD" localSheetId="1">#REF!</definedName>
    <definedName name="DDD" localSheetId="11">#REF!</definedName>
    <definedName name="DDD" localSheetId="12">#REF!</definedName>
    <definedName name="DDD" localSheetId="2">#REF!</definedName>
    <definedName name="DDD" localSheetId="5">#REF!</definedName>
    <definedName name="DDD" localSheetId="4">#REF!</definedName>
    <definedName name="DDD" localSheetId="3">#REF!</definedName>
    <definedName name="DDD" localSheetId="7">#REF!</definedName>
    <definedName name="DDD" localSheetId="8">#REF!</definedName>
    <definedName name="DDD" localSheetId="10">#REF!</definedName>
    <definedName name="DDD" localSheetId="9">#REF!</definedName>
    <definedName name="DDD">#REF!</definedName>
    <definedName name="dfg" localSheetId="12">#REF!</definedName>
    <definedName name="dfg" localSheetId="3">#REF!</definedName>
    <definedName name="dfg">#REF!</definedName>
    <definedName name="dg" localSheetId="12">#REF!</definedName>
    <definedName name="dg" localSheetId="3">#REF!</definedName>
    <definedName name="dg">#REF!</definedName>
    <definedName name="e" localSheetId="11">#REF!</definedName>
    <definedName name="e" localSheetId="12">#REF!</definedName>
    <definedName name="e" localSheetId="5">#REF!</definedName>
    <definedName name="e" localSheetId="3">#REF!</definedName>
    <definedName name="e" localSheetId="8">#REF!</definedName>
    <definedName name="e" localSheetId="10">#REF!</definedName>
    <definedName name="e" localSheetId="9">#REF!</definedName>
    <definedName name="e">#REF!</definedName>
    <definedName name="fdgg" localSheetId="12">#REF!</definedName>
    <definedName name="fdgg" localSheetId="3">#REF!</definedName>
    <definedName name="fdgg">#REF!</definedName>
    <definedName name="ffff" localSheetId="11">#REF!</definedName>
    <definedName name="ffff" localSheetId="12">#REF!</definedName>
    <definedName name="ffff" localSheetId="5">#REF!</definedName>
    <definedName name="ffff" localSheetId="3">#REF!</definedName>
    <definedName name="ffff" localSheetId="8">#REF!</definedName>
    <definedName name="ffff" localSheetId="10">#REF!</definedName>
    <definedName name="ffff" localSheetId="9">#REF!</definedName>
    <definedName name="ffff">#REF!</definedName>
    <definedName name="GRAFI" localSheetId="11">#REF!</definedName>
    <definedName name="GRAFI" localSheetId="12">#REF!</definedName>
    <definedName name="GRAFI" localSheetId="5">#REF!</definedName>
    <definedName name="GRAFI" localSheetId="3">#REF!</definedName>
    <definedName name="GRAFI" localSheetId="8">#REF!</definedName>
    <definedName name="GRAFI" localSheetId="10">#REF!</definedName>
    <definedName name="GRAFI" localSheetId="9">#REF!</definedName>
    <definedName name="GRAFI">#REF!</definedName>
    <definedName name="GRAFICO" localSheetId="11">#REF!</definedName>
    <definedName name="GRAFICO" localSheetId="12">#REF!</definedName>
    <definedName name="GRAFICO" localSheetId="5">#REF!</definedName>
    <definedName name="GRAFICO" localSheetId="3">#REF!</definedName>
    <definedName name="GRAFICO" localSheetId="8">#REF!</definedName>
    <definedName name="GRAFICO" localSheetId="10">#REF!</definedName>
    <definedName name="GRAFICO" localSheetId="9">#REF!</definedName>
    <definedName name="GRAFICO">#REF!</definedName>
    <definedName name="Level1">[1]MER!$J$15</definedName>
    <definedName name="Level11">[1]MER!$J$25</definedName>
    <definedName name="Level2">[1]MER!$J$16</definedName>
    <definedName name="Level3">[1]MER!$J$17</definedName>
    <definedName name="Level4">[1]MER!$J$18</definedName>
    <definedName name="Level7">[1]MER!$J$21</definedName>
    <definedName name="Level8">[1]MER!$J$22</definedName>
    <definedName name="Level9">[1]MER!$J$23</definedName>
    <definedName name="Np" localSheetId="12">#REF!</definedName>
    <definedName name="Np" localSheetId="3">#REF!</definedName>
    <definedName name="Np" localSheetId="8">#REF!</definedName>
    <definedName name="Np" localSheetId="10">#REF!</definedName>
    <definedName name="Np" localSheetId="9">#REF!</definedName>
    <definedName name="Np">#REF!</definedName>
    <definedName name="Nuevo" localSheetId="11">#REF!</definedName>
    <definedName name="Nuevo" localSheetId="12">#REF!</definedName>
    <definedName name="Nuevo" localSheetId="3">#REF!</definedName>
    <definedName name="Nuevo" localSheetId="8">#REF!</definedName>
    <definedName name="Nuevo" localSheetId="10">#REF!</definedName>
    <definedName name="Nuevo" localSheetId="9">#REF!</definedName>
    <definedName name="Nuevo">#REF!</definedName>
    <definedName name="Pres" localSheetId="11">#REF!</definedName>
    <definedName name="Pres" localSheetId="12">#REF!</definedName>
    <definedName name="Pres" localSheetId="5">#REF!</definedName>
    <definedName name="Pres" localSheetId="4">#REF!</definedName>
    <definedName name="Pres" localSheetId="3">#REF!</definedName>
    <definedName name="Pres" localSheetId="7">#REF!</definedName>
    <definedName name="Pres" localSheetId="8">#REF!</definedName>
    <definedName name="Pres" localSheetId="10">#REF!</definedName>
    <definedName name="Pres" localSheetId="9">#REF!</definedName>
    <definedName name="Pres">#REF!</definedName>
    <definedName name="_xlnm.Print_Area" localSheetId="1">'CC D'!$A$1:$J$9</definedName>
    <definedName name="_xlnm.Print_Area" localSheetId="4">'PF M BID'!$A$1:$BK$37</definedName>
    <definedName name="_xlnm.Print_Area" localSheetId="7">'Tramo 1'!$A$1:$J$47</definedName>
    <definedName name="_xlnm.Print_Area" localSheetId="8">'Tramo 2'!$A$1:$J$47</definedName>
    <definedName name="_xlnm.Print_Area" localSheetId="10">'Tramo 4'!$A$1:$J$47</definedName>
    <definedName name="_xlnm.Print_Area" localSheetId="9">Tramo3!$A$1:$J$47</definedName>
    <definedName name="Print_Area_MI" localSheetId="11">#REF!</definedName>
    <definedName name="Print_Area_MI" localSheetId="12">#REF!</definedName>
    <definedName name="Print_Area_MI" localSheetId="5">#REF!</definedName>
    <definedName name="Print_Area_MI" localSheetId="4">#REF!</definedName>
    <definedName name="Print_Area_MI" localSheetId="3">#REF!</definedName>
    <definedName name="Print_Area_MI" localSheetId="7">#REF!</definedName>
    <definedName name="Print_Area_MI" localSheetId="8">#REF!</definedName>
    <definedName name="Print_Area_MI" localSheetId="10">#REF!</definedName>
    <definedName name="Print_Area_MI" localSheetId="9">#REF!</definedName>
    <definedName name="Print_Area_MI">#REF!</definedName>
    <definedName name="_xlnm.Print_Titles" localSheetId="1">'CC D'!$7:$8</definedName>
    <definedName name="_xlnm.Print_Titles" localSheetId="2">PEP!$1:$8</definedName>
    <definedName name="_xlnm.Print_Titles" localSheetId="5">'PF A BID'!$1:$8</definedName>
    <definedName name="_xlnm.Print_Titles" localSheetId="4">'PF M BID'!$A:$C,'PF M BID'!$1:$11</definedName>
    <definedName name="_xlnm.Print_Titles" localSheetId="3">'POA Año 1'!$1:$8</definedName>
    <definedName name="Resumen" localSheetId="11">#REF!</definedName>
    <definedName name="Resumen" localSheetId="12">#REF!</definedName>
    <definedName name="Resumen" localSheetId="5">#REF!</definedName>
    <definedName name="Resumen" localSheetId="4">#REF!</definedName>
    <definedName name="Resumen" localSheetId="3">#REF!</definedName>
    <definedName name="Resumen" localSheetId="7">#REF!</definedName>
    <definedName name="Resumen" localSheetId="8">#REF!</definedName>
    <definedName name="Resumen" localSheetId="10">#REF!</definedName>
    <definedName name="Resumen" localSheetId="9">#REF!</definedName>
    <definedName name="Resumen">#REF!</definedName>
    <definedName name="Risk1">[1]RRF!$E$8</definedName>
    <definedName name="Risk11">[1]RRF!$E$44</definedName>
    <definedName name="Risk2">[1]RRF!$E$12</definedName>
    <definedName name="Risk3">[1]RRF!$E$19</definedName>
    <definedName name="Risk4">[1]RRF!$E$26</definedName>
    <definedName name="Risk7">[1]RRF!$E$31</definedName>
    <definedName name="Risk8">[1]RRF!$E$35</definedName>
    <definedName name="Risk9">[1]RRF!$E$40</definedName>
    <definedName name="s" localSheetId="12">#REF!</definedName>
    <definedName name="s" localSheetId="3">#REF!</definedName>
    <definedName name="s" localSheetId="8">#REF!</definedName>
    <definedName name="s" localSheetId="10">#REF!</definedName>
    <definedName name="s" localSheetId="9">#REF!</definedName>
    <definedName name="s">#REF!</definedName>
    <definedName name="SFGH" localSheetId="1">#REF!</definedName>
    <definedName name="SFGH" localSheetId="11">#REF!</definedName>
    <definedName name="SFGH" localSheetId="12">#REF!</definedName>
    <definedName name="SFGH" localSheetId="2">#REF!</definedName>
    <definedName name="SFGH" localSheetId="5">#REF!</definedName>
    <definedName name="SFGH" localSheetId="3">#REF!</definedName>
    <definedName name="SFGH" localSheetId="8">#REF!</definedName>
    <definedName name="SFGH" localSheetId="10">#REF!</definedName>
    <definedName name="SFGH" localSheetId="9">#REF!</definedName>
    <definedName name="SFGH">#REF!</definedName>
    <definedName name="si" localSheetId="12">#REF!</definedName>
    <definedName name="si" localSheetId="3">#REF!</definedName>
    <definedName name="si" localSheetId="8">#REF!</definedName>
    <definedName name="si" localSheetId="10">#REF!</definedName>
    <definedName name="si" localSheetId="9">#REF!</definedName>
    <definedName name="si">#REF!</definedName>
    <definedName name="Trmao2" localSheetId="12">#REF!</definedName>
    <definedName name="Trmao2" localSheetId="3">#REF!</definedName>
    <definedName name="Trmao2" localSheetId="10">#REF!</definedName>
    <definedName name="Trmao2" localSheetId="9">#REF!</definedName>
    <definedName name="Trmao2">#REF!</definedName>
    <definedName name="Typeofrisk1">[1]RRF!$D$8</definedName>
    <definedName name="Typeofrisk11">[1]RRF!$D$44</definedName>
    <definedName name="Typeofrisk2">[1]RRF!$D$12</definedName>
    <definedName name="Typeofrisk3">[1]RRF!$D$19</definedName>
    <definedName name="Typeofrisk4">[1]RRF!$D$26</definedName>
    <definedName name="Typeofrisk7">[1]RRF!$D$31</definedName>
    <definedName name="Typeofrisk8">[1]RRF!$D$35</definedName>
    <definedName name="Typeofrisk9">[1]RRF!$D$40</definedName>
    <definedName name="Value1">[1]MER!$I$15</definedName>
    <definedName name="Value11">[1]MER!$I$25</definedName>
    <definedName name="Value2">[1]MER!$I$16</definedName>
    <definedName name="Value3">[1]MER!$I$17</definedName>
    <definedName name="Value4">[1]MER!$I$18</definedName>
    <definedName name="Value7">[1]MER!$I$21</definedName>
    <definedName name="Value8">[1]MER!$I$22</definedName>
    <definedName name="Value9">[1]MER!$I$23</definedName>
  </definedNames>
  <calcPr calcId="171026"/>
</workbook>
</file>

<file path=xl/calcChain.xml><?xml version="1.0" encoding="utf-8"?>
<calcChain xmlns="http://schemas.openxmlformats.org/spreadsheetml/2006/main">
  <c r="C17" i="10" l="1"/>
  <c r="C18" i="10"/>
  <c r="I14" i="25"/>
  <c r="I13" i="25"/>
  <c r="I12" i="25"/>
  <c r="I11" i="25"/>
  <c r="D31" i="26"/>
  <c r="E31" i="26"/>
  <c r="F31" i="26"/>
  <c r="G31" i="26"/>
  <c r="H31" i="26"/>
  <c r="I31" i="26"/>
  <c r="J31" i="26"/>
  <c r="K31" i="26"/>
  <c r="L31" i="26"/>
  <c r="M31" i="26"/>
  <c r="N31" i="26"/>
  <c r="P31" i="26"/>
  <c r="U31" i="26"/>
  <c r="V31" i="26"/>
  <c r="W31" i="26"/>
  <c r="X31" i="26"/>
  <c r="Z31" i="26"/>
  <c r="AH31" i="26"/>
  <c r="AI31" i="26"/>
  <c r="AK31" i="26"/>
  <c r="AN31" i="26"/>
  <c r="AS31" i="26"/>
  <c r="AT31" i="26"/>
  <c r="AU31" i="26"/>
  <c r="AV31" i="26"/>
  <c r="AW31" i="26"/>
  <c r="AX31" i="26"/>
  <c r="AZ31" i="26"/>
  <c r="BB31" i="26"/>
  <c r="BE31" i="26"/>
  <c r="BF31" i="26"/>
  <c r="BG31" i="26"/>
  <c r="BH31" i="26"/>
  <c r="BI31" i="26"/>
  <c r="BJ31" i="26"/>
  <c r="BL31" i="26"/>
  <c r="BN31" i="26"/>
  <c r="BQ31" i="26"/>
  <c r="BR31" i="26"/>
  <c r="BS31" i="26"/>
  <c r="BT31" i="26"/>
  <c r="BU31" i="26"/>
  <c r="BV31" i="26"/>
  <c r="BX31" i="26"/>
  <c r="BZ31" i="26"/>
  <c r="CC31" i="26"/>
  <c r="CD31" i="26"/>
  <c r="CF31" i="26"/>
  <c r="E11" i="26"/>
  <c r="F11" i="26"/>
  <c r="G11" i="26"/>
  <c r="H11" i="26"/>
  <c r="I11" i="26"/>
  <c r="J11" i="26"/>
  <c r="K11" i="26"/>
  <c r="L11" i="26"/>
  <c r="M11" i="26"/>
  <c r="N11" i="26"/>
  <c r="D11" i="26"/>
  <c r="A57" i="38"/>
  <c r="A56" i="38"/>
  <c r="G34" i="10"/>
  <c r="G39" i="10" s="1"/>
  <c r="E34" i="10"/>
  <c r="E39" i="10"/>
  <c r="A4" i="38" l="1"/>
  <c r="B25" i="38"/>
  <c r="H25" i="38"/>
  <c r="A26" i="38"/>
  <c r="B26" i="38"/>
  <c r="H26" i="38"/>
  <c r="A27" i="38"/>
  <c r="B27" i="38"/>
  <c r="H27" i="38"/>
  <c r="A28" i="38"/>
  <c r="B28" i="38"/>
  <c r="C28" i="38"/>
  <c r="A29" i="38"/>
  <c r="B29" i="38"/>
  <c r="C29" i="38"/>
  <c r="A30" i="38"/>
  <c r="B30" i="38"/>
  <c r="C30" i="38"/>
  <c r="A31" i="38"/>
  <c r="B31" i="38"/>
  <c r="C31" i="38"/>
  <c r="A32" i="38"/>
  <c r="B32" i="38"/>
  <c r="H32" i="38"/>
  <c r="A33" i="38"/>
  <c r="B33" i="38"/>
  <c r="C33" i="38"/>
  <c r="A34" i="38"/>
  <c r="B34" i="38"/>
  <c r="C34" i="38"/>
  <c r="A35" i="38"/>
  <c r="B35" i="38"/>
  <c r="H35" i="38"/>
  <c r="A36" i="38"/>
  <c r="B36" i="38"/>
  <c r="C36" i="38"/>
  <c r="A37" i="38"/>
  <c r="B37" i="38"/>
  <c r="C37" i="38"/>
  <c r="A38" i="38"/>
  <c r="B38" i="38"/>
  <c r="C38" i="38"/>
  <c r="A39" i="38"/>
  <c r="B39" i="38"/>
  <c r="C39" i="38"/>
  <c r="A40" i="38"/>
  <c r="B40" i="38"/>
  <c r="C40" i="38"/>
  <c r="A41" i="38"/>
  <c r="B41" i="38"/>
  <c r="C41" i="38"/>
  <c r="A42" i="38"/>
  <c r="B42" i="38"/>
  <c r="A43" i="38"/>
  <c r="B43" i="38"/>
  <c r="A44" i="38"/>
  <c r="B44" i="38"/>
  <c r="H44" i="38"/>
  <c r="A45" i="38"/>
  <c r="B45" i="38"/>
  <c r="H45" i="38"/>
  <c r="A46" i="38"/>
  <c r="B46" i="38"/>
  <c r="H46" i="38"/>
  <c r="A47" i="38"/>
  <c r="B47" i="38"/>
  <c r="C47" i="38"/>
  <c r="A48" i="38"/>
  <c r="B48" i="38"/>
  <c r="H48" i="38"/>
  <c r="A49" i="38"/>
  <c r="B49" i="38"/>
  <c r="C49" i="38"/>
  <c r="A50" i="38"/>
  <c r="B50" i="38"/>
  <c r="C50" i="38"/>
  <c r="A51" i="38"/>
  <c r="B51" i="38"/>
  <c r="C51" i="38"/>
  <c r="A52" i="38"/>
  <c r="B52" i="38"/>
  <c r="C52" i="38"/>
  <c r="A53" i="38"/>
  <c r="B53" i="38"/>
  <c r="C53" i="38"/>
  <c r="A54" i="38"/>
  <c r="B54" i="38"/>
  <c r="C54" i="38"/>
  <c r="A55" i="38"/>
  <c r="B55" i="38"/>
  <c r="C55" i="38"/>
  <c r="B56" i="38"/>
  <c r="B57" i="38"/>
  <c r="C28" i="23"/>
  <c r="D27" i="32"/>
  <c r="E27" i="32"/>
  <c r="H27" i="32"/>
  <c r="I27" i="32"/>
  <c r="J27" i="32"/>
  <c r="E12" i="26"/>
  <c r="D40" i="32"/>
  <c r="E40" i="32"/>
  <c r="F40" i="32"/>
  <c r="G40" i="32"/>
  <c r="H40" i="32"/>
  <c r="I40" i="32"/>
  <c r="J19" i="32"/>
  <c r="F20" i="32"/>
  <c r="G20" i="32"/>
  <c r="H20" i="32"/>
  <c r="I20" i="32"/>
  <c r="J20" i="32"/>
  <c r="I21" i="32"/>
  <c r="J21" i="32"/>
  <c r="I22" i="32"/>
  <c r="J22" i="32"/>
  <c r="F23" i="32"/>
  <c r="G23" i="32"/>
  <c r="H23" i="32"/>
  <c r="I23" i="32"/>
  <c r="J23" i="32"/>
  <c r="F24" i="32"/>
  <c r="G24" i="32"/>
  <c r="H24" i="32"/>
  <c r="I24" i="32"/>
  <c r="J24" i="32"/>
  <c r="I26" i="32"/>
  <c r="J26" i="32"/>
  <c r="F33" i="32"/>
  <c r="G33" i="32"/>
  <c r="H33" i="32"/>
  <c r="I33" i="32"/>
  <c r="J33" i="32"/>
  <c r="F34" i="32"/>
  <c r="G34" i="32"/>
  <c r="H34" i="32"/>
  <c r="I34" i="32"/>
  <c r="J34" i="32"/>
  <c r="G35" i="32"/>
  <c r="H35" i="32"/>
  <c r="I35" i="32"/>
  <c r="J35" i="32"/>
  <c r="E36" i="32"/>
  <c r="G36" i="32"/>
  <c r="H36" i="32"/>
  <c r="I36" i="32"/>
  <c r="J36" i="32"/>
  <c r="E37" i="32"/>
  <c r="H37" i="32"/>
  <c r="I37" i="32"/>
  <c r="J37" i="32"/>
  <c r="E38" i="32"/>
  <c r="F38" i="32"/>
  <c r="G38" i="32"/>
  <c r="H38" i="32"/>
  <c r="I38" i="32"/>
  <c r="D12" i="32"/>
  <c r="D13" i="32"/>
  <c r="D14" i="32"/>
  <c r="D19" i="32"/>
  <c r="D20" i="32"/>
  <c r="D21" i="32"/>
  <c r="D22" i="32"/>
  <c r="D23" i="32"/>
  <c r="D24" i="32"/>
  <c r="D26" i="32"/>
  <c r="D32" i="32"/>
  <c r="D35" i="32"/>
  <c r="D36" i="32"/>
  <c r="D37" i="32"/>
  <c r="D38" i="32"/>
  <c r="A50" i="23"/>
  <c r="A36" i="26"/>
  <c r="A33" i="32" s="1"/>
  <c r="A51" i="23"/>
  <c r="A37" i="26" s="1"/>
  <c r="A34" i="32" s="1"/>
  <c r="A52" i="23"/>
  <c r="A38" i="26" s="1"/>
  <c r="A35" i="32" s="1"/>
  <c r="A53" i="23"/>
  <c r="A39" i="26" s="1"/>
  <c r="A36" i="32" s="1"/>
  <c r="A54" i="23"/>
  <c r="A40" i="26"/>
  <c r="A37" i="32" s="1"/>
  <c r="A55" i="23"/>
  <c r="A41" i="26" s="1"/>
  <c r="A38" i="32" s="1"/>
  <c r="D34" i="26"/>
  <c r="E34" i="26"/>
  <c r="F34" i="26"/>
  <c r="G34" i="26"/>
  <c r="H34" i="26"/>
  <c r="I34" i="26"/>
  <c r="J34" i="26"/>
  <c r="K34" i="26"/>
  <c r="L34" i="26"/>
  <c r="M34" i="26"/>
  <c r="N34" i="26"/>
  <c r="P34" i="26"/>
  <c r="U34" i="26"/>
  <c r="V34" i="26"/>
  <c r="W34" i="26"/>
  <c r="X34" i="26"/>
  <c r="Z34" i="26"/>
  <c r="AA34" i="26"/>
  <c r="AH34" i="26"/>
  <c r="AI34" i="26"/>
  <c r="AK34" i="26"/>
  <c r="AN34" i="26"/>
  <c r="AS34" i="26"/>
  <c r="AT34" i="26"/>
  <c r="AU34" i="26"/>
  <c r="AV34" i="26"/>
  <c r="AW34" i="26"/>
  <c r="AX34" i="26"/>
  <c r="AY34" i="26"/>
  <c r="AZ34" i="26"/>
  <c r="BB34" i="26"/>
  <c r="BE34" i="26"/>
  <c r="BF34" i="26"/>
  <c r="BG34" i="26"/>
  <c r="BH34" i="26"/>
  <c r="BI34" i="26"/>
  <c r="BJ34" i="26"/>
  <c r="BK34" i="26"/>
  <c r="BL34" i="26"/>
  <c r="BN34" i="26"/>
  <c r="BQ34" i="26"/>
  <c r="BR34" i="26"/>
  <c r="BS34" i="26"/>
  <c r="BT34" i="26"/>
  <c r="BU34" i="26"/>
  <c r="BV34" i="26"/>
  <c r="BW34" i="26"/>
  <c r="BX34" i="26"/>
  <c r="BZ34" i="26"/>
  <c r="CC34" i="26"/>
  <c r="CD34" i="26"/>
  <c r="CF34" i="26"/>
  <c r="CI34" i="26"/>
  <c r="D21" i="26"/>
  <c r="D13" i="26" s="1"/>
  <c r="E21" i="26"/>
  <c r="F21" i="26"/>
  <c r="G21" i="26"/>
  <c r="H21" i="26"/>
  <c r="I21" i="26"/>
  <c r="J21" i="26"/>
  <c r="K21" i="26"/>
  <c r="L21" i="26"/>
  <c r="M21" i="26"/>
  <c r="N21" i="26"/>
  <c r="O21" i="26"/>
  <c r="Z21" i="26"/>
  <c r="AB21" i="26"/>
  <c r="AC21" i="26"/>
  <c r="AE21" i="26"/>
  <c r="AF21" i="26"/>
  <c r="AH21" i="26"/>
  <c r="AI21" i="26"/>
  <c r="AK21" i="26"/>
  <c r="AL21" i="26"/>
  <c r="AN21" i="26"/>
  <c r="AO21" i="26"/>
  <c r="AQ21" i="26"/>
  <c r="AR21" i="26"/>
  <c r="AT21" i="26"/>
  <c r="AU21" i="26"/>
  <c r="AW21" i="26"/>
  <c r="AX21" i="26"/>
  <c r="AZ21" i="26"/>
  <c r="BA21" i="26"/>
  <c r="BC21" i="26"/>
  <c r="BD21" i="26"/>
  <c r="BF21" i="26"/>
  <c r="BG21" i="26"/>
  <c r="BI21" i="26"/>
  <c r="BJ21" i="26"/>
  <c r="BO21" i="26"/>
  <c r="BP21" i="26"/>
  <c r="BQ21" i="26"/>
  <c r="BR21" i="26"/>
  <c r="BS21" i="26"/>
  <c r="BT21" i="26"/>
  <c r="BU21" i="26"/>
  <c r="BV21" i="26"/>
  <c r="BW21" i="26"/>
  <c r="BX21" i="26"/>
  <c r="BY21" i="26"/>
  <c r="J18" i="32" s="1"/>
  <c r="BZ21" i="26"/>
  <c r="CA21" i="26"/>
  <c r="CB21" i="26"/>
  <c r="CC21" i="26"/>
  <c r="CD21" i="26"/>
  <c r="CE21" i="26"/>
  <c r="CF21" i="26"/>
  <c r="CG21" i="26"/>
  <c r="CH21" i="26"/>
  <c r="CI21" i="26"/>
  <c r="Z23" i="26"/>
  <c r="BL22" i="26"/>
  <c r="BL21" i="26" s="1"/>
  <c r="BM22" i="26"/>
  <c r="BM21" i="26" s="1"/>
  <c r="AN20" i="26"/>
  <c r="AO20" i="26" s="1"/>
  <c r="AP20" i="26" s="1"/>
  <c r="AQ20" i="26" s="1"/>
  <c r="AR20" i="26" s="1"/>
  <c r="AS20" i="26" s="1"/>
  <c r="AT20" i="26" s="1"/>
  <c r="AU20" i="26" s="1"/>
  <c r="AV20" i="26" s="1"/>
  <c r="AW20" i="26" s="1"/>
  <c r="AX20" i="26" s="1"/>
  <c r="AY20" i="26" s="1"/>
  <c r="AZ20" i="26" s="1"/>
  <c r="AN19" i="26"/>
  <c r="AO19" i="26"/>
  <c r="AP19" i="26" s="1"/>
  <c r="A61" i="30"/>
  <c r="P20" i="26"/>
  <c r="Q20" i="26"/>
  <c r="R20" i="26"/>
  <c r="S20" i="26"/>
  <c r="T20" i="26"/>
  <c r="U20" i="26"/>
  <c r="V20" i="26"/>
  <c r="V18" i="26" s="1"/>
  <c r="W20" i="26"/>
  <c r="X20" i="26"/>
  <c r="Y20" i="26"/>
  <c r="Z20" i="26"/>
  <c r="AA20" i="26"/>
  <c r="AB20" i="26"/>
  <c r="AC20" i="26"/>
  <c r="AD20" i="26"/>
  <c r="F17" i="32" s="1"/>
  <c r="AE20" i="26"/>
  <c r="AF20" i="26"/>
  <c r="AG20" i="26"/>
  <c r="AH20" i="26"/>
  <c r="AI20" i="26"/>
  <c r="AI18" i="26" s="1"/>
  <c r="AJ20" i="26"/>
  <c r="AK20" i="26"/>
  <c r="AL20" i="26"/>
  <c r="AL18" i="26" s="1"/>
  <c r="AM20" i="26"/>
  <c r="A61" i="37"/>
  <c r="D10" i="30"/>
  <c r="D10" i="37"/>
  <c r="C60" i="37"/>
  <c r="AA54" i="37"/>
  <c r="B43" i="37"/>
  <c r="A43" i="37"/>
  <c r="C19" i="37"/>
  <c r="C20" i="37"/>
  <c r="C21" i="37"/>
  <c r="C22" i="37"/>
  <c r="C23" i="37"/>
  <c r="C24" i="37"/>
  <c r="C25" i="37"/>
  <c r="C26" i="37"/>
  <c r="C27" i="37"/>
  <c r="C28" i="37"/>
  <c r="C29" i="37"/>
  <c r="C30" i="37"/>
  <c r="C31" i="37"/>
  <c r="C32" i="37"/>
  <c r="C33" i="37"/>
  <c r="C34" i="37"/>
  <c r="C35" i="37"/>
  <c r="C36" i="37"/>
  <c r="C37" i="37"/>
  <c r="C38" i="37"/>
  <c r="C39" i="37"/>
  <c r="C40" i="37"/>
  <c r="C41" i="37"/>
  <c r="C42" i="37"/>
  <c r="B18" i="37"/>
  <c r="J17" i="37"/>
  <c r="I17" i="37"/>
  <c r="D17" i="37"/>
  <c r="D13" i="37"/>
  <c r="D11" i="37"/>
  <c r="C11" i="37"/>
  <c r="C8" i="37"/>
  <c r="I7" i="37"/>
  <c r="A5" i="37"/>
  <c r="B3" i="37"/>
  <c r="D8" i="36"/>
  <c r="D11" i="36" s="1"/>
  <c r="D41" i="36" s="1"/>
  <c r="D8" i="27"/>
  <c r="D11" i="27" s="1"/>
  <c r="D20" i="27" s="1"/>
  <c r="H20" i="27" s="1"/>
  <c r="C13" i="10"/>
  <c r="C12" i="10"/>
  <c r="C11" i="10"/>
  <c r="C10" i="10"/>
  <c r="M46" i="33"/>
  <c r="L46" i="33"/>
  <c r="M45" i="33"/>
  <c r="L45" i="33"/>
  <c r="I45" i="33"/>
  <c r="I46" i="33"/>
  <c r="G46" i="33"/>
  <c r="G45" i="33"/>
  <c r="E46" i="33"/>
  <c r="D46" i="33"/>
  <c r="D45" i="33"/>
  <c r="E45" i="33"/>
  <c r="C46" i="33"/>
  <c r="C45" i="33"/>
  <c r="G60" i="33"/>
  <c r="D60" i="33"/>
  <c r="C60" i="33"/>
  <c r="I44" i="33"/>
  <c r="G44" i="33"/>
  <c r="E39" i="33"/>
  <c r="E40" i="33"/>
  <c r="E41" i="33"/>
  <c r="E42" i="33"/>
  <c r="E43" i="33"/>
  <c r="E44" i="33"/>
  <c r="L39" i="33"/>
  <c r="M39" i="33"/>
  <c r="L40" i="33"/>
  <c r="M40" i="33"/>
  <c r="L41" i="33"/>
  <c r="M41" i="33"/>
  <c r="L42" i="33"/>
  <c r="M42" i="33"/>
  <c r="L43" i="33"/>
  <c r="M43" i="33"/>
  <c r="L44" i="33"/>
  <c r="M44" i="33"/>
  <c r="M38" i="33"/>
  <c r="L38" i="33"/>
  <c r="D39" i="33"/>
  <c r="D40" i="33"/>
  <c r="D41" i="33"/>
  <c r="D42" i="33"/>
  <c r="D43" i="33"/>
  <c r="D44" i="33"/>
  <c r="D38" i="33"/>
  <c r="C44" i="33"/>
  <c r="C39" i="33"/>
  <c r="C40" i="33"/>
  <c r="C41" i="33"/>
  <c r="C42" i="33"/>
  <c r="C43" i="33"/>
  <c r="C38" i="33"/>
  <c r="B55" i="23"/>
  <c r="B41" i="26"/>
  <c r="B38" i="32" s="1"/>
  <c r="C55" i="23"/>
  <c r="G55" i="23"/>
  <c r="C41" i="26" s="1"/>
  <c r="D36" i="33"/>
  <c r="D37" i="33"/>
  <c r="B23" i="26"/>
  <c r="B20" i="32" s="1"/>
  <c r="B24" i="26"/>
  <c r="B21" i="32" s="1"/>
  <c r="B25" i="26"/>
  <c r="B22" i="32" s="1"/>
  <c r="B26" i="26"/>
  <c r="B23" i="32" s="1"/>
  <c r="B27" i="26"/>
  <c r="B24" i="32" s="1"/>
  <c r="A27" i="26"/>
  <c r="A24" i="32" s="1"/>
  <c r="A23" i="26"/>
  <c r="A20" i="32" s="1"/>
  <c r="A24" i="26"/>
  <c r="A21" i="32"/>
  <c r="A25" i="26"/>
  <c r="A22" i="32" s="1"/>
  <c r="A26" i="26"/>
  <c r="A23" i="32" s="1"/>
  <c r="L37" i="33"/>
  <c r="M37" i="33"/>
  <c r="M36" i="33"/>
  <c r="L36" i="33"/>
  <c r="M35" i="33"/>
  <c r="C29" i="23"/>
  <c r="C30" i="23"/>
  <c r="C31" i="23"/>
  <c r="L35" i="33"/>
  <c r="I35" i="33"/>
  <c r="I36" i="33"/>
  <c r="I37" i="33"/>
  <c r="G37" i="33"/>
  <c r="G36" i="33"/>
  <c r="G35" i="33"/>
  <c r="E37" i="33"/>
  <c r="E36" i="33"/>
  <c r="E35" i="33"/>
  <c r="D35" i="33"/>
  <c r="C37" i="33"/>
  <c r="C36" i="33"/>
  <c r="C35" i="33"/>
  <c r="L34" i="33"/>
  <c r="M34" i="33"/>
  <c r="M33" i="33"/>
  <c r="L33" i="33"/>
  <c r="N12" i="33"/>
  <c r="N13" i="33"/>
  <c r="N14" i="33"/>
  <c r="N15" i="33"/>
  <c r="M13" i="33"/>
  <c r="M14" i="33"/>
  <c r="M15" i="33"/>
  <c r="M12" i="33"/>
  <c r="G37" i="23"/>
  <c r="G38" i="23"/>
  <c r="C21" i="32" s="1"/>
  <c r="C24" i="26"/>
  <c r="R24" i="26" s="1"/>
  <c r="U24" i="26" s="1"/>
  <c r="X24" i="26" s="1"/>
  <c r="AA24" i="26" s="1"/>
  <c r="AD24" i="26" s="1"/>
  <c r="AG24" i="26" s="1"/>
  <c r="G39" i="23"/>
  <c r="C22" i="32" s="1"/>
  <c r="C25" i="26"/>
  <c r="R25" i="26"/>
  <c r="U25" i="26" s="1"/>
  <c r="X25" i="26" s="1"/>
  <c r="AA25" i="26" s="1"/>
  <c r="AD25" i="26" s="1"/>
  <c r="G40" i="23"/>
  <c r="C26" i="26" s="1"/>
  <c r="G41" i="23"/>
  <c r="C24" i="32" s="1"/>
  <c r="C37" i="23"/>
  <c r="C38" i="23"/>
  <c r="C39" i="23"/>
  <c r="C40" i="23"/>
  <c r="C41" i="23"/>
  <c r="B37" i="23"/>
  <c r="B38" i="23"/>
  <c r="B39" i="23"/>
  <c r="B40" i="23"/>
  <c r="B41" i="23"/>
  <c r="A38" i="23"/>
  <c r="A39" i="23"/>
  <c r="A40" i="23"/>
  <c r="A41" i="23"/>
  <c r="A37" i="23"/>
  <c r="I18" i="25"/>
  <c r="G35" i="23" s="1"/>
  <c r="C18" i="32" s="1"/>
  <c r="C23" i="26"/>
  <c r="Q23" i="26" s="1"/>
  <c r="C20" i="32"/>
  <c r="E17" i="32"/>
  <c r="P23" i="26"/>
  <c r="D40" i="37"/>
  <c r="D35" i="37"/>
  <c r="D30" i="37"/>
  <c r="D26" i="37"/>
  <c r="D22" i="37"/>
  <c r="D34" i="37"/>
  <c r="D31" i="37"/>
  <c r="D28" i="37"/>
  <c r="D25" i="37"/>
  <c r="D19" i="37"/>
  <c r="D42" i="37"/>
  <c r="D39" i="37"/>
  <c r="D36" i="37"/>
  <c r="D33" i="37"/>
  <c r="D37" i="37"/>
  <c r="D41" i="37"/>
  <c r="D38" i="37"/>
  <c r="D27" i="37"/>
  <c r="D24" i="37"/>
  <c r="D23" i="37"/>
  <c r="D21" i="37"/>
  <c r="D32" i="37"/>
  <c r="D29" i="37"/>
  <c r="D20" i="37"/>
  <c r="D18" i="37"/>
  <c r="A63" i="37"/>
  <c r="C63" i="37"/>
  <c r="C57" i="37"/>
  <c r="A62" i="37"/>
  <c r="B58" i="37"/>
  <c r="AA58" i="37"/>
  <c r="G30" i="10"/>
  <c r="G31" i="10"/>
  <c r="D31" i="10" s="1"/>
  <c r="G32" i="10"/>
  <c r="D32" i="10" s="1"/>
  <c r="G33" i="10"/>
  <c r="I27" i="25" s="1"/>
  <c r="G44" i="23" s="1"/>
  <c r="H20" i="37"/>
  <c r="I20" i="37"/>
  <c r="J20" i="37"/>
  <c r="D55" i="37"/>
  <c r="D56" i="37"/>
  <c r="J41" i="37"/>
  <c r="Y55" i="37"/>
  <c r="Y56" i="37"/>
  <c r="H41" i="37"/>
  <c r="I41" i="37"/>
  <c r="H26" i="37"/>
  <c r="I26" i="37"/>
  <c r="J26" i="37"/>
  <c r="J55" i="37"/>
  <c r="J56" i="37"/>
  <c r="H29" i="37"/>
  <c r="J29" i="37"/>
  <c r="M55" i="37"/>
  <c r="M56" i="37"/>
  <c r="J37" i="37"/>
  <c r="U55" i="37"/>
  <c r="U56" i="37"/>
  <c r="H37" i="37"/>
  <c r="H30" i="37"/>
  <c r="I30" i="37"/>
  <c r="J30" i="37"/>
  <c r="N55" i="37"/>
  <c r="N56" i="37"/>
  <c r="D57" i="37"/>
  <c r="E57" i="37"/>
  <c r="F57" i="37"/>
  <c r="G57" i="37"/>
  <c r="H57" i="37"/>
  <c r="I57" i="37"/>
  <c r="J57" i="37"/>
  <c r="K57" i="37"/>
  <c r="L57" i="37"/>
  <c r="M57" i="37"/>
  <c r="N57" i="37"/>
  <c r="O57" i="37"/>
  <c r="P57" i="37"/>
  <c r="Q57" i="37"/>
  <c r="R57" i="37"/>
  <c r="S57" i="37"/>
  <c r="T57" i="37"/>
  <c r="U57" i="37"/>
  <c r="V57" i="37"/>
  <c r="W57" i="37"/>
  <c r="X57" i="37"/>
  <c r="Y57" i="37"/>
  <c r="Z57" i="37"/>
  <c r="H32" i="37"/>
  <c r="J32" i="37"/>
  <c r="P55" i="37"/>
  <c r="P56" i="37"/>
  <c r="J27" i="37"/>
  <c r="K55" i="37"/>
  <c r="K56" i="37"/>
  <c r="K59" i="37"/>
  <c r="H27" i="37"/>
  <c r="J33" i="37"/>
  <c r="H33" i="37"/>
  <c r="I33" i="37"/>
  <c r="J19" i="37"/>
  <c r="C55" i="37"/>
  <c r="C56" i="37"/>
  <c r="C59" i="37"/>
  <c r="H19" i="37"/>
  <c r="I19" i="37"/>
  <c r="H34" i="37"/>
  <c r="I34" i="37"/>
  <c r="J34" i="37"/>
  <c r="R55" i="37"/>
  <c r="R56" i="37"/>
  <c r="H35" i="37"/>
  <c r="I35" i="37"/>
  <c r="J35" i="37"/>
  <c r="S55" i="37"/>
  <c r="S56" i="37"/>
  <c r="J23" i="37"/>
  <c r="G55" i="37"/>
  <c r="G56" i="37"/>
  <c r="H23" i="37"/>
  <c r="I23" i="37"/>
  <c r="H39" i="37"/>
  <c r="I39" i="37"/>
  <c r="J39" i="37"/>
  <c r="W55" i="37"/>
  <c r="W56" i="37"/>
  <c r="J28" i="37"/>
  <c r="L55" i="37"/>
  <c r="L56" i="37"/>
  <c r="H28" i="37"/>
  <c r="I28" i="37"/>
  <c r="H24" i="37"/>
  <c r="J24" i="37"/>
  <c r="H55" i="37"/>
  <c r="H56" i="37"/>
  <c r="J42" i="37"/>
  <c r="Z55" i="37"/>
  <c r="Z56" i="37"/>
  <c r="H42" i="37"/>
  <c r="J31" i="37"/>
  <c r="O55" i="37"/>
  <c r="O56" i="37"/>
  <c r="H31" i="37"/>
  <c r="I31" i="37"/>
  <c r="J18" i="37"/>
  <c r="E18" i="37"/>
  <c r="D43" i="37"/>
  <c r="H18" i="37"/>
  <c r="H21" i="37"/>
  <c r="J21" i="37"/>
  <c r="I21" i="37"/>
  <c r="H38" i="37"/>
  <c r="I38" i="37"/>
  <c r="J38" i="37"/>
  <c r="V55" i="37"/>
  <c r="V56" i="37"/>
  <c r="J36" i="37"/>
  <c r="T55" i="37"/>
  <c r="T56" i="37"/>
  <c r="I36" i="37"/>
  <c r="H36" i="37"/>
  <c r="H25" i="37"/>
  <c r="J25" i="37"/>
  <c r="I55" i="37"/>
  <c r="I56" i="37"/>
  <c r="I25" i="37"/>
  <c r="J22" i="37"/>
  <c r="F55" i="37"/>
  <c r="F56" i="37"/>
  <c r="H22" i="37"/>
  <c r="J40" i="37"/>
  <c r="X55" i="37"/>
  <c r="X56" i="37"/>
  <c r="H40" i="37"/>
  <c r="D63" i="33"/>
  <c r="D62" i="33"/>
  <c r="D59" i="33"/>
  <c r="B4" i="25"/>
  <c r="B8" i="25" s="1"/>
  <c r="B11" i="26" s="1"/>
  <c r="I22" i="37"/>
  <c r="I24" i="37"/>
  <c r="I40" i="37"/>
  <c r="I42" i="37"/>
  <c r="I27" i="37"/>
  <c r="I37" i="37"/>
  <c r="M59" i="37"/>
  <c r="I59" i="37"/>
  <c r="G59" i="37"/>
  <c r="K36" i="37"/>
  <c r="Q55" i="37"/>
  <c r="Q56" i="37"/>
  <c r="Q59" i="37"/>
  <c r="AA57" i="37"/>
  <c r="I29" i="37"/>
  <c r="F59" i="37"/>
  <c r="V59" i="37"/>
  <c r="K32" i="37"/>
  <c r="E55" i="37"/>
  <c r="E56" i="37"/>
  <c r="E59" i="37"/>
  <c r="E19" i="37"/>
  <c r="O59" i="37"/>
  <c r="S59" i="37"/>
  <c r="R59" i="37"/>
  <c r="N59" i="37"/>
  <c r="Y59" i="37"/>
  <c r="T59" i="37"/>
  <c r="Z59" i="37"/>
  <c r="W59" i="37"/>
  <c r="P59" i="37"/>
  <c r="D59" i="37"/>
  <c r="X59" i="37"/>
  <c r="B55" i="37"/>
  <c r="J43" i="37"/>
  <c r="K20" i="37"/>
  <c r="H59" i="37"/>
  <c r="L59" i="37"/>
  <c r="I32" i="37"/>
  <c r="U59" i="37"/>
  <c r="J59" i="37"/>
  <c r="E28" i="26"/>
  <c r="F28" i="26"/>
  <c r="G28" i="26"/>
  <c r="H28" i="26"/>
  <c r="I28" i="26"/>
  <c r="J28" i="26"/>
  <c r="K28" i="26"/>
  <c r="L28" i="26"/>
  <c r="M28" i="26"/>
  <c r="N28" i="26"/>
  <c r="O28" i="26"/>
  <c r="Q28" i="26"/>
  <c r="S28" i="26"/>
  <c r="T28" i="26"/>
  <c r="V28" i="26"/>
  <c r="W28" i="26"/>
  <c r="Y28" i="26"/>
  <c r="Z28" i="26"/>
  <c r="AB28" i="26"/>
  <c r="AC28" i="26"/>
  <c r="AE28" i="26"/>
  <c r="AF28" i="26"/>
  <c r="AH28" i="26"/>
  <c r="AI28" i="26"/>
  <c r="AK28" i="26"/>
  <c r="AL28" i="26"/>
  <c r="AN28" i="26"/>
  <c r="AO28" i="26"/>
  <c r="AQ28" i="26"/>
  <c r="AR28" i="26"/>
  <c r="AT28" i="26"/>
  <c r="AU28" i="26"/>
  <c r="AW28" i="26"/>
  <c r="AX28" i="26"/>
  <c r="AZ28" i="26"/>
  <c r="BA28" i="26"/>
  <c r="BC28" i="26"/>
  <c r="BD28" i="26"/>
  <c r="BF28" i="26"/>
  <c r="BG28" i="26"/>
  <c r="BI28" i="26"/>
  <c r="BJ28" i="26"/>
  <c r="BL28" i="26"/>
  <c r="BM28" i="26"/>
  <c r="BN28" i="26"/>
  <c r="BO28" i="26"/>
  <c r="BP28" i="26"/>
  <c r="BQ28" i="26"/>
  <c r="BR28" i="26"/>
  <c r="BS28" i="26"/>
  <c r="BT28" i="26"/>
  <c r="BU28" i="26"/>
  <c r="BV28" i="26"/>
  <c r="BW28" i="26"/>
  <c r="BX28" i="26"/>
  <c r="BY28" i="26"/>
  <c r="BZ28" i="26"/>
  <c r="CA28" i="26"/>
  <c r="CB28" i="26"/>
  <c r="CC28" i="26"/>
  <c r="CD28" i="26"/>
  <c r="CE28" i="26"/>
  <c r="CF28" i="26"/>
  <c r="CG28" i="26"/>
  <c r="CH28" i="26"/>
  <c r="CI28" i="26"/>
  <c r="E18" i="26"/>
  <c r="F18" i="26"/>
  <c r="G18" i="26"/>
  <c r="G12" i="26" s="1"/>
  <c r="H18" i="26"/>
  <c r="H12" i="26" s="1"/>
  <c r="I18" i="26"/>
  <c r="J18" i="26"/>
  <c r="K18" i="26"/>
  <c r="K12" i="26" s="1"/>
  <c r="L18" i="26"/>
  <c r="M18" i="26"/>
  <c r="N18" i="26"/>
  <c r="AN18" i="26"/>
  <c r="AO18" i="26"/>
  <c r="D18" i="26"/>
  <c r="D28" i="26"/>
  <c r="D25" i="32" s="1"/>
  <c r="B22" i="26"/>
  <c r="B19" i="32" s="1"/>
  <c r="B29" i="26"/>
  <c r="B26" i="32" s="1"/>
  <c r="A29" i="26"/>
  <c r="A26" i="32" s="1"/>
  <c r="A22" i="26"/>
  <c r="A19" i="32"/>
  <c r="A57" i="23"/>
  <c r="A43" i="26"/>
  <c r="A40" i="32" s="1"/>
  <c r="B25" i="25"/>
  <c r="B28" i="26" s="1"/>
  <c r="B25" i="32" s="1"/>
  <c r="A25" i="25"/>
  <c r="A42" i="23" s="1"/>
  <c r="I39" i="25"/>
  <c r="C42" i="26" s="1"/>
  <c r="I40" i="25"/>
  <c r="B39" i="25"/>
  <c r="B40" i="25"/>
  <c r="B57" i="23" s="1"/>
  <c r="B43" i="26" s="1"/>
  <c r="B40" i="32" s="1"/>
  <c r="C63" i="33"/>
  <c r="D38" i="10"/>
  <c r="D37" i="10"/>
  <c r="G37" i="10"/>
  <c r="E28" i="10"/>
  <c r="C28" i="10"/>
  <c r="G29" i="10"/>
  <c r="F29" i="10" s="1"/>
  <c r="I43" i="37"/>
  <c r="I44" i="37"/>
  <c r="I45" i="37"/>
  <c r="B56" i="37"/>
  <c r="AA55" i="37"/>
  <c r="E20" i="37"/>
  <c r="G62" i="33"/>
  <c r="F37" i="10"/>
  <c r="B59" i="37"/>
  <c r="AA56" i="37"/>
  <c r="E21" i="37"/>
  <c r="B50" i="23"/>
  <c r="B36" i="26" s="1"/>
  <c r="B33" i="32" s="1"/>
  <c r="B54" i="23"/>
  <c r="B40" i="26"/>
  <c r="B37" i="32" s="1"/>
  <c r="B51" i="23"/>
  <c r="B37" i="26" s="1"/>
  <c r="B34" i="32" s="1"/>
  <c r="B53" i="23"/>
  <c r="B39" i="26"/>
  <c r="B36" i="32" s="1"/>
  <c r="B52" i="23"/>
  <c r="B38" i="26" s="1"/>
  <c r="B35" i="32" s="1"/>
  <c r="G50" i="23"/>
  <c r="C36" i="26"/>
  <c r="G54" i="23"/>
  <c r="C40" i="26" s="1"/>
  <c r="AP40" i="26" s="1"/>
  <c r="AP34" i="26" s="1"/>
  <c r="AP31" i="26" s="1"/>
  <c r="G51" i="23"/>
  <c r="C37" i="26"/>
  <c r="R37" i="26" s="1"/>
  <c r="G53" i="23"/>
  <c r="C39" i="26"/>
  <c r="G52" i="23"/>
  <c r="C38" i="26" s="1"/>
  <c r="Y38" i="26" s="1"/>
  <c r="C50" i="23"/>
  <c r="C54" i="23"/>
  <c r="C51" i="23"/>
  <c r="C53" i="23"/>
  <c r="C52" i="23"/>
  <c r="B43" i="23"/>
  <c r="H44" i="23"/>
  <c r="H35" i="23"/>
  <c r="H32" i="23"/>
  <c r="H27" i="23"/>
  <c r="A43" i="23"/>
  <c r="B36" i="23"/>
  <c r="A36" i="23"/>
  <c r="I38" i="33"/>
  <c r="I39" i="33"/>
  <c r="I40" i="33"/>
  <c r="I41" i="33"/>
  <c r="I42" i="33"/>
  <c r="I43" i="33"/>
  <c r="G39" i="33"/>
  <c r="G40" i="33"/>
  <c r="G41" i="33"/>
  <c r="G42" i="33"/>
  <c r="G43" i="33"/>
  <c r="A56" i="23"/>
  <c r="A42" i="26" s="1"/>
  <c r="A39" i="32" s="1"/>
  <c r="I31" i="25"/>
  <c r="I15" i="25"/>
  <c r="G32" i="23" s="1"/>
  <c r="I10" i="25"/>
  <c r="G27" i="23" s="1"/>
  <c r="C13" i="26" s="1"/>
  <c r="B27" i="25"/>
  <c r="B44" i="23" s="1"/>
  <c r="C64" i="33" s="1"/>
  <c r="A27" i="25"/>
  <c r="A44" i="23" s="1"/>
  <c r="D64" i="33" s="1"/>
  <c r="B18" i="25"/>
  <c r="B35" i="23" s="1"/>
  <c r="A18" i="25"/>
  <c r="A10" i="25"/>
  <c r="A27" i="23" s="1"/>
  <c r="B10" i="25"/>
  <c r="B27" i="23" s="1"/>
  <c r="A15" i="25"/>
  <c r="B15" i="25"/>
  <c r="B32" i="23" s="1"/>
  <c r="E9" i="10"/>
  <c r="G9" i="10"/>
  <c r="E15" i="10"/>
  <c r="E16" i="10"/>
  <c r="E17" i="10"/>
  <c r="G38" i="10"/>
  <c r="C34" i="32"/>
  <c r="AA59" i="37"/>
  <c r="O20" i="26"/>
  <c r="D17" i="32" s="1"/>
  <c r="E22" i="37"/>
  <c r="B21" i="26"/>
  <c r="B18" i="32" s="1"/>
  <c r="E23" i="37"/>
  <c r="E24" i="37"/>
  <c r="I34" i="33"/>
  <c r="I33" i="33"/>
  <c r="G34" i="33"/>
  <c r="G33" i="33"/>
  <c r="D34" i="33"/>
  <c r="D33" i="33"/>
  <c r="C34" i="33"/>
  <c r="C33" i="33"/>
  <c r="J15" i="33"/>
  <c r="H13" i="33"/>
  <c r="H14" i="33"/>
  <c r="H15" i="33"/>
  <c r="H12" i="33"/>
  <c r="C13" i="33"/>
  <c r="C14" i="33"/>
  <c r="C15" i="33"/>
  <c r="C12" i="33"/>
  <c r="D13" i="33"/>
  <c r="D14" i="33"/>
  <c r="D15" i="33"/>
  <c r="D12" i="33"/>
  <c r="E25" i="37"/>
  <c r="B3" i="30"/>
  <c r="E26" i="37"/>
  <c r="AP17" i="26"/>
  <c r="AQ17" i="26"/>
  <c r="AR17" i="26"/>
  <c r="AS17" i="26"/>
  <c r="AT17" i="26"/>
  <c r="AU17" i="26"/>
  <c r="AV17" i="26"/>
  <c r="AW17" i="26"/>
  <c r="AX17" i="26"/>
  <c r="AY17" i="26"/>
  <c r="AZ17" i="26"/>
  <c r="BA17" i="26"/>
  <c r="BB17" i="26"/>
  <c r="BC17" i="26"/>
  <c r="BD17" i="26"/>
  <c r="BE17" i="26"/>
  <c r="BF17" i="26"/>
  <c r="BG17" i="26"/>
  <c r="BH17" i="26"/>
  <c r="BI17" i="26"/>
  <c r="BJ17" i="26"/>
  <c r="BK17" i="26"/>
  <c r="BL17" i="26"/>
  <c r="BM17" i="26"/>
  <c r="BN17" i="26"/>
  <c r="BO17" i="26"/>
  <c r="BP17" i="26"/>
  <c r="BQ17" i="26"/>
  <c r="BR17" i="26"/>
  <c r="BS17" i="26"/>
  <c r="BT17" i="26"/>
  <c r="BU17" i="26"/>
  <c r="BV17" i="26"/>
  <c r="BW17" i="26"/>
  <c r="BX17" i="26"/>
  <c r="BY17" i="26"/>
  <c r="BZ17" i="26"/>
  <c r="CA17" i="26"/>
  <c r="CB17" i="26"/>
  <c r="CC17" i="26"/>
  <c r="CD17" i="26"/>
  <c r="CE17" i="26"/>
  <c r="CF17" i="26"/>
  <c r="CG17" i="26"/>
  <c r="CH17" i="26"/>
  <c r="CI17" i="26"/>
  <c r="AO17" i="26"/>
  <c r="AP16" i="26"/>
  <c r="AQ16" i="26"/>
  <c r="AR16" i="26"/>
  <c r="AS16" i="26"/>
  <c r="AS13" i="26" s="1"/>
  <c r="AT16" i="26"/>
  <c r="AU16" i="26"/>
  <c r="AV16" i="26"/>
  <c r="AW16" i="26"/>
  <c r="AX16" i="26"/>
  <c r="AY16" i="26"/>
  <c r="AZ16" i="26"/>
  <c r="BA16" i="26"/>
  <c r="BB16" i="26"/>
  <c r="BC16" i="26"/>
  <c r="BD16" i="26"/>
  <c r="BE16" i="26"/>
  <c r="BF16" i="26"/>
  <c r="BG16" i="26"/>
  <c r="BH16" i="26"/>
  <c r="BI16" i="26"/>
  <c r="BJ16" i="26"/>
  <c r="BK16" i="26"/>
  <c r="BL16" i="26"/>
  <c r="BM16" i="26"/>
  <c r="BN16" i="26"/>
  <c r="BO16" i="26"/>
  <c r="BP16" i="26"/>
  <c r="BQ16" i="26"/>
  <c r="BR16" i="26"/>
  <c r="BS16" i="26"/>
  <c r="BT16" i="26"/>
  <c r="BU16" i="26"/>
  <c r="BV16" i="26"/>
  <c r="BW16" i="26"/>
  <c r="BX16" i="26"/>
  <c r="BY16" i="26"/>
  <c r="BZ16" i="26"/>
  <c r="CA16" i="26"/>
  <c r="CB16" i="26"/>
  <c r="CC16" i="26"/>
  <c r="CD16" i="26"/>
  <c r="CE16" i="26"/>
  <c r="CF16" i="26"/>
  <c r="CG16" i="26"/>
  <c r="CH16" i="26"/>
  <c r="CI16" i="26"/>
  <c r="AO16" i="26"/>
  <c r="AP15" i="26"/>
  <c r="AQ15" i="26"/>
  <c r="AR15" i="26"/>
  <c r="AS15" i="26"/>
  <c r="AT15" i="26"/>
  <c r="AU15" i="26"/>
  <c r="AV15" i="26"/>
  <c r="AW15" i="26"/>
  <c r="AX15" i="26"/>
  <c r="AY15" i="26"/>
  <c r="AZ15" i="26"/>
  <c r="BA15" i="26"/>
  <c r="BB15" i="26"/>
  <c r="BC15" i="26"/>
  <c r="BD15" i="26"/>
  <c r="BE15" i="26"/>
  <c r="BF15" i="26"/>
  <c r="BG15" i="26"/>
  <c r="BH15" i="26"/>
  <c r="BI15" i="26"/>
  <c r="BJ15" i="26"/>
  <c r="BK15" i="26"/>
  <c r="BL15" i="26"/>
  <c r="BM15" i="26"/>
  <c r="BN15" i="26"/>
  <c r="BO15" i="26"/>
  <c r="BP15" i="26"/>
  <c r="BQ15" i="26"/>
  <c r="BR15" i="26"/>
  <c r="BS15" i="26"/>
  <c r="BT15" i="26"/>
  <c r="BU15" i="26"/>
  <c r="BV15" i="26"/>
  <c r="BW15" i="26"/>
  <c r="BX15" i="26"/>
  <c r="BY15" i="26"/>
  <c r="BZ15" i="26"/>
  <c r="CA15" i="26"/>
  <c r="CB15" i="26"/>
  <c r="CC15" i="26"/>
  <c r="CD15" i="26"/>
  <c r="CE15" i="26"/>
  <c r="CF15" i="26"/>
  <c r="CG15" i="26"/>
  <c r="CH15" i="26"/>
  <c r="CI15" i="26"/>
  <c r="AO15" i="26"/>
  <c r="AO14" i="26"/>
  <c r="AP14" i="26"/>
  <c r="AQ14" i="26"/>
  <c r="AR14" i="26"/>
  <c r="AS14" i="26"/>
  <c r="AT14" i="26"/>
  <c r="AU14" i="26"/>
  <c r="AV14" i="26"/>
  <c r="AW14" i="26"/>
  <c r="AX14" i="26"/>
  <c r="AY14" i="26"/>
  <c r="AZ14" i="26"/>
  <c r="BA14" i="26"/>
  <c r="BB14" i="26"/>
  <c r="BC14" i="26"/>
  <c r="BD14" i="26"/>
  <c r="BE14" i="26"/>
  <c r="BF14" i="26"/>
  <c r="BG14" i="26"/>
  <c r="BH14" i="26"/>
  <c r="BI14" i="26"/>
  <c r="BJ14" i="26"/>
  <c r="BK14" i="26"/>
  <c r="BL14" i="26"/>
  <c r="BM14" i="26"/>
  <c r="BN14" i="26"/>
  <c r="BO14" i="26"/>
  <c r="BP14" i="26"/>
  <c r="BQ14" i="26"/>
  <c r="BR14" i="26"/>
  <c r="BS14" i="26"/>
  <c r="BT14" i="26"/>
  <c r="BU14" i="26"/>
  <c r="BV14" i="26"/>
  <c r="BW14" i="26"/>
  <c r="BX14" i="26"/>
  <c r="BY14" i="26"/>
  <c r="BZ14" i="26"/>
  <c r="CA14" i="26"/>
  <c r="CB14" i="26"/>
  <c r="CC14" i="26"/>
  <c r="CD14" i="26"/>
  <c r="CE14" i="26"/>
  <c r="CF14" i="26"/>
  <c r="CG14" i="26"/>
  <c r="CH14" i="26"/>
  <c r="CI14" i="26"/>
  <c r="B3" i="36"/>
  <c r="U50" i="36"/>
  <c r="B43" i="36"/>
  <c r="A43" i="36"/>
  <c r="C19" i="36"/>
  <c r="C20" i="36"/>
  <c r="C21" i="36"/>
  <c r="C22" i="36"/>
  <c r="C23" i="36"/>
  <c r="C24" i="36"/>
  <c r="C25" i="36"/>
  <c r="C26" i="36"/>
  <c r="C27" i="36"/>
  <c r="C28" i="36"/>
  <c r="C29" i="36"/>
  <c r="C30" i="36"/>
  <c r="C31" i="36"/>
  <c r="C32" i="36"/>
  <c r="C33" i="36"/>
  <c r="C34" i="36"/>
  <c r="C35" i="36"/>
  <c r="C36" i="36"/>
  <c r="C37" i="36"/>
  <c r="C38" i="36"/>
  <c r="C39" i="36"/>
  <c r="C40" i="36"/>
  <c r="C41" i="36"/>
  <c r="C42" i="36"/>
  <c r="B18" i="36"/>
  <c r="J17" i="36"/>
  <c r="I17" i="36"/>
  <c r="D17" i="36"/>
  <c r="D13" i="36"/>
  <c r="C11" i="36"/>
  <c r="C8" i="36"/>
  <c r="I7" i="36"/>
  <c r="A5" i="36"/>
  <c r="D8" i="35"/>
  <c r="D11" i="35" s="1"/>
  <c r="D8" i="34"/>
  <c r="D11" i="34" s="1"/>
  <c r="B3" i="35"/>
  <c r="U50" i="35"/>
  <c r="B43" i="35"/>
  <c r="A43" i="35"/>
  <c r="C19" i="35"/>
  <c r="C20" i="35"/>
  <c r="C21" i="35"/>
  <c r="C22" i="35"/>
  <c r="C23" i="35"/>
  <c r="C24" i="35"/>
  <c r="C25" i="35"/>
  <c r="C26" i="35"/>
  <c r="C27" i="35"/>
  <c r="C28" i="35"/>
  <c r="C29" i="35"/>
  <c r="C30" i="35"/>
  <c r="C31" i="35"/>
  <c r="C32" i="35"/>
  <c r="C33" i="35"/>
  <c r="C34" i="35"/>
  <c r="C35" i="35"/>
  <c r="C36" i="35"/>
  <c r="C37" i="35"/>
  <c r="C38" i="35"/>
  <c r="C39" i="35"/>
  <c r="C40" i="35"/>
  <c r="C41" i="35"/>
  <c r="C42" i="35"/>
  <c r="B18" i="35"/>
  <c r="J17" i="35"/>
  <c r="I17" i="35"/>
  <c r="D17" i="35"/>
  <c r="D13" i="35"/>
  <c r="C11" i="35"/>
  <c r="C8" i="35"/>
  <c r="I7" i="35"/>
  <c r="A5" i="35"/>
  <c r="B3" i="34"/>
  <c r="I17" i="27"/>
  <c r="U50" i="34"/>
  <c r="B43" i="34"/>
  <c r="A43" i="34"/>
  <c r="C19" i="34"/>
  <c r="C20" i="34"/>
  <c r="C21" i="34"/>
  <c r="C22" i="34"/>
  <c r="C23" i="34"/>
  <c r="C24" i="34"/>
  <c r="C25" i="34"/>
  <c r="C26" i="34"/>
  <c r="C27" i="34"/>
  <c r="C28" i="34"/>
  <c r="C29" i="34"/>
  <c r="C30" i="34"/>
  <c r="C31" i="34"/>
  <c r="C32" i="34"/>
  <c r="C33" i="34"/>
  <c r="C34" i="34"/>
  <c r="C35" i="34"/>
  <c r="C36" i="34"/>
  <c r="C37" i="34"/>
  <c r="C38" i="34"/>
  <c r="C39" i="34"/>
  <c r="C40" i="34"/>
  <c r="C41" i="34"/>
  <c r="C42" i="34"/>
  <c r="B18" i="34"/>
  <c r="J17" i="34"/>
  <c r="I17" i="34"/>
  <c r="D17" i="34"/>
  <c r="D13" i="34"/>
  <c r="C11" i="34"/>
  <c r="C8" i="34"/>
  <c r="I7" i="34"/>
  <c r="A5" i="34"/>
  <c r="B3" i="27"/>
  <c r="A16" i="26"/>
  <c r="A13" i="32" s="1"/>
  <c r="A17" i="26"/>
  <c r="A14" i="32" s="1"/>
  <c r="A19" i="26"/>
  <c r="A16" i="32" s="1"/>
  <c r="A20" i="26"/>
  <c r="A17" i="32"/>
  <c r="B49" i="23"/>
  <c r="B35" i="26" s="1"/>
  <c r="B32" i="32" s="1"/>
  <c r="B16" i="26"/>
  <c r="B13" i="32"/>
  <c r="B17" i="26"/>
  <c r="B14" i="32" s="1"/>
  <c r="B19" i="26"/>
  <c r="B16" i="32" s="1"/>
  <c r="B20" i="26"/>
  <c r="B17" i="32" s="1"/>
  <c r="G30" i="23"/>
  <c r="C16" i="26" s="1"/>
  <c r="G31" i="23"/>
  <c r="C14" i="32" s="1"/>
  <c r="G33" i="23"/>
  <c r="C19" i="26" s="1"/>
  <c r="G34" i="23"/>
  <c r="C20" i="26" s="1"/>
  <c r="C33" i="23"/>
  <c r="C34" i="23"/>
  <c r="B30" i="23"/>
  <c r="B31" i="23"/>
  <c r="B33" i="23"/>
  <c r="B34" i="23"/>
  <c r="A30" i="23"/>
  <c r="A31" i="23"/>
  <c r="A33" i="23"/>
  <c r="A34" i="23"/>
  <c r="C17" i="32"/>
  <c r="E27" i="37"/>
  <c r="V50" i="36"/>
  <c r="V50" i="35"/>
  <c r="V50" i="34"/>
  <c r="G36" i="10"/>
  <c r="D36" i="10" s="1"/>
  <c r="G35" i="10"/>
  <c r="D35" i="10" s="1"/>
  <c r="E28" i="37"/>
  <c r="X50" i="36"/>
  <c r="W50" i="36"/>
  <c r="X50" i="35"/>
  <c r="W50" i="35"/>
  <c r="X50" i="34"/>
  <c r="W50" i="34"/>
  <c r="C59" i="33"/>
  <c r="E13" i="26"/>
  <c r="F13" i="26"/>
  <c r="F12" i="26" s="1"/>
  <c r="G13" i="26"/>
  <c r="H13" i="26"/>
  <c r="I13" i="26"/>
  <c r="I12" i="26" s="1"/>
  <c r="J13" i="26"/>
  <c r="J12" i="26" s="1"/>
  <c r="K13" i="26"/>
  <c r="L13" i="26"/>
  <c r="M13" i="26"/>
  <c r="M12" i="26" s="1"/>
  <c r="N13" i="26"/>
  <c r="N12" i="26" s="1"/>
  <c r="O13" i="26"/>
  <c r="G38" i="33"/>
  <c r="E38" i="33"/>
  <c r="J14" i="33"/>
  <c r="B12" i="33"/>
  <c r="B4" i="33"/>
  <c r="G54" i="33"/>
  <c r="G79" i="33"/>
  <c r="H28" i="33"/>
  <c r="G77" i="33"/>
  <c r="H22" i="33"/>
  <c r="G76" i="33"/>
  <c r="J13" i="33"/>
  <c r="J12" i="33"/>
  <c r="C36" i="23"/>
  <c r="G36" i="23"/>
  <c r="C22" i="26" s="1"/>
  <c r="U22" i="26" s="1"/>
  <c r="B28" i="23"/>
  <c r="B29" i="23"/>
  <c r="C34" i="10"/>
  <c r="G71" i="33"/>
  <c r="D11" i="32"/>
  <c r="A4" i="32"/>
  <c r="B43" i="30"/>
  <c r="AA54" i="30"/>
  <c r="A43" i="30"/>
  <c r="C19" i="30"/>
  <c r="C20" i="30"/>
  <c r="C21" i="30"/>
  <c r="C22" i="30"/>
  <c r="C23" i="30"/>
  <c r="C24" i="30"/>
  <c r="C25" i="30"/>
  <c r="C26" i="30"/>
  <c r="C27" i="30"/>
  <c r="C28" i="30"/>
  <c r="C29" i="30"/>
  <c r="C30" i="30"/>
  <c r="C31" i="30"/>
  <c r="C32" i="30"/>
  <c r="C33" i="30"/>
  <c r="C34" i="30"/>
  <c r="C35" i="30"/>
  <c r="C36" i="30"/>
  <c r="C37" i="30"/>
  <c r="C38" i="30"/>
  <c r="C39" i="30"/>
  <c r="C40" i="30"/>
  <c r="C41" i="30"/>
  <c r="C42" i="30"/>
  <c r="B18" i="30"/>
  <c r="J17" i="30"/>
  <c r="D17" i="30"/>
  <c r="D13" i="30"/>
  <c r="I17" i="30"/>
  <c r="C11" i="30"/>
  <c r="C8" i="30"/>
  <c r="I7" i="30"/>
  <c r="A5" i="30"/>
  <c r="A43" i="27"/>
  <c r="A5" i="27"/>
  <c r="U50" i="27"/>
  <c r="B43" i="27"/>
  <c r="C19" i="27"/>
  <c r="C20" i="27"/>
  <c r="C21" i="27"/>
  <c r="C22" i="27"/>
  <c r="B18" i="27"/>
  <c r="J17" i="27"/>
  <c r="D17" i="27"/>
  <c r="D13" i="27"/>
  <c r="C11" i="27"/>
  <c r="C8" i="27"/>
  <c r="I7" i="27"/>
  <c r="BL33" i="26"/>
  <c r="BM33" i="26"/>
  <c r="BP33" i="26" s="1"/>
  <c r="V50" i="27"/>
  <c r="C23" i="27"/>
  <c r="C24" i="27"/>
  <c r="C25" i="27"/>
  <c r="C26" i="27"/>
  <c r="C27" i="27"/>
  <c r="C28" i="27"/>
  <c r="C29" i="27"/>
  <c r="C30" i="27"/>
  <c r="C31" i="27"/>
  <c r="C32" i="27"/>
  <c r="C33" i="27"/>
  <c r="C34" i="27"/>
  <c r="C35" i="27"/>
  <c r="C36" i="27"/>
  <c r="C37" i="27"/>
  <c r="C38" i="27"/>
  <c r="C39" i="27"/>
  <c r="C40" i="27"/>
  <c r="C41" i="27"/>
  <c r="C42" i="27"/>
  <c r="A15" i="26"/>
  <c r="A12" i="32" s="1"/>
  <c r="B15" i="26"/>
  <c r="B12" i="32" s="1"/>
  <c r="B14" i="26"/>
  <c r="B11" i="32" s="1"/>
  <c r="A14" i="26"/>
  <c r="A11" i="32"/>
  <c r="A12" i="26"/>
  <c r="A9" i="32" s="1"/>
  <c r="A11" i="26"/>
  <c r="BJ32" i="26"/>
  <c r="BI32" i="26"/>
  <c r="BG32" i="26"/>
  <c r="BF32" i="26"/>
  <c r="BD32" i="26"/>
  <c r="BC32" i="26"/>
  <c r="BA32" i="26"/>
  <c r="AZ32" i="26"/>
  <c r="AX32" i="26"/>
  <c r="AW32" i="26"/>
  <c r="AU32" i="26"/>
  <c r="AT32" i="26"/>
  <c r="AR32" i="26"/>
  <c r="AQ32" i="26"/>
  <c r="AO32" i="26"/>
  <c r="AN32" i="26"/>
  <c r="AL32" i="26"/>
  <c r="AK32" i="26"/>
  <c r="AI32" i="26"/>
  <c r="AH32" i="26"/>
  <c r="AF32" i="26"/>
  <c r="AE32" i="26"/>
  <c r="AC32" i="26"/>
  <c r="AB32" i="26"/>
  <c r="Z32" i="26"/>
  <c r="Y32" i="26"/>
  <c r="W32" i="26"/>
  <c r="V32" i="26"/>
  <c r="T32" i="26"/>
  <c r="S32" i="26"/>
  <c r="Q32" i="26"/>
  <c r="P32" i="26"/>
  <c r="N32" i="26"/>
  <c r="M32" i="26"/>
  <c r="K32" i="26"/>
  <c r="J32" i="26"/>
  <c r="H32" i="26"/>
  <c r="G32" i="26"/>
  <c r="E32" i="26"/>
  <c r="D32" i="26"/>
  <c r="C49" i="23"/>
  <c r="C47" i="23"/>
  <c r="A49" i="23"/>
  <c r="A35" i="26"/>
  <c r="A32" i="32" s="1"/>
  <c r="B48" i="23"/>
  <c r="B34" i="26" s="1"/>
  <c r="B31" i="32" s="1"/>
  <c r="A48" i="23"/>
  <c r="A34" i="26"/>
  <c r="A31" i="32" s="1"/>
  <c r="B47" i="23"/>
  <c r="B33" i="26" s="1"/>
  <c r="B30" i="32" s="1"/>
  <c r="A47" i="23"/>
  <c r="D61" i="33" s="1"/>
  <c r="B46" i="23"/>
  <c r="B32" i="26" s="1"/>
  <c r="B29" i="32" s="1"/>
  <c r="A46" i="23"/>
  <c r="A32" i="26"/>
  <c r="A29" i="32" s="1"/>
  <c r="A45" i="23"/>
  <c r="A31" i="26" s="1"/>
  <c r="B45" i="23"/>
  <c r="B31" i="26"/>
  <c r="B28" i="32" s="1"/>
  <c r="A28" i="23"/>
  <c r="A29" i="23"/>
  <c r="A26" i="23"/>
  <c r="G49" i="23"/>
  <c r="C35" i="26" s="1"/>
  <c r="B9" i="25"/>
  <c r="B12" i="26" s="1"/>
  <c r="B9" i="32" s="1"/>
  <c r="G29" i="23"/>
  <c r="C12" i="32" s="1"/>
  <c r="B26" i="23"/>
  <c r="A4" i="23"/>
  <c r="B25" i="23"/>
  <c r="H48" i="23"/>
  <c r="H46" i="23"/>
  <c r="H45" i="23"/>
  <c r="H26" i="23"/>
  <c r="H25" i="23"/>
  <c r="G28" i="23"/>
  <c r="C11" i="32" s="1"/>
  <c r="C61" i="33"/>
  <c r="A33" i="26"/>
  <c r="A30" i="32" s="1"/>
  <c r="E29" i="37"/>
  <c r="AA50" i="36"/>
  <c r="Y50" i="36"/>
  <c r="Z50" i="36"/>
  <c r="Y50" i="35"/>
  <c r="AA50" i="34"/>
  <c r="Y50" i="34"/>
  <c r="Z50" i="34"/>
  <c r="B13" i="26"/>
  <c r="B10" i="32" s="1"/>
  <c r="W50" i="27"/>
  <c r="E30" i="37"/>
  <c r="Z50" i="35"/>
  <c r="D18" i="27"/>
  <c r="D26" i="27"/>
  <c r="J26" i="27" s="1"/>
  <c r="J51" i="27" s="1"/>
  <c r="J52" i="27" s="1"/>
  <c r="X14" i="26" s="1"/>
  <c r="X50" i="27"/>
  <c r="D11" i="30"/>
  <c r="C60" i="30"/>
  <c r="A62" i="30"/>
  <c r="B58" i="30"/>
  <c r="AA58" i="30"/>
  <c r="A63" i="30"/>
  <c r="C63" i="30"/>
  <c r="C57" i="30"/>
  <c r="D57" i="30"/>
  <c r="E57" i="30"/>
  <c r="F57" i="30"/>
  <c r="G57" i="30"/>
  <c r="H57" i="30"/>
  <c r="I57" i="30"/>
  <c r="J57" i="30"/>
  <c r="K57" i="30"/>
  <c r="L57" i="30"/>
  <c r="M57" i="30"/>
  <c r="N57" i="30"/>
  <c r="O57" i="30"/>
  <c r="P57" i="30"/>
  <c r="Q57" i="30"/>
  <c r="R57" i="30"/>
  <c r="E31" i="37"/>
  <c r="AA50" i="35"/>
  <c r="Y50" i="27"/>
  <c r="Z50" i="27"/>
  <c r="D35" i="30"/>
  <c r="D19" i="30"/>
  <c r="D20" i="30"/>
  <c r="D42" i="30"/>
  <c r="D26" i="30"/>
  <c r="D25" i="30"/>
  <c r="D39" i="30"/>
  <c r="D32" i="30"/>
  <c r="D23" i="30"/>
  <c r="D38" i="30"/>
  <c r="D22" i="30"/>
  <c r="D21" i="30"/>
  <c r="D24" i="30"/>
  <c r="D36" i="30"/>
  <c r="D28" i="30"/>
  <c r="D27" i="30"/>
  <c r="D41" i="30"/>
  <c r="D33" i="30"/>
  <c r="D34" i="30"/>
  <c r="D18" i="30"/>
  <c r="D40" i="30"/>
  <c r="D31" i="30"/>
  <c r="D37" i="30"/>
  <c r="D30" i="30"/>
  <c r="D29" i="30"/>
  <c r="S57" i="30"/>
  <c r="E32" i="37"/>
  <c r="AA50" i="27"/>
  <c r="H29" i="30"/>
  <c r="J29" i="30"/>
  <c r="M55" i="30"/>
  <c r="M56" i="30"/>
  <c r="M59" i="30"/>
  <c r="H37" i="30"/>
  <c r="J37" i="30"/>
  <c r="U55" i="30"/>
  <c r="U56" i="30"/>
  <c r="J40" i="30"/>
  <c r="X55" i="30"/>
  <c r="X56" i="30"/>
  <c r="H40" i="30"/>
  <c r="J34" i="30"/>
  <c r="R55" i="30"/>
  <c r="R56" i="30"/>
  <c r="R59" i="30"/>
  <c r="H34" i="30"/>
  <c r="J41" i="30"/>
  <c r="Y55" i="30"/>
  <c r="Y56" i="30"/>
  <c r="H41" i="30"/>
  <c r="J28" i="30"/>
  <c r="L55" i="30"/>
  <c r="L56" i="30"/>
  <c r="L59" i="30"/>
  <c r="H28" i="30"/>
  <c r="J24" i="30"/>
  <c r="H55" i="30"/>
  <c r="H56" i="30"/>
  <c r="H59" i="30"/>
  <c r="H24" i="30"/>
  <c r="J22" i="30"/>
  <c r="F55" i="30"/>
  <c r="F56" i="30"/>
  <c r="F59" i="30"/>
  <c r="H22" i="30"/>
  <c r="J23" i="30"/>
  <c r="G55" i="30"/>
  <c r="G56" i="30"/>
  <c r="G59" i="30"/>
  <c r="H23" i="30"/>
  <c r="J39" i="30"/>
  <c r="W55" i="30"/>
  <c r="W56" i="30"/>
  <c r="H39" i="30"/>
  <c r="J26" i="30"/>
  <c r="H26" i="30"/>
  <c r="J20" i="30"/>
  <c r="D55" i="30"/>
  <c r="D56" i="30"/>
  <c r="D59" i="30"/>
  <c r="H20" i="30"/>
  <c r="J35" i="30"/>
  <c r="S55" i="30"/>
  <c r="S56" i="30"/>
  <c r="S59" i="30"/>
  <c r="AF19" i="26"/>
  <c r="AF18" i="26" s="1"/>
  <c r="H35" i="30"/>
  <c r="J30" i="30"/>
  <c r="N55" i="30"/>
  <c r="N56" i="30"/>
  <c r="N59" i="30"/>
  <c r="H30" i="30"/>
  <c r="H31" i="30"/>
  <c r="J31" i="30"/>
  <c r="O55" i="30"/>
  <c r="O56" i="30"/>
  <c r="O59" i="30"/>
  <c r="E18" i="30"/>
  <c r="E19" i="30"/>
  <c r="E20" i="30"/>
  <c r="E21" i="30"/>
  <c r="E22" i="30"/>
  <c r="E23" i="30"/>
  <c r="E24" i="30"/>
  <c r="E25" i="30"/>
  <c r="E26" i="30"/>
  <c r="E27" i="30"/>
  <c r="E28" i="30"/>
  <c r="E29" i="30"/>
  <c r="E30" i="30"/>
  <c r="E31" i="30"/>
  <c r="E32" i="30"/>
  <c r="E33" i="30"/>
  <c r="H18" i="30"/>
  <c r="D43" i="30"/>
  <c r="J18" i="30"/>
  <c r="H33" i="30"/>
  <c r="J33" i="30"/>
  <c r="J27" i="30"/>
  <c r="K55" i="30"/>
  <c r="K56" i="30"/>
  <c r="K59" i="30"/>
  <c r="H27" i="30"/>
  <c r="H36" i="30"/>
  <c r="J36" i="30"/>
  <c r="T55" i="30"/>
  <c r="T56" i="30"/>
  <c r="H21" i="30"/>
  <c r="J21" i="30"/>
  <c r="J38" i="30"/>
  <c r="V55" i="30"/>
  <c r="V56" i="30"/>
  <c r="H38" i="30"/>
  <c r="J32" i="30"/>
  <c r="P55" i="30"/>
  <c r="P56" i="30"/>
  <c r="P59" i="30"/>
  <c r="H32" i="30"/>
  <c r="H25" i="30"/>
  <c r="J25" i="30"/>
  <c r="I55" i="30"/>
  <c r="I56" i="30"/>
  <c r="I59" i="30"/>
  <c r="J42" i="30"/>
  <c r="Z55" i="30"/>
  <c r="Z56" i="30"/>
  <c r="H42" i="30"/>
  <c r="J19" i="30"/>
  <c r="C55" i="30"/>
  <c r="C56" i="30"/>
  <c r="C59" i="30"/>
  <c r="H19" i="30"/>
  <c r="T57" i="30"/>
  <c r="AB19" i="26"/>
  <c r="Q19" i="26"/>
  <c r="Q18" i="26"/>
  <c r="S19" i="26"/>
  <c r="S18" i="26" s="1"/>
  <c r="Y19" i="26"/>
  <c r="Y18" i="26"/>
  <c r="AE19" i="26"/>
  <c r="AE18" i="26" s="1"/>
  <c r="AC19" i="26"/>
  <c r="AC18" i="26"/>
  <c r="X19" i="26"/>
  <c r="X18" i="26"/>
  <c r="Z19" i="26"/>
  <c r="V19" i="26"/>
  <c r="T19" i="26"/>
  <c r="T18" i="26" s="1"/>
  <c r="U19" i="26"/>
  <c r="U18" i="26" s="1"/>
  <c r="P19" i="26"/>
  <c r="AA19" i="26"/>
  <c r="AA18" i="26"/>
  <c r="E33" i="37"/>
  <c r="I37" i="30"/>
  <c r="I42" i="30"/>
  <c r="I21" i="30"/>
  <c r="I27" i="30"/>
  <c r="I30" i="30"/>
  <c r="I19" i="30"/>
  <c r="I24" i="30"/>
  <c r="I41" i="30"/>
  <c r="I40" i="30"/>
  <c r="I32" i="30"/>
  <c r="I38" i="30"/>
  <c r="I39" i="30"/>
  <c r="I22" i="30"/>
  <c r="I35" i="30"/>
  <c r="I20" i="30"/>
  <c r="I28" i="30"/>
  <c r="Q55" i="30"/>
  <c r="Q56" i="30"/>
  <c r="Q59" i="30"/>
  <c r="K36" i="30"/>
  <c r="K20" i="30"/>
  <c r="J43" i="30"/>
  <c r="B55" i="30"/>
  <c r="I25" i="30"/>
  <c r="K32" i="30"/>
  <c r="E55" i="30"/>
  <c r="E56" i="30"/>
  <c r="E59" i="30"/>
  <c r="I36" i="30"/>
  <c r="I33" i="30"/>
  <c r="I31" i="30"/>
  <c r="I26" i="30"/>
  <c r="J55" i="30"/>
  <c r="J56" i="30"/>
  <c r="J59" i="30"/>
  <c r="I23" i="30"/>
  <c r="I34" i="30"/>
  <c r="I29" i="30"/>
  <c r="U57" i="30"/>
  <c r="T59" i="30"/>
  <c r="E34" i="30"/>
  <c r="W19" i="26"/>
  <c r="W18" i="26"/>
  <c r="AD19" i="26"/>
  <c r="AG19" i="26"/>
  <c r="AG18" i="26" s="1"/>
  <c r="R19" i="26"/>
  <c r="R18" i="26" s="1"/>
  <c r="AB18" i="26"/>
  <c r="P18" i="26"/>
  <c r="E34" i="37"/>
  <c r="I43" i="30"/>
  <c r="I44" i="30"/>
  <c r="I45" i="30"/>
  <c r="B56" i="30"/>
  <c r="AA55" i="30"/>
  <c r="E35" i="30"/>
  <c r="V57" i="30"/>
  <c r="U59" i="30"/>
  <c r="AH19" i="26"/>
  <c r="AH18" i="26" s="1"/>
  <c r="E35" i="37"/>
  <c r="B59" i="30"/>
  <c r="O19" i="26"/>
  <c r="AA56" i="30"/>
  <c r="W57" i="30"/>
  <c r="V59" i="30"/>
  <c r="E36" i="30"/>
  <c r="AI19" i="26"/>
  <c r="E36" i="37"/>
  <c r="F36" i="30"/>
  <c r="F19" i="30"/>
  <c r="F21" i="30"/>
  <c r="F23" i="30"/>
  <c r="F25" i="30"/>
  <c r="F27" i="30"/>
  <c r="E37" i="30"/>
  <c r="F18" i="30"/>
  <c r="F20" i="30"/>
  <c r="F22" i="30"/>
  <c r="F24" i="30"/>
  <c r="F26" i="30"/>
  <c r="F28" i="30"/>
  <c r="F29" i="30"/>
  <c r="F30" i="30"/>
  <c r="F31" i="30"/>
  <c r="F32" i="30"/>
  <c r="F33" i="30"/>
  <c r="F34" i="30"/>
  <c r="F35" i="30"/>
  <c r="X57" i="30"/>
  <c r="W59" i="30"/>
  <c r="AJ19" i="26"/>
  <c r="AJ18" i="26"/>
  <c r="E37" i="37"/>
  <c r="F36" i="37"/>
  <c r="F18" i="37"/>
  <c r="F19" i="37"/>
  <c r="F20" i="37"/>
  <c r="F21" i="37"/>
  <c r="F22" i="37"/>
  <c r="F23" i="37"/>
  <c r="F24" i="37"/>
  <c r="F25" i="37"/>
  <c r="F26" i="37"/>
  <c r="F27" i="37"/>
  <c r="F28" i="37"/>
  <c r="F29" i="37"/>
  <c r="F30" i="37"/>
  <c r="F31" i="37"/>
  <c r="F32" i="37"/>
  <c r="F33" i="37"/>
  <c r="F34" i="37"/>
  <c r="F35" i="37"/>
  <c r="Y57" i="30"/>
  <c r="X59" i="30"/>
  <c r="E38" i="30"/>
  <c r="F37" i="30"/>
  <c r="AK19" i="26"/>
  <c r="E38" i="37"/>
  <c r="F37" i="37"/>
  <c r="F38" i="30"/>
  <c r="E39" i="30"/>
  <c r="Z57" i="30"/>
  <c r="Y59" i="30"/>
  <c r="AL19" i="26"/>
  <c r="AK18" i="26"/>
  <c r="F38" i="37"/>
  <c r="E39" i="37"/>
  <c r="E40" i="30"/>
  <c r="F39" i="30"/>
  <c r="Z59" i="30"/>
  <c r="AM19" i="26"/>
  <c r="AA57" i="30"/>
  <c r="AM18" i="26"/>
  <c r="E40" i="37"/>
  <c r="F39" i="37"/>
  <c r="AA59" i="30"/>
  <c r="E41" i="30"/>
  <c r="F40" i="30"/>
  <c r="E41" i="37"/>
  <c r="F40" i="37"/>
  <c r="F41" i="30"/>
  <c r="E42" i="30"/>
  <c r="F42" i="30"/>
  <c r="E42" i="37"/>
  <c r="F42" i="37"/>
  <c r="F41" i="37"/>
  <c r="BU13" i="26" l="1"/>
  <c r="D30" i="27"/>
  <c r="H30" i="27" s="1"/>
  <c r="D21" i="27"/>
  <c r="H21" i="27" s="1"/>
  <c r="D32" i="35"/>
  <c r="D26" i="35"/>
  <c r="J26" i="35" s="1"/>
  <c r="J51" i="35" s="1"/>
  <c r="J52" i="35" s="1"/>
  <c r="X16" i="26" s="1"/>
  <c r="D31" i="35"/>
  <c r="J31" i="35" s="1"/>
  <c r="O51" i="35" s="1"/>
  <c r="O52" i="35" s="1"/>
  <c r="AC16" i="26" s="1"/>
  <c r="BI13" i="26"/>
  <c r="BE13" i="26"/>
  <c r="AW13" i="26"/>
  <c r="BX13" i="26"/>
  <c r="BD13" i="26"/>
  <c r="CH13" i="26"/>
  <c r="BZ13" i="26"/>
  <c r="BR13" i="26"/>
  <c r="BJ13" i="26"/>
  <c r="AP13" i="26"/>
  <c r="D23" i="36"/>
  <c r="H23" i="36" s="1"/>
  <c r="C9" i="10"/>
  <c r="C8" i="10" s="1"/>
  <c r="BA20" i="26"/>
  <c r="BB20" i="26" s="1"/>
  <c r="BC20" i="26" s="1"/>
  <c r="BD20" i="26" s="1"/>
  <c r="BE20" i="26" s="1"/>
  <c r="BF20" i="26" s="1"/>
  <c r="BG20" i="26" s="1"/>
  <c r="BH20" i="26" s="1"/>
  <c r="BI20" i="26" s="1"/>
  <c r="BJ20" i="26" s="1"/>
  <c r="BK20" i="26" s="1"/>
  <c r="BL20" i="26" s="1"/>
  <c r="AP18" i="26"/>
  <c r="AQ19" i="26"/>
  <c r="O18" i="26"/>
  <c r="E16" i="32"/>
  <c r="L12" i="26"/>
  <c r="D18" i="32"/>
  <c r="BM32" i="26"/>
  <c r="H11" i="32"/>
  <c r="CB13" i="26"/>
  <c r="J25" i="32"/>
  <c r="I25" i="32"/>
  <c r="E15" i="32"/>
  <c r="BS33" i="26"/>
  <c r="BP32" i="26"/>
  <c r="G17" i="32"/>
  <c r="D12" i="26"/>
  <c r="D16" i="32"/>
  <c r="AD18" i="26"/>
  <c r="F15" i="32" s="1"/>
  <c r="Z18" i="26"/>
  <c r="F16" i="32"/>
  <c r="BO33" i="26"/>
  <c r="BL32" i="26"/>
  <c r="AJ39" i="26"/>
  <c r="AJ34" i="26" s="1"/>
  <c r="AJ31" i="26" s="1"/>
  <c r="AG39" i="26"/>
  <c r="CE13" i="26"/>
  <c r="BO13" i="26"/>
  <c r="BK13" i="26"/>
  <c r="D10" i="32"/>
  <c r="I11" i="32"/>
  <c r="BF13" i="26"/>
  <c r="BQ13" i="26"/>
  <c r="I13" i="32"/>
  <c r="BA13" i="26"/>
  <c r="CA35" i="26"/>
  <c r="CA34" i="26" s="1"/>
  <c r="CA31" i="26" s="1"/>
  <c r="BC35" i="26"/>
  <c r="BC34" i="26" s="1"/>
  <c r="BC31" i="26" s="1"/>
  <c r="CH35" i="26"/>
  <c r="CH34" i="26" s="1"/>
  <c r="CH31" i="26" s="1"/>
  <c r="CG35" i="26"/>
  <c r="BY35" i="26"/>
  <c r="C32" i="32"/>
  <c r="BP35" i="26"/>
  <c r="BP34" i="26" s="1"/>
  <c r="BP31" i="26" s="1"/>
  <c r="AF35" i="26"/>
  <c r="AF34" i="26" s="1"/>
  <c r="AF31" i="26" s="1"/>
  <c r="AO35" i="26"/>
  <c r="AO34" i="26" s="1"/>
  <c r="AO31" i="26" s="1"/>
  <c r="S35" i="26"/>
  <c r="S34" i="26" s="1"/>
  <c r="S31" i="26" s="1"/>
  <c r="CE35" i="26"/>
  <c r="BM35" i="26"/>
  <c r="BO35" i="26"/>
  <c r="BO34" i="26" s="1"/>
  <c r="BO31" i="26" s="1"/>
  <c r="CB35" i="26"/>
  <c r="AE35" i="26"/>
  <c r="AE34" i="26" s="1"/>
  <c r="AE31" i="26" s="1"/>
  <c r="AG25" i="26"/>
  <c r="AJ25" i="26" s="1"/>
  <c r="AM25" i="26" s="1"/>
  <c r="AP25" i="26" s="1"/>
  <c r="C38" i="32"/>
  <c r="CG41" i="26"/>
  <c r="C15" i="26"/>
  <c r="C27" i="26"/>
  <c r="T27" i="26" s="1"/>
  <c r="E22" i="32"/>
  <c r="C21" i="26"/>
  <c r="C19" i="32"/>
  <c r="C17" i="26"/>
  <c r="C13" i="32"/>
  <c r="C10" i="32" s="1"/>
  <c r="C14" i="26"/>
  <c r="H16" i="33"/>
  <c r="G75" i="33" s="1"/>
  <c r="D35" i="34"/>
  <c r="J35" i="34" s="1"/>
  <c r="S51" i="34" s="1"/>
  <c r="S52" i="34" s="1"/>
  <c r="AG15" i="26" s="1"/>
  <c r="D40" i="34"/>
  <c r="J40" i="34" s="1"/>
  <c r="X51" i="34" s="1"/>
  <c r="X52" i="34" s="1"/>
  <c r="AL15" i="26" s="1"/>
  <c r="D39" i="34"/>
  <c r="D25" i="34"/>
  <c r="J25" i="34" s="1"/>
  <c r="I51" i="34" s="1"/>
  <c r="I52" i="34" s="1"/>
  <c r="W15" i="26" s="1"/>
  <c r="D33" i="34"/>
  <c r="D38" i="34"/>
  <c r="D36" i="34"/>
  <c r="D34" i="34"/>
  <c r="J34" i="34" s="1"/>
  <c r="R51" i="34" s="1"/>
  <c r="R52" i="34" s="1"/>
  <c r="AF15" i="26" s="1"/>
  <c r="D27" i="34"/>
  <c r="J41" i="36"/>
  <c r="Y51" i="36" s="1"/>
  <c r="Y52" i="36" s="1"/>
  <c r="AM17" i="26" s="1"/>
  <c r="H41" i="36"/>
  <c r="I41" i="36" s="1"/>
  <c r="BV13" i="26"/>
  <c r="CG13" i="26"/>
  <c r="CC13" i="26"/>
  <c r="BM13" i="26"/>
  <c r="D41" i="35"/>
  <c r="B30" i="26"/>
  <c r="B27" i="32" s="1"/>
  <c r="D24" i="27"/>
  <c r="H24" i="27" s="1"/>
  <c r="D32" i="27"/>
  <c r="J32" i="27" s="1"/>
  <c r="P51" i="27" s="1"/>
  <c r="P52" i="27" s="1"/>
  <c r="AD14" i="26" s="1"/>
  <c r="D33" i="35"/>
  <c r="J33" i="35" s="1"/>
  <c r="Q51" i="35" s="1"/>
  <c r="Q52" i="35" s="1"/>
  <c r="AE16" i="26" s="1"/>
  <c r="CF13" i="26"/>
  <c r="J11" i="32"/>
  <c r="BT13" i="26"/>
  <c r="BP13" i="26"/>
  <c r="BL13" i="26"/>
  <c r="BH13" i="26"/>
  <c r="AZ13" i="26"/>
  <c r="AV13" i="26"/>
  <c r="AR13" i="26"/>
  <c r="AO13" i="26"/>
  <c r="AO12" i="26" s="1"/>
  <c r="AO11" i="26" s="1"/>
  <c r="CI13" i="26"/>
  <c r="CA13" i="26"/>
  <c r="BW13" i="26"/>
  <c r="BS13" i="26"/>
  <c r="BC13" i="26"/>
  <c r="AU13" i="26"/>
  <c r="AQ13" i="26"/>
  <c r="CD13" i="26"/>
  <c r="BN13" i="26"/>
  <c r="BB13" i="26"/>
  <c r="AX13" i="26"/>
  <c r="AT13" i="26"/>
  <c r="G56" i="23"/>
  <c r="AJ24" i="26"/>
  <c r="AM24" i="26" s="1"/>
  <c r="AP24" i="26" s="1"/>
  <c r="F21" i="32"/>
  <c r="X22" i="26"/>
  <c r="C18" i="26"/>
  <c r="C15" i="32"/>
  <c r="AS25" i="26"/>
  <c r="AV25" i="26" s="1"/>
  <c r="AY25" i="26" s="1"/>
  <c r="BB25" i="26" s="1"/>
  <c r="R36" i="26"/>
  <c r="T36" i="26"/>
  <c r="E33" i="32" s="1"/>
  <c r="P26" i="26"/>
  <c r="T26" i="26"/>
  <c r="A30" i="26"/>
  <c r="A27" i="32" s="1"/>
  <c r="C33" i="32"/>
  <c r="O37" i="26"/>
  <c r="C16" i="10"/>
  <c r="G48" i="23"/>
  <c r="O42" i="26"/>
  <c r="C39" i="32"/>
  <c r="S23" i="26"/>
  <c r="Q21" i="26"/>
  <c r="CE34" i="26"/>
  <c r="CE31" i="26" s="1"/>
  <c r="AQ35" i="26"/>
  <c r="AQ34" i="26" s="1"/>
  <c r="AQ31" i="26" s="1"/>
  <c r="BD35" i="26"/>
  <c r="BD34" i="26" s="1"/>
  <c r="BD31" i="26" s="1"/>
  <c r="BA35" i="26"/>
  <c r="C16" i="32"/>
  <c r="T37" i="26"/>
  <c r="E34" i="32" s="1"/>
  <c r="E14" i="10"/>
  <c r="AM40" i="26"/>
  <c r="AM34" i="26" s="1"/>
  <c r="AR40" i="26"/>
  <c r="G37" i="32" s="1"/>
  <c r="R26" i="26"/>
  <c r="CE41" i="26"/>
  <c r="CB41" i="26"/>
  <c r="C23" i="32"/>
  <c r="T35" i="26"/>
  <c r="Q35" i="26"/>
  <c r="AC35" i="26"/>
  <c r="AR35" i="26"/>
  <c r="C62" i="33"/>
  <c r="B56" i="23"/>
  <c r="B42" i="26" s="1"/>
  <c r="B39" i="32" s="1"/>
  <c r="E21" i="32"/>
  <c r="F37" i="32"/>
  <c r="C37" i="32"/>
  <c r="R34" i="26"/>
  <c r="R31" i="26" s="1"/>
  <c r="O36" i="26"/>
  <c r="G47" i="33"/>
  <c r="G78" i="33" s="1"/>
  <c r="AL39" i="26"/>
  <c r="AL34" i="26" s="1"/>
  <c r="AL31" i="26" s="1"/>
  <c r="C36" i="32"/>
  <c r="AG34" i="26"/>
  <c r="AG31" i="26" s="1"/>
  <c r="Y34" i="26"/>
  <c r="Y31" i="26" s="1"/>
  <c r="E35" i="32"/>
  <c r="AD38" i="26"/>
  <c r="AD34" i="26" s="1"/>
  <c r="AD31" i="26" s="1"/>
  <c r="C34" i="26"/>
  <c r="C31" i="32" s="1"/>
  <c r="C35" i="32"/>
  <c r="AB38" i="26"/>
  <c r="H32" i="35"/>
  <c r="J32" i="35"/>
  <c r="P51" i="35" s="1"/>
  <c r="P52" i="35" s="1"/>
  <c r="AD16" i="26" s="1"/>
  <c r="E18" i="27"/>
  <c r="D19" i="27"/>
  <c r="D25" i="27"/>
  <c r="D29" i="27"/>
  <c r="D38" i="27"/>
  <c r="D36" i="27"/>
  <c r="D42" i="27"/>
  <c r="H42" i="27" s="1"/>
  <c r="D40" i="27"/>
  <c r="D34" i="27"/>
  <c r="D27" i="27"/>
  <c r="H26" i="27"/>
  <c r="I26" i="27" s="1"/>
  <c r="J20" i="27"/>
  <c r="D51" i="27" s="1"/>
  <c r="D52" i="27" s="1"/>
  <c r="R14" i="26" s="1"/>
  <c r="D37" i="27"/>
  <c r="J37" i="27" s="1"/>
  <c r="U51" i="27" s="1"/>
  <c r="U52" i="27" s="1"/>
  <c r="AI14" i="26" s="1"/>
  <c r="D23" i="27"/>
  <c r="D31" i="27"/>
  <c r="D41" i="27"/>
  <c r="D23" i="35"/>
  <c r="BG13" i="26"/>
  <c r="AY13" i="26"/>
  <c r="F38" i="10"/>
  <c r="B42" i="23"/>
  <c r="F30" i="10"/>
  <c r="D30" i="10"/>
  <c r="D40" i="36"/>
  <c r="H40" i="36" s="1"/>
  <c r="D31" i="36"/>
  <c r="J31" i="36" s="1"/>
  <c r="O51" i="36" s="1"/>
  <c r="O52" i="36" s="1"/>
  <c r="AC17" i="26" s="1"/>
  <c r="D42" i="36"/>
  <c r="J21" i="27"/>
  <c r="E51" i="27" s="1"/>
  <c r="J30" i="27"/>
  <c r="N51" i="27" s="1"/>
  <c r="N52" i="27" s="1"/>
  <c r="AB14" i="26" s="1"/>
  <c r="D22" i="35"/>
  <c r="D24" i="35"/>
  <c r="D19" i="35"/>
  <c r="D42" i="35"/>
  <c r="G63" i="33"/>
  <c r="C43" i="26"/>
  <c r="C40" i="32" s="1"/>
  <c r="J18" i="27"/>
  <c r="B51" i="27" s="1"/>
  <c r="B52" i="27" s="1"/>
  <c r="P14" i="26" s="1"/>
  <c r="D35" i="27"/>
  <c r="D33" i="27"/>
  <c r="D28" i="27"/>
  <c r="H18" i="27"/>
  <c r="D39" i="27"/>
  <c r="H39" i="27" s="1"/>
  <c r="D22" i="27"/>
  <c r="H25" i="34"/>
  <c r="D21" i="35"/>
  <c r="D38" i="35"/>
  <c r="H38" i="35" s="1"/>
  <c r="G57" i="23"/>
  <c r="I12" i="32"/>
  <c r="H12" i="32"/>
  <c r="J13" i="32"/>
  <c r="J14" i="32"/>
  <c r="A13" i="26"/>
  <c r="A10" i="32" s="1"/>
  <c r="BY13" i="26"/>
  <c r="D24" i="34"/>
  <c r="D22" i="34"/>
  <c r="H33" i="35"/>
  <c r="I33" i="35" s="1"/>
  <c r="H35" i="34"/>
  <c r="D39" i="32"/>
  <c r="D33" i="36"/>
  <c r="D38" i="36"/>
  <c r="D32" i="36"/>
  <c r="D19" i="34"/>
  <c r="D29" i="34"/>
  <c r="D32" i="34"/>
  <c r="D42" i="34"/>
  <c r="D26" i="34"/>
  <c r="D23" i="34"/>
  <c r="D21" i="34"/>
  <c r="D41" i="34"/>
  <c r="D31" i="34"/>
  <c r="D28" i="34"/>
  <c r="D30" i="34"/>
  <c r="D20" i="34"/>
  <c r="D18" i="34"/>
  <c r="D37" i="34"/>
  <c r="B18" i="26"/>
  <c r="B15" i="32" s="1"/>
  <c r="A18" i="26"/>
  <c r="A15" i="32" s="1"/>
  <c r="A32" i="23"/>
  <c r="D19" i="36"/>
  <c r="D35" i="36"/>
  <c r="D30" i="36"/>
  <c r="D20" i="36"/>
  <c r="D18" i="36"/>
  <c r="D37" i="36"/>
  <c r="D28" i="36"/>
  <c r="D34" i="36"/>
  <c r="D39" i="36"/>
  <c r="D36" i="36"/>
  <c r="D27" i="36"/>
  <c r="J12" i="32"/>
  <c r="H13" i="32"/>
  <c r="I14" i="32"/>
  <c r="H14" i="32"/>
  <c r="D24" i="36"/>
  <c r="D22" i="36"/>
  <c r="D25" i="36"/>
  <c r="D21" i="36"/>
  <c r="D26" i="36"/>
  <c r="D29" i="36"/>
  <c r="D29" i="35"/>
  <c r="D40" i="35"/>
  <c r="D35" i="35"/>
  <c r="D30" i="35"/>
  <c r="D20" i="35"/>
  <c r="D18" i="35"/>
  <c r="D37" i="35"/>
  <c r="D28" i="35"/>
  <c r="D25" i="35"/>
  <c r="D34" i="35"/>
  <c r="D39" i="35"/>
  <c r="D36" i="35"/>
  <c r="D27" i="35"/>
  <c r="A21" i="26"/>
  <c r="A18" i="32" s="1"/>
  <c r="A35" i="23"/>
  <c r="A28" i="26"/>
  <c r="A25" i="32" s="1"/>
  <c r="F36" i="10"/>
  <c r="F34" i="10"/>
  <c r="F35" i="10"/>
  <c r="C39" i="10"/>
  <c r="I30" i="25"/>
  <c r="C30" i="26"/>
  <c r="C27" i="32"/>
  <c r="G64" i="33"/>
  <c r="F33" i="10"/>
  <c r="D33" i="10"/>
  <c r="F32" i="10"/>
  <c r="F31" i="10"/>
  <c r="I26" i="25"/>
  <c r="G28" i="10"/>
  <c r="F28" i="10" s="1"/>
  <c r="D29" i="10"/>
  <c r="AA42" i="26" l="1"/>
  <c r="AA31" i="26" s="1"/>
  <c r="I32" i="35"/>
  <c r="H31" i="35"/>
  <c r="I31" i="35" s="1"/>
  <c r="H26" i="35"/>
  <c r="I26" i="35" s="1"/>
  <c r="I21" i="27"/>
  <c r="H40" i="34"/>
  <c r="I40" i="34" s="1"/>
  <c r="D43" i="27"/>
  <c r="J39" i="27"/>
  <c r="W51" i="27" s="1"/>
  <c r="W52" i="27" s="1"/>
  <c r="AK14" i="26" s="1"/>
  <c r="J23" i="36"/>
  <c r="G51" i="36" s="1"/>
  <c r="G52" i="36" s="1"/>
  <c r="U17" i="26" s="1"/>
  <c r="H32" i="27"/>
  <c r="I32" i="27" s="1"/>
  <c r="CG34" i="26"/>
  <c r="CG31" i="26" s="1"/>
  <c r="AR19" i="26"/>
  <c r="AQ18" i="26"/>
  <c r="I10" i="32"/>
  <c r="CJ38" i="26"/>
  <c r="AQ12" i="26"/>
  <c r="AQ11" i="26" s="1"/>
  <c r="BM20" i="26"/>
  <c r="BN20" i="26" s="1"/>
  <c r="BO20" i="26" s="1"/>
  <c r="BP20" i="26" s="1"/>
  <c r="BQ20" i="26" s="1"/>
  <c r="BR20" i="26" s="1"/>
  <c r="BS20" i="26" s="1"/>
  <c r="BT20" i="26" s="1"/>
  <c r="BU20" i="26" s="1"/>
  <c r="BV20" i="26" s="1"/>
  <c r="BW20" i="26" s="1"/>
  <c r="BX20" i="26" s="1"/>
  <c r="BO32" i="26"/>
  <c r="BR33" i="26"/>
  <c r="BS32" i="26"/>
  <c r="BV33" i="26"/>
  <c r="O12" i="26"/>
  <c r="D15" i="32"/>
  <c r="D9" i="32" s="1"/>
  <c r="H17" i="32"/>
  <c r="V27" i="26"/>
  <c r="V21" i="26" s="1"/>
  <c r="P27" i="26"/>
  <c r="P21" i="26" s="1"/>
  <c r="AA27" i="26"/>
  <c r="J32" i="32"/>
  <c r="BY34" i="26"/>
  <c r="BY31" i="26" s="1"/>
  <c r="R27" i="26"/>
  <c r="R21" i="26" s="1"/>
  <c r="G32" i="32"/>
  <c r="F22" i="32"/>
  <c r="BM34" i="26"/>
  <c r="BM31" i="26" s="1"/>
  <c r="I32" i="32"/>
  <c r="CJ40" i="26"/>
  <c r="X27" i="26"/>
  <c r="CJ39" i="26"/>
  <c r="I18" i="27"/>
  <c r="H36" i="34"/>
  <c r="J36" i="34"/>
  <c r="T51" i="34" s="1"/>
  <c r="T52" i="34" s="1"/>
  <c r="AH15" i="26" s="1"/>
  <c r="J39" i="34"/>
  <c r="W51" i="34" s="1"/>
  <c r="W52" i="34" s="1"/>
  <c r="AK15" i="26" s="1"/>
  <c r="H39" i="34"/>
  <c r="J10" i="32"/>
  <c r="H31" i="36"/>
  <c r="I31" i="36" s="1"/>
  <c r="J40" i="36"/>
  <c r="X51" i="36" s="1"/>
  <c r="X52" i="36" s="1"/>
  <c r="AL17" i="26" s="1"/>
  <c r="H34" i="34"/>
  <c r="I34" i="34" s="1"/>
  <c r="E19" i="27"/>
  <c r="E20" i="27" s="1"/>
  <c r="E21" i="27" s="1"/>
  <c r="E22" i="27" s="1"/>
  <c r="E23" i="27" s="1"/>
  <c r="E24" i="27" s="1"/>
  <c r="E25" i="27" s="1"/>
  <c r="E26" i="27" s="1"/>
  <c r="E27" i="27" s="1"/>
  <c r="E28" i="27" s="1"/>
  <c r="H38" i="34"/>
  <c r="J38" i="34"/>
  <c r="V51" i="34" s="1"/>
  <c r="V52" i="34" s="1"/>
  <c r="AJ15" i="26" s="1"/>
  <c r="I35" i="34"/>
  <c r="I25" i="34"/>
  <c r="J24" i="27"/>
  <c r="H51" i="27" s="1"/>
  <c r="H52" i="27" s="1"/>
  <c r="V14" i="26" s="1"/>
  <c r="J41" i="35"/>
  <c r="Y51" i="35" s="1"/>
  <c r="Y52" i="35" s="1"/>
  <c r="AM16" i="26" s="1"/>
  <c r="H41" i="35"/>
  <c r="J27" i="34"/>
  <c r="K51" i="34" s="1"/>
  <c r="K52" i="34" s="1"/>
  <c r="Y15" i="26" s="1"/>
  <c r="H27" i="34"/>
  <c r="H33" i="34"/>
  <c r="J33" i="34"/>
  <c r="Q51" i="34" s="1"/>
  <c r="Q52" i="34" s="1"/>
  <c r="AE15" i="26" s="1"/>
  <c r="F32" i="32"/>
  <c r="AC34" i="26"/>
  <c r="AC31" i="26" s="1"/>
  <c r="J38" i="32"/>
  <c r="CJ41" i="26"/>
  <c r="S21" i="26"/>
  <c r="U23" i="26"/>
  <c r="CJ26" i="26"/>
  <c r="E23" i="32"/>
  <c r="BE25" i="26"/>
  <c r="BH25" i="26" s="1"/>
  <c r="BK25" i="26" s="1"/>
  <c r="E32" i="32"/>
  <c r="CJ35" i="26"/>
  <c r="Q34" i="26"/>
  <c r="Q31" i="26" s="1"/>
  <c r="H32" i="32"/>
  <c r="BA34" i="26"/>
  <c r="BA31" i="26" s="1"/>
  <c r="AS24" i="26"/>
  <c r="T34" i="26"/>
  <c r="T31" i="26" s="1"/>
  <c r="D34" i="32"/>
  <c r="CJ37" i="26"/>
  <c r="G22" i="32"/>
  <c r="CI43" i="26"/>
  <c r="AR34" i="26"/>
  <c r="AR31" i="26" s="1"/>
  <c r="CB34" i="26"/>
  <c r="CB31" i="26" s="1"/>
  <c r="T21" i="26"/>
  <c r="X21" i="26"/>
  <c r="AA22" i="26"/>
  <c r="O34" i="26"/>
  <c r="D31" i="32" s="1"/>
  <c r="D33" i="32"/>
  <c r="CJ36" i="26"/>
  <c r="F36" i="32"/>
  <c r="AB34" i="26"/>
  <c r="AB31" i="26" s="1"/>
  <c r="F35" i="32"/>
  <c r="J24" i="35"/>
  <c r="H51" i="35" s="1"/>
  <c r="H52" i="35" s="1"/>
  <c r="V16" i="26" s="1"/>
  <c r="H24" i="35"/>
  <c r="H23" i="35"/>
  <c r="J23" i="35"/>
  <c r="G51" i="35" s="1"/>
  <c r="G52" i="35" s="1"/>
  <c r="U16" i="26" s="1"/>
  <c r="H22" i="27"/>
  <c r="J22" i="27"/>
  <c r="J22" i="35"/>
  <c r="F51" i="35" s="1"/>
  <c r="F52" i="35" s="1"/>
  <c r="T16" i="26" s="1"/>
  <c r="H22" i="35"/>
  <c r="I30" i="27"/>
  <c r="H10" i="32"/>
  <c r="J38" i="35"/>
  <c r="V51" i="35" s="1"/>
  <c r="V52" i="35" s="1"/>
  <c r="AJ16" i="26" s="1"/>
  <c r="H37" i="27"/>
  <c r="I37" i="27" s="1"/>
  <c r="H22" i="34"/>
  <c r="J22" i="34"/>
  <c r="F51" i="34" s="1"/>
  <c r="F52" i="34" s="1"/>
  <c r="T15" i="26" s="1"/>
  <c r="J35" i="27"/>
  <c r="S51" i="27" s="1"/>
  <c r="S52" i="27" s="1"/>
  <c r="AG14" i="26" s="1"/>
  <c r="H35" i="27"/>
  <c r="J42" i="35"/>
  <c r="Z51" i="35" s="1"/>
  <c r="Z52" i="35" s="1"/>
  <c r="AN16" i="26" s="1"/>
  <c r="G13" i="32" s="1"/>
  <c r="H42" i="35"/>
  <c r="J42" i="36"/>
  <c r="Z51" i="36" s="1"/>
  <c r="Z52" i="36" s="1"/>
  <c r="AN17" i="26" s="1"/>
  <c r="G14" i="32" s="1"/>
  <c r="H42" i="36"/>
  <c r="H31" i="27"/>
  <c r="J31" i="27"/>
  <c r="O51" i="27" s="1"/>
  <c r="O52" i="27" s="1"/>
  <c r="AC14" i="26" s="1"/>
  <c r="J27" i="27"/>
  <c r="K51" i="27" s="1"/>
  <c r="K52" i="27" s="1"/>
  <c r="Y14" i="26" s="1"/>
  <c r="H27" i="27"/>
  <c r="H36" i="27"/>
  <c r="J36" i="27"/>
  <c r="T51" i="27" s="1"/>
  <c r="T52" i="27" s="1"/>
  <c r="AH14" i="26" s="1"/>
  <c r="H19" i="27"/>
  <c r="J19" i="27"/>
  <c r="C51" i="27" s="1"/>
  <c r="C52" i="27" s="1"/>
  <c r="Q14" i="26" s="1"/>
  <c r="H28" i="27"/>
  <c r="J28" i="27"/>
  <c r="L51" i="27" s="1"/>
  <c r="L52" i="27" s="1"/>
  <c r="Z14" i="26" s="1"/>
  <c r="H40" i="27"/>
  <c r="J40" i="27"/>
  <c r="X51" i="27" s="1"/>
  <c r="X52" i="27" s="1"/>
  <c r="AL14" i="26" s="1"/>
  <c r="H29" i="27"/>
  <c r="J29" i="27"/>
  <c r="M51" i="27" s="1"/>
  <c r="M52" i="27" s="1"/>
  <c r="AA14" i="26" s="1"/>
  <c r="J21" i="35"/>
  <c r="E51" i="35" s="1"/>
  <c r="E52" i="35" s="1"/>
  <c r="S16" i="26" s="1"/>
  <c r="H21" i="35"/>
  <c r="H33" i="27"/>
  <c r="J33" i="27"/>
  <c r="Q51" i="27" s="1"/>
  <c r="Q52" i="27" s="1"/>
  <c r="AE14" i="26" s="1"/>
  <c r="H41" i="27"/>
  <c r="J41" i="27"/>
  <c r="Y51" i="27" s="1"/>
  <c r="Y52" i="27" s="1"/>
  <c r="AM14" i="26" s="1"/>
  <c r="H25" i="27"/>
  <c r="J25" i="27"/>
  <c r="I51" i="27" s="1"/>
  <c r="I52" i="27" s="1"/>
  <c r="W14" i="26" s="1"/>
  <c r="I20" i="27"/>
  <c r="J42" i="27"/>
  <c r="I42" i="27" s="1"/>
  <c r="H24" i="34"/>
  <c r="J24" i="34"/>
  <c r="H51" i="34" s="1"/>
  <c r="H52" i="34" s="1"/>
  <c r="V15" i="26" s="1"/>
  <c r="H19" i="35"/>
  <c r="J19" i="35"/>
  <c r="C51" i="35" s="1"/>
  <c r="C52" i="35" s="1"/>
  <c r="Q16" i="26" s="1"/>
  <c r="H23" i="27"/>
  <c r="J23" i="27"/>
  <c r="G51" i="27" s="1"/>
  <c r="G52" i="27" s="1"/>
  <c r="U14" i="26" s="1"/>
  <c r="J34" i="27"/>
  <c r="R51" i="27" s="1"/>
  <c r="R52" i="27" s="1"/>
  <c r="AF14" i="26" s="1"/>
  <c r="H34" i="27"/>
  <c r="J38" i="27"/>
  <c r="V51" i="27" s="1"/>
  <c r="V52" i="27" s="1"/>
  <c r="AJ14" i="26" s="1"/>
  <c r="H38" i="27"/>
  <c r="I38" i="27" s="1"/>
  <c r="J30" i="34"/>
  <c r="N51" i="34" s="1"/>
  <c r="N52" i="34" s="1"/>
  <c r="AB15" i="26" s="1"/>
  <c r="H30" i="34"/>
  <c r="H21" i="34"/>
  <c r="J21" i="34"/>
  <c r="E51" i="34" s="1"/>
  <c r="E52" i="34" s="1"/>
  <c r="S15" i="26" s="1"/>
  <c r="H32" i="34"/>
  <c r="J32" i="34"/>
  <c r="P51" i="34" s="1"/>
  <c r="P52" i="34" s="1"/>
  <c r="AD15" i="26" s="1"/>
  <c r="H38" i="36"/>
  <c r="J38" i="36"/>
  <c r="V51" i="36" s="1"/>
  <c r="V52" i="36" s="1"/>
  <c r="AJ17" i="26" s="1"/>
  <c r="Z51" i="27"/>
  <c r="Z52" i="27" s="1"/>
  <c r="AN14" i="26" s="1"/>
  <c r="H39" i="35"/>
  <c r="J39" i="35"/>
  <c r="W51" i="35" s="1"/>
  <c r="W52" i="35" s="1"/>
  <c r="AK16" i="26" s="1"/>
  <c r="H37" i="35"/>
  <c r="J37" i="35"/>
  <c r="U51" i="35" s="1"/>
  <c r="U52" i="35" s="1"/>
  <c r="AI16" i="26" s="1"/>
  <c r="H35" i="35"/>
  <c r="J35" i="35"/>
  <c r="S51" i="35" s="1"/>
  <c r="S52" i="35" s="1"/>
  <c r="AG16" i="26" s="1"/>
  <c r="H26" i="36"/>
  <c r="J26" i="36"/>
  <c r="J51" i="36" s="1"/>
  <c r="J52" i="36" s="1"/>
  <c r="X17" i="26" s="1"/>
  <c r="H25" i="36"/>
  <c r="J25" i="36"/>
  <c r="I51" i="36" s="1"/>
  <c r="I52" i="36" s="1"/>
  <c r="W17" i="26" s="1"/>
  <c r="J36" i="36"/>
  <c r="T51" i="36" s="1"/>
  <c r="T52" i="36" s="1"/>
  <c r="AH17" i="26" s="1"/>
  <c r="H36" i="36"/>
  <c r="H37" i="36"/>
  <c r="J37" i="36"/>
  <c r="U51" i="36" s="1"/>
  <c r="U52" i="36" s="1"/>
  <c r="AI17" i="26" s="1"/>
  <c r="H35" i="36"/>
  <c r="J35" i="36"/>
  <c r="S51" i="36" s="1"/>
  <c r="S52" i="36" s="1"/>
  <c r="AG17" i="26" s="1"/>
  <c r="J18" i="34"/>
  <c r="H18" i="34"/>
  <c r="E18" i="34"/>
  <c r="D43" i="34"/>
  <c r="J31" i="34"/>
  <c r="O51" i="34" s="1"/>
  <c r="O52" i="34" s="1"/>
  <c r="AC15" i="26" s="1"/>
  <c r="H31" i="34"/>
  <c r="J26" i="34"/>
  <c r="J51" i="34" s="1"/>
  <c r="J52" i="34" s="1"/>
  <c r="X15" i="26" s="1"/>
  <c r="H26" i="34"/>
  <c r="H19" i="34"/>
  <c r="J19" i="34"/>
  <c r="C51" i="34" s="1"/>
  <c r="C52" i="34" s="1"/>
  <c r="Q15" i="26" s="1"/>
  <c r="E52" i="27"/>
  <c r="J34" i="35"/>
  <c r="R51" i="35" s="1"/>
  <c r="R52" i="35" s="1"/>
  <c r="AF16" i="26" s="1"/>
  <c r="H34" i="35"/>
  <c r="H18" i="35"/>
  <c r="D43" i="35"/>
  <c r="J18" i="35"/>
  <c r="E18" i="35"/>
  <c r="H40" i="35"/>
  <c r="J40" i="35"/>
  <c r="X51" i="35" s="1"/>
  <c r="X52" i="35" s="1"/>
  <c r="AL16" i="26" s="1"/>
  <c r="AL13" i="26" s="1"/>
  <c r="AL12" i="26" s="1"/>
  <c r="AL11" i="26" s="1"/>
  <c r="J21" i="36"/>
  <c r="E51" i="36" s="1"/>
  <c r="E52" i="36" s="1"/>
  <c r="S17" i="26" s="1"/>
  <c r="H21" i="36"/>
  <c r="J22" i="36"/>
  <c r="F51" i="36" s="1"/>
  <c r="F52" i="36" s="1"/>
  <c r="T17" i="26" s="1"/>
  <c r="H22" i="36"/>
  <c r="H27" i="35"/>
  <c r="J27" i="35"/>
  <c r="K51" i="35" s="1"/>
  <c r="K52" i="35" s="1"/>
  <c r="Y16" i="26" s="1"/>
  <c r="H25" i="35"/>
  <c r="J25" i="35"/>
  <c r="I51" i="35" s="1"/>
  <c r="I52" i="35" s="1"/>
  <c r="W16" i="26" s="1"/>
  <c r="H20" i="35"/>
  <c r="J20" i="35"/>
  <c r="D51" i="35" s="1"/>
  <c r="D52" i="35" s="1"/>
  <c r="R16" i="26" s="1"/>
  <c r="H29" i="35"/>
  <c r="J29" i="35"/>
  <c r="M51" i="35" s="1"/>
  <c r="M52" i="35" s="1"/>
  <c r="AA16" i="26" s="1"/>
  <c r="J24" i="36"/>
  <c r="H51" i="36" s="1"/>
  <c r="H52" i="36" s="1"/>
  <c r="V17" i="26" s="1"/>
  <c r="H24" i="36"/>
  <c r="J34" i="36"/>
  <c r="R51" i="36" s="1"/>
  <c r="R52" i="36" s="1"/>
  <c r="AF17" i="26" s="1"/>
  <c r="H34" i="36"/>
  <c r="I34" i="36" s="1"/>
  <c r="H20" i="36"/>
  <c r="J20" i="36"/>
  <c r="D51" i="36" s="1"/>
  <c r="D52" i="36" s="1"/>
  <c r="R17" i="26" s="1"/>
  <c r="J36" i="35"/>
  <c r="T51" i="35" s="1"/>
  <c r="T52" i="35" s="1"/>
  <c r="AH16" i="26" s="1"/>
  <c r="H36" i="35"/>
  <c r="I36" i="35" s="1"/>
  <c r="J28" i="35"/>
  <c r="L51" i="35" s="1"/>
  <c r="L52" i="35" s="1"/>
  <c r="Z16" i="26" s="1"/>
  <c r="H28" i="35"/>
  <c r="J30" i="35"/>
  <c r="N51" i="35" s="1"/>
  <c r="N52" i="35" s="1"/>
  <c r="AB16" i="26" s="1"/>
  <c r="H30" i="35"/>
  <c r="H29" i="36"/>
  <c r="J29" i="36"/>
  <c r="M51" i="36" s="1"/>
  <c r="M52" i="36" s="1"/>
  <c r="AA17" i="26" s="1"/>
  <c r="CJ43" i="26"/>
  <c r="H27" i="36"/>
  <c r="J27" i="36"/>
  <c r="K51" i="36" s="1"/>
  <c r="K52" i="36" s="1"/>
  <c r="Y17" i="26" s="1"/>
  <c r="J28" i="36"/>
  <c r="L51" i="36" s="1"/>
  <c r="L52" i="36" s="1"/>
  <c r="Z17" i="26" s="1"/>
  <c r="H28" i="36"/>
  <c r="J30" i="36"/>
  <c r="N51" i="36" s="1"/>
  <c r="N52" i="36" s="1"/>
  <c r="AB17" i="26" s="1"/>
  <c r="H30" i="36"/>
  <c r="H37" i="34"/>
  <c r="J37" i="34"/>
  <c r="U51" i="34" s="1"/>
  <c r="U52" i="34" s="1"/>
  <c r="AI15" i="26" s="1"/>
  <c r="J28" i="34"/>
  <c r="L51" i="34" s="1"/>
  <c r="L52" i="34" s="1"/>
  <c r="Z15" i="26" s="1"/>
  <c r="H28" i="34"/>
  <c r="J23" i="34"/>
  <c r="G51" i="34" s="1"/>
  <c r="G52" i="34" s="1"/>
  <c r="U15" i="26" s="1"/>
  <c r="H23" i="34"/>
  <c r="H29" i="34"/>
  <c r="J29" i="34"/>
  <c r="M51" i="34" s="1"/>
  <c r="M52" i="34" s="1"/>
  <c r="AA15" i="26" s="1"/>
  <c r="H33" i="36"/>
  <c r="J33" i="36"/>
  <c r="Q51" i="36" s="1"/>
  <c r="Q52" i="36" s="1"/>
  <c r="AE17" i="26" s="1"/>
  <c r="AE13" i="26" s="1"/>
  <c r="AE12" i="26" s="1"/>
  <c r="AE11" i="26" s="1"/>
  <c r="H39" i="36"/>
  <c r="J39" i="36"/>
  <c r="W51" i="36" s="1"/>
  <c r="W52" i="36" s="1"/>
  <c r="AK17" i="26" s="1"/>
  <c r="H18" i="36"/>
  <c r="D43" i="36"/>
  <c r="J18" i="36"/>
  <c r="E18" i="36"/>
  <c r="J19" i="36"/>
  <c r="C51" i="36" s="1"/>
  <c r="C52" i="36" s="1"/>
  <c r="Q17" i="26" s="1"/>
  <c r="H19" i="36"/>
  <c r="J20" i="34"/>
  <c r="D51" i="34" s="1"/>
  <c r="D52" i="34" s="1"/>
  <c r="R15" i="26" s="1"/>
  <c r="H20" i="34"/>
  <c r="J41" i="34"/>
  <c r="Y51" i="34" s="1"/>
  <c r="Y52" i="34" s="1"/>
  <c r="AM15" i="26" s="1"/>
  <c r="H41" i="34"/>
  <c r="H42" i="34"/>
  <c r="J42" i="34"/>
  <c r="Z51" i="34" s="1"/>
  <c r="Z52" i="34" s="1"/>
  <c r="AN15" i="26" s="1"/>
  <c r="G12" i="32" s="1"/>
  <c r="H32" i="36"/>
  <c r="J32" i="36"/>
  <c r="P51" i="36" s="1"/>
  <c r="P52" i="36" s="1"/>
  <c r="AD17" i="26" s="1"/>
  <c r="D34" i="10"/>
  <c r="G47" i="23"/>
  <c r="I29" i="25"/>
  <c r="I28" i="25" s="1"/>
  <c r="AV30" i="26"/>
  <c r="AM30" i="26"/>
  <c r="AS30" i="26"/>
  <c r="G59" i="33"/>
  <c r="I25" i="25"/>
  <c r="I9" i="25" s="1"/>
  <c r="G43" i="23"/>
  <c r="D28" i="10"/>
  <c r="I8" i="25" l="1"/>
  <c r="O31" i="26"/>
  <c r="O11" i="26" s="1"/>
  <c r="D44" i="26" s="1"/>
  <c r="AM42" i="26"/>
  <c r="AM31" i="26" s="1"/>
  <c r="E39" i="32"/>
  <c r="J40" i="32"/>
  <c r="I24" i="27"/>
  <c r="I39" i="27"/>
  <c r="AC13" i="26"/>
  <c r="AC12" i="26" s="1"/>
  <c r="AC11" i="26" s="1"/>
  <c r="I28" i="27"/>
  <c r="I27" i="35"/>
  <c r="I35" i="27"/>
  <c r="I22" i="35"/>
  <c r="I33" i="34"/>
  <c r="I39" i="34"/>
  <c r="I30" i="36"/>
  <c r="I36" i="36"/>
  <c r="I29" i="35"/>
  <c r="I42" i="35"/>
  <c r="I28" i="34"/>
  <c r="I36" i="34"/>
  <c r="I40" i="27"/>
  <c r="I34" i="27"/>
  <c r="I29" i="27"/>
  <c r="I19" i="27"/>
  <c r="AG13" i="26"/>
  <c r="I19" i="34"/>
  <c r="I40" i="36"/>
  <c r="I23" i="36"/>
  <c r="I18" i="36"/>
  <c r="I29" i="36"/>
  <c r="I21" i="35"/>
  <c r="I27" i="27"/>
  <c r="I38" i="34"/>
  <c r="F11" i="32"/>
  <c r="CJ25" i="26"/>
  <c r="BU33" i="26"/>
  <c r="BR32" i="26"/>
  <c r="I17" i="32"/>
  <c r="AS19" i="26"/>
  <c r="AR18" i="26"/>
  <c r="AR12" i="26" s="1"/>
  <c r="AR11" i="26" s="1"/>
  <c r="AA13" i="26"/>
  <c r="BV32" i="26"/>
  <c r="BY33" i="26"/>
  <c r="BY20" i="26"/>
  <c r="BZ20" i="26" s="1"/>
  <c r="CA20" i="26" s="1"/>
  <c r="CB20" i="26" s="1"/>
  <c r="CC20" i="26" s="1"/>
  <c r="CD20" i="26" s="1"/>
  <c r="CE20" i="26" s="1"/>
  <c r="CF20" i="26" s="1"/>
  <c r="CG20" i="26" s="1"/>
  <c r="CH20" i="26" s="1"/>
  <c r="CI20" i="26" s="1"/>
  <c r="E31" i="32"/>
  <c r="E24" i="32"/>
  <c r="CJ27" i="26"/>
  <c r="I31" i="32"/>
  <c r="AK13" i="26"/>
  <c r="AK12" i="26" s="1"/>
  <c r="AK11" i="26" s="1"/>
  <c r="I32" i="36"/>
  <c r="AM13" i="26"/>
  <c r="I39" i="36"/>
  <c r="I28" i="35"/>
  <c r="I22" i="36"/>
  <c r="I26" i="34"/>
  <c r="I38" i="36"/>
  <c r="I21" i="34"/>
  <c r="I36" i="27"/>
  <c r="I23" i="35"/>
  <c r="I41" i="35"/>
  <c r="I20" i="34"/>
  <c r="I18" i="35"/>
  <c r="I30" i="34"/>
  <c r="I33" i="27"/>
  <c r="I42" i="36"/>
  <c r="I41" i="25"/>
  <c r="U13" i="26"/>
  <c r="I37" i="34"/>
  <c r="I30" i="35"/>
  <c r="V13" i="26"/>
  <c r="V12" i="26" s="1"/>
  <c r="V11" i="26" s="1"/>
  <c r="I21" i="36"/>
  <c r="I34" i="35"/>
  <c r="I31" i="34"/>
  <c r="I18" i="34"/>
  <c r="I37" i="36"/>
  <c r="I24" i="34"/>
  <c r="I25" i="27"/>
  <c r="I41" i="27"/>
  <c r="I22" i="34"/>
  <c r="I27" i="34"/>
  <c r="W23" i="26"/>
  <c r="U21" i="26"/>
  <c r="AV24" i="26"/>
  <c r="AY24" i="26" s="1"/>
  <c r="BB24" i="26" s="1"/>
  <c r="H31" i="32"/>
  <c r="AD22" i="26"/>
  <c r="E19" i="32"/>
  <c r="J31" i="32"/>
  <c r="G21" i="32"/>
  <c r="CJ34" i="26"/>
  <c r="G31" i="32"/>
  <c r="H22" i="32"/>
  <c r="F31" i="32"/>
  <c r="I40" i="35"/>
  <c r="I26" i="36"/>
  <c r="I42" i="34"/>
  <c r="I23" i="34"/>
  <c r="I27" i="36"/>
  <c r="I32" i="34"/>
  <c r="I31" i="27"/>
  <c r="I22" i="27"/>
  <c r="F51" i="27"/>
  <c r="F52" i="27" s="1"/>
  <c r="T14" i="26" s="1"/>
  <c r="T13" i="26" s="1"/>
  <c r="T12" i="26" s="1"/>
  <c r="T11" i="26" s="1"/>
  <c r="I37" i="35"/>
  <c r="I19" i="35"/>
  <c r="I38" i="35"/>
  <c r="J43" i="27"/>
  <c r="I28" i="36"/>
  <c r="W13" i="26"/>
  <c r="G27" i="32"/>
  <c r="I41" i="34"/>
  <c r="I33" i="36"/>
  <c r="Z13" i="26"/>
  <c r="Z12" i="26" s="1"/>
  <c r="Z11" i="26" s="1"/>
  <c r="I24" i="36"/>
  <c r="I25" i="35"/>
  <c r="X13" i="26"/>
  <c r="I35" i="36"/>
  <c r="I25" i="36"/>
  <c r="I35" i="35"/>
  <c r="I39" i="35"/>
  <c r="AJ13" i="26"/>
  <c r="I23" i="27"/>
  <c r="I24" i="35"/>
  <c r="E29" i="27"/>
  <c r="AF13" i="26"/>
  <c r="AF12" i="26" s="1"/>
  <c r="AF11" i="26" s="1"/>
  <c r="R13" i="26"/>
  <c r="I29" i="34"/>
  <c r="Y13" i="26"/>
  <c r="F39" i="32"/>
  <c r="AY42" i="26"/>
  <c r="AY31" i="26" s="1"/>
  <c r="B51" i="35"/>
  <c r="J43" i="35"/>
  <c r="S14" i="26"/>
  <c r="Q13" i="26"/>
  <c r="Q12" i="26" s="1"/>
  <c r="Q11" i="26" s="1"/>
  <c r="I19" i="36"/>
  <c r="F13" i="32"/>
  <c r="I20" i="36"/>
  <c r="I20" i="35"/>
  <c r="J43" i="34"/>
  <c r="B51" i="34"/>
  <c r="E19" i="36"/>
  <c r="AI13" i="26"/>
  <c r="AI12" i="26" s="1"/>
  <c r="AI11" i="26" s="1"/>
  <c r="E19" i="35"/>
  <c r="E19" i="34"/>
  <c r="B51" i="36"/>
  <c r="J43" i="36"/>
  <c r="F14" i="32"/>
  <c r="AH13" i="26"/>
  <c r="AH12" i="26" s="1"/>
  <c r="AH11" i="26" s="1"/>
  <c r="G11" i="32"/>
  <c r="G10" i="32" s="1"/>
  <c r="AN13" i="26"/>
  <c r="AN12" i="26" s="1"/>
  <c r="AN11" i="26" s="1"/>
  <c r="AD13" i="26"/>
  <c r="F12" i="32"/>
  <c r="AB13" i="26"/>
  <c r="AB12" i="26" s="1"/>
  <c r="AB11" i="26" s="1"/>
  <c r="G45" i="23"/>
  <c r="C31" i="26" s="1"/>
  <c r="C28" i="32" s="1"/>
  <c r="G46" i="23"/>
  <c r="C32" i="26" s="1"/>
  <c r="C29" i="32" s="1"/>
  <c r="C15" i="10"/>
  <c r="C14" i="10" s="1"/>
  <c r="C19" i="10" s="1"/>
  <c r="G61" i="33"/>
  <c r="G65" i="33" s="1"/>
  <c r="G81" i="33" s="1"/>
  <c r="G82" i="33" s="1"/>
  <c r="C33" i="26"/>
  <c r="CJ30" i="26"/>
  <c r="F27" i="32"/>
  <c r="C26" i="32"/>
  <c r="C29" i="26"/>
  <c r="R29" i="26" s="1"/>
  <c r="G42" i="23"/>
  <c r="G26" i="23"/>
  <c r="C12" i="26" s="1"/>
  <c r="F10" i="32" l="1"/>
  <c r="I43" i="34"/>
  <c r="I44" i="34" s="1"/>
  <c r="I45" i="34" s="1"/>
  <c r="BX33" i="26"/>
  <c r="BU32" i="26"/>
  <c r="J17" i="32"/>
  <c r="AT19" i="26"/>
  <c r="AS18" i="26"/>
  <c r="CJ20" i="26"/>
  <c r="CB33" i="26"/>
  <c r="BY32" i="26"/>
  <c r="I43" i="36"/>
  <c r="I44" i="36" s="1"/>
  <c r="I45" i="36" s="1"/>
  <c r="AA51" i="27"/>
  <c r="AA52" i="27" s="1"/>
  <c r="I43" i="27"/>
  <c r="I44" i="27" s="1"/>
  <c r="I45" i="27" s="1"/>
  <c r="BE24" i="26"/>
  <c r="BH24" i="26" s="1"/>
  <c r="BK24" i="26" s="1"/>
  <c r="AG22" i="26"/>
  <c r="AD21" i="26"/>
  <c r="Y23" i="26"/>
  <c r="W21" i="26"/>
  <c r="G25" i="23"/>
  <c r="C11" i="26" s="1"/>
  <c r="I43" i="35"/>
  <c r="I44" i="35" s="1"/>
  <c r="I45" i="35" s="1"/>
  <c r="B53" i="27"/>
  <c r="S13" i="26"/>
  <c r="S12" i="26" s="1"/>
  <c r="S11" i="26" s="1"/>
  <c r="CJ14" i="26"/>
  <c r="E11" i="32"/>
  <c r="B52" i="34"/>
  <c r="AA51" i="34"/>
  <c r="AA52" i="34" s="1"/>
  <c r="AA51" i="35"/>
  <c r="AA52" i="35" s="1"/>
  <c r="B52" i="35"/>
  <c r="E20" i="34"/>
  <c r="G39" i="32"/>
  <c r="BK42" i="26"/>
  <c r="BK31" i="26" s="1"/>
  <c r="E30" i="27"/>
  <c r="E20" i="36"/>
  <c r="B52" i="36"/>
  <c r="AA51" i="36"/>
  <c r="AA52" i="36" s="1"/>
  <c r="E20" i="35"/>
  <c r="H81" i="33"/>
  <c r="F33" i="26"/>
  <c r="C30" i="32"/>
  <c r="H77" i="33"/>
  <c r="H80" i="33"/>
  <c r="H79" i="33"/>
  <c r="H76" i="33"/>
  <c r="H75" i="33"/>
  <c r="H78" i="33"/>
  <c r="C28" i="26"/>
  <c r="C25" i="32"/>
  <c r="C9" i="32" s="1"/>
  <c r="C41" i="32" s="1"/>
  <c r="R28" i="26"/>
  <c r="U29" i="26"/>
  <c r="H21" i="32" l="1"/>
  <c r="AT18" i="26"/>
  <c r="AT12" i="26" s="1"/>
  <c r="AT11" i="26" s="1"/>
  <c r="AU19" i="26"/>
  <c r="CB32" i="26"/>
  <c r="CE33" i="26"/>
  <c r="CA33" i="26"/>
  <c r="BX32" i="26"/>
  <c r="CJ24" i="26"/>
  <c r="W12" i="26"/>
  <c r="W11" i="26" s="1"/>
  <c r="AJ22" i="26"/>
  <c r="AG21" i="26"/>
  <c r="Y21" i="26"/>
  <c r="Y12" i="26" s="1"/>
  <c r="Y11" i="26" s="1"/>
  <c r="AA23" i="26"/>
  <c r="AA21" i="26" s="1"/>
  <c r="E21" i="36"/>
  <c r="E21" i="35"/>
  <c r="H39" i="32"/>
  <c r="BW42" i="26"/>
  <c r="BW31" i="26" s="1"/>
  <c r="E21" i="34"/>
  <c r="B53" i="34"/>
  <c r="P15" i="26"/>
  <c r="P16" i="26"/>
  <c r="B53" i="35"/>
  <c r="P17" i="26"/>
  <c r="B53" i="36"/>
  <c r="E31" i="27"/>
  <c r="F32" i="26"/>
  <c r="I33" i="26"/>
  <c r="X29" i="26"/>
  <c r="U28" i="26"/>
  <c r="U12" i="26" s="1"/>
  <c r="U11" i="26" s="1"/>
  <c r="R12" i="26"/>
  <c r="R11" i="26" s="1"/>
  <c r="H82" i="33"/>
  <c r="CE32" i="26" l="1"/>
  <c r="CH33" i="26"/>
  <c r="CH32" i="26" s="1"/>
  <c r="CA32" i="26"/>
  <c r="CD33" i="26"/>
  <c r="AV19" i="26"/>
  <c r="AU18" i="26"/>
  <c r="AU12" i="26" s="1"/>
  <c r="AU11" i="26" s="1"/>
  <c r="CJ23" i="26"/>
  <c r="AJ21" i="26"/>
  <c r="AM22" i="26"/>
  <c r="F19" i="32" s="1"/>
  <c r="E18" i="32"/>
  <c r="E20" i="32"/>
  <c r="E14" i="32"/>
  <c r="CJ17" i="26"/>
  <c r="I39" i="32"/>
  <c r="CI42" i="26"/>
  <c r="CI31" i="26" s="1"/>
  <c r="E22" i="35"/>
  <c r="E32" i="27"/>
  <c r="E13" i="32"/>
  <c r="CJ16" i="26"/>
  <c r="E22" i="34"/>
  <c r="E12" i="32"/>
  <c r="CJ15" i="26"/>
  <c r="P13" i="26"/>
  <c r="P12" i="26" s="1"/>
  <c r="P11" i="26" s="1"/>
  <c r="E22" i="36"/>
  <c r="I32" i="26"/>
  <c r="L33" i="26"/>
  <c r="X28" i="26"/>
  <c r="AA29" i="26"/>
  <c r="CD32" i="26" l="1"/>
  <c r="CG33" i="26"/>
  <c r="CG32" i="26" s="1"/>
  <c r="AW19" i="26"/>
  <c r="AV18" i="26"/>
  <c r="E10" i="32"/>
  <c r="AP22" i="26"/>
  <c r="AM21" i="26"/>
  <c r="F18" i="32" s="1"/>
  <c r="E23" i="36"/>
  <c r="J39" i="32"/>
  <c r="CJ42" i="26"/>
  <c r="CJ31" i="26" s="1"/>
  <c r="CJ13" i="26"/>
  <c r="E23" i="35"/>
  <c r="E23" i="34"/>
  <c r="E33" i="27"/>
  <c r="L32" i="26"/>
  <c r="O33" i="26"/>
  <c r="D30" i="32" s="1"/>
  <c r="AA28" i="26"/>
  <c r="AA12" i="26" s="1"/>
  <c r="AA11" i="26" s="1"/>
  <c r="AD29" i="26"/>
  <c r="E26" i="32"/>
  <c r="X12" i="26"/>
  <c r="X11" i="26" s="1"/>
  <c r="E25" i="32"/>
  <c r="E9" i="32" s="1"/>
  <c r="AW18" i="26" l="1"/>
  <c r="AW12" i="26" s="1"/>
  <c r="AW11" i="26" s="1"/>
  <c r="AX19" i="26"/>
  <c r="AS22" i="26"/>
  <c r="AP21" i="26"/>
  <c r="E34" i="27"/>
  <c r="E24" i="35"/>
  <c r="E24" i="34"/>
  <c r="E24" i="36"/>
  <c r="R33" i="26"/>
  <c r="O32" i="26"/>
  <c r="AG29" i="26"/>
  <c r="AD28" i="26"/>
  <c r="AX18" i="26" l="1"/>
  <c r="AX12" i="26" s="1"/>
  <c r="AX11" i="26" s="1"/>
  <c r="AY19" i="26"/>
  <c r="AV22" i="26"/>
  <c r="AS21" i="26"/>
  <c r="E25" i="34"/>
  <c r="E35" i="27"/>
  <c r="E25" i="36"/>
  <c r="E25" i="35"/>
  <c r="D29" i="32"/>
  <c r="D28" i="32"/>
  <c r="D41" i="32" s="1"/>
  <c r="U33" i="26"/>
  <c r="R32" i="26"/>
  <c r="AD12" i="26"/>
  <c r="AD11" i="26" s="1"/>
  <c r="AJ29" i="26"/>
  <c r="AG28" i="26"/>
  <c r="AG12" i="26" s="1"/>
  <c r="AG11" i="26" s="1"/>
  <c r="AZ19" i="26" l="1"/>
  <c r="AY18" i="26"/>
  <c r="G15" i="32" s="1"/>
  <c r="G16" i="32"/>
  <c r="AY22" i="26"/>
  <c r="AV21" i="26"/>
  <c r="E26" i="36"/>
  <c r="E26" i="34"/>
  <c r="E36" i="27"/>
  <c r="E26" i="35"/>
  <c r="D42" i="32"/>
  <c r="D43" i="32"/>
  <c r="U32" i="26"/>
  <c r="X33" i="26"/>
  <c r="AM29" i="26"/>
  <c r="AJ28" i="26"/>
  <c r="AJ12" i="26" s="1"/>
  <c r="AJ11" i="26" s="1"/>
  <c r="BA19" i="26" l="1"/>
  <c r="AZ18" i="26"/>
  <c r="AY21" i="26"/>
  <c r="G18" i="32" s="1"/>
  <c r="BB22" i="26"/>
  <c r="G19" i="32"/>
  <c r="E27" i="36"/>
  <c r="E37" i="27"/>
  <c r="E27" i="35"/>
  <c r="E27" i="34"/>
  <c r="O44" i="26"/>
  <c r="X32" i="26"/>
  <c r="AA33" i="26"/>
  <c r="E30" i="32" s="1"/>
  <c r="AP29" i="26"/>
  <c r="AM28" i="26"/>
  <c r="F26" i="32"/>
  <c r="AZ12" i="26" l="1"/>
  <c r="AZ11" i="26" s="1"/>
  <c r="BB19" i="26"/>
  <c r="BA18" i="26"/>
  <c r="BA12" i="26" s="1"/>
  <c r="BA11" i="26" s="1"/>
  <c r="BB21" i="26"/>
  <c r="BE22" i="26"/>
  <c r="E38" i="27"/>
  <c r="E28" i="34"/>
  <c r="E28" i="35"/>
  <c r="E28" i="36"/>
  <c r="AD33" i="26"/>
  <c r="AA32" i="26"/>
  <c r="AM12" i="26"/>
  <c r="AM11" i="26" s="1"/>
  <c r="F25" i="32"/>
  <c r="F9" i="32" s="1"/>
  <c r="AS29" i="26"/>
  <c r="AP28" i="26"/>
  <c r="BC19" i="26" l="1"/>
  <c r="BB18" i="26"/>
  <c r="BH22" i="26"/>
  <c r="BE21" i="26"/>
  <c r="E29" i="36"/>
  <c r="E29" i="34"/>
  <c r="E39" i="27"/>
  <c r="E29" i="35"/>
  <c r="E29" i="32"/>
  <c r="AD32" i="26"/>
  <c r="AG33" i="26"/>
  <c r="AP12" i="26"/>
  <c r="AP11" i="26" s="1"/>
  <c r="AS28" i="26"/>
  <c r="AS12" i="26" s="1"/>
  <c r="AS11" i="26" s="1"/>
  <c r="AV29" i="26"/>
  <c r="BD19" i="26" l="1"/>
  <c r="BC18" i="26"/>
  <c r="BC12" i="26" s="1"/>
  <c r="BC11" i="26" s="1"/>
  <c r="BK22" i="26"/>
  <c r="H19" i="32" s="1"/>
  <c r="BH21" i="26"/>
  <c r="E30" i="35"/>
  <c r="E30" i="34"/>
  <c r="E40" i="27"/>
  <c r="E30" i="36"/>
  <c r="AJ33" i="26"/>
  <c r="AG32" i="26"/>
  <c r="U44" i="26"/>
  <c r="E28" i="32"/>
  <c r="E41" i="32" s="1"/>
  <c r="AY29" i="26"/>
  <c r="AV28" i="26"/>
  <c r="AV12" i="26" s="1"/>
  <c r="AV11" i="26" s="1"/>
  <c r="BE19" i="26" l="1"/>
  <c r="BD18" i="26"/>
  <c r="BD12" i="26" s="1"/>
  <c r="BD11" i="26" s="1"/>
  <c r="BK21" i="26"/>
  <c r="H18" i="32" s="1"/>
  <c r="BN22" i="26"/>
  <c r="E31" i="36"/>
  <c r="E31" i="34"/>
  <c r="E41" i="27"/>
  <c r="E31" i="35"/>
  <c r="AJ32" i="26"/>
  <c r="AM33" i="26"/>
  <c r="F30" i="32" s="1"/>
  <c r="E43" i="32"/>
  <c r="E42" i="32"/>
  <c r="AA44" i="26"/>
  <c r="BB29" i="26"/>
  <c r="AY28" i="26"/>
  <c r="AY12" i="26" s="1"/>
  <c r="AY11" i="26" s="1"/>
  <c r="G26" i="32"/>
  <c r="BF19" i="26" l="1"/>
  <c r="BE18" i="26"/>
  <c r="BN21" i="26"/>
  <c r="I19" i="32"/>
  <c r="CJ22" i="26"/>
  <c r="CJ21" i="26" s="1"/>
  <c r="E32" i="34"/>
  <c r="E32" i="35"/>
  <c r="E42" i="27"/>
  <c r="F41" i="27" s="1"/>
  <c r="E32" i="36"/>
  <c r="AP33" i="26"/>
  <c r="AM32" i="26"/>
  <c r="G25" i="32"/>
  <c r="G9" i="32" s="1"/>
  <c r="BB28" i="26"/>
  <c r="BE29" i="26"/>
  <c r="BG19" i="26" l="1"/>
  <c r="BF18" i="26"/>
  <c r="BF12" i="26" s="1"/>
  <c r="BF11" i="26" s="1"/>
  <c r="I18" i="32"/>
  <c r="E33" i="36"/>
  <c r="E33" i="35"/>
  <c r="F18" i="27"/>
  <c r="F21" i="27"/>
  <c r="F19" i="27"/>
  <c r="F20" i="27"/>
  <c r="F42" i="27"/>
  <c r="F25" i="27"/>
  <c r="F22" i="27"/>
  <c r="F26" i="27"/>
  <c r="F23" i="27"/>
  <c r="F24" i="27"/>
  <c r="F27" i="27"/>
  <c r="F28" i="27"/>
  <c r="F29" i="27"/>
  <c r="F30" i="27"/>
  <c r="F31" i="27"/>
  <c r="F32" i="27"/>
  <c r="F33" i="27"/>
  <c r="F34" i="27"/>
  <c r="F35" i="27"/>
  <c r="F36" i="27"/>
  <c r="F37" i="27"/>
  <c r="F38" i="27"/>
  <c r="F39" i="27"/>
  <c r="F40" i="27"/>
  <c r="E33" i="34"/>
  <c r="AS33" i="26"/>
  <c r="AP32" i="26"/>
  <c r="F29" i="32"/>
  <c r="AG44" i="26"/>
  <c r="F28" i="32"/>
  <c r="F41" i="32" s="1"/>
  <c r="BH29" i="26"/>
  <c r="BE28" i="26"/>
  <c r="BE12" i="26" s="1"/>
  <c r="BE11" i="26" s="1"/>
  <c r="BB12" i="26"/>
  <c r="BB11" i="26" s="1"/>
  <c r="BH19" i="26" l="1"/>
  <c r="BG18" i="26"/>
  <c r="BG12" i="26" s="1"/>
  <c r="BG11" i="26" s="1"/>
  <c r="E34" i="34"/>
  <c r="E34" i="35"/>
  <c r="E34" i="36"/>
  <c r="F43" i="32"/>
  <c r="F42" i="32"/>
  <c r="AV33" i="26"/>
  <c r="AS32" i="26"/>
  <c r="BK29" i="26"/>
  <c r="BH28" i="26"/>
  <c r="BI19" i="26" l="1"/>
  <c r="BH18" i="26"/>
  <c r="E35" i="36"/>
  <c r="E35" i="35"/>
  <c r="E35" i="34"/>
  <c r="AV32" i="26"/>
  <c r="AY33" i="26"/>
  <c r="G30" i="32" s="1"/>
  <c r="AM44" i="26"/>
  <c r="BK28" i="26"/>
  <c r="CJ29" i="26"/>
  <c r="CJ28" i="26" s="1"/>
  <c r="H26" i="32"/>
  <c r="BH12" i="26"/>
  <c r="BH11" i="26" s="1"/>
  <c r="H25" i="32"/>
  <c r="BJ19" i="26" l="1"/>
  <c r="BI18" i="26"/>
  <c r="BI12" i="26" s="1"/>
  <c r="BI11" i="26" s="1"/>
  <c r="E36" i="35"/>
  <c r="E36" i="34"/>
  <c r="E36" i="36"/>
  <c r="AY32" i="26"/>
  <c r="BB33" i="26"/>
  <c r="BK19" i="26" l="1"/>
  <c r="BJ18" i="26"/>
  <c r="BJ12" i="26" s="1"/>
  <c r="BJ11" i="26" s="1"/>
  <c r="G29" i="32"/>
  <c r="E37" i="34"/>
  <c r="E37" i="36"/>
  <c r="E37" i="35"/>
  <c r="G28" i="32"/>
  <c r="G41" i="32" s="1"/>
  <c r="BE33" i="26"/>
  <c r="BB32" i="26"/>
  <c r="AS44" i="26"/>
  <c r="BL19" i="26" l="1"/>
  <c r="BK18" i="26"/>
  <c r="H16" i="32"/>
  <c r="E38" i="36"/>
  <c r="E38" i="35"/>
  <c r="E38" i="34"/>
  <c r="BH33" i="26"/>
  <c r="BE32" i="26"/>
  <c r="G43" i="32"/>
  <c r="G42" i="32"/>
  <c r="H15" i="32" l="1"/>
  <c r="H9" i="32" s="1"/>
  <c r="BK12" i="26"/>
  <c r="BK11" i="26" s="1"/>
  <c r="BL18" i="26"/>
  <c r="BM19" i="26"/>
  <c r="E39" i="35"/>
  <c r="E39" i="36"/>
  <c r="E39" i="34"/>
  <c r="AY44" i="26"/>
  <c r="BK33" i="26"/>
  <c r="BH32" i="26"/>
  <c r="BM18" i="26" l="1"/>
  <c r="BM12" i="26" s="1"/>
  <c r="BM11" i="26" s="1"/>
  <c r="BN19" i="26"/>
  <c r="BL12" i="26"/>
  <c r="BL11" i="26" s="1"/>
  <c r="E40" i="36"/>
  <c r="E40" i="34"/>
  <c r="E40" i="35"/>
  <c r="BN33" i="26"/>
  <c r="BK32" i="26"/>
  <c r="H30" i="32"/>
  <c r="BO19" i="26" l="1"/>
  <c r="BN18" i="26"/>
  <c r="E41" i="34"/>
  <c r="E41" i="35"/>
  <c r="E41" i="36"/>
  <c r="BE44" i="26"/>
  <c r="H28" i="32"/>
  <c r="H41" i="32" s="1"/>
  <c r="H29" i="32"/>
  <c r="BN32" i="26"/>
  <c r="BQ33" i="26"/>
  <c r="BN12" i="26" l="1"/>
  <c r="BN11" i="26" s="1"/>
  <c r="BP19" i="26"/>
  <c r="BO18" i="26"/>
  <c r="BO12" i="26" s="1"/>
  <c r="BO11" i="26" s="1"/>
  <c r="E42" i="35"/>
  <c r="F41" i="35" s="1"/>
  <c r="E42" i="36"/>
  <c r="E42" i="34"/>
  <c r="BQ32" i="26"/>
  <c r="BT33" i="26"/>
  <c r="H43" i="32"/>
  <c r="H42" i="32"/>
  <c r="BQ19" i="26" l="1"/>
  <c r="BP18" i="26"/>
  <c r="BP12" i="26" s="1"/>
  <c r="BP11" i="26" s="1"/>
  <c r="F42" i="36"/>
  <c r="F18" i="36"/>
  <c r="F19" i="36"/>
  <c r="F20" i="36"/>
  <c r="F21" i="36"/>
  <c r="F22" i="36"/>
  <c r="F23" i="36"/>
  <c r="F24" i="36"/>
  <c r="F25" i="36"/>
  <c r="F26" i="36"/>
  <c r="F27" i="36"/>
  <c r="F28" i="36"/>
  <c r="F29" i="36"/>
  <c r="F30" i="36"/>
  <c r="F31" i="36"/>
  <c r="F32" i="36"/>
  <c r="F33" i="36"/>
  <c r="F34" i="36"/>
  <c r="F35" i="36"/>
  <c r="F36" i="36"/>
  <c r="F37" i="36"/>
  <c r="F38" i="36"/>
  <c r="F39" i="36"/>
  <c r="F40" i="36"/>
  <c r="F41" i="36"/>
  <c r="F42" i="34"/>
  <c r="F18" i="34"/>
  <c r="F19" i="34"/>
  <c r="F20" i="34"/>
  <c r="F21" i="34"/>
  <c r="F22" i="34"/>
  <c r="F23" i="34"/>
  <c r="F24" i="34"/>
  <c r="F25" i="34"/>
  <c r="F26" i="34"/>
  <c r="F27" i="34"/>
  <c r="F28" i="34"/>
  <c r="F29" i="34"/>
  <c r="F30" i="34"/>
  <c r="F31" i="34"/>
  <c r="F32" i="34"/>
  <c r="F33" i="34"/>
  <c r="F34" i="34"/>
  <c r="F35" i="34"/>
  <c r="F36" i="34"/>
  <c r="F37" i="34"/>
  <c r="F38" i="34"/>
  <c r="F39" i="34"/>
  <c r="F40" i="34"/>
  <c r="F41" i="34"/>
  <c r="F42" i="35"/>
  <c r="F18" i="35"/>
  <c r="F19" i="35"/>
  <c r="F20" i="35"/>
  <c r="F21" i="35"/>
  <c r="F22" i="35"/>
  <c r="F23" i="35"/>
  <c r="F24" i="35"/>
  <c r="F25" i="35"/>
  <c r="F26" i="35"/>
  <c r="F27" i="35"/>
  <c r="F28" i="35"/>
  <c r="F29" i="35"/>
  <c r="F30" i="35"/>
  <c r="F31" i="35"/>
  <c r="F32" i="35"/>
  <c r="F33" i="35"/>
  <c r="F34" i="35"/>
  <c r="F35" i="35"/>
  <c r="F36" i="35"/>
  <c r="F37" i="35"/>
  <c r="F38" i="35"/>
  <c r="F39" i="35"/>
  <c r="F40" i="35"/>
  <c r="BW33" i="26"/>
  <c r="I30" i="32" s="1"/>
  <c r="BT32" i="26"/>
  <c r="BR19" i="26" l="1"/>
  <c r="BQ18" i="26"/>
  <c r="BQ12" i="26" s="1"/>
  <c r="BQ11" i="26" s="1"/>
  <c r="BK44" i="26" s="1"/>
  <c r="BW32" i="26"/>
  <c r="BZ33" i="26"/>
  <c r="BS19" i="26" l="1"/>
  <c r="BR18" i="26"/>
  <c r="I28" i="32"/>
  <c r="I29" i="32"/>
  <c r="BZ32" i="26"/>
  <c r="CC33" i="26"/>
  <c r="BT19" i="26" l="1"/>
  <c r="BS18" i="26"/>
  <c r="BS12" i="26" s="1"/>
  <c r="BS11" i="26" s="1"/>
  <c r="BR12" i="26"/>
  <c r="BR11" i="26" s="1"/>
  <c r="CC32" i="26"/>
  <c r="CF33" i="26"/>
  <c r="BT18" i="26" l="1"/>
  <c r="BT12" i="26" s="1"/>
  <c r="BT11" i="26" s="1"/>
  <c r="BU19" i="26"/>
  <c r="CF32" i="26"/>
  <c r="CI33" i="26"/>
  <c r="J30" i="32" s="1"/>
  <c r="BU18" i="26" l="1"/>
  <c r="BU12" i="26" s="1"/>
  <c r="BU11" i="26" s="1"/>
  <c r="BV19" i="26"/>
  <c r="CI32" i="26"/>
  <c r="CJ33" i="26"/>
  <c r="BW19" i="26" l="1"/>
  <c r="BV18" i="26"/>
  <c r="BV12" i="26" s="1"/>
  <c r="BV11" i="26" s="1"/>
  <c r="CJ32" i="26"/>
  <c r="J29" i="32"/>
  <c r="J28" i="32"/>
  <c r="BX19" i="26" l="1"/>
  <c r="BW18" i="26"/>
  <c r="I16" i="32"/>
  <c r="BW12" i="26" l="1"/>
  <c r="I15" i="32"/>
  <c r="I9" i="32" s="1"/>
  <c r="I41" i="32" s="1"/>
  <c r="BX18" i="26"/>
  <c r="BY19" i="26"/>
  <c r="BW11" i="26" l="1"/>
  <c r="BQ44" i="26" s="1"/>
  <c r="BX12" i="26"/>
  <c r="BX11" i="26" s="1"/>
  <c r="I43" i="32"/>
  <c r="I42" i="32"/>
  <c r="BZ19" i="26"/>
  <c r="BY18" i="26"/>
  <c r="BY12" i="26" s="1"/>
  <c r="BY11" i="26" s="1"/>
  <c r="CA19" i="26" l="1"/>
  <c r="BZ18" i="26"/>
  <c r="BZ12" i="26" s="1"/>
  <c r="BZ11" i="26" l="1"/>
  <c r="CB19" i="26"/>
  <c r="CA18" i="26"/>
  <c r="CA12" i="26" s="1"/>
  <c r="CA11" i="26" s="1"/>
  <c r="CB18" i="26" l="1"/>
  <c r="CC19" i="26"/>
  <c r="CC18" i="26" l="1"/>
  <c r="CC12" i="26" s="1"/>
  <c r="CC11" i="26" s="1"/>
  <c r="CD19" i="26"/>
  <c r="CB12" i="26"/>
  <c r="CB11" i="26" s="1"/>
  <c r="BW44" i="26" l="1"/>
  <c r="CE19" i="26"/>
  <c r="CD18" i="26"/>
  <c r="CD12" i="26" s="1"/>
  <c r="CD11" i="26" l="1"/>
  <c r="CE18" i="26"/>
  <c r="CE12" i="26" s="1"/>
  <c r="CE11" i="26" s="1"/>
  <c r="CF19" i="26"/>
  <c r="CF18" i="26" l="1"/>
  <c r="CF12" i="26" s="1"/>
  <c r="CF11" i="26" s="1"/>
  <c r="CG19" i="26"/>
  <c r="CG18" i="26" l="1"/>
  <c r="CG12" i="26" s="1"/>
  <c r="CG11" i="26" s="1"/>
  <c r="CH19" i="26"/>
  <c r="CI19" i="26" l="1"/>
  <c r="CH18" i="26"/>
  <c r="CH12" i="26" s="1"/>
  <c r="CH11" i="26" s="1"/>
  <c r="CI18" i="26" l="1"/>
  <c r="CJ19" i="26"/>
  <c r="CJ18" i="26" s="1"/>
  <c r="CJ12" i="26" s="1"/>
  <c r="J16" i="32"/>
  <c r="CJ11" i="26" l="1"/>
  <c r="CK11" i="26" s="1"/>
  <c r="CI12" i="26"/>
  <c r="CI11" i="26" s="1"/>
  <c r="CC44" i="26" s="1"/>
  <c r="CJ44" i="26" s="1"/>
  <c r="J15" i="32"/>
  <c r="J9" i="32" s="1"/>
  <c r="J41" i="32" s="1"/>
  <c r="J43" i="32" l="1"/>
  <c r="J42" i="32"/>
</calcChain>
</file>

<file path=xl/comments1.xml><?xml version="1.0" encoding="utf-8"?>
<comments xmlns="http://schemas.openxmlformats.org/spreadsheetml/2006/main">
  <authors>
    <author>mrivelli</author>
  </authors>
  <commentList>
    <comment ref="I7" authorId="0" shapeId="0">
      <text>
        <r>
          <rPr>
            <b/>
            <sz val="8"/>
            <color indexed="81"/>
            <rFont val="Tahoma"/>
            <family val="2"/>
          </rPr>
          <t>Fijar la fecha de elaboracion</t>
        </r>
      </text>
    </comment>
  </commentList>
</comments>
</file>

<file path=xl/comments2.xml><?xml version="1.0" encoding="utf-8"?>
<comments xmlns="http://schemas.openxmlformats.org/spreadsheetml/2006/main">
  <authors>
    <author>mrivelli</author>
  </authors>
  <commentList>
    <comment ref="I7" authorId="0" shapeId="0">
      <text>
        <r>
          <rPr>
            <b/>
            <sz val="8"/>
            <color indexed="81"/>
            <rFont val="Tahoma"/>
            <family val="2"/>
          </rPr>
          <t>Fijar la fecha de elaboracion</t>
        </r>
      </text>
    </comment>
  </commentList>
</comments>
</file>

<file path=xl/comments3.xml><?xml version="1.0" encoding="utf-8"?>
<comments xmlns="http://schemas.openxmlformats.org/spreadsheetml/2006/main">
  <authors>
    <author>mrivelli</author>
  </authors>
  <commentList>
    <comment ref="I7" authorId="0" shapeId="0">
      <text>
        <r>
          <rPr>
            <b/>
            <sz val="8"/>
            <color indexed="81"/>
            <rFont val="Tahoma"/>
            <family val="2"/>
          </rPr>
          <t>Fijar la fecha de elaboracion</t>
        </r>
      </text>
    </comment>
  </commentList>
</comments>
</file>

<file path=xl/comments4.xml><?xml version="1.0" encoding="utf-8"?>
<comments xmlns="http://schemas.openxmlformats.org/spreadsheetml/2006/main">
  <authors>
    <author>mrivelli</author>
  </authors>
  <commentList>
    <comment ref="I7" authorId="0" shapeId="0">
      <text>
        <r>
          <rPr>
            <b/>
            <sz val="8"/>
            <color indexed="81"/>
            <rFont val="Tahoma"/>
            <family val="2"/>
          </rPr>
          <t>Fijar la fecha de elaboracion</t>
        </r>
      </text>
    </comment>
  </commentList>
</comments>
</file>

<file path=xl/comments5.xml><?xml version="1.0" encoding="utf-8"?>
<comments xmlns="http://schemas.openxmlformats.org/spreadsheetml/2006/main">
  <authors>
    <author>mrivelli</author>
  </authors>
  <commentList>
    <comment ref="I7" authorId="0" shapeId="0">
      <text>
        <r>
          <rPr>
            <b/>
            <sz val="8"/>
            <color indexed="81"/>
            <rFont val="Tahoma"/>
            <family val="2"/>
          </rPr>
          <t>Fijar la fecha de elaboracion</t>
        </r>
      </text>
    </comment>
  </commentList>
</comments>
</file>

<file path=xl/comments6.xml><?xml version="1.0" encoding="utf-8"?>
<comments xmlns="http://schemas.openxmlformats.org/spreadsheetml/2006/main">
  <authors>
    <author>mrivelli</author>
  </authors>
  <commentList>
    <comment ref="I7" authorId="0" shapeId="0">
      <text>
        <r>
          <rPr>
            <b/>
            <sz val="8"/>
            <color indexed="81"/>
            <rFont val="Tahoma"/>
            <family val="2"/>
          </rPr>
          <t>Fijar la fecha de elaboracion</t>
        </r>
      </text>
    </comment>
  </commentList>
</comments>
</file>

<file path=xl/sharedStrings.xml><?xml version="1.0" encoding="utf-8"?>
<sst xmlns="http://schemas.openxmlformats.org/spreadsheetml/2006/main" count="1326" uniqueCount="400">
  <si>
    <t>Proyecto de Habilitación de la ruta Nº9</t>
  </si>
  <si>
    <t>PR-L1145</t>
  </si>
  <si>
    <t>A</t>
  </si>
  <si>
    <t>Cuadro de costo y financiamiento del Proyecto - POR COMPONENTE</t>
  </si>
  <si>
    <t>DETALLE</t>
  </si>
  <si>
    <t>TOTAL BID</t>
  </si>
  <si>
    <t>(US$)</t>
  </si>
  <si>
    <t>Componente Unico Obras civiles</t>
  </si>
  <si>
    <t>Rehabilitacion</t>
  </si>
  <si>
    <t>Mantenimiento</t>
  </si>
  <si>
    <t>Obras de rehabilitación y Mantenimiento</t>
  </si>
  <si>
    <t>1.1.1</t>
  </si>
  <si>
    <t>Tramo 1: km 50 - km 173</t>
  </si>
  <si>
    <t>1.1.2</t>
  </si>
  <si>
    <t>Tramo 2: km 173 - km 326</t>
  </si>
  <si>
    <t>1.1.3</t>
  </si>
  <si>
    <t>Tramo 3: km 326 - km 450</t>
  </si>
  <si>
    <t>1.1.4</t>
  </si>
  <si>
    <t>Tramo 4: km 450 - km 525, Accesos y Linea 1</t>
  </si>
  <si>
    <t>Otros Costos</t>
  </si>
  <si>
    <t>Administración del programa</t>
  </si>
  <si>
    <t>Auditoria, Monitoreo y Evaluación</t>
  </si>
  <si>
    <t>Gestión Socio Ambiental</t>
  </si>
  <si>
    <t>Escalamientos e Imprevistos</t>
  </si>
  <si>
    <t>TOTAL</t>
  </si>
  <si>
    <t xml:space="preserve">Contrapartida Local </t>
  </si>
  <si>
    <t>Obras de Rehabilitación y Mantenimiento</t>
  </si>
  <si>
    <t>Fiscalización</t>
  </si>
  <si>
    <t xml:space="preserve">Plan de Gestión Ambiental y Social </t>
  </si>
  <si>
    <t>Pago por Servicios Ambientales</t>
  </si>
  <si>
    <t>Administración del Proyecto</t>
  </si>
  <si>
    <t>Evaluaciones, estudios y Auditorias</t>
  </si>
  <si>
    <t>Comisión de Financiamiento (CAF)</t>
  </si>
  <si>
    <t>Gastos de Evaluación (CAF)</t>
  </si>
  <si>
    <t>CUADRO DE COSTO DETALLADO</t>
  </si>
  <si>
    <t>(Expresado en USD.)</t>
  </si>
  <si>
    <t>Operación:</t>
  </si>
  <si>
    <t>Período comprendido:  Año 1 a Año 7</t>
  </si>
  <si>
    <t>Nombre del Componente/Actividad</t>
  </si>
  <si>
    <t>Cateoría de Inversión</t>
  </si>
  <si>
    <t>Nivel</t>
  </si>
  <si>
    <t>Tipo de Contratación</t>
  </si>
  <si>
    <t>Método de Contratación</t>
  </si>
  <si>
    <t>Responsable / Observación</t>
  </si>
  <si>
    <t>Duración de Contrato</t>
  </si>
  <si>
    <t>Costo BID</t>
  </si>
  <si>
    <t>Producto</t>
  </si>
  <si>
    <t>ECATEF/DV</t>
  </si>
  <si>
    <t>Contratación de Firma Constructora para la rehabilitación y mantenimiento del tramo 1: km 50 - km 173 (123 Km) - Lote 1</t>
  </si>
  <si>
    <t>1.1 - Obras de Rehabilitación y Mantenimiento</t>
  </si>
  <si>
    <t>Actividad</t>
  </si>
  <si>
    <t>Obra</t>
  </si>
  <si>
    <t>LPI</t>
  </si>
  <si>
    <t>72 meses</t>
  </si>
  <si>
    <t>Contratación de Firma Constructora para la rehabilitación y mantenimiento del tramo 2: km 173 - km 326 (153 Km) - Lote 2</t>
  </si>
  <si>
    <t>Contratación de Firma Constructora para la rehabilitación y mantenimiento del tramo 3: km 326 - km 450 (124 Km) - Lote 3</t>
  </si>
  <si>
    <t>Contratación de Firma Constructora para la rehabilitación y mantenimiento del tramo 4: km 450 - km 525, accesos y linea 1 - Lote 4</t>
  </si>
  <si>
    <t>1.2.1</t>
  </si>
  <si>
    <t>Contratación de Firma Consultora para la fiscalización de la rehabilitación y mantenimiento de lotes 1 y 2</t>
  </si>
  <si>
    <t>1.3 - Fiscalización de Obras</t>
  </si>
  <si>
    <t>Consultoría</t>
  </si>
  <si>
    <t>SBCC</t>
  </si>
  <si>
    <t>74 meses</t>
  </si>
  <si>
    <t>1.2.2</t>
  </si>
  <si>
    <t>Contratación de Firma Consultora para la fiscalización de la rehabilitación y mantenimiento de lotes 3 y 4</t>
  </si>
  <si>
    <t>1.3.1</t>
  </si>
  <si>
    <t>Monitoreo y Evaluación Socio Ambiental</t>
  </si>
  <si>
    <t>Otros Costos - Gestión Socio Ambiental</t>
  </si>
  <si>
    <t>SCC</t>
  </si>
  <si>
    <t>50 meses</t>
  </si>
  <si>
    <t>1.3.2</t>
  </si>
  <si>
    <t>Contratación Firma Consultora para el Monitoreo de las áreas inundadas por efecto de la barrera de la Ruta</t>
  </si>
  <si>
    <t>12 meses</t>
  </si>
  <si>
    <t>1.3.3</t>
  </si>
  <si>
    <t>Implementación del Plan de Gestión Socio Ambiental</t>
  </si>
  <si>
    <t>48 meses</t>
  </si>
  <si>
    <t>1.3.4</t>
  </si>
  <si>
    <t>Plan de Reasentamiento</t>
  </si>
  <si>
    <t>N/A</t>
  </si>
  <si>
    <t>1.3.5</t>
  </si>
  <si>
    <t>Contratación Firma Consultora para el Apoyo a la Gestión Institucional de Supervisión del PGAS</t>
  </si>
  <si>
    <t>6 meses</t>
  </si>
  <si>
    <t>1.3.6</t>
  </si>
  <si>
    <t>Contratación Firma Consultora para el Apoyo a la Gestión de los Municipios en los Proyectos Viales</t>
  </si>
  <si>
    <t>1.4.1</t>
  </si>
  <si>
    <t>Pagos por Servicios Ambientales</t>
  </si>
  <si>
    <t>Transferencia</t>
  </si>
  <si>
    <t>Administración del Programa</t>
  </si>
  <si>
    <t>2.1.1</t>
  </si>
  <si>
    <t xml:space="preserve">Contratación de la ECATEF para apoyo en la ejecución del Programa </t>
  </si>
  <si>
    <t>Otros Costos - Administración</t>
  </si>
  <si>
    <t>84 meses</t>
  </si>
  <si>
    <t>Auditoria, Monitoreo y Evaluación desarrollados</t>
  </si>
  <si>
    <t>2.2.1</t>
  </si>
  <si>
    <t>Contratación de Firma Consultora para la Auditoria Externa del Proyecto PR-L1145</t>
  </si>
  <si>
    <t>Otros Costos - Auditoria, Monitoreo y Evaluación</t>
  </si>
  <si>
    <t>2.2.2</t>
  </si>
  <si>
    <t>Contratación de Firma Consultora para la Evaluación Final del Proyecto</t>
  </si>
  <si>
    <t>2.2.3</t>
  </si>
  <si>
    <t>Contratíon Firma Consultora para la Capacitación de Funcionarios en Gestión de contratos CREMA</t>
  </si>
  <si>
    <t>2.2.4</t>
  </si>
  <si>
    <t>Contratación Firma Consultora para la Inspección de Seguridad vial en obras concluidas</t>
  </si>
  <si>
    <t>2.2.5</t>
  </si>
  <si>
    <t xml:space="preserve">Contratación Firma Consultora para Innovación tecnológica de red vial secundaria del Chaco y alimentadoras de la Ruta 9 </t>
  </si>
  <si>
    <t>2.2.6</t>
  </si>
  <si>
    <t>Contratación Firma Consultora para el Estudio de alternativas de mantenimiento de red vial en el Chaco</t>
  </si>
  <si>
    <t>2.2.7</t>
  </si>
  <si>
    <t>Contratación Firma Consultora para el  Estudio de viabilidad de uso de bitrenes en la Ruta 9</t>
  </si>
  <si>
    <t>PEP (Plan de Ejecución del Proyecto)</t>
  </si>
  <si>
    <t>COSTO</t>
  </si>
  <si>
    <t>RESPONSABLES</t>
  </si>
  <si>
    <t>Año 1</t>
  </si>
  <si>
    <t>Año 2</t>
  </si>
  <si>
    <t>Año 3</t>
  </si>
  <si>
    <t>Año 4</t>
  </si>
  <si>
    <t>Año 5</t>
  </si>
  <si>
    <t>Año 6</t>
  </si>
  <si>
    <t>Año 7</t>
  </si>
  <si>
    <t>Nombre de la Tarea</t>
  </si>
  <si>
    <t>Plazo de ejecución</t>
  </si>
  <si>
    <t>Proceso Contratación</t>
  </si>
  <si>
    <t>Inicio</t>
  </si>
  <si>
    <t>Fin</t>
  </si>
  <si>
    <t>BID</t>
  </si>
  <si>
    <t>T1</t>
  </si>
  <si>
    <t>T2</t>
  </si>
  <si>
    <t>T3</t>
  </si>
  <si>
    <t>T4</t>
  </si>
  <si>
    <t>Etapa de preparación, aprobación y cumplimiento de condiciones previas</t>
  </si>
  <si>
    <t>A.1</t>
  </si>
  <si>
    <t>Etapa de preparación del Proyecto</t>
  </si>
  <si>
    <t>A.1.1</t>
  </si>
  <si>
    <t xml:space="preserve">Aprobación del perfil </t>
  </si>
  <si>
    <t>A.1.2</t>
  </si>
  <si>
    <t>Preparación del POD</t>
  </si>
  <si>
    <t>A.1.3</t>
  </si>
  <si>
    <t xml:space="preserve">Misión de Análisis </t>
  </si>
  <si>
    <t>A.1.4</t>
  </si>
  <si>
    <t>Revisión interna del POD en el BID</t>
  </si>
  <si>
    <t>A.1.5</t>
  </si>
  <si>
    <t>Misión de Negociación</t>
  </si>
  <si>
    <t>A.1.6</t>
  </si>
  <si>
    <t>Aprobación del Directorio del BID</t>
  </si>
  <si>
    <t>Etapa de aprobación del Contrato de Préstamo</t>
  </si>
  <si>
    <t>A.2.1</t>
  </si>
  <si>
    <t xml:space="preserve">Firma de Contrato BID </t>
  </si>
  <si>
    <t>A.2.2</t>
  </si>
  <si>
    <t>Envío del Contrato de Préstamo al Congreso Nacional</t>
  </si>
  <si>
    <t>A.2.3</t>
  </si>
  <si>
    <t>Ratificación Legislativa</t>
  </si>
  <si>
    <t>A.2.4</t>
  </si>
  <si>
    <t>Preparación de cumplimiento de condiciones previas</t>
  </si>
  <si>
    <t>A.2.5</t>
  </si>
  <si>
    <t xml:space="preserve">Cumplimiento de condiciones previas al primer desembolso </t>
  </si>
  <si>
    <t>Etapa de ejecución del  Programa</t>
  </si>
  <si>
    <t>T2 - Año 1</t>
  </si>
  <si>
    <t>T1 . Año 2</t>
  </si>
  <si>
    <t>T4 - Año 7</t>
  </si>
  <si>
    <t>T1 - Año 1</t>
  </si>
  <si>
    <t>T4 - Año 1</t>
  </si>
  <si>
    <t>T2- Año 1</t>
  </si>
  <si>
    <t>T2- Año 2</t>
  </si>
  <si>
    <t>T2 - Año 6</t>
  </si>
  <si>
    <t>T1 - Año 2</t>
  </si>
  <si>
    <t>T4 - Año 2</t>
  </si>
  <si>
    <t>T4 - Año 5</t>
  </si>
  <si>
    <t>T2 - Año 2</t>
  </si>
  <si>
    <t>T1- Año 1</t>
  </si>
  <si>
    <t>T14- Año 1</t>
  </si>
  <si>
    <t>T1-Año 1</t>
  </si>
  <si>
    <t>T2 - Año 3</t>
  </si>
  <si>
    <t>T3-Año 2</t>
  </si>
  <si>
    <t>T3 - Año 3</t>
  </si>
  <si>
    <t>T4 - Año 3</t>
  </si>
  <si>
    <t>T1- Año 3</t>
  </si>
  <si>
    <t>T1- Año 4</t>
  </si>
  <si>
    <t>T2 - Año 4</t>
  </si>
  <si>
    <t>T4 - Año 6</t>
  </si>
  <si>
    <t>T2 - Año 7</t>
  </si>
  <si>
    <t>POA (Plan de Operaciones Anual)</t>
  </si>
  <si>
    <t>Programación Año 1</t>
  </si>
  <si>
    <t>Meta Año 1</t>
  </si>
  <si>
    <t>Medio de Verificación</t>
  </si>
  <si>
    <t>Inicio de Proceso de Contratación</t>
  </si>
  <si>
    <t>Publicación de llamado</t>
  </si>
  <si>
    <t>Inicio de Proceso de Contratación- Inicio de Ejecución</t>
  </si>
  <si>
    <t>Publicación de llamado - firma del Contrato</t>
  </si>
  <si>
    <t>Inicio de Ejecución</t>
  </si>
  <si>
    <t>Firma del Contrato</t>
  </si>
  <si>
    <t>PLAN FINANCIERO MENSUAL DEL PROGRAMA - FONDOS BID</t>
  </si>
  <si>
    <t>Proyecto de Habilitación de la Ruta Nº9</t>
  </si>
  <si>
    <t>Categoría de Inversión               (2)</t>
  </si>
  <si>
    <t>Trimestre 1</t>
  </si>
  <si>
    <t>Trimestre 2</t>
  </si>
  <si>
    <t>Trimestre 3</t>
  </si>
  <si>
    <t>Trimestre 4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</si>
  <si>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</si>
  <si>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</si>
  <si>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</si>
  <si>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</si>
  <si>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</si>
  <si>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</si>
  <si>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</si>
  <si>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</si>
  <si>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</si>
  <si>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</si>
  <si>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</si>
  <si>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</si>
  <si>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Mes 13</t>
  </si>
  <si>
    <t>Mes 14</t>
  </si>
  <si>
    <t>Mes 15</t>
  </si>
  <si>
    <t>Mes 16</t>
  </si>
  <si>
    <t>Mes 17</t>
  </si>
  <si>
    <t>Mes 18</t>
  </si>
  <si>
    <t>Mes 19</t>
  </si>
  <si>
    <t>Mes 20</t>
  </si>
  <si>
    <t>Mes 21</t>
  </si>
  <si>
    <t>Mes 22</t>
  </si>
  <si>
    <t>Mes 23</t>
  </si>
  <si>
    <t>Mes 24</t>
  </si>
  <si>
    <t>Mes 25</t>
  </si>
  <si>
    <t>Mes 26</t>
  </si>
  <si>
    <t>Mes 27</t>
  </si>
  <si>
    <t>Mes 28</t>
  </si>
  <si>
    <t>Mes 29</t>
  </si>
  <si>
    <t>Mes 30</t>
  </si>
  <si>
    <t>Mes 31</t>
  </si>
  <si>
    <t>Mes 32</t>
  </si>
  <si>
    <t>Mes 33</t>
  </si>
  <si>
    <t>Mes 34</t>
  </si>
  <si>
    <t>Mes 35</t>
  </si>
  <si>
    <t>Mes 36</t>
  </si>
  <si>
    <t>Mes 37</t>
  </si>
  <si>
    <t>Mes 38</t>
  </si>
  <si>
    <t>Mes 39</t>
  </si>
  <si>
    <t>Mes 40</t>
  </si>
  <si>
    <t>Mes 41</t>
  </si>
  <si>
    <t>Mes 42</t>
  </si>
  <si>
    <t>Mes 43</t>
  </si>
  <si>
    <t>Mes 44</t>
  </si>
  <si>
    <t>Mes 45</t>
  </si>
  <si>
    <t>Mes 46</t>
  </si>
  <si>
    <t>Mes 47</t>
  </si>
  <si>
    <t>Mes 48</t>
  </si>
  <si>
    <t>Mes 49</t>
  </si>
  <si>
    <t>Mes 50</t>
  </si>
  <si>
    <t>Mes 51</t>
  </si>
  <si>
    <t>Mes 52</t>
  </si>
  <si>
    <t>Mes 53</t>
  </si>
  <si>
    <t>Mes 54</t>
  </si>
  <si>
    <t>Mes 55</t>
  </si>
  <si>
    <t>Mes 56</t>
  </si>
  <si>
    <t>Mes 57</t>
  </si>
  <si>
    <t>Mes 58</t>
  </si>
  <si>
    <t>Mes 59</t>
  </si>
  <si>
    <t>Mes 60</t>
  </si>
  <si>
    <t>Mes 61</t>
  </si>
  <si>
    <t>Mes 62</t>
  </si>
  <si>
    <t>Mes 63</t>
  </si>
  <si>
    <t>Mes 64</t>
  </si>
  <si>
    <t>Mes 65</t>
  </si>
  <si>
    <t>Mes 66</t>
  </si>
  <si>
    <t>Mes 67</t>
  </si>
  <si>
    <t>Mes 68</t>
  </si>
  <si>
    <t>Mes 69</t>
  </si>
  <si>
    <t>Mes 70</t>
  </si>
  <si>
    <t>Mes 71</t>
  </si>
  <si>
    <t>Mes 72</t>
  </si>
  <si>
    <t>Mes 73</t>
  </si>
  <si>
    <t>Mes 74</t>
  </si>
  <si>
    <t>Mes 75</t>
  </si>
  <si>
    <t>Mes 76</t>
  </si>
  <si>
    <t>Mes 77</t>
  </si>
  <si>
    <t>Mes 78</t>
  </si>
  <si>
    <t>Mes 79</t>
  </si>
  <si>
    <t>Mes 80</t>
  </si>
  <si>
    <t>Mes 81</t>
  </si>
  <si>
    <t>Mes 82</t>
  </si>
  <si>
    <t>Mes 83</t>
  </si>
  <si>
    <t>Mes 84</t>
  </si>
  <si>
    <t>Caledario Project</t>
  </si>
  <si>
    <t>Proyecciòn de desembolso</t>
  </si>
  <si>
    <t>PLAN FINANCIERO ANUAL DEL PROGRAMA</t>
  </si>
  <si>
    <t xml:space="preserve">Categoría de Inversión               </t>
  </si>
  <si>
    <t>TOTAL POR AÑO</t>
  </si>
  <si>
    <t>ACUMULATIVO</t>
  </si>
  <si>
    <t>PLAN DE ADQUISICIONES GLOBAL</t>
  </si>
  <si>
    <t>Proyecto de Habilitación de la Ruta Nº 9</t>
  </si>
  <si>
    <t>INFORMACIÓN PARA CARGA INICIAL DEL PLAN DE ADQUISICIONES (EN CURSO Y/O ULTIMO PRESENTADO)</t>
  </si>
  <si>
    <t>OBRAS</t>
  </si>
  <si>
    <t>Unidad Ejecutora:</t>
  </si>
  <si>
    <t>Actividad:</t>
  </si>
  <si>
    <t>Descripción adicional:</t>
  </si>
  <si>
    <t>Método de Selección/Adquisición
(Seleccionar una de las opciones):</t>
  </si>
  <si>
    <t>Cantidad de Lotes :</t>
  </si>
  <si>
    <t>Número de Proceso:</t>
  </si>
  <si>
    <t xml:space="preserve">Monto Estimado </t>
  </si>
  <si>
    <t>Componente Asociado :</t>
  </si>
  <si>
    <t>Método de Revisión (Seleccionar una de las opciones):</t>
  </si>
  <si>
    <t>Fechas</t>
  </si>
  <si>
    <t>Comentarios</t>
  </si>
  <si>
    <t>Ex-Post</t>
  </si>
  <si>
    <t>Monto Estimado, en u$s :</t>
  </si>
  <si>
    <t>Monto Estimado % BID:</t>
  </si>
  <si>
    <t>Monto Estimado % Contraparte:</t>
  </si>
  <si>
    <t>Aviso Especial de Adquisiciones</t>
  </si>
  <si>
    <t>Ex-Ante</t>
  </si>
  <si>
    <t>Licitación Pública Internacional </t>
  </si>
  <si>
    <t>Comp. 1</t>
  </si>
  <si>
    <t>Previsto</t>
  </si>
  <si>
    <t>TOTAL OBRAS</t>
  </si>
  <si>
    <t>Declaración de Licitación Desierta</t>
  </si>
  <si>
    <t>Rechazo de Ofertas</t>
  </si>
  <si>
    <t>BIENES</t>
  </si>
  <si>
    <t>Contrato En Ejecución</t>
  </si>
  <si>
    <t>Método de Adquisición
(Seleccionar una de las opciones):</t>
  </si>
  <si>
    <t>Contrato Terminado</t>
  </si>
  <si>
    <t>TOTAL BIENES</t>
  </si>
  <si>
    <t>SERVICIOS DE NO CONSULTORÍA</t>
  </si>
  <si>
    <t>Licitación Pública Internacional con Precalificación</t>
  </si>
  <si>
    <t>Licitación Pública Internacional en 2 etapas </t>
  </si>
  <si>
    <t>Documento de Licitación</t>
  </si>
  <si>
    <t>Licitación Pública Internacional por Lotes </t>
  </si>
  <si>
    <t>TOTAL DE SERVICIOS DE NO CONSULTORIA</t>
  </si>
  <si>
    <t>CONSULTORÍAS FIRMAS</t>
  </si>
  <si>
    <t>Selección Basada en la Calidad </t>
  </si>
  <si>
    <t>Descripción adicional (producto relacionado)</t>
  </si>
  <si>
    <t>Selección Basada en la Calidad y Costo </t>
  </si>
  <si>
    <t>Aviso de Expresiones de Interés</t>
  </si>
  <si>
    <t>Selección basada en las calificaciones de los consultores</t>
  </si>
  <si>
    <t>Ex ante</t>
  </si>
  <si>
    <t>TOTAL CONSULTORIAS FIRMAS</t>
  </si>
  <si>
    <t>CONSULTORÍAS INDIVIDUOS</t>
  </si>
  <si>
    <t>Suma Alzada</t>
  </si>
  <si>
    <t>Bienes </t>
  </si>
  <si>
    <t>Cantidad Estimada de Consultores :</t>
  </si>
  <si>
    <t>Llave en mano</t>
  </si>
  <si>
    <t>Obras </t>
  </si>
  <si>
    <t>No Objeción a los TDRs de la Actividad</t>
  </si>
  <si>
    <t>Firma Contrato</t>
  </si>
  <si>
    <t>Precios Unitarios</t>
  </si>
  <si>
    <t>TOTAL CONSULTORIAS INDIVIDUALES</t>
  </si>
  <si>
    <t>Suma global</t>
  </si>
  <si>
    <t>Servicios de No Consultoría </t>
  </si>
  <si>
    <t>Suma global + Gastos Reembolsables</t>
  </si>
  <si>
    <t>Consultoría - Firmas </t>
  </si>
  <si>
    <t>OTROS</t>
  </si>
  <si>
    <t>Tiempo Trabajado</t>
  </si>
  <si>
    <t>Consultoría - Individuos </t>
  </si>
  <si>
    <t>T1-Año 2</t>
  </si>
  <si>
    <t>T4-Año 2</t>
  </si>
  <si>
    <t>TOTAL OTROS</t>
  </si>
  <si>
    <t>Comparación de Precios para Bienes</t>
  </si>
  <si>
    <t>Especificaciones Técnicas</t>
  </si>
  <si>
    <t>SUBPROYECTOS</t>
  </si>
  <si>
    <t>Suministro e instalación de plantas y equipos</t>
  </si>
  <si>
    <t>Objeto de la Transferencia:</t>
  </si>
  <si>
    <t>Cantidad Estimada de Subproyectos:</t>
  </si>
  <si>
    <t>Suministro e instalación de sist. de información</t>
  </si>
  <si>
    <t>Firma del Contrato / Convenio por Adjudicación de los Subproyectos</t>
  </si>
  <si>
    <t>Fecha de 
Transferencia</t>
  </si>
  <si>
    <t>TOTAL SUBPROYECTOS</t>
  </si>
  <si>
    <t>TOTAL CAPACITACIÓN</t>
  </si>
  <si>
    <t>TOTAL OTROS (PAGOS POR SERVICIOS AMBIENTALES)</t>
  </si>
  <si>
    <t>CRONOGRAMA DE DESEMBOLSO ESTIMADO</t>
  </si>
  <si>
    <t xml:space="preserve">OBRA: </t>
  </si>
  <si>
    <t>LONGITUD:</t>
  </si>
  <si>
    <t>CONTRATISTA:</t>
  </si>
  <si>
    <t>FECHA:</t>
  </si>
  <si>
    <t>USD</t>
  </si>
  <si>
    <t>Guaranies (Gs) o Dolares (USD)</t>
  </si>
  <si>
    <t>TASA CAMBIARIA:</t>
  </si>
  <si>
    <t>Gs</t>
  </si>
  <si>
    <t>%  FINANCIACIÓN EXTERNA:</t>
  </si>
  <si>
    <t>(ingresar un valor entre 0 y 100)</t>
  </si>
  <si>
    <t>%  FINANCIACIÓN LOCAL:</t>
  </si>
  <si>
    <t>ANTICIPO %:</t>
  </si>
  <si>
    <t>MES/AÑO:</t>
  </si>
  <si>
    <t>FECHA DEL PRIMER DESEMBOLSO</t>
  </si>
  <si>
    <t>Redondeo:</t>
  </si>
  <si>
    <t>MES</t>
  </si>
  <si>
    <t>PORCENTAJE</t>
  </si>
  <si>
    <t>% AVANCE (Físico)</t>
  </si>
  <si>
    <t xml:space="preserve">MONTO ACUMULADO CON ANTICIPO </t>
  </si>
  <si>
    <t>% AVANCE (Financiero)</t>
  </si>
  <si>
    <t>MES DE DESEMBOLSO</t>
  </si>
  <si>
    <t>IVA DEL MONTO MENSUAL</t>
  </si>
  <si>
    <t>Mes 0</t>
  </si>
  <si>
    <t>Suma:</t>
  </si>
  <si>
    <t>Obs.: Montos de los Desembolsos en Dólares.</t>
  </si>
  <si>
    <t>Diferencia:</t>
  </si>
  <si>
    <t>Anticipo</t>
  </si>
  <si>
    <t>LOCAL</t>
  </si>
  <si>
    <t>EXTERNO</t>
  </si>
  <si>
    <t>Matenimiento</t>
  </si>
  <si>
    <t>total</t>
  </si>
  <si>
    <t>Obs.: Montos de los Desembolsos en Guaranies.</t>
  </si>
  <si>
    <t>45% Variable</t>
  </si>
  <si>
    <t>total + 45%/24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</si>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</sst>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1" formatCode="_(* #,##0_);_(* \(#,##0\);_(* &quot;-&quot;_);_(@_)"/>
    <numFmt numFmtId="43" formatCode="_(* #,##0.00_);_(* \(#,##0.00\);_(* &quot;-&quot;??_);_(@_)"/>
    <numFmt numFmtId="164" formatCode="_ [$€]\ * #,##0.00_ ;_ [$€]\ * \-#,##0.00_ ;_ [$€]\ * &quot;-&quot;??_ ;_ @_ "/>
    <numFmt numFmtId="165" formatCode="#,#00"/>
    <numFmt numFmtId="166" formatCode="\$#,#00"/>
    <numFmt numFmtId="167" formatCode="\$#,"/>
    <numFmt numFmtId="168" formatCode="#.##000"/>
    <numFmt numFmtId="169" formatCode="#.##0,"/>
    <numFmt numFmtId="170" formatCode="_(* #,##0_);_(* \(#,##0\);_(* &quot;-&quot;??_);_(@_)"/>
    <numFmt numFmtId="171" formatCode="0.0%"/>
    <numFmt numFmtId="172" formatCode="[$USD]\ #,##0.00"/>
    <numFmt numFmtId="173" formatCode="_-* #,##0_-;\-* #,##0_-;_-* &quot;-&quot;_-;_-@_-"/>
    <numFmt numFmtId="174" formatCode="#,##0.0"/>
    <numFmt numFmtId="175" formatCode="_-* #,##0.00_-;\-* #,##0.00_-;_-* &quot;-&quot;??_-;_-@_-"/>
    <numFmt numFmtId="176" formatCode="_-&quot;$&quot;\ * #,##0.00_-;\-&quot;$&quot;\ * #,##0.00_-;_-&quot;$&quot;\ * &quot;-&quot;??_-;_-@_-"/>
    <numFmt numFmtId="177" formatCode="_(&quot;Gs&quot;\ * #,##0.00_);_(&quot;Gs&quot;\ * \(#,##0.00\);_(&quot;Gs&quot;\ * &quot;-&quot;??_);_(@_)"/>
    <numFmt numFmtId="178" formatCode="_(* #,##0.0_);_(* \(#,##0.0\);_(* &quot;-&quot;_);_(@_)"/>
    <numFmt numFmtId="179" formatCode="[$-C0A]mmm\-yy;@"/>
    <numFmt numFmtId="180" formatCode="[$-3C0A]mmmm&quot; de &quot;yyyy;@"/>
    <numFmt numFmtId="181" formatCode="dd/mm/yy;@"/>
  </numFmts>
  <fonts count="5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u/>
      <sz val="1"/>
      <color indexed="8"/>
      <name val="Courier"/>
      <family val="3"/>
    </font>
    <font>
      <sz val="10"/>
      <name val="Verdana"/>
      <family val="2"/>
    </font>
    <font>
      <b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0"/>
      <name val="Times New Roman"/>
      <family val="1"/>
    </font>
    <font>
      <b/>
      <sz val="9"/>
      <color rgb="FF000000"/>
      <name val="Times New Roman"/>
      <family val="1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theme="0"/>
      <name val="Times New Roman"/>
      <family val="1"/>
    </font>
    <font>
      <b/>
      <sz val="8"/>
      <color theme="0"/>
      <name val="Times New Roman"/>
      <family val="1"/>
    </font>
    <font>
      <b/>
      <sz val="10"/>
      <color theme="0"/>
      <name val="Times New Roman"/>
      <family val="1"/>
    </font>
    <font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7"/>
      <name val="Calibri"/>
      <family val="2"/>
      <scheme val="minor"/>
    </font>
    <font>
      <b/>
      <sz val="8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9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/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/>
      <right style="thin">
        <color theme="3" tint="0.39994506668294322"/>
      </right>
      <top/>
      <bottom/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  <border>
      <left style="thin">
        <color theme="3" tint="0.39994506668294322"/>
      </left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  <border>
      <left style="thin">
        <color theme="3" tint="0.39988402966399123"/>
      </left>
      <right style="thin">
        <color theme="3" tint="0.39988402966399123"/>
      </right>
      <top style="thin">
        <color theme="3" tint="0.39988402966399123"/>
      </top>
      <bottom style="thin">
        <color theme="3" tint="0.39988402966399123"/>
      </bottom>
      <diagonal/>
    </border>
    <border>
      <left style="thin">
        <color theme="3" tint="0.39985351115451523"/>
      </left>
      <right style="thin">
        <color theme="3" tint="0.39985351115451523"/>
      </right>
      <top style="thin">
        <color theme="3" tint="0.39985351115451523"/>
      </top>
      <bottom style="thin">
        <color theme="3" tint="0.399853511154515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theme="0"/>
      </left>
      <right/>
      <top style="medium">
        <color theme="0"/>
      </top>
      <bottom style="thin">
        <color theme="3" tint="0.39994506668294322"/>
      </bottom>
      <diagonal/>
    </border>
    <border>
      <left/>
      <right style="medium">
        <color theme="0"/>
      </right>
      <top style="medium">
        <color theme="0"/>
      </top>
      <bottom style="thin">
        <color theme="3" tint="0.3999450666829432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indexed="64"/>
      </top>
      <bottom/>
      <diagonal/>
    </border>
    <border>
      <left style="thin">
        <color theme="3" tint="0.39994506668294322"/>
      </left>
      <right/>
      <top/>
      <bottom/>
      <diagonal/>
    </border>
    <border>
      <left style="thin">
        <color theme="3" tint="0.39991454817346722"/>
      </left>
      <right/>
      <top style="thin">
        <color theme="3" tint="0.39991454817346722"/>
      </top>
      <bottom/>
      <diagonal/>
    </border>
    <border>
      <left/>
      <right style="thin">
        <color theme="3" tint="0.39991454817346722"/>
      </right>
      <top style="thin">
        <color theme="3" tint="0.39991454817346722"/>
      </top>
      <bottom/>
      <diagonal/>
    </border>
    <border>
      <left style="thin">
        <color theme="3" tint="0.39991454817346722"/>
      </left>
      <right/>
      <top/>
      <bottom style="thin">
        <color theme="3" tint="0.39991454817346722"/>
      </bottom>
      <diagonal/>
    </border>
    <border>
      <left/>
      <right style="thin">
        <color theme="3" tint="0.39991454817346722"/>
      </right>
      <top/>
      <bottom style="thin">
        <color theme="3" tint="0.39991454817346722"/>
      </bottom>
      <diagonal/>
    </border>
    <border>
      <left style="thin">
        <color theme="3" tint="0.39991454817346722"/>
      </left>
      <right/>
      <top style="thin">
        <color theme="3" tint="0.39991454817346722"/>
      </top>
      <bottom style="thin">
        <color theme="3" tint="0.39994506668294322"/>
      </bottom>
      <diagonal/>
    </border>
    <border>
      <left/>
      <right style="thin">
        <color theme="3" tint="0.39994506668294322"/>
      </right>
      <top style="thin">
        <color theme="3" tint="0.39991454817346722"/>
      </top>
      <bottom style="thin">
        <color theme="3" tint="0.39994506668294322"/>
      </bottom>
      <diagonal/>
    </border>
    <border>
      <left style="thin">
        <color theme="3" tint="0.39991454817346722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1454817346722"/>
      </top>
      <bottom/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1454817346722"/>
      </right>
      <top style="thin">
        <color theme="3" tint="0.39994506668294322"/>
      </top>
      <bottom/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4506668294322"/>
      </top>
      <bottom/>
      <diagonal/>
    </border>
    <border>
      <left style="thin">
        <color theme="3" tint="0.399914548173467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 style="thin">
        <color theme="3" tint="0.39991454817346722"/>
      </right>
      <top style="thin">
        <color theme="3" tint="0.39991454817346722"/>
      </top>
      <bottom/>
      <diagonal/>
    </border>
    <border>
      <left style="thin">
        <color theme="3" tint="0.39991454817346722"/>
      </left>
      <right/>
      <top style="thin">
        <color theme="3" tint="0.39991454817346722"/>
      </top>
      <bottom style="thin">
        <color theme="3" tint="0.39991454817346722"/>
      </bottom>
      <diagonal/>
    </border>
    <border>
      <left/>
      <right style="thin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  <border>
      <left/>
      <right/>
      <top style="thin">
        <color theme="3" tint="0.39991454817346722"/>
      </top>
      <bottom/>
      <diagonal/>
    </border>
    <border>
      <left/>
      <right style="thin">
        <color theme="3" tint="0.39994506668294322"/>
      </right>
      <top style="thin">
        <color theme="3" tint="0.39991454817346722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1454817346722"/>
      </top>
      <bottom/>
      <diagonal/>
    </border>
    <border>
      <left style="thin">
        <color theme="3" tint="0.39991454817346722"/>
      </left>
      <right style="thin">
        <color theme="3" tint="0.39994506668294322"/>
      </right>
      <top style="thin">
        <color theme="3" tint="0.39991454817346722"/>
      </top>
      <bottom/>
      <diagonal/>
    </border>
  </borders>
  <cellStyleXfs count="138">
    <xf numFmtId="0" fontId="0" fillId="0" borderId="0"/>
    <xf numFmtId="0" fontId="11" fillId="0" borderId="0">
      <protection locked="0"/>
    </xf>
    <xf numFmtId="0" fontId="11" fillId="0" borderId="0">
      <protection locked="0"/>
    </xf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2" fillId="0" borderId="0">
      <protection locked="0"/>
    </xf>
    <xf numFmtId="0" fontId="11" fillId="0" borderId="0">
      <protection locked="0"/>
    </xf>
    <xf numFmtId="0" fontId="13" fillId="0" borderId="0">
      <protection locked="0"/>
    </xf>
    <xf numFmtId="0" fontId="11" fillId="0" borderId="0">
      <protection locked="0"/>
    </xf>
    <xf numFmtId="0" fontId="12" fillId="0" borderId="0">
      <protection locked="0"/>
    </xf>
    <xf numFmtId="0" fontId="11" fillId="0" borderId="0">
      <protection locked="0"/>
    </xf>
    <xf numFmtId="0" fontId="12" fillId="0" borderId="0">
      <protection locked="0"/>
    </xf>
    <xf numFmtId="0" fontId="11" fillId="0" borderId="0">
      <protection locked="0"/>
    </xf>
    <xf numFmtId="165" fontId="11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1" fillId="0" borderId="0">
      <protection locked="0"/>
    </xf>
    <xf numFmtId="167" fontId="11" fillId="0" borderId="0">
      <protection locked="0"/>
    </xf>
    <xf numFmtId="0" fontId="9" fillId="0" borderId="0"/>
    <xf numFmtId="9" fontId="9" fillId="0" borderId="0" applyFont="0" applyFill="0" applyBorder="0" applyAlignment="0" applyProtection="0"/>
    <xf numFmtId="168" fontId="11" fillId="0" borderId="0">
      <protection locked="0"/>
    </xf>
    <xf numFmtId="169" fontId="11" fillId="0" borderId="0">
      <protection locked="0"/>
    </xf>
    <xf numFmtId="43" fontId="9" fillId="0" borderId="0" applyFont="0" applyFill="0" applyBorder="0" applyAlignment="0" applyProtection="0"/>
    <xf numFmtId="0" fontId="6" fillId="0" borderId="0"/>
    <xf numFmtId="0" fontId="14" fillId="0" borderId="0"/>
    <xf numFmtId="172" fontId="14" fillId="0" borderId="0"/>
    <xf numFmtId="172" fontId="9" fillId="0" borderId="0"/>
    <xf numFmtId="172" fontId="5" fillId="0" borderId="0"/>
    <xf numFmtId="0" fontId="9" fillId="0" borderId="0"/>
    <xf numFmtId="172" fontId="29" fillId="13" borderId="0" applyNumberFormat="0" applyBorder="0" applyAlignment="0" applyProtection="0"/>
    <xf numFmtId="172" fontId="29" fillId="14" borderId="0" applyNumberFormat="0" applyBorder="0" applyAlignment="0" applyProtection="0"/>
    <xf numFmtId="172" fontId="29" fillId="15" borderId="0" applyNumberFormat="0" applyBorder="0" applyAlignment="0" applyProtection="0"/>
    <xf numFmtId="172" fontId="29" fillId="16" borderId="0" applyNumberFormat="0" applyBorder="0" applyAlignment="0" applyProtection="0"/>
    <xf numFmtId="172" fontId="29" fillId="17" borderId="0" applyNumberFormat="0" applyBorder="0" applyAlignment="0" applyProtection="0"/>
    <xf numFmtId="172" fontId="29" fillId="18" borderId="0" applyNumberFormat="0" applyBorder="0" applyAlignment="0" applyProtection="0"/>
    <xf numFmtId="172" fontId="29" fillId="19" borderId="0" applyNumberFormat="0" applyBorder="0" applyAlignment="0" applyProtection="0"/>
    <xf numFmtId="172" fontId="29" fillId="20" borderId="0" applyNumberFormat="0" applyBorder="0" applyAlignment="0" applyProtection="0"/>
    <xf numFmtId="172" fontId="29" fillId="21" borderId="0" applyNumberFormat="0" applyBorder="0" applyAlignment="0" applyProtection="0"/>
    <xf numFmtId="172" fontId="29" fillId="16" borderId="0" applyNumberFormat="0" applyBorder="0" applyAlignment="0" applyProtection="0"/>
    <xf numFmtId="172" fontId="29" fillId="19" borderId="0" applyNumberFormat="0" applyBorder="0" applyAlignment="0" applyProtection="0"/>
    <xf numFmtId="172" fontId="29" fillId="22" borderId="0" applyNumberFormat="0" applyBorder="0" applyAlignment="0" applyProtection="0"/>
    <xf numFmtId="172" fontId="30" fillId="23" borderId="0" applyNumberFormat="0" applyBorder="0" applyAlignment="0" applyProtection="0"/>
    <xf numFmtId="172" fontId="30" fillId="20" borderId="0" applyNumberFormat="0" applyBorder="0" applyAlignment="0" applyProtection="0"/>
    <xf numFmtId="172" fontId="30" fillId="21" borderId="0" applyNumberFormat="0" applyBorder="0" applyAlignment="0" applyProtection="0"/>
    <xf numFmtId="172" fontId="30" fillId="24" borderId="0" applyNumberFormat="0" applyBorder="0" applyAlignment="0" applyProtection="0"/>
    <xf numFmtId="172" fontId="30" fillId="25" borderId="0" applyNumberFormat="0" applyBorder="0" applyAlignment="0" applyProtection="0"/>
    <xf numFmtId="172" fontId="30" fillId="26" borderId="0" applyNumberFormat="0" applyBorder="0" applyAlignment="0" applyProtection="0"/>
    <xf numFmtId="172" fontId="30" fillId="27" borderId="0" applyNumberFormat="0" applyBorder="0" applyAlignment="0" applyProtection="0"/>
    <xf numFmtId="172" fontId="30" fillId="28" borderId="0" applyNumberFormat="0" applyBorder="0" applyAlignment="0" applyProtection="0"/>
    <xf numFmtId="172" fontId="30" fillId="29" borderId="0" applyNumberFormat="0" applyBorder="0" applyAlignment="0" applyProtection="0"/>
    <xf numFmtId="172" fontId="30" fillId="24" borderId="0" applyNumberFormat="0" applyBorder="0" applyAlignment="0" applyProtection="0"/>
    <xf numFmtId="172" fontId="30" fillId="25" borderId="0" applyNumberFormat="0" applyBorder="0" applyAlignment="0" applyProtection="0"/>
    <xf numFmtId="172" fontId="30" fillId="30" borderId="0" applyNumberFormat="0" applyBorder="0" applyAlignment="0" applyProtection="0"/>
    <xf numFmtId="172" fontId="31" fillId="14" borderId="0" applyNumberFormat="0" applyBorder="0" applyAlignment="0" applyProtection="0"/>
    <xf numFmtId="172" fontId="32" fillId="31" borderId="39" applyNumberFormat="0" applyAlignment="0" applyProtection="0"/>
    <xf numFmtId="172" fontId="33" fillId="32" borderId="40" applyNumberFormat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4" fillId="0" borderId="0" applyNumberFormat="0" applyFill="0" applyBorder="0" applyAlignment="0" applyProtection="0"/>
    <xf numFmtId="172" fontId="35" fillId="15" borderId="0" applyNumberFormat="0" applyBorder="0" applyAlignment="0" applyProtection="0"/>
    <xf numFmtId="172" fontId="36" fillId="0" borderId="41" applyNumberFormat="0" applyFill="0" applyAlignment="0" applyProtection="0"/>
    <xf numFmtId="172" fontId="37" fillId="0" borderId="42" applyNumberFormat="0" applyFill="0" applyAlignment="0" applyProtection="0"/>
    <xf numFmtId="172" fontId="38" fillId="0" borderId="43" applyNumberFormat="0" applyFill="0" applyAlignment="0" applyProtection="0"/>
    <xf numFmtId="172" fontId="38" fillId="0" borderId="0" applyNumberFormat="0" applyFill="0" applyBorder="0" applyAlignment="0" applyProtection="0"/>
    <xf numFmtId="172" fontId="39" fillId="18" borderId="39" applyNumberFormat="0" applyAlignment="0" applyProtection="0"/>
    <xf numFmtId="172" fontId="40" fillId="0" borderId="44" applyNumberFormat="0" applyFill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9" fillId="0" borderId="0" applyFill="0" applyBorder="0" applyAlignment="0" applyProtection="0"/>
    <xf numFmtId="43" fontId="9" fillId="0" borderId="0" applyFont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6" fontId="9" fillId="0" borderId="0" applyFill="0" applyBorder="0" applyAlignment="0" applyProtection="0"/>
    <xf numFmtId="177" fontId="9" fillId="0" borderId="0" applyFont="0" applyFill="0" applyBorder="0" applyAlignment="0" applyProtection="0"/>
    <xf numFmtId="176" fontId="9" fillId="0" borderId="0" applyFill="0" applyBorder="0" applyAlignment="0" applyProtection="0"/>
    <xf numFmtId="172" fontId="41" fillId="33" borderId="0" applyNumberFormat="0" applyBorder="0" applyAlignment="0" applyProtection="0"/>
    <xf numFmtId="172" fontId="5" fillId="0" borderId="0"/>
    <xf numFmtId="172" fontId="5" fillId="0" borderId="0"/>
    <xf numFmtId="172" fontId="5" fillId="0" borderId="0"/>
    <xf numFmtId="172" fontId="5" fillId="0" borderId="0"/>
    <xf numFmtId="172" fontId="9" fillId="0" borderId="0"/>
    <xf numFmtId="0" fontId="9" fillId="0" borderId="0"/>
    <xf numFmtId="0" fontId="5" fillId="0" borderId="0"/>
    <xf numFmtId="0" fontId="5" fillId="0" borderId="0"/>
    <xf numFmtId="172" fontId="9" fillId="0" borderId="0"/>
    <xf numFmtId="0" fontId="5" fillId="0" borderId="0"/>
    <xf numFmtId="172" fontId="9" fillId="0" borderId="0"/>
    <xf numFmtId="172" fontId="9" fillId="0" borderId="0"/>
    <xf numFmtId="0" fontId="9" fillId="0" borderId="0"/>
    <xf numFmtId="172" fontId="29" fillId="0" borderId="0"/>
    <xf numFmtId="172" fontId="9" fillId="0" borderId="0"/>
    <xf numFmtId="172" fontId="9" fillId="0" borderId="0"/>
    <xf numFmtId="0" fontId="9" fillId="0" borderId="0"/>
    <xf numFmtId="172" fontId="9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9" fillId="0" borderId="0"/>
    <xf numFmtId="172" fontId="14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9" fillId="34" borderId="45" applyNumberFormat="0" applyFont="0" applyAlignment="0" applyProtection="0"/>
    <xf numFmtId="172" fontId="42" fillId="31" borderId="46" applyNumberFormat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2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2" fontId="43" fillId="0" borderId="0" applyNumberFormat="0" applyFill="0" applyBorder="0" applyAlignment="0" applyProtection="0"/>
    <xf numFmtId="172" fontId="44" fillId="0" borderId="47" applyNumberFormat="0" applyFill="0" applyAlignment="0" applyProtection="0"/>
    <xf numFmtId="172" fontId="45" fillId="0" borderId="0" applyNumberFormat="0" applyFill="0" applyBorder="0" applyAlignment="0" applyProtection="0"/>
    <xf numFmtId="172" fontId="5" fillId="0" borderId="0"/>
    <xf numFmtId="172" fontId="4" fillId="0" borderId="0"/>
    <xf numFmtId="9" fontId="9" fillId="0" borderId="0" applyFont="0" applyFill="0" applyBorder="0" applyAlignment="0" applyProtection="0"/>
    <xf numFmtId="172" fontId="3" fillId="0" borderId="0"/>
    <xf numFmtId="172" fontId="2" fillId="0" borderId="0"/>
    <xf numFmtId="172" fontId="2" fillId="0" borderId="0"/>
    <xf numFmtId="43" fontId="51" fillId="0" borderId="0" applyFont="0" applyFill="0" applyBorder="0" applyAlignment="0" applyProtection="0"/>
    <xf numFmtId="172" fontId="1" fillId="0" borderId="0"/>
  </cellStyleXfs>
  <cellXfs count="543">
    <xf numFmtId="0" fontId="0" fillId="0" borderId="0" xfId="0"/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8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0" fontId="8" fillId="0" borderId="0" xfId="22" applyNumberFormat="1" applyFont="1" applyBorder="1" applyAlignment="1">
      <alignment vertical="center"/>
    </xf>
    <xf numFmtId="0" fontId="19" fillId="4" borderId="25" xfId="0" applyFont="1" applyFill="1" applyBorder="1" applyAlignment="1">
      <alignment horizontal="right" vertical="center"/>
    </xf>
    <xf numFmtId="0" fontId="19" fillId="4" borderId="25" xfId="0" applyFont="1" applyFill="1" applyBorder="1" applyAlignment="1">
      <alignment vertical="center"/>
    </xf>
    <xf numFmtId="41" fontId="19" fillId="4" borderId="25" xfId="16" applyFont="1" applyFill="1" applyBorder="1" applyAlignment="1">
      <alignment vertical="center"/>
    </xf>
    <xf numFmtId="0" fontId="20" fillId="3" borderId="25" xfId="0" applyFont="1" applyFill="1" applyBorder="1" applyAlignment="1">
      <alignment horizontal="right" vertical="center"/>
    </xf>
    <xf numFmtId="0" fontId="20" fillId="3" borderId="25" xfId="0" applyFont="1" applyFill="1" applyBorder="1" applyAlignment="1">
      <alignment vertical="center"/>
    </xf>
    <xf numFmtId="41" fontId="20" fillId="3" borderId="0" xfId="16" applyFont="1" applyFill="1" applyBorder="1" applyAlignment="1">
      <alignment vertical="center"/>
    </xf>
    <xf numFmtId="0" fontId="10" fillId="0" borderId="0" xfId="0" applyFont="1"/>
    <xf numFmtId="0" fontId="24" fillId="7" borderId="19" xfId="0" applyFont="1" applyFill="1" applyBorder="1" applyAlignment="1">
      <alignment horizontal="right" vertical="center"/>
    </xf>
    <xf numFmtId="0" fontId="19" fillId="7" borderId="19" xfId="0" applyFont="1" applyFill="1" applyBorder="1" applyAlignment="1">
      <alignment vertical="center"/>
    </xf>
    <xf numFmtId="41" fontId="19" fillId="7" borderId="1" xfId="0" applyNumberFormat="1" applyFont="1" applyFill="1" applyBorder="1" applyAlignment="1">
      <alignment horizontal="right" vertical="center"/>
    </xf>
    <xf numFmtId="0" fontId="25" fillId="7" borderId="24" xfId="0" applyFont="1" applyFill="1" applyBorder="1" applyAlignment="1">
      <alignment horizontal="center" vertical="center"/>
    </xf>
    <xf numFmtId="0" fontId="26" fillId="7" borderId="26" xfId="0" applyFont="1" applyFill="1" applyBorder="1" applyAlignment="1">
      <alignment horizontal="center" vertical="center"/>
    </xf>
    <xf numFmtId="172" fontId="23" fillId="0" borderId="0" xfId="28" applyFont="1" applyAlignment="1">
      <alignment vertical="center"/>
    </xf>
    <xf numFmtId="172" fontId="23" fillId="0" borderId="0" xfId="28" applyFont="1" applyAlignment="1">
      <alignment horizontal="center" vertical="center"/>
    </xf>
    <xf numFmtId="170" fontId="17" fillId="0" borderId="0" xfId="25" applyNumberFormat="1" applyFont="1" applyAlignment="1">
      <alignment vertical="center"/>
    </xf>
    <xf numFmtId="172" fontId="17" fillId="0" borderId="0" xfId="28" applyFont="1" applyAlignment="1">
      <alignment vertical="center"/>
    </xf>
    <xf numFmtId="172" fontId="18" fillId="0" borderId="0" xfId="28" applyFont="1" applyAlignment="1">
      <alignment vertical="center"/>
    </xf>
    <xf numFmtId="172" fontId="27" fillId="0" borderId="0" xfId="28" applyFont="1" applyAlignment="1">
      <alignment vertical="center" wrapText="1"/>
    </xf>
    <xf numFmtId="3" fontId="27" fillId="0" borderId="0" xfId="25" applyNumberFormat="1" applyFont="1" applyAlignment="1">
      <alignment horizontal="center" vertical="center"/>
    </xf>
    <xf numFmtId="17" fontId="27" fillId="0" borderId="0" xfId="28" applyNumberFormat="1" applyFont="1" applyAlignment="1">
      <alignment horizontal="center" vertical="center"/>
    </xf>
    <xf numFmtId="170" fontId="18" fillId="0" borderId="0" xfId="25" applyNumberFormat="1" applyFont="1" applyAlignment="1">
      <alignment horizontal="center" vertical="center"/>
    </xf>
    <xf numFmtId="172" fontId="16" fillId="0" borderId="0" xfId="29" applyFont="1" applyAlignment="1">
      <alignment horizontal="right"/>
    </xf>
    <xf numFmtId="172" fontId="18" fillId="0" borderId="0" xfId="28" applyFont="1" applyAlignment="1">
      <alignment vertical="center" wrapText="1"/>
    </xf>
    <xf numFmtId="172" fontId="17" fillId="6" borderId="28" xfId="28" applyFont="1" applyFill="1" applyBorder="1" applyAlignment="1">
      <alignment horizontal="right" vertical="center"/>
    </xf>
    <xf numFmtId="3" fontId="21" fillId="6" borderId="28" xfId="28" applyNumberFormat="1" applyFont="1" applyFill="1" applyBorder="1" applyAlignment="1">
      <alignment horizontal="center" vertical="center" wrapText="1"/>
    </xf>
    <xf numFmtId="3" fontId="23" fillId="6" borderId="28" xfId="28" applyNumberFormat="1" applyFont="1" applyFill="1" applyBorder="1" applyAlignment="1">
      <alignment horizontal="center" vertical="center" wrapText="1"/>
    </xf>
    <xf numFmtId="17" fontId="23" fillId="6" borderId="28" xfId="28" applyNumberFormat="1" applyFont="1" applyFill="1" applyBorder="1" applyAlignment="1">
      <alignment horizontal="center" vertical="center" wrapText="1"/>
    </xf>
    <xf numFmtId="170" fontId="21" fillId="6" borderId="28" xfId="25" applyNumberFormat="1" applyFont="1" applyFill="1" applyBorder="1" applyAlignment="1">
      <alignment horizontal="center" vertical="center"/>
    </xf>
    <xf numFmtId="170" fontId="21" fillId="8" borderId="28" xfId="25" applyNumberFormat="1" applyFont="1" applyFill="1" applyBorder="1" applyAlignment="1">
      <alignment horizontal="center" vertical="center" wrapText="1"/>
    </xf>
    <xf numFmtId="3" fontId="21" fillId="6" borderId="29" xfId="28" applyNumberFormat="1" applyFont="1" applyFill="1" applyBorder="1" applyAlignment="1">
      <alignment horizontal="right" vertical="center" wrapText="1"/>
    </xf>
    <xf numFmtId="3" fontId="21" fillId="6" borderId="29" xfId="28" applyNumberFormat="1" applyFont="1" applyFill="1" applyBorder="1" applyAlignment="1">
      <alignment horizontal="left" vertical="center" wrapText="1"/>
    </xf>
    <xf numFmtId="3" fontId="23" fillId="6" borderId="29" xfId="28" applyNumberFormat="1" applyFont="1" applyFill="1" applyBorder="1" applyAlignment="1">
      <alignment horizontal="left" vertical="center" wrapText="1"/>
    </xf>
    <xf numFmtId="3" fontId="23" fillId="6" borderId="29" xfId="25" applyNumberFormat="1" applyFont="1" applyFill="1" applyBorder="1" applyAlignment="1">
      <alignment horizontal="center" vertical="center" wrapText="1"/>
    </xf>
    <xf numFmtId="17" fontId="27" fillId="6" borderId="29" xfId="28" applyNumberFormat="1" applyFont="1" applyFill="1" applyBorder="1" applyAlignment="1">
      <alignment horizontal="center" vertical="center" wrapText="1"/>
    </xf>
    <xf numFmtId="170" fontId="28" fillId="6" borderId="29" xfId="25" applyNumberFormat="1" applyFont="1" applyFill="1" applyBorder="1" applyAlignment="1">
      <alignment horizontal="center" vertical="center" wrapText="1"/>
    </xf>
    <xf numFmtId="3" fontId="17" fillId="0" borderId="29" xfId="28" applyNumberFormat="1" applyFont="1" applyFill="1" applyBorder="1" applyAlignment="1">
      <alignment horizontal="right" vertical="center"/>
    </xf>
    <xf numFmtId="3" fontId="17" fillId="0" borderId="30" xfId="28" applyNumberFormat="1" applyFont="1" applyFill="1" applyBorder="1" applyAlignment="1">
      <alignment horizontal="right" vertical="center"/>
    </xf>
    <xf numFmtId="172" fontId="21" fillId="8" borderId="31" xfId="28" applyFont="1" applyFill="1" applyBorder="1" applyAlignment="1">
      <alignment horizontal="right" vertical="center"/>
    </xf>
    <xf numFmtId="172" fontId="21" fillId="8" borderId="31" xfId="30" applyFont="1" applyFill="1" applyBorder="1" applyAlignment="1">
      <alignment horizontal="left" vertical="center" wrapText="1"/>
    </xf>
    <xf numFmtId="172" fontId="23" fillId="8" borderId="31" xfId="30" applyFont="1" applyFill="1" applyBorder="1" applyAlignment="1">
      <alignment horizontal="left" vertical="center" wrapText="1"/>
    </xf>
    <xf numFmtId="3" fontId="23" fillId="8" borderId="31" xfId="25" applyNumberFormat="1" applyFont="1" applyFill="1" applyBorder="1" applyAlignment="1">
      <alignment horizontal="center" vertical="center" wrapText="1"/>
    </xf>
    <xf numFmtId="17" fontId="27" fillId="8" borderId="31" xfId="28" applyNumberFormat="1" applyFont="1" applyFill="1" applyBorder="1" applyAlignment="1">
      <alignment horizontal="center" vertical="center" wrapText="1"/>
    </xf>
    <xf numFmtId="170" fontId="28" fillId="8" borderId="31" xfId="25" applyNumberFormat="1" applyFont="1" applyFill="1" applyBorder="1" applyAlignment="1">
      <alignment horizontal="center" vertical="center" wrapText="1"/>
    </xf>
    <xf numFmtId="3" fontId="17" fillId="0" borderId="31" xfId="28" applyNumberFormat="1" applyFont="1" applyFill="1" applyBorder="1" applyAlignment="1">
      <alignment horizontal="right" vertical="center"/>
    </xf>
    <xf numFmtId="172" fontId="18" fillId="0" borderId="31" xfId="28" applyFont="1" applyFill="1" applyBorder="1" applyAlignment="1">
      <alignment horizontal="right" vertical="center"/>
    </xf>
    <xf numFmtId="3" fontId="18" fillId="0" borderId="31" xfId="28" applyNumberFormat="1" applyFont="1" applyFill="1" applyBorder="1" applyAlignment="1">
      <alignment horizontal="left" vertical="center" wrapText="1"/>
    </xf>
    <xf numFmtId="3" fontId="27" fillId="0" borderId="31" xfId="28" applyNumberFormat="1" applyFont="1" applyFill="1" applyBorder="1" applyAlignment="1">
      <alignment horizontal="left" vertical="center" wrapText="1"/>
    </xf>
    <xf numFmtId="3" fontId="27" fillId="0" borderId="31" xfId="25" applyNumberFormat="1" applyFont="1" applyFill="1" applyBorder="1" applyAlignment="1">
      <alignment horizontal="center" vertical="center" wrapText="1"/>
    </xf>
    <xf numFmtId="17" fontId="27" fillId="2" borderId="31" xfId="28" applyNumberFormat="1" applyFont="1" applyFill="1" applyBorder="1" applyAlignment="1">
      <alignment horizontal="center" vertical="center" wrapText="1"/>
    </xf>
    <xf numFmtId="170" fontId="18" fillId="2" borderId="31" xfId="25" applyNumberFormat="1" applyFont="1" applyFill="1" applyBorder="1" applyAlignment="1">
      <alignment horizontal="center" vertical="center" wrapText="1"/>
    </xf>
    <xf numFmtId="3" fontId="17" fillId="0" borderId="32" xfId="28" applyNumberFormat="1" applyFont="1" applyFill="1" applyBorder="1" applyAlignment="1">
      <alignment horizontal="right" vertical="center"/>
    </xf>
    <xf numFmtId="3" fontId="17" fillId="0" borderId="33" xfId="28" applyNumberFormat="1" applyFont="1" applyFill="1" applyBorder="1" applyAlignment="1">
      <alignment horizontal="right" vertical="center"/>
    </xf>
    <xf numFmtId="3" fontId="17" fillId="0" borderId="34" xfId="28" applyNumberFormat="1" applyFont="1" applyFill="1" applyBorder="1" applyAlignment="1">
      <alignment horizontal="right" vertical="center"/>
    </xf>
    <xf numFmtId="3" fontId="17" fillId="0" borderId="35" xfId="28" applyNumberFormat="1" applyFont="1" applyFill="1" applyBorder="1" applyAlignment="1">
      <alignment horizontal="right" vertical="center"/>
    </xf>
    <xf numFmtId="3" fontId="17" fillId="0" borderId="36" xfId="28" applyNumberFormat="1" applyFont="1" applyFill="1" applyBorder="1" applyAlignment="1">
      <alignment horizontal="right" vertical="center"/>
    </xf>
    <xf numFmtId="172" fontId="21" fillId="6" borderId="31" xfId="28" applyFont="1" applyFill="1" applyBorder="1" applyAlignment="1">
      <alignment horizontal="right" vertical="center"/>
    </xf>
    <xf numFmtId="172" fontId="21" fillId="6" borderId="31" xfId="28" applyFont="1" applyFill="1" applyBorder="1" applyAlignment="1">
      <alignment horizontal="left" vertical="center" wrapText="1"/>
    </xf>
    <xf numFmtId="172" fontId="23" fillId="6" borderId="31" xfId="28" applyFont="1" applyFill="1" applyBorder="1" applyAlignment="1">
      <alignment horizontal="left" vertical="center" wrapText="1"/>
    </xf>
    <xf numFmtId="172" fontId="23" fillId="6" borderId="31" xfId="28" applyFont="1" applyFill="1" applyBorder="1" applyAlignment="1">
      <alignment horizontal="center" vertical="center" wrapText="1"/>
    </xf>
    <xf numFmtId="170" fontId="21" fillId="6" borderId="31" xfId="25" applyNumberFormat="1" applyFont="1" applyFill="1" applyBorder="1" applyAlignment="1">
      <alignment horizontal="left" vertical="center" wrapText="1"/>
    </xf>
    <xf numFmtId="3" fontId="17" fillId="6" borderId="35" xfId="28" applyNumberFormat="1" applyFont="1" applyFill="1" applyBorder="1" applyAlignment="1">
      <alignment horizontal="right" vertical="center"/>
    </xf>
    <xf numFmtId="3" fontId="17" fillId="6" borderId="36" xfId="28" applyNumberFormat="1" applyFont="1" applyFill="1" applyBorder="1" applyAlignment="1">
      <alignment horizontal="right" vertical="center"/>
    </xf>
    <xf numFmtId="172" fontId="18" fillId="0" borderId="0" xfId="28" applyFont="1" applyFill="1" applyAlignment="1">
      <alignment vertical="center"/>
    </xf>
    <xf numFmtId="3" fontId="21" fillId="6" borderId="37" xfId="28" applyNumberFormat="1" applyFont="1" applyFill="1" applyBorder="1" applyAlignment="1">
      <alignment horizontal="right" vertical="center" wrapText="1"/>
    </xf>
    <xf numFmtId="3" fontId="21" fillId="6" borderId="37" xfId="28" applyNumberFormat="1" applyFont="1" applyFill="1" applyBorder="1" applyAlignment="1">
      <alignment horizontal="left" vertical="center" wrapText="1"/>
    </xf>
    <xf numFmtId="3" fontId="23" fillId="6" borderId="31" xfId="28" applyNumberFormat="1" applyFont="1" applyFill="1" applyBorder="1" applyAlignment="1">
      <alignment horizontal="left" vertical="center" wrapText="1"/>
    </xf>
    <xf numFmtId="3" fontId="23" fillId="6" borderId="31" xfId="28" applyNumberFormat="1" applyFont="1" applyFill="1" applyBorder="1" applyAlignment="1">
      <alignment horizontal="center" vertical="center" wrapText="1"/>
    </xf>
    <xf numFmtId="170" fontId="21" fillId="6" borderId="37" xfId="25" applyNumberFormat="1" applyFont="1" applyFill="1" applyBorder="1" applyAlignment="1">
      <alignment horizontal="left" vertical="center" wrapText="1"/>
    </xf>
    <xf numFmtId="172" fontId="21" fillId="9" borderId="38" xfId="30" applyFont="1" applyFill="1" applyBorder="1" applyAlignment="1">
      <alignment vertical="center" wrapText="1"/>
    </xf>
    <xf numFmtId="14" fontId="21" fillId="9" borderId="38" xfId="30" applyNumberFormat="1" applyFont="1" applyFill="1" applyBorder="1" applyAlignment="1">
      <alignment horizontal="center" vertical="center"/>
    </xf>
    <xf numFmtId="14" fontId="23" fillId="9" borderId="38" xfId="30" applyNumberFormat="1" applyFont="1" applyFill="1" applyBorder="1" applyAlignment="1">
      <alignment horizontal="center" vertical="center"/>
    </xf>
    <xf numFmtId="170" fontId="21" fillId="9" borderId="38" xfId="25" applyNumberFormat="1" applyFont="1" applyFill="1" applyBorder="1" applyAlignment="1">
      <alignment horizontal="center" vertical="center"/>
    </xf>
    <xf numFmtId="3" fontId="17" fillId="5" borderId="38" xfId="28" applyNumberFormat="1" applyFont="1" applyFill="1" applyBorder="1" applyAlignment="1">
      <alignment vertical="center" wrapText="1"/>
    </xf>
    <xf numFmtId="172" fontId="16" fillId="5" borderId="38" xfId="30" applyFont="1" applyFill="1" applyBorder="1" applyAlignment="1">
      <alignment horizontal="center" vertical="center"/>
    </xf>
    <xf numFmtId="172" fontId="23" fillId="5" borderId="38" xfId="30" applyFont="1" applyFill="1" applyBorder="1" applyAlignment="1">
      <alignment horizontal="center" vertical="center"/>
    </xf>
    <xf numFmtId="170" fontId="16" fillId="5" borderId="38" xfId="25" applyNumberFormat="1" applyFont="1" applyFill="1" applyBorder="1" applyAlignment="1">
      <alignment horizontal="center" vertical="center"/>
    </xf>
    <xf numFmtId="0" fontId="22" fillId="2" borderId="38" xfId="31" applyFont="1" applyFill="1" applyBorder="1" applyAlignment="1">
      <alignment horizontal="right" vertical="center" wrapText="1"/>
    </xf>
    <xf numFmtId="0" fontId="22" fillId="2" borderId="38" xfId="31" applyFont="1" applyFill="1" applyBorder="1" applyAlignment="1">
      <alignment horizontal="justify" vertical="center" wrapText="1"/>
    </xf>
    <xf numFmtId="0" fontId="18" fillId="2" borderId="38" xfId="31" applyFont="1" applyFill="1" applyBorder="1" applyAlignment="1">
      <alignment horizontal="center" vertical="center" wrapText="1"/>
    </xf>
    <xf numFmtId="170" fontId="18" fillId="2" borderId="38" xfId="25" applyNumberFormat="1" applyFont="1" applyFill="1" applyBorder="1" applyAlignment="1">
      <alignment horizontal="center" vertical="center" wrapText="1"/>
    </xf>
    <xf numFmtId="170" fontId="18" fillId="10" borderId="38" xfId="25" applyNumberFormat="1" applyFont="1" applyFill="1" applyBorder="1" applyAlignment="1">
      <alignment horizontal="center" vertical="center" wrapText="1"/>
    </xf>
    <xf numFmtId="170" fontId="18" fillId="11" borderId="38" xfId="25" applyNumberFormat="1" applyFont="1" applyFill="1" applyBorder="1" applyAlignment="1">
      <alignment horizontal="center" vertical="center" wrapText="1"/>
    </xf>
    <xf numFmtId="170" fontId="18" fillId="12" borderId="38" xfId="25" applyNumberFormat="1" applyFont="1" applyFill="1" applyBorder="1" applyAlignment="1">
      <alignment horizontal="center" vertical="center" wrapText="1"/>
    </xf>
    <xf numFmtId="173" fontId="18" fillId="2" borderId="38" xfId="31" applyNumberFormat="1" applyFont="1" applyFill="1" applyBorder="1" applyAlignment="1">
      <alignment horizontal="center" vertical="center" wrapText="1"/>
    </xf>
    <xf numFmtId="174" fontId="17" fillId="5" borderId="38" xfId="28" applyNumberFormat="1" applyFont="1" applyFill="1" applyBorder="1" applyAlignment="1">
      <alignment horizontal="right" vertical="center" wrapText="1"/>
    </xf>
    <xf numFmtId="172" fontId="17" fillId="5" borderId="38" xfId="30" applyFont="1" applyFill="1" applyBorder="1" applyAlignment="1">
      <alignment horizontal="center" vertical="center" wrapText="1"/>
    </xf>
    <xf numFmtId="170" fontId="17" fillId="5" borderId="38" xfId="25" applyNumberFormat="1" applyFont="1" applyFill="1" applyBorder="1" applyAlignment="1">
      <alignment horizontal="center" vertical="center" wrapText="1"/>
    </xf>
    <xf numFmtId="0" fontId="21" fillId="9" borderId="38" xfId="30" applyNumberFormat="1" applyFont="1" applyFill="1" applyBorder="1" applyAlignment="1">
      <alignment horizontal="right" vertical="center" wrapText="1"/>
    </xf>
    <xf numFmtId="3" fontId="18" fillId="2" borderId="37" xfId="28" applyNumberFormat="1" applyFont="1" applyFill="1" applyBorder="1" applyAlignment="1">
      <alignment horizontal="right" vertical="center" wrapText="1"/>
    </xf>
    <xf numFmtId="3" fontId="18" fillId="2" borderId="37" xfId="28" applyNumberFormat="1" applyFont="1" applyFill="1" applyBorder="1" applyAlignment="1">
      <alignment vertical="center" wrapText="1"/>
    </xf>
    <xf numFmtId="172" fontId="18" fillId="2" borderId="37" xfId="30" applyFont="1" applyFill="1" applyBorder="1" applyAlignment="1">
      <alignment horizontal="center" vertical="center"/>
    </xf>
    <xf numFmtId="170" fontId="18" fillId="2" borderId="37" xfId="25" applyNumberFormat="1" applyFont="1" applyFill="1" applyBorder="1" applyAlignment="1">
      <alignment horizontal="center" vertical="center"/>
    </xf>
    <xf numFmtId="170" fontId="18" fillId="12" borderId="37" xfId="25" applyNumberFormat="1" applyFont="1" applyFill="1" applyBorder="1" applyAlignment="1">
      <alignment horizontal="center" vertical="center"/>
    </xf>
    <xf numFmtId="172" fontId="22" fillId="2" borderId="37" xfId="30" applyFont="1" applyFill="1" applyBorder="1" applyAlignment="1">
      <alignment horizontal="center" vertical="center"/>
    </xf>
    <xf numFmtId="170" fontId="22" fillId="2" borderId="37" xfId="25" applyNumberFormat="1" applyFont="1" applyFill="1" applyBorder="1" applyAlignment="1">
      <alignment horizontal="center" vertical="center"/>
    </xf>
    <xf numFmtId="170" fontId="22" fillId="10" borderId="37" xfId="25" applyNumberFormat="1" applyFont="1" applyFill="1" applyBorder="1" applyAlignment="1">
      <alignment horizontal="center" vertical="center"/>
    </xf>
    <xf numFmtId="170" fontId="22" fillId="12" borderId="37" xfId="25" applyNumberFormat="1" applyFont="1" applyFill="1" applyBorder="1" applyAlignment="1">
      <alignment horizontal="center" vertical="center"/>
    </xf>
    <xf numFmtId="172" fontId="18" fillId="0" borderId="0" xfId="28" applyFont="1" applyFill="1" applyAlignment="1">
      <alignment horizontal="right" vertical="center"/>
    </xf>
    <xf numFmtId="10" fontId="27" fillId="0" borderId="0" xfId="132" applyNumberFormat="1" applyFont="1" applyAlignment="1">
      <alignment vertical="center"/>
    </xf>
    <xf numFmtId="41" fontId="18" fillId="0" borderId="0" xfId="59" applyFont="1" applyAlignment="1">
      <alignment vertical="center"/>
    </xf>
    <xf numFmtId="172" fontId="18" fillId="0" borderId="0" xfId="28" applyFont="1" applyAlignment="1">
      <alignment horizontal="center" vertical="center"/>
    </xf>
    <xf numFmtId="172" fontId="17" fillId="0" borderId="0" xfId="28" applyFont="1" applyAlignment="1">
      <alignment horizontal="center" vertical="center"/>
    </xf>
    <xf numFmtId="172" fontId="18" fillId="0" borderId="0" xfId="28" applyFont="1" applyAlignment="1">
      <alignment horizontal="center" vertical="center" wrapText="1"/>
    </xf>
    <xf numFmtId="41" fontId="18" fillId="0" borderId="0" xfId="59" applyFont="1" applyAlignment="1">
      <alignment horizontal="left" vertical="center" wrapText="1"/>
    </xf>
    <xf numFmtId="41" fontId="17" fillId="2" borderId="38" xfId="59" applyFont="1" applyFill="1" applyBorder="1" applyAlignment="1">
      <alignment horizontal="center" vertical="center" wrapText="1"/>
    </xf>
    <xf numFmtId="3" fontId="18" fillId="2" borderId="37" xfId="28" applyNumberFormat="1" applyFont="1" applyFill="1" applyBorder="1" applyAlignment="1">
      <alignment horizontal="center" vertical="center" wrapText="1"/>
    </xf>
    <xf numFmtId="41" fontId="18" fillId="2" borderId="38" xfId="59" applyFont="1" applyFill="1" applyBorder="1" applyAlignment="1">
      <alignment horizontal="right" vertical="center" wrapText="1"/>
    </xf>
    <xf numFmtId="41" fontId="17" fillId="5" borderId="38" xfId="59" applyFont="1" applyFill="1" applyBorder="1" applyAlignment="1">
      <alignment horizontal="center" vertical="center"/>
    </xf>
    <xf numFmtId="178" fontId="17" fillId="5" borderId="38" xfId="59" applyNumberFormat="1" applyFont="1" applyFill="1" applyBorder="1" applyAlignment="1">
      <alignment horizontal="right" vertical="center" wrapText="1"/>
    </xf>
    <xf numFmtId="41" fontId="22" fillId="2" borderId="37" xfId="59" applyFont="1" applyFill="1" applyBorder="1" applyAlignment="1">
      <alignment horizontal="right" vertical="center"/>
    </xf>
    <xf numFmtId="41" fontId="18" fillId="2" borderId="37" xfId="59" applyFont="1" applyFill="1" applyBorder="1" applyAlignment="1">
      <alignment horizontal="right" vertical="center" wrapText="1"/>
    </xf>
    <xf numFmtId="3" fontId="17" fillId="2" borderId="37" xfId="28" applyNumberFormat="1" applyFont="1" applyFill="1" applyBorder="1" applyAlignment="1">
      <alignment horizontal="center" vertical="center" wrapText="1"/>
    </xf>
    <xf numFmtId="0" fontId="18" fillId="2" borderId="48" xfId="31" applyFont="1" applyFill="1" applyBorder="1" applyAlignment="1">
      <alignment horizontal="center" vertical="center" wrapText="1"/>
    </xf>
    <xf numFmtId="172" fontId="18" fillId="2" borderId="0" xfId="28" applyFont="1" applyFill="1" applyAlignment="1">
      <alignment vertical="center"/>
    </xf>
    <xf numFmtId="41" fontId="18" fillId="2" borderId="0" xfId="59" applyFont="1" applyFill="1" applyBorder="1" applyAlignment="1">
      <alignment horizontal="center" vertical="center" wrapText="1"/>
    </xf>
    <xf numFmtId="41" fontId="21" fillId="9" borderId="38" xfId="59" applyFont="1" applyFill="1" applyBorder="1" applyAlignment="1">
      <alignment horizontal="right" vertical="center" wrapText="1"/>
    </xf>
    <xf numFmtId="10" fontId="27" fillId="0" borderId="0" xfId="132" applyNumberFormat="1" applyFont="1" applyFill="1" applyAlignment="1">
      <alignment vertical="center"/>
    </xf>
    <xf numFmtId="10" fontId="27" fillId="2" borderId="0" xfId="132" applyNumberFormat="1" applyFont="1" applyFill="1" applyAlignment="1">
      <alignment vertical="center"/>
    </xf>
    <xf numFmtId="41" fontId="17" fillId="2" borderId="38" xfId="59" applyNumberFormat="1" applyFont="1" applyFill="1" applyBorder="1" applyAlignment="1">
      <alignment horizontal="center" vertical="center" wrapText="1"/>
    </xf>
    <xf numFmtId="10" fontId="18" fillId="0" borderId="0" xfId="132" applyNumberFormat="1" applyFont="1" applyFill="1" applyAlignment="1">
      <alignment horizontal="left" vertical="center"/>
    </xf>
    <xf numFmtId="3" fontId="17" fillId="5" borderId="38" xfId="28" applyNumberFormat="1" applyFont="1" applyFill="1" applyBorder="1" applyAlignment="1">
      <alignment horizontal="center" vertical="center" wrapText="1"/>
    </xf>
    <xf numFmtId="170" fontId="21" fillId="9" borderId="38" xfId="59" applyNumberFormat="1" applyFont="1" applyFill="1" applyBorder="1" applyAlignment="1">
      <alignment horizontal="right" vertical="center" wrapText="1"/>
    </xf>
    <xf numFmtId="41" fontId="21" fillId="6" borderId="37" xfId="59" applyFont="1" applyFill="1" applyBorder="1" applyAlignment="1">
      <alignment horizontal="left" vertical="center" wrapText="1"/>
    </xf>
    <xf numFmtId="3" fontId="21" fillId="6" borderId="37" xfId="28" applyNumberFormat="1" applyFont="1" applyFill="1" applyBorder="1" applyAlignment="1">
      <alignment horizontal="center" vertical="center" wrapText="1"/>
    </xf>
    <xf numFmtId="41" fontId="21" fillId="9" borderId="37" xfId="59" applyFont="1" applyFill="1" applyBorder="1" applyAlignment="1">
      <alignment horizontal="center" vertical="center" wrapText="1"/>
    </xf>
    <xf numFmtId="3" fontId="21" fillId="9" borderId="37" xfId="28" applyNumberFormat="1" applyFont="1" applyFill="1" applyBorder="1" applyAlignment="1">
      <alignment horizontal="center" vertical="center" wrapText="1"/>
    </xf>
    <xf numFmtId="41" fontId="21" fillId="9" borderId="37" xfId="59" applyFont="1" applyFill="1" applyBorder="1" applyAlignment="1">
      <alignment horizontal="left" vertical="center" wrapText="1"/>
    </xf>
    <xf numFmtId="41" fontId="17" fillId="0" borderId="0" xfId="59" applyFont="1" applyAlignment="1">
      <alignment horizontal="left" vertical="center"/>
    </xf>
    <xf numFmtId="10" fontId="18" fillId="0" borderId="0" xfId="132" applyNumberFormat="1" applyFont="1" applyAlignment="1">
      <alignment vertical="center"/>
    </xf>
    <xf numFmtId="172" fontId="21" fillId="9" borderId="38" xfId="130" applyFont="1" applyFill="1" applyBorder="1" applyAlignment="1">
      <alignment vertical="center" wrapText="1"/>
    </xf>
    <xf numFmtId="172" fontId="21" fillId="9" borderId="38" xfId="130" applyFont="1" applyFill="1" applyBorder="1" applyAlignment="1">
      <alignment horizontal="center" vertical="center" wrapText="1"/>
    </xf>
    <xf numFmtId="172" fontId="21" fillId="9" borderId="38" xfId="130" applyFont="1" applyFill="1" applyBorder="1" applyAlignment="1">
      <alignment horizontal="center" vertical="center"/>
    </xf>
    <xf numFmtId="14" fontId="21" fillId="9" borderId="38" xfId="130" applyNumberFormat="1" applyFont="1" applyFill="1" applyBorder="1" applyAlignment="1">
      <alignment horizontal="center" vertical="center"/>
    </xf>
    <xf numFmtId="172" fontId="17" fillId="5" borderId="38" xfId="130" applyFont="1" applyFill="1" applyBorder="1" applyAlignment="1">
      <alignment horizontal="center" vertical="center" wrapText="1"/>
    </xf>
    <xf numFmtId="172" fontId="16" fillId="5" borderId="38" xfId="130" applyFont="1" applyFill="1" applyBorder="1" applyAlignment="1">
      <alignment horizontal="center" vertical="center"/>
    </xf>
    <xf numFmtId="172" fontId="18" fillId="2" borderId="38" xfId="130" applyFont="1" applyFill="1" applyBorder="1" applyAlignment="1">
      <alignment horizontal="center" vertical="center" wrapText="1"/>
    </xf>
    <xf numFmtId="172" fontId="18" fillId="5" borderId="38" xfId="130" applyFont="1" applyFill="1" applyBorder="1" applyAlignment="1">
      <alignment horizontal="center" vertical="center" wrapText="1"/>
    </xf>
    <xf numFmtId="172" fontId="22" fillId="2" borderId="37" xfId="130" applyFont="1" applyFill="1" applyBorder="1" applyAlignment="1">
      <alignment horizontal="center" vertical="center"/>
    </xf>
    <xf numFmtId="172" fontId="16" fillId="0" borderId="0" xfId="87" applyFont="1" applyAlignment="1">
      <alignment horizontal="left"/>
    </xf>
    <xf numFmtId="41" fontId="16" fillId="0" borderId="0" xfId="59" applyFont="1" applyAlignment="1"/>
    <xf numFmtId="172" fontId="18" fillId="0" borderId="0" xfId="87" applyFont="1"/>
    <xf numFmtId="172" fontId="18" fillId="2" borderId="0" xfId="87" applyFont="1" applyFill="1" applyBorder="1"/>
    <xf numFmtId="172" fontId="18" fillId="2" borderId="0" xfId="87" applyFont="1" applyFill="1" applyAlignment="1">
      <alignment vertical="center"/>
    </xf>
    <xf numFmtId="172" fontId="28" fillId="0" borderId="0" xfId="87" applyFont="1"/>
    <xf numFmtId="41" fontId="16" fillId="0" borderId="0" xfId="59" applyFont="1" applyAlignment="1">
      <alignment horizontal="center"/>
    </xf>
    <xf numFmtId="41" fontId="21" fillId="6" borderId="28" xfId="59" applyFont="1" applyFill="1" applyBorder="1" applyAlignment="1">
      <alignment horizontal="center" vertical="center" wrapText="1"/>
    </xf>
    <xf numFmtId="172" fontId="21" fillId="0" borderId="0" xfId="87" applyFont="1"/>
    <xf numFmtId="172" fontId="17" fillId="0" borderId="0" xfId="87" applyFont="1"/>
    <xf numFmtId="41" fontId="21" fillId="35" borderId="28" xfId="59" applyFont="1" applyFill="1" applyBorder="1" applyAlignment="1">
      <alignment horizontal="center" vertical="center" wrapText="1"/>
    </xf>
    <xf numFmtId="179" fontId="21" fillId="35" borderId="28" xfId="28" applyNumberFormat="1" applyFont="1" applyFill="1" applyBorder="1" applyAlignment="1">
      <alignment horizontal="center" vertical="center"/>
    </xf>
    <xf numFmtId="172" fontId="18" fillId="0" borderId="0" xfId="87" applyFont="1" applyAlignment="1">
      <alignment horizontal="center"/>
    </xf>
    <xf numFmtId="172" fontId="21" fillId="9" borderId="38" xfId="131" applyFont="1" applyFill="1" applyBorder="1" applyAlignment="1">
      <alignment vertical="center" wrapText="1"/>
    </xf>
    <xf numFmtId="172" fontId="18" fillId="2" borderId="0" xfId="87" applyFont="1" applyFill="1" applyAlignment="1">
      <alignment horizontal="center"/>
    </xf>
    <xf numFmtId="0" fontId="21" fillId="9" borderId="38" xfId="131" applyNumberFormat="1" applyFont="1" applyFill="1" applyBorder="1" applyAlignment="1">
      <alignment horizontal="right" vertical="center" wrapText="1"/>
    </xf>
    <xf numFmtId="3" fontId="28" fillId="6" borderId="37" xfId="28" applyNumberFormat="1" applyFont="1" applyFill="1" applyBorder="1" applyAlignment="1">
      <alignment horizontal="right" vertical="center" wrapText="1"/>
    </xf>
    <xf numFmtId="3" fontId="28" fillId="6" borderId="37" xfId="28" applyNumberFormat="1" applyFont="1" applyFill="1" applyBorder="1" applyAlignment="1">
      <alignment vertical="center" wrapText="1"/>
    </xf>
    <xf numFmtId="41" fontId="28" fillId="6" borderId="37" xfId="59" applyFont="1" applyFill="1" applyBorder="1" applyAlignment="1">
      <alignment horizontal="right" vertical="center"/>
    </xf>
    <xf numFmtId="172" fontId="18" fillId="0" borderId="0" xfId="87" applyFont="1" applyAlignment="1">
      <alignment horizontal="right"/>
    </xf>
    <xf numFmtId="172" fontId="18" fillId="0" borderId="0" xfId="87" applyFont="1" applyAlignment="1">
      <alignment horizontal="left"/>
    </xf>
    <xf numFmtId="41" fontId="18" fillId="0" borderId="0" xfId="59" applyFont="1"/>
    <xf numFmtId="41" fontId="22" fillId="2" borderId="38" xfId="31" applyNumberFormat="1" applyFont="1" applyFill="1" applyBorder="1" applyAlignment="1">
      <alignment horizontal="right" vertical="center" wrapText="1"/>
    </xf>
    <xf numFmtId="43" fontId="22" fillId="2" borderId="37" xfId="25" applyNumberFormat="1" applyFont="1" applyFill="1" applyBorder="1" applyAlignment="1">
      <alignment horizontal="center" vertical="center"/>
    </xf>
    <xf numFmtId="0" fontId="46" fillId="0" borderId="0" xfId="95" applyFont="1"/>
    <xf numFmtId="0" fontId="15" fillId="0" borderId="0" xfId="95" applyFont="1" applyAlignment="1">
      <alignment horizontal="center" wrapText="1"/>
    </xf>
    <xf numFmtId="9" fontId="15" fillId="0" borderId="0" xfId="95" applyNumberFormat="1" applyFont="1" applyAlignment="1">
      <alignment horizontal="center" wrapText="1"/>
    </xf>
    <xf numFmtId="3" fontId="15" fillId="0" borderId="0" xfId="95" applyNumberFormat="1" applyFont="1" applyAlignment="1">
      <alignment horizontal="center" wrapText="1"/>
    </xf>
    <xf numFmtId="0" fontId="46" fillId="0" borderId="0" xfId="95" applyFont="1" applyAlignment="1"/>
    <xf numFmtId="0" fontId="46" fillId="0" borderId="0" xfId="95" applyFont="1" applyAlignment="1">
      <alignment horizontal="center"/>
    </xf>
    <xf numFmtId="9" fontId="15" fillId="0" borderId="0" xfId="95" applyNumberFormat="1" applyFont="1" applyAlignment="1">
      <alignment horizontal="center" vertical="top" wrapText="1"/>
    </xf>
    <xf numFmtId="0" fontId="15" fillId="0" borderId="0" xfId="95" applyFont="1" applyAlignment="1">
      <alignment horizontal="left" wrapText="1"/>
    </xf>
    <xf numFmtId="3" fontId="46" fillId="0" borderId="0" xfId="95" applyNumberFormat="1" applyFont="1"/>
    <xf numFmtId="3" fontId="47" fillId="0" borderId="0" xfId="95" applyNumberFormat="1" applyFont="1" applyAlignment="1">
      <alignment horizontal="right" vertical="center"/>
    </xf>
    <xf numFmtId="9" fontId="46" fillId="0" borderId="0" xfId="95" applyNumberFormat="1" applyFont="1"/>
    <xf numFmtId="0" fontId="46" fillId="0" borderId="0" xfId="95" applyFont="1" applyAlignment="1">
      <alignment horizontal="right"/>
    </xf>
    <xf numFmtId="180" fontId="46" fillId="0" borderId="0" xfId="95" applyNumberFormat="1" applyFont="1" applyAlignment="1">
      <alignment horizontal="left"/>
    </xf>
    <xf numFmtId="3" fontId="48" fillId="0" borderId="0" xfId="95" applyNumberFormat="1" applyFont="1" applyAlignment="1">
      <alignment horizontal="right"/>
    </xf>
    <xf numFmtId="3" fontId="48" fillId="0" borderId="0" xfId="95" applyNumberFormat="1" applyFont="1"/>
    <xf numFmtId="3" fontId="48" fillId="0" borderId="0" xfId="95" applyNumberFormat="1" applyFont="1" applyAlignment="1">
      <alignment horizontal="left"/>
    </xf>
    <xf numFmtId="0" fontId="48" fillId="0" borderId="0" xfId="95" applyNumberFormat="1" applyFont="1" applyAlignment="1">
      <alignment horizontal="left"/>
    </xf>
    <xf numFmtId="3" fontId="15" fillId="0" borderId="0" xfId="95" applyNumberFormat="1" applyFont="1" applyAlignment="1">
      <alignment horizontal="right"/>
    </xf>
    <xf numFmtId="3" fontId="15" fillId="0" borderId="0" xfId="95" applyNumberFormat="1" applyFont="1"/>
    <xf numFmtId="3" fontId="15" fillId="0" borderId="0" xfId="95" applyNumberFormat="1" applyFont="1" applyAlignment="1">
      <alignment horizontal="left"/>
    </xf>
    <xf numFmtId="3" fontId="46" fillId="0" borderId="0" xfId="95" applyNumberFormat="1" applyFont="1" applyAlignment="1">
      <alignment horizontal="right"/>
    </xf>
    <xf numFmtId="0" fontId="15" fillId="0" borderId="56" xfId="95" applyFont="1" applyBorder="1" applyAlignment="1">
      <alignment horizontal="center"/>
    </xf>
    <xf numFmtId="0" fontId="46" fillId="0" borderId="9" xfId="95" applyFont="1" applyFill="1" applyBorder="1" applyAlignment="1">
      <alignment horizontal="center" vertical="center"/>
    </xf>
    <xf numFmtId="9" fontId="46" fillId="0" borderId="57" xfId="95" applyNumberFormat="1" applyFont="1" applyFill="1" applyBorder="1" applyAlignment="1">
      <alignment horizontal="center" vertical="center" wrapText="1"/>
    </xf>
    <xf numFmtId="3" fontId="46" fillId="0" borderId="57" xfId="95" applyNumberFormat="1" applyFont="1" applyFill="1" applyBorder="1" applyAlignment="1">
      <alignment horizontal="center" wrapText="1"/>
    </xf>
    <xf numFmtId="0" fontId="46" fillId="0" borderId="58" xfId="95" applyFont="1" applyFill="1" applyBorder="1" applyAlignment="1">
      <alignment horizontal="center" vertical="center" wrapText="1"/>
    </xf>
    <xf numFmtId="9" fontId="46" fillId="0" borderId="58" xfId="95" applyNumberFormat="1" applyFont="1" applyFill="1" applyBorder="1" applyAlignment="1">
      <alignment horizontal="center" vertical="center" wrapText="1"/>
    </xf>
    <xf numFmtId="0" fontId="46" fillId="0" borderId="59" xfId="95" applyFont="1" applyFill="1" applyBorder="1" applyAlignment="1">
      <alignment horizontal="center" vertical="center" wrapText="1"/>
    </xf>
    <xf numFmtId="0" fontId="46" fillId="0" borderId="10" xfId="95" applyFont="1" applyBorder="1" applyAlignment="1">
      <alignment horizontal="center" vertical="center" wrapText="1"/>
    </xf>
    <xf numFmtId="0" fontId="15" fillId="0" borderId="60" xfId="95" applyFont="1" applyBorder="1" applyAlignment="1">
      <alignment horizontal="center" vertical="center" wrapText="1"/>
    </xf>
    <xf numFmtId="0" fontId="46" fillId="0" borderId="8" xfId="95" applyFont="1" applyBorder="1" applyAlignment="1">
      <alignment horizontal="center" wrapText="1"/>
    </xf>
    <xf numFmtId="10" fontId="46" fillId="0" borderId="61" xfId="95" applyNumberFormat="1" applyFont="1" applyBorder="1"/>
    <xf numFmtId="3" fontId="46" fillId="0" borderId="61" xfId="95" applyNumberFormat="1" applyFont="1" applyBorder="1"/>
    <xf numFmtId="3" fontId="46" fillId="0" borderId="16" xfId="95" applyNumberFormat="1" applyFont="1" applyBorder="1"/>
    <xf numFmtId="10" fontId="46" fillId="0" borderId="16" xfId="95" applyNumberFormat="1" applyFont="1" applyBorder="1" applyAlignment="1">
      <alignment horizontal="center"/>
    </xf>
    <xf numFmtId="180" fontId="46" fillId="0" borderId="61" xfId="95" applyNumberFormat="1" applyFont="1" applyBorder="1" applyAlignment="1">
      <alignment horizontal="center"/>
    </xf>
    <xf numFmtId="3" fontId="46" fillId="0" borderId="7" xfId="95" applyNumberFormat="1" applyFont="1" applyBorder="1" applyAlignment="1">
      <alignment horizontal="center"/>
    </xf>
    <xf numFmtId="3" fontId="15" fillId="0" borderId="18" xfId="95" applyNumberFormat="1" applyFont="1" applyBorder="1"/>
    <xf numFmtId="0" fontId="46" fillId="0" borderId="12" xfId="95" applyFont="1" applyBorder="1" applyAlignment="1">
      <alignment horizontal="center"/>
    </xf>
    <xf numFmtId="10" fontId="46" fillId="0" borderId="2" xfId="95" applyNumberFormat="1" applyFont="1" applyBorder="1"/>
    <xf numFmtId="3" fontId="46" fillId="0" borderId="2" xfId="95" applyNumberFormat="1" applyFont="1" applyBorder="1"/>
    <xf numFmtId="3" fontId="46" fillId="0" borderId="3" xfId="95" applyNumberFormat="1" applyFont="1" applyBorder="1"/>
    <xf numFmtId="10" fontId="46" fillId="0" borderId="3" xfId="95" applyNumberFormat="1" applyFont="1" applyBorder="1" applyAlignment="1">
      <alignment horizontal="center"/>
    </xf>
    <xf numFmtId="180" fontId="46" fillId="0" borderId="2" xfId="95" applyNumberFormat="1" applyFont="1" applyBorder="1" applyAlignment="1">
      <alignment horizontal="center"/>
    </xf>
    <xf numFmtId="3" fontId="46" fillId="0" borderId="13" xfId="95" applyNumberFormat="1" applyFont="1" applyBorder="1" applyAlignment="1">
      <alignment horizontal="center"/>
    </xf>
    <xf numFmtId="3" fontId="15" fillId="0" borderId="21" xfId="95" applyNumberFormat="1" applyFont="1" applyBorder="1"/>
    <xf numFmtId="3" fontId="46" fillId="10" borderId="0" xfId="95" applyNumberFormat="1" applyFont="1" applyFill="1"/>
    <xf numFmtId="0" fontId="46" fillId="0" borderId="5" xfId="95" applyFont="1" applyBorder="1"/>
    <xf numFmtId="3" fontId="15" fillId="0" borderId="5" xfId="95" applyNumberFormat="1" applyFont="1" applyBorder="1"/>
    <xf numFmtId="3" fontId="46" fillId="10" borderId="5" xfId="95" applyNumberFormat="1" applyFont="1" applyFill="1" applyBorder="1"/>
    <xf numFmtId="0" fontId="46" fillId="0" borderId="14" xfId="95" applyFont="1" applyBorder="1" applyAlignment="1">
      <alignment horizontal="center"/>
    </xf>
    <xf numFmtId="10" fontId="46" fillId="0" borderId="17" xfId="95" applyNumberFormat="1" applyFont="1" applyBorder="1"/>
    <xf numFmtId="3" fontId="46" fillId="0" borderId="17" xfId="95" applyNumberFormat="1" applyFont="1" applyBorder="1"/>
    <xf numFmtId="3" fontId="46" fillId="0" borderId="62" xfId="95" applyNumberFormat="1" applyFont="1" applyBorder="1"/>
    <xf numFmtId="10" fontId="46" fillId="0" borderId="62" xfId="95" applyNumberFormat="1" applyFont="1" applyBorder="1" applyAlignment="1">
      <alignment horizontal="center"/>
    </xf>
    <xf numFmtId="180" fontId="46" fillId="0" borderId="17" xfId="95" applyNumberFormat="1" applyFont="1" applyBorder="1" applyAlignment="1">
      <alignment horizontal="center"/>
    </xf>
    <xf numFmtId="3" fontId="46" fillId="0" borderId="15" xfId="95" applyNumberFormat="1" applyFont="1" applyBorder="1" applyAlignment="1">
      <alignment horizontal="center"/>
    </xf>
    <xf numFmtId="3" fontId="15" fillId="0" borderId="22" xfId="95" applyNumberFormat="1" applyFont="1" applyBorder="1"/>
    <xf numFmtId="0" fontId="15" fillId="0" borderId="20" xfId="95" applyFont="1" applyBorder="1" applyAlignment="1">
      <alignment horizontal="center"/>
    </xf>
    <xf numFmtId="10" fontId="15" fillId="0" borderId="63" xfId="95" applyNumberFormat="1" applyFont="1" applyBorder="1"/>
    <xf numFmtId="10" fontId="15" fillId="0" borderId="26" xfId="95" applyNumberFormat="1" applyFont="1" applyBorder="1"/>
    <xf numFmtId="3" fontId="15" fillId="0" borderId="11" xfId="95" applyNumberFormat="1" applyFont="1" applyBorder="1"/>
    <xf numFmtId="3" fontId="15" fillId="0" borderId="60" xfId="95" applyNumberFormat="1" applyFont="1" applyBorder="1"/>
    <xf numFmtId="10" fontId="46" fillId="0" borderId="0" xfId="95" applyNumberFormat="1" applyFont="1"/>
    <xf numFmtId="0" fontId="15" fillId="0" borderId="2" xfId="95" applyFont="1" applyBorder="1" applyAlignment="1">
      <alignment horizontal="center"/>
    </xf>
    <xf numFmtId="180" fontId="15" fillId="0" borderId="2" xfId="95" applyNumberFormat="1" applyFont="1" applyBorder="1" applyAlignment="1">
      <alignment horizontal="center"/>
    </xf>
    <xf numFmtId="0" fontId="15" fillId="0" borderId="0" xfId="95" applyFont="1" applyAlignment="1">
      <alignment horizontal="center"/>
    </xf>
    <xf numFmtId="0" fontId="46" fillId="0" borderId="2" xfId="95" applyFont="1" applyBorder="1" applyAlignment="1">
      <alignment vertical="center" wrapText="1"/>
    </xf>
    <xf numFmtId="170" fontId="15" fillId="10" borderId="0" xfId="25" applyNumberFormat="1" applyFont="1" applyFill="1"/>
    <xf numFmtId="10" fontId="46" fillId="0" borderId="63" xfId="95" applyNumberFormat="1" applyFont="1" applyBorder="1"/>
    <xf numFmtId="172" fontId="46" fillId="0" borderId="0" xfId="87" applyFont="1"/>
    <xf numFmtId="43" fontId="15" fillId="0" borderId="2" xfId="25" applyFont="1" applyBorder="1" applyAlignment="1">
      <alignment horizontal="center"/>
    </xf>
    <xf numFmtId="43" fontId="15" fillId="0" borderId="0" xfId="25" applyFont="1" applyAlignment="1">
      <alignment horizontal="center"/>
    </xf>
    <xf numFmtId="43" fontId="46" fillId="0" borderId="2" xfId="25" applyFont="1" applyBorder="1" applyAlignment="1">
      <alignment vertical="center" wrapText="1"/>
    </xf>
    <xf numFmtId="43" fontId="46" fillId="0" borderId="2" xfId="25" applyFont="1" applyBorder="1"/>
    <xf numFmtId="43" fontId="46" fillId="0" borderId="0" xfId="25" applyFont="1"/>
    <xf numFmtId="170" fontId="46" fillId="0" borderId="0" xfId="25" applyNumberFormat="1" applyFont="1"/>
    <xf numFmtId="0" fontId="46" fillId="37" borderId="0" xfId="95" applyFont="1" applyFill="1"/>
    <xf numFmtId="3" fontId="46" fillId="37" borderId="2" xfId="95" applyNumberFormat="1" applyFont="1" applyFill="1" applyBorder="1"/>
    <xf numFmtId="170" fontId="46" fillId="37" borderId="0" xfId="25" applyNumberFormat="1" applyFont="1" applyFill="1"/>
    <xf numFmtId="172" fontId="50" fillId="0" borderId="0" xfId="87" applyFont="1" applyAlignment="1">
      <alignment horizontal="left"/>
    </xf>
    <xf numFmtId="172" fontId="50" fillId="0" borderId="0" xfId="87" applyFont="1" applyAlignment="1"/>
    <xf numFmtId="170" fontId="50" fillId="0" borderId="0" xfId="17" applyNumberFormat="1" applyFont="1" applyAlignment="1"/>
    <xf numFmtId="170" fontId="18" fillId="0" borderId="0" xfId="17" applyNumberFormat="1" applyFont="1"/>
    <xf numFmtId="172" fontId="50" fillId="0" borderId="0" xfId="87" applyFont="1" applyAlignment="1">
      <alignment horizontal="center"/>
    </xf>
    <xf numFmtId="170" fontId="50" fillId="0" borderId="0" xfId="17" applyNumberFormat="1" applyFont="1" applyAlignment="1">
      <alignment horizontal="center"/>
    </xf>
    <xf numFmtId="170" fontId="21" fillId="6" borderId="66" xfId="17" applyNumberFormat="1" applyFont="1" applyFill="1" applyBorder="1" applyAlignment="1">
      <alignment horizontal="center" vertical="center" wrapText="1"/>
    </xf>
    <xf numFmtId="172" fontId="21" fillId="9" borderId="38" xfId="133" applyFont="1" applyFill="1" applyBorder="1" applyAlignment="1">
      <alignment vertical="center" wrapText="1"/>
    </xf>
    <xf numFmtId="170" fontId="21" fillId="9" borderId="38" xfId="17" applyNumberFormat="1" applyFont="1" applyFill="1" applyBorder="1" applyAlignment="1">
      <alignment horizontal="center" vertical="center"/>
    </xf>
    <xf numFmtId="170" fontId="16" fillId="5" borderId="38" xfId="17" applyNumberFormat="1" applyFont="1" applyFill="1" applyBorder="1" applyAlignment="1">
      <alignment horizontal="center" vertical="center"/>
    </xf>
    <xf numFmtId="170" fontId="17" fillId="5" borderId="38" xfId="17" applyNumberFormat="1" applyFont="1" applyFill="1" applyBorder="1" applyAlignment="1">
      <alignment horizontal="center" vertical="center" wrapText="1"/>
    </xf>
    <xf numFmtId="170" fontId="18" fillId="2" borderId="38" xfId="17" applyNumberFormat="1" applyFont="1" applyFill="1" applyBorder="1" applyAlignment="1">
      <alignment horizontal="center" vertical="center" wrapText="1"/>
    </xf>
    <xf numFmtId="172" fontId="18" fillId="2" borderId="0" xfId="87" applyFont="1" applyFill="1"/>
    <xf numFmtId="172" fontId="21" fillId="6" borderId="0" xfId="87" applyFont="1" applyFill="1" applyAlignment="1">
      <alignment horizontal="right"/>
    </xf>
    <xf numFmtId="172" fontId="21" fillId="6" borderId="0" xfId="87" applyFont="1" applyFill="1"/>
    <xf numFmtId="170" fontId="21" fillId="38" borderId="37" xfId="17" applyNumberFormat="1" applyFont="1" applyFill="1" applyBorder="1" applyAlignment="1">
      <alignment horizontal="right" vertical="center" wrapText="1"/>
    </xf>
    <xf numFmtId="170" fontId="21" fillId="6" borderId="0" xfId="17" applyNumberFormat="1" applyFont="1" applyFill="1"/>
    <xf numFmtId="9" fontId="17" fillId="0" borderId="0" xfId="132" applyFont="1" applyAlignment="1">
      <alignment horizontal="center"/>
    </xf>
    <xf numFmtId="170" fontId="22" fillId="0" borderId="38" xfId="17" applyNumberFormat="1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right" vertical="center"/>
    </xf>
    <xf numFmtId="0" fontId="20" fillId="0" borderId="25" xfId="0" applyFont="1" applyFill="1" applyBorder="1" applyAlignment="1">
      <alignment vertical="center"/>
    </xf>
    <xf numFmtId="41" fontId="20" fillId="0" borderId="0" xfId="16" applyFont="1" applyFill="1" applyBorder="1" applyAlignment="1">
      <alignment vertical="center"/>
    </xf>
    <xf numFmtId="0" fontId="26" fillId="7" borderId="2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right" vertical="center"/>
    </xf>
    <xf numFmtId="0" fontId="19" fillId="4" borderId="2" xfId="0" applyFont="1" applyFill="1" applyBorder="1" applyAlignment="1">
      <alignment vertical="center"/>
    </xf>
    <xf numFmtId="41" fontId="19" fillId="4" borderId="2" xfId="16" applyFont="1" applyFill="1" applyBorder="1" applyAlignment="1">
      <alignment vertical="center"/>
    </xf>
    <xf numFmtId="171" fontId="19" fillId="4" borderId="2" xfId="132" applyNumberFormat="1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right" vertical="center"/>
    </xf>
    <xf numFmtId="0" fontId="20" fillId="3" borderId="2" xfId="0" applyFont="1" applyFill="1" applyBorder="1" applyAlignment="1">
      <alignment vertical="center"/>
    </xf>
    <xf numFmtId="41" fontId="20" fillId="3" borderId="2" xfId="16" applyFont="1" applyFill="1" applyBorder="1" applyAlignment="1">
      <alignment vertical="center"/>
    </xf>
    <xf numFmtId="0" fontId="24" fillId="7" borderId="2" xfId="0" applyFont="1" applyFill="1" applyBorder="1" applyAlignment="1">
      <alignment horizontal="right" vertical="center"/>
    </xf>
    <xf numFmtId="0" fontId="19" fillId="7" borderId="2" xfId="0" applyFont="1" applyFill="1" applyBorder="1" applyAlignment="1">
      <alignment vertical="center"/>
    </xf>
    <xf numFmtId="41" fontId="19" fillId="7" borderId="2" xfId="0" applyNumberFormat="1" applyFont="1" applyFill="1" applyBorder="1" applyAlignment="1">
      <alignment horizontal="right" vertical="center"/>
    </xf>
    <xf numFmtId="172" fontId="22" fillId="0" borderId="0" xfId="110" applyFont="1" applyAlignment="1">
      <alignment horizontal="center" vertical="center"/>
    </xf>
    <xf numFmtId="0" fontId="16" fillId="0" borderId="0" xfId="0" applyFont="1" applyAlignment="1"/>
    <xf numFmtId="172" fontId="22" fillId="0" borderId="0" xfId="110" applyFont="1" applyAlignment="1">
      <alignment horizontal="left" vertical="center" wrapText="1"/>
    </xf>
    <xf numFmtId="172" fontId="22" fillId="0" borderId="0" xfId="110" applyFont="1" applyAlignment="1">
      <alignment horizontal="left" vertical="center"/>
    </xf>
    <xf numFmtId="170" fontId="22" fillId="0" borderId="0" xfId="25" applyNumberFormat="1" applyFont="1" applyAlignment="1">
      <alignment horizontal="center" vertical="center"/>
    </xf>
    <xf numFmtId="181" fontId="22" fillId="0" borderId="0" xfId="110" applyNumberFormat="1" applyFont="1" applyAlignment="1">
      <alignment horizontal="center" vertical="center"/>
    </xf>
    <xf numFmtId="172" fontId="22" fillId="2" borderId="0" xfId="11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172" fontId="18" fillId="0" borderId="0" xfId="94" applyFont="1" applyAlignment="1">
      <alignment horizontal="center" vertical="center"/>
    </xf>
    <xf numFmtId="172" fontId="18" fillId="2" borderId="0" xfId="94" applyFont="1" applyFill="1" applyBorder="1" applyAlignment="1">
      <alignment horizontal="center" vertical="center"/>
    </xf>
    <xf numFmtId="172" fontId="18" fillId="2" borderId="0" xfId="98" applyFont="1" applyFill="1" applyBorder="1" applyAlignment="1">
      <alignment horizontal="center" vertical="center"/>
    </xf>
    <xf numFmtId="172" fontId="18" fillId="2" borderId="0" xfId="98" applyFont="1" applyFill="1" applyBorder="1" applyAlignment="1">
      <alignment horizontal="center" vertical="center" wrapText="1"/>
    </xf>
    <xf numFmtId="172" fontId="18" fillId="2" borderId="31" xfId="94" applyFont="1" applyFill="1" applyBorder="1" applyAlignment="1">
      <alignment horizontal="center" vertical="center" wrapText="1"/>
    </xf>
    <xf numFmtId="172" fontId="18" fillId="0" borderId="31" xfId="94" applyFont="1" applyFill="1" applyBorder="1" applyAlignment="1">
      <alignment horizontal="left" vertical="center" wrapText="1"/>
    </xf>
    <xf numFmtId="3" fontId="18" fillId="0" borderId="31" xfId="94" applyNumberFormat="1" applyFont="1" applyFill="1" applyBorder="1" applyAlignment="1">
      <alignment horizontal="center" vertical="center" wrapText="1"/>
    </xf>
    <xf numFmtId="172" fontId="18" fillId="0" borderId="31" xfId="94" applyFont="1" applyFill="1" applyBorder="1" applyAlignment="1">
      <alignment horizontal="center" vertical="center" wrapText="1"/>
    </xf>
    <xf numFmtId="170" fontId="18" fillId="0" borderId="31" xfId="25" applyNumberFormat="1" applyFont="1" applyFill="1" applyBorder="1" applyAlignment="1">
      <alignment horizontal="center" vertical="center" wrapText="1"/>
    </xf>
    <xf numFmtId="9" fontId="18" fillId="0" borderId="31" xfId="94" applyNumberFormat="1" applyFont="1" applyFill="1" applyBorder="1" applyAlignment="1">
      <alignment horizontal="center" vertical="center" wrapText="1"/>
    </xf>
    <xf numFmtId="181" fontId="18" fillId="0" borderId="31" xfId="94" applyNumberFormat="1" applyFont="1" applyFill="1" applyBorder="1" applyAlignment="1">
      <alignment horizontal="center" vertical="center" wrapText="1"/>
    </xf>
    <xf numFmtId="172" fontId="18" fillId="0" borderId="31" xfId="94" applyFont="1" applyFill="1" applyBorder="1" applyAlignment="1">
      <alignment vertical="center" wrapText="1"/>
    </xf>
    <xf numFmtId="170" fontId="17" fillId="5" borderId="31" xfId="94" applyNumberFormat="1" applyFont="1" applyFill="1" applyBorder="1" applyAlignment="1">
      <alignment horizontal="center" vertical="center" wrapText="1"/>
    </xf>
    <xf numFmtId="172" fontId="18" fillId="5" borderId="31" xfId="94" applyFont="1" applyFill="1" applyBorder="1" applyAlignment="1">
      <alignment horizontal="center" vertical="center" wrapText="1"/>
    </xf>
    <xf numFmtId="181" fontId="18" fillId="5" borderId="31" xfId="94" applyNumberFormat="1" applyFont="1" applyFill="1" applyBorder="1" applyAlignment="1">
      <alignment horizontal="center" vertical="center" wrapText="1"/>
    </xf>
    <xf numFmtId="172" fontId="18" fillId="5" borderId="31" xfId="94" applyFont="1" applyFill="1" applyBorder="1" applyAlignment="1">
      <alignment horizontal="left" vertical="center" wrapText="1"/>
    </xf>
    <xf numFmtId="181" fontId="17" fillId="39" borderId="32" xfId="94" applyNumberFormat="1" applyFont="1" applyFill="1" applyBorder="1" applyAlignment="1">
      <alignment horizontal="center" vertical="center" wrapText="1"/>
    </xf>
    <xf numFmtId="172" fontId="22" fillId="2" borderId="0" xfId="110" applyFont="1" applyFill="1" applyAlignment="1">
      <alignment horizontal="center" vertical="center"/>
    </xf>
    <xf numFmtId="172" fontId="18" fillId="2" borderId="31" xfId="94" applyFont="1" applyFill="1" applyBorder="1" applyAlignment="1">
      <alignment horizontal="center" vertical="center"/>
    </xf>
    <xf numFmtId="3" fontId="18" fillId="2" borderId="36" xfId="28" applyNumberFormat="1" applyFont="1" applyFill="1" applyBorder="1" applyAlignment="1">
      <alignment horizontal="left" vertical="center" wrapText="1"/>
    </xf>
    <xf numFmtId="172" fontId="18" fillId="2" borderId="31" xfId="94" applyFont="1" applyFill="1" applyBorder="1" applyAlignment="1">
      <alignment horizontal="left" vertical="center" wrapText="1"/>
    </xf>
    <xf numFmtId="172" fontId="18" fillId="2" borderId="31" xfId="94" applyFont="1" applyFill="1" applyBorder="1" applyAlignment="1">
      <alignment vertical="center" wrapText="1"/>
    </xf>
    <xf numFmtId="9" fontId="18" fillId="2" borderId="31" xfId="94" applyNumberFormat="1" applyFont="1" applyFill="1" applyBorder="1" applyAlignment="1">
      <alignment horizontal="center" vertical="center" wrapText="1"/>
    </xf>
    <xf numFmtId="37" fontId="18" fillId="2" borderId="31" xfId="94" applyNumberFormat="1" applyFont="1" applyFill="1" applyBorder="1" applyAlignment="1">
      <alignment horizontal="right" vertical="center" wrapText="1"/>
    </xf>
    <xf numFmtId="172" fontId="18" fillId="0" borderId="35" xfId="94" applyFont="1" applyBorder="1" applyAlignment="1">
      <alignment horizontal="center" vertical="center"/>
    </xf>
    <xf numFmtId="17" fontId="22" fillId="2" borderId="36" xfId="135" applyNumberFormat="1" applyFont="1" applyFill="1" applyBorder="1" applyAlignment="1">
      <alignment horizontal="center" vertical="center"/>
    </xf>
    <xf numFmtId="172" fontId="18" fillId="2" borderId="0" xfId="110" applyFont="1" applyFill="1" applyBorder="1" applyAlignment="1">
      <alignment horizontal="center" vertical="center"/>
    </xf>
    <xf numFmtId="181" fontId="18" fillId="5" borderId="29" xfId="94" applyNumberFormat="1" applyFont="1" applyFill="1" applyBorder="1" applyAlignment="1">
      <alignment horizontal="center" vertical="center" wrapText="1"/>
    </xf>
    <xf numFmtId="172" fontId="18" fillId="5" borderId="29" xfId="94" applyFont="1" applyFill="1" applyBorder="1" applyAlignment="1">
      <alignment horizontal="left" vertical="center" wrapText="1"/>
    </xf>
    <xf numFmtId="172" fontId="18" fillId="5" borderId="29" xfId="94" applyFont="1" applyFill="1" applyBorder="1" applyAlignment="1">
      <alignment horizontal="center" vertical="center" wrapText="1"/>
    </xf>
    <xf numFmtId="172" fontId="18" fillId="0" borderId="70" xfId="94" applyFont="1" applyFill="1" applyBorder="1" applyAlignment="1">
      <alignment horizontal="center" vertical="center" wrapText="1"/>
    </xf>
    <xf numFmtId="3" fontId="18" fillId="2" borderId="31" xfId="28" applyNumberFormat="1" applyFont="1" applyFill="1" applyBorder="1" applyAlignment="1">
      <alignment horizontal="left" vertical="center" wrapText="1"/>
    </xf>
    <xf numFmtId="3" fontId="18" fillId="2" borderId="31" xfId="94" applyNumberFormat="1" applyFont="1" applyFill="1" applyBorder="1" applyAlignment="1">
      <alignment horizontal="left" vertical="center" wrapText="1"/>
    </xf>
    <xf numFmtId="3" fontId="18" fillId="2" borderId="31" xfId="94" applyNumberFormat="1" applyFont="1" applyFill="1" applyBorder="1" applyAlignment="1">
      <alignment horizontal="center" vertical="center" wrapText="1"/>
    </xf>
    <xf numFmtId="170" fontId="18" fillId="2" borderId="31" xfId="25" applyNumberFormat="1" applyFont="1" applyFill="1" applyBorder="1" applyAlignment="1">
      <alignment vertical="center" wrapText="1"/>
    </xf>
    <xf numFmtId="9" fontId="18" fillId="0" borderId="31" xfId="22" applyFont="1" applyBorder="1" applyAlignment="1">
      <alignment horizontal="center" vertical="center"/>
    </xf>
    <xf numFmtId="170" fontId="18" fillId="2" borderId="31" xfId="25" applyNumberFormat="1" applyFont="1" applyFill="1" applyBorder="1" applyAlignment="1">
      <alignment horizontal="center" vertical="center"/>
    </xf>
    <xf numFmtId="181" fontId="18" fillId="0" borderId="31" xfId="94" applyNumberFormat="1" applyFont="1" applyFill="1" applyBorder="1" applyAlignment="1">
      <alignment horizontal="left" vertical="center" wrapText="1"/>
    </xf>
    <xf numFmtId="172" fontId="22" fillId="0" borderId="0" xfId="110" applyFont="1" applyBorder="1" applyAlignment="1">
      <alignment horizontal="center" vertical="center"/>
    </xf>
    <xf numFmtId="170" fontId="17" fillId="5" borderId="29" xfId="94" applyNumberFormat="1" applyFont="1" applyFill="1" applyBorder="1" applyAlignment="1">
      <alignment horizontal="center" vertical="center" wrapText="1"/>
    </xf>
    <xf numFmtId="172" fontId="18" fillId="0" borderId="0" xfId="94" applyFont="1" applyBorder="1" applyAlignment="1">
      <alignment horizontal="center" vertical="center"/>
    </xf>
    <xf numFmtId="172" fontId="18" fillId="0" borderId="5" xfId="94" applyFont="1" applyFill="1" applyBorder="1" applyAlignment="1">
      <alignment horizontal="center" vertical="center" wrapText="1"/>
    </xf>
    <xf numFmtId="172" fontId="18" fillId="0" borderId="0" xfId="94" applyFont="1" applyFill="1" applyBorder="1" applyAlignment="1">
      <alignment horizontal="left" vertical="center" wrapText="1"/>
    </xf>
    <xf numFmtId="172" fontId="18" fillId="0" borderId="0" xfId="94" applyFont="1" applyFill="1" applyBorder="1" applyAlignment="1">
      <alignment horizontal="center" vertical="center" wrapText="1"/>
    </xf>
    <xf numFmtId="170" fontId="18" fillId="0" borderId="0" xfId="25" applyNumberFormat="1" applyFont="1" applyFill="1" applyBorder="1" applyAlignment="1">
      <alignment horizontal="center" vertical="center" wrapText="1"/>
    </xf>
    <xf numFmtId="181" fontId="18" fillId="0" borderId="0" xfId="94" applyNumberFormat="1" applyFont="1" applyFill="1" applyBorder="1" applyAlignment="1">
      <alignment horizontal="center" vertical="center" wrapText="1"/>
    </xf>
    <xf numFmtId="181" fontId="17" fillId="39" borderId="35" xfId="94" applyNumberFormat="1" applyFont="1" applyFill="1" applyBorder="1" applyAlignment="1">
      <alignment horizontal="center" vertical="center" wrapText="1"/>
    </xf>
    <xf numFmtId="172" fontId="18" fillId="0" borderId="31" xfId="94" applyFont="1" applyBorder="1" applyAlignment="1">
      <alignment horizontal="center" vertical="center"/>
    </xf>
    <xf numFmtId="172" fontId="18" fillId="2" borderId="35" xfId="94" applyFont="1" applyFill="1" applyBorder="1" applyAlignment="1">
      <alignment horizontal="center" vertical="center" wrapText="1"/>
    </xf>
    <xf numFmtId="172" fontId="18" fillId="2" borderId="32" xfId="94" applyFont="1" applyFill="1" applyBorder="1" applyAlignment="1">
      <alignment vertical="center" wrapText="1"/>
    </xf>
    <xf numFmtId="3" fontId="18" fillId="2" borderId="32" xfId="28" applyNumberFormat="1" applyFont="1" applyFill="1" applyBorder="1" applyAlignment="1">
      <alignment vertical="center" wrapText="1"/>
    </xf>
    <xf numFmtId="172" fontId="18" fillId="2" borderId="32" xfId="94" applyFont="1" applyFill="1" applyBorder="1" applyAlignment="1">
      <alignment horizontal="center" vertical="center" wrapText="1"/>
    </xf>
    <xf numFmtId="170" fontId="18" fillId="2" borderId="32" xfId="25" applyNumberFormat="1" applyFont="1" applyFill="1" applyBorder="1" applyAlignment="1">
      <alignment vertical="center" wrapText="1"/>
    </xf>
    <xf numFmtId="17" fontId="22" fillId="2" borderId="80" xfId="135" applyNumberFormat="1" applyFont="1" applyFill="1" applyBorder="1" applyAlignment="1">
      <alignment horizontal="center" vertical="center"/>
    </xf>
    <xf numFmtId="170" fontId="16" fillId="5" borderId="31" xfId="110" applyNumberFormat="1" applyFont="1" applyFill="1" applyBorder="1" applyAlignment="1">
      <alignment horizontal="left" vertical="center"/>
    </xf>
    <xf numFmtId="172" fontId="22" fillId="5" borderId="31" xfId="110" applyFont="1" applyFill="1" applyBorder="1" applyAlignment="1">
      <alignment horizontal="center" vertical="center"/>
    </xf>
    <xf numFmtId="181" fontId="22" fillId="5" borderId="31" xfId="110" applyNumberFormat="1" applyFont="1" applyFill="1" applyBorder="1" applyAlignment="1">
      <alignment horizontal="center" vertical="center"/>
    </xf>
    <xf numFmtId="3" fontId="18" fillId="0" borderId="0" xfId="28" applyNumberFormat="1" applyFont="1" applyFill="1" applyBorder="1" applyAlignment="1">
      <alignment horizontal="left" vertical="center" wrapText="1"/>
    </xf>
    <xf numFmtId="3" fontId="18" fillId="0" borderId="0" xfId="94" applyNumberFormat="1" applyFont="1" applyFill="1" applyBorder="1" applyAlignment="1">
      <alignment horizontal="left" vertical="center" wrapText="1"/>
    </xf>
    <xf numFmtId="9" fontId="18" fillId="0" borderId="0" xfId="94" applyNumberFormat="1" applyFont="1" applyFill="1" applyBorder="1" applyAlignment="1">
      <alignment horizontal="center" vertical="center" wrapText="1"/>
    </xf>
    <xf numFmtId="14" fontId="18" fillId="0" borderId="0" xfId="94" applyNumberFormat="1" applyFont="1" applyFill="1" applyBorder="1" applyAlignment="1">
      <alignment horizontal="center" vertical="center" wrapText="1"/>
    </xf>
    <xf numFmtId="172" fontId="18" fillId="0" borderId="0" xfId="110" applyFont="1" applyAlignment="1">
      <alignment horizontal="center" vertical="center"/>
    </xf>
    <xf numFmtId="3" fontId="18" fillId="2" borderId="32" xfId="94" applyNumberFormat="1" applyFont="1" applyFill="1" applyBorder="1" applyAlignment="1">
      <alignment horizontal="center" vertical="center" wrapText="1"/>
    </xf>
    <xf numFmtId="9" fontId="18" fillId="2" borderId="32" xfId="94" applyNumberFormat="1" applyFont="1" applyFill="1" applyBorder="1" applyAlignment="1">
      <alignment horizontal="center" vertical="center" wrapText="1"/>
    </xf>
    <xf numFmtId="9" fontId="18" fillId="2" borderId="32" xfId="22" applyFont="1" applyFill="1" applyBorder="1" applyAlignment="1">
      <alignment horizontal="center" vertical="center"/>
    </xf>
    <xf numFmtId="170" fontId="18" fillId="2" borderId="32" xfId="25" applyNumberFormat="1" applyFont="1" applyFill="1" applyBorder="1" applyAlignment="1">
      <alignment horizontal="center" vertical="center"/>
    </xf>
    <xf numFmtId="170" fontId="18" fillId="2" borderId="82" xfId="25" applyNumberFormat="1" applyFont="1" applyFill="1" applyBorder="1" applyAlignment="1">
      <alignment horizontal="center" vertical="center"/>
    </xf>
    <xf numFmtId="17" fontId="22" fillId="2" borderId="83" xfId="135" applyNumberFormat="1" applyFont="1" applyFill="1" applyBorder="1" applyAlignment="1">
      <alignment horizontal="center" vertical="center"/>
    </xf>
    <xf numFmtId="17" fontId="22" fillId="2" borderId="84" xfId="135" applyNumberFormat="1" applyFont="1" applyFill="1" applyBorder="1" applyAlignment="1">
      <alignment horizontal="center" vertical="center"/>
    </xf>
    <xf numFmtId="17" fontId="22" fillId="2" borderId="85" xfId="135" applyNumberFormat="1" applyFont="1" applyFill="1" applyBorder="1" applyAlignment="1">
      <alignment horizontal="center" vertical="center"/>
    </xf>
    <xf numFmtId="172" fontId="22" fillId="0" borderId="2" xfId="110" applyFont="1" applyFill="1" applyBorder="1" applyAlignment="1">
      <alignment horizontal="center" vertical="center"/>
    </xf>
    <xf numFmtId="172" fontId="18" fillId="0" borderId="0" xfId="110" applyFont="1" applyAlignment="1">
      <alignment horizontal="left" vertical="center" wrapText="1"/>
    </xf>
    <xf numFmtId="172" fontId="18" fillId="0" borderId="0" xfId="110" applyFont="1" applyAlignment="1">
      <alignment horizontal="left" vertical="center"/>
    </xf>
    <xf numFmtId="181" fontId="18" fillId="0" borderId="0" xfId="110" applyNumberFormat="1" applyFont="1" applyAlignment="1">
      <alignment horizontal="center" vertical="center"/>
    </xf>
    <xf numFmtId="170" fontId="17" fillId="39" borderId="36" xfId="25" applyNumberFormat="1" applyFont="1" applyFill="1" applyBorder="1" applyAlignment="1">
      <alignment horizontal="center" vertical="center" wrapText="1"/>
    </xf>
    <xf numFmtId="172" fontId="18" fillId="2" borderId="70" xfId="94" applyFont="1" applyFill="1" applyBorder="1" applyAlignment="1">
      <alignment horizontal="center" vertical="center" wrapText="1"/>
    </xf>
    <xf numFmtId="3" fontId="18" fillId="2" borderId="36" xfId="94" applyNumberFormat="1" applyFont="1" applyFill="1" applyBorder="1" applyAlignment="1">
      <alignment horizontal="left" vertical="center" wrapText="1"/>
    </xf>
    <xf numFmtId="172" fontId="18" fillId="2" borderId="36" xfId="94" applyFont="1" applyFill="1" applyBorder="1" applyAlignment="1">
      <alignment horizontal="center" vertical="center" wrapText="1"/>
    </xf>
    <xf numFmtId="170" fontId="18" fillId="2" borderId="36" xfId="25" applyNumberFormat="1" applyFont="1" applyFill="1" applyBorder="1" applyAlignment="1">
      <alignment vertical="center" wrapText="1"/>
    </xf>
    <xf numFmtId="9" fontId="18" fillId="2" borderId="36" xfId="94" applyNumberFormat="1" applyFont="1" applyFill="1" applyBorder="1" applyAlignment="1">
      <alignment vertical="center" wrapText="1"/>
    </xf>
    <xf numFmtId="9" fontId="18" fillId="2" borderId="36" xfId="22" applyFont="1" applyFill="1" applyBorder="1" applyAlignment="1">
      <alignment horizontal="center" vertical="center"/>
    </xf>
    <xf numFmtId="17" fontId="22" fillId="0" borderId="36" xfId="135" applyNumberFormat="1" applyFont="1" applyBorder="1" applyAlignment="1">
      <alignment horizontal="center" vertical="center"/>
    </xf>
    <xf numFmtId="172" fontId="18" fillId="5" borderId="3" xfId="94" applyFont="1" applyFill="1" applyBorder="1" applyAlignment="1">
      <alignment horizontal="center" vertical="center" wrapText="1"/>
    </xf>
    <xf numFmtId="170" fontId="16" fillId="5" borderId="36" xfId="110" applyNumberFormat="1" applyFont="1" applyFill="1" applyBorder="1" applyAlignment="1">
      <alignment horizontal="center" vertical="center"/>
    </xf>
    <xf numFmtId="172" fontId="22" fillId="5" borderId="36" xfId="110" applyFont="1" applyFill="1" applyBorder="1" applyAlignment="1">
      <alignment horizontal="center" vertical="center"/>
    </xf>
    <xf numFmtId="172" fontId="22" fillId="0" borderId="0" xfId="110" applyFont="1" applyFill="1" applyAlignment="1">
      <alignment horizontal="center" vertical="center"/>
    </xf>
    <xf numFmtId="172" fontId="18" fillId="2" borderId="88" xfId="94" applyFont="1" applyFill="1" applyBorder="1" applyAlignment="1">
      <alignment vertical="center" wrapText="1"/>
    </xf>
    <xf numFmtId="3" fontId="18" fillId="2" borderId="72" xfId="94" applyNumberFormat="1" applyFont="1" applyFill="1" applyBorder="1" applyAlignment="1">
      <alignment vertical="center" wrapText="1"/>
    </xf>
    <xf numFmtId="3" fontId="18" fillId="2" borderId="89" xfId="94" applyNumberFormat="1" applyFont="1" applyFill="1" applyBorder="1" applyAlignment="1">
      <alignment vertical="center" wrapText="1"/>
    </xf>
    <xf numFmtId="170" fontId="18" fillId="2" borderId="90" xfId="25" applyNumberFormat="1" applyFont="1" applyFill="1" applyBorder="1" applyAlignment="1">
      <alignment vertical="center" wrapText="1"/>
    </xf>
    <xf numFmtId="9" fontId="18" fillId="2" borderId="90" xfId="94" applyNumberFormat="1" applyFont="1" applyFill="1" applyBorder="1" applyAlignment="1">
      <alignment vertical="center" wrapText="1"/>
    </xf>
    <xf numFmtId="9" fontId="18" fillId="2" borderId="90" xfId="22" applyFont="1" applyFill="1" applyBorder="1" applyAlignment="1">
      <alignment vertical="center"/>
    </xf>
    <xf numFmtId="170" fontId="18" fillId="2" borderId="90" xfId="25" applyNumberFormat="1" applyFont="1" applyFill="1" applyBorder="1" applyAlignment="1">
      <alignment vertical="center"/>
    </xf>
    <xf numFmtId="170" fontId="18" fillId="2" borderId="85" xfId="25" applyNumberFormat="1" applyFont="1" applyFill="1" applyBorder="1" applyAlignment="1">
      <alignment vertical="center"/>
    </xf>
    <xf numFmtId="17" fontId="22" fillId="2" borderId="91" xfId="135" applyNumberFormat="1" applyFont="1" applyFill="1" applyBorder="1" applyAlignment="1">
      <alignment horizontal="center" vertical="center"/>
    </xf>
    <xf numFmtId="172" fontId="18" fillId="2" borderId="86" xfId="94" applyFont="1" applyFill="1" applyBorder="1" applyAlignment="1">
      <alignment vertical="center" wrapText="1"/>
    </xf>
    <xf numFmtId="172" fontId="18" fillId="2" borderId="87" xfId="94" applyFont="1" applyFill="1" applyBorder="1" applyAlignment="1">
      <alignment vertical="center" wrapText="1"/>
    </xf>
    <xf numFmtId="170" fontId="16" fillId="5" borderId="36" xfId="110" applyNumberFormat="1" applyFont="1" applyFill="1" applyBorder="1" applyAlignment="1">
      <alignment horizontal="left" vertical="center"/>
    </xf>
    <xf numFmtId="170" fontId="18" fillId="2" borderId="36" xfId="94" applyNumberFormat="1" applyFont="1" applyFill="1" applyBorder="1" applyAlignment="1">
      <alignment vertical="center" wrapText="1"/>
    </xf>
    <xf numFmtId="9" fontId="18" fillId="2" borderId="36" xfId="22" applyFont="1" applyFill="1" applyBorder="1" applyAlignment="1">
      <alignment horizontal="center" vertical="center" wrapText="1"/>
    </xf>
    <xf numFmtId="170" fontId="16" fillId="2" borderId="36" xfId="25" applyNumberFormat="1" applyFont="1" applyFill="1" applyBorder="1" applyAlignment="1">
      <alignment horizontal="center" vertical="center"/>
    </xf>
    <xf numFmtId="9" fontId="16" fillId="2" borderId="36" xfId="22" applyFont="1" applyFill="1" applyBorder="1" applyAlignment="1">
      <alignment horizontal="center" vertical="center"/>
    </xf>
    <xf numFmtId="41" fontId="16" fillId="0" borderId="0" xfId="0" applyNumberFormat="1" applyFont="1" applyAlignment="1"/>
    <xf numFmtId="172" fontId="27" fillId="2" borderId="37" xfId="30" applyFont="1" applyFill="1" applyBorder="1" applyAlignment="1">
      <alignment horizontal="center" vertical="center"/>
    </xf>
    <xf numFmtId="172" fontId="18" fillId="2" borderId="38" xfId="130" applyFont="1" applyFill="1" applyBorder="1" applyAlignment="1">
      <alignment horizontal="left" vertical="center" wrapText="1"/>
    </xf>
    <xf numFmtId="0" fontId="25" fillId="7" borderId="4" xfId="0" applyFont="1" applyFill="1" applyBorder="1" applyAlignment="1">
      <alignment horizontal="center" vertical="center"/>
    </xf>
    <xf numFmtId="41" fontId="19" fillId="4" borderId="0" xfId="16" applyFont="1" applyFill="1" applyBorder="1" applyAlignment="1">
      <alignment vertical="center"/>
    </xf>
    <xf numFmtId="170" fontId="18" fillId="40" borderId="38" xfId="25" applyNumberFormat="1" applyFont="1" applyFill="1" applyBorder="1" applyAlignment="1">
      <alignment horizontal="center" vertical="center" wrapText="1"/>
    </xf>
    <xf numFmtId="0" fontId="46" fillId="0" borderId="0" xfId="95" applyFont="1" applyFill="1"/>
    <xf numFmtId="3" fontId="46" fillId="0" borderId="0" xfId="95" applyNumberFormat="1" applyFont="1" applyFill="1"/>
    <xf numFmtId="0" fontId="46" fillId="0" borderId="5" xfId="95" applyFont="1" applyFill="1" applyBorder="1"/>
    <xf numFmtId="3" fontId="15" fillId="0" borderId="5" xfId="95" applyNumberFormat="1" applyFont="1" applyFill="1" applyBorder="1"/>
    <xf numFmtId="3" fontId="46" fillId="0" borderId="5" xfId="95" applyNumberFormat="1" applyFont="1" applyFill="1" applyBorder="1"/>
    <xf numFmtId="41" fontId="10" fillId="0" borderId="0" xfId="0" applyNumberFormat="1" applyFont="1"/>
    <xf numFmtId="10" fontId="10" fillId="0" borderId="0" xfId="0" applyNumberFormat="1" applyFont="1"/>
    <xf numFmtId="9" fontId="18" fillId="2" borderId="31" xfId="22" applyNumberFormat="1" applyFont="1" applyFill="1" applyBorder="1" applyAlignment="1">
      <alignment horizontal="left" vertical="center" indent="2"/>
    </xf>
    <xf numFmtId="172" fontId="18" fillId="10" borderId="38" xfId="130" applyFont="1" applyFill="1" applyBorder="1" applyAlignment="1">
      <alignment horizontal="left" vertical="center" wrapText="1"/>
    </xf>
    <xf numFmtId="41" fontId="19" fillId="7" borderId="2" xfId="0" applyNumberFormat="1" applyFont="1" applyFill="1" applyBorder="1" applyAlignment="1">
      <alignment vertical="center"/>
    </xf>
    <xf numFmtId="10" fontId="20" fillId="3" borderId="2" xfId="132" applyNumberFormat="1" applyFont="1" applyFill="1" applyBorder="1" applyAlignment="1">
      <alignment vertical="center"/>
    </xf>
    <xf numFmtId="43" fontId="27" fillId="0" borderId="0" xfId="132" applyNumberFormat="1" applyFont="1" applyFill="1" applyAlignment="1">
      <alignment vertical="center"/>
    </xf>
    <xf numFmtId="41" fontId="22" fillId="0" borderId="37" xfId="59" applyFont="1" applyFill="1" applyBorder="1" applyAlignment="1">
      <alignment horizontal="right" vertical="center"/>
    </xf>
    <xf numFmtId="172" fontId="21" fillId="6" borderId="37" xfId="136" applyNumberFormat="1" applyFont="1" applyFill="1" applyBorder="1" applyAlignment="1">
      <alignment horizontal="left" vertical="center" wrapText="1"/>
    </xf>
    <xf numFmtId="3" fontId="18" fillId="2" borderId="0" xfId="94" applyNumberFormat="1" applyFont="1" applyFill="1" applyBorder="1" applyAlignment="1">
      <alignment horizontal="center" vertical="center" wrapText="1"/>
    </xf>
    <xf numFmtId="174" fontId="18" fillId="2" borderId="36" xfId="94" applyNumberFormat="1" applyFont="1" applyFill="1" applyBorder="1" applyAlignment="1">
      <alignment horizontal="left" vertical="center" wrapText="1"/>
    </xf>
    <xf numFmtId="170" fontId="22" fillId="2" borderId="0" xfId="25" applyNumberFormat="1" applyFont="1" applyFill="1" applyBorder="1" applyAlignment="1">
      <alignment horizontal="center" vertical="center"/>
    </xf>
    <xf numFmtId="17" fontId="18" fillId="2" borderId="31" xfId="134" applyNumberFormat="1" applyFont="1" applyFill="1" applyBorder="1" applyAlignment="1">
      <alignment horizontal="center" vertical="center"/>
    </xf>
    <xf numFmtId="17" fontId="22" fillId="0" borderId="36" xfId="135" applyNumberFormat="1" applyFont="1" applyFill="1" applyBorder="1" applyAlignment="1">
      <alignment horizontal="center" vertical="center"/>
    </xf>
    <xf numFmtId="172" fontId="18" fillId="2" borderId="81" xfId="94" applyFont="1" applyFill="1" applyBorder="1" applyAlignment="1">
      <alignment horizontal="left" vertical="center" wrapText="1"/>
    </xf>
    <xf numFmtId="17" fontId="22" fillId="0" borderId="0" xfId="135" applyNumberFormat="1" applyFont="1" applyFill="1" applyBorder="1" applyAlignment="1">
      <alignment horizontal="center" vertical="center"/>
    </xf>
    <xf numFmtId="43" fontId="10" fillId="0" borderId="0" xfId="0" applyNumberFormat="1" applyFont="1"/>
    <xf numFmtId="170" fontId="21" fillId="9" borderId="38" xfId="136" applyNumberFormat="1" applyFont="1" applyFill="1" applyBorder="1" applyAlignment="1">
      <alignment horizontal="right" vertical="center" wrapText="1"/>
    </xf>
    <xf numFmtId="171" fontId="0" fillId="0" borderId="0" xfId="132" applyNumberFormat="1" applyFont="1"/>
    <xf numFmtId="10" fontId="19" fillId="4" borderId="2" xfId="132" applyNumberFormat="1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5" fillId="7" borderId="2" xfId="0" applyFont="1" applyFill="1" applyBorder="1" applyAlignment="1">
      <alignment horizontal="center" vertical="center"/>
    </xf>
    <xf numFmtId="3" fontId="21" fillId="8" borderId="28" xfId="28" applyNumberFormat="1" applyFont="1" applyFill="1" applyBorder="1" applyAlignment="1">
      <alignment horizontal="center" vertical="center"/>
    </xf>
    <xf numFmtId="3" fontId="21" fillId="6" borderId="28" xfId="28" applyNumberFormat="1" applyFont="1" applyFill="1" applyBorder="1" applyAlignment="1">
      <alignment horizontal="center" vertical="center"/>
    </xf>
    <xf numFmtId="172" fontId="17" fillId="0" borderId="0" xfId="28" applyFont="1" applyAlignment="1">
      <alignment horizontal="center" vertical="center"/>
    </xf>
    <xf numFmtId="172" fontId="17" fillId="39" borderId="36" xfId="94" applyFont="1" applyFill="1" applyBorder="1" applyAlignment="1">
      <alignment horizontal="center" vertical="center" wrapText="1"/>
    </xf>
    <xf numFmtId="172" fontId="17" fillId="39" borderId="31" xfId="94" applyFont="1" applyFill="1" applyBorder="1" applyAlignment="1">
      <alignment horizontal="center" vertical="center" wrapText="1"/>
    </xf>
    <xf numFmtId="181" fontId="17" fillId="39" borderId="31" xfId="94" applyNumberFormat="1" applyFont="1" applyFill="1" applyBorder="1" applyAlignment="1">
      <alignment horizontal="center" vertical="center" wrapText="1"/>
    </xf>
    <xf numFmtId="172" fontId="17" fillId="39" borderId="31" xfId="94" applyFont="1" applyFill="1" applyBorder="1" applyAlignment="1">
      <alignment horizontal="left" vertical="center" wrapText="1"/>
    </xf>
    <xf numFmtId="172" fontId="18" fillId="2" borderId="79" xfId="94" applyFont="1" applyFill="1" applyBorder="1" applyAlignment="1">
      <alignment horizontal="center" vertical="center" wrapText="1"/>
    </xf>
    <xf numFmtId="181" fontId="17" fillId="39" borderId="36" xfId="94" applyNumberFormat="1" applyFont="1" applyFill="1" applyBorder="1" applyAlignment="1">
      <alignment horizontal="center" vertical="center" wrapText="1"/>
    </xf>
    <xf numFmtId="181" fontId="22" fillId="5" borderId="36" xfId="110" applyNumberFormat="1" applyFont="1" applyFill="1" applyBorder="1" applyAlignment="1">
      <alignment horizontal="center" vertical="center"/>
    </xf>
    <xf numFmtId="172" fontId="18" fillId="2" borderId="86" xfId="94" applyFont="1" applyFill="1" applyBorder="1" applyAlignment="1">
      <alignment horizontal="center" vertical="center" wrapText="1"/>
    </xf>
    <xf numFmtId="172" fontId="18" fillId="2" borderId="87" xfId="94" applyFont="1" applyFill="1" applyBorder="1" applyAlignment="1">
      <alignment horizontal="center" vertical="center" wrapText="1"/>
    </xf>
    <xf numFmtId="181" fontId="22" fillId="5" borderId="35" xfId="110" applyNumberFormat="1" applyFont="1" applyFill="1" applyBorder="1" applyAlignment="1">
      <alignment horizontal="center" vertical="center"/>
    </xf>
    <xf numFmtId="172" fontId="17" fillId="39" borderId="32" xfId="94" applyFont="1" applyFill="1" applyBorder="1" applyAlignment="1">
      <alignment horizontal="center" vertical="center" wrapText="1"/>
    </xf>
    <xf numFmtId="172" fontId="18" fillId="2" borderId="79" xfId="94" applyFont="1" applyFill="1" applyBorder="1" applyAlignment="1">
      <alignment horizontal="left" vertical="center" wrapText="1"/>
    </xf>
    <xf numFmtId="172" fontId="17" fillId="39" borderId="32" xfId="94" applyFont="1" applyFill="1" applyBorder="1" applyAlignment="1">
      <alignment horizontal="left" vertical="center" wrapText="1"/>
    </xf>
    <xf numFmtId="170" fontId="17" fillId="39" borderId="31" xfId="25" applyNumberFormat="1" applyFont="1" applyFill="1" applyBorder="1" applyAlignment="1">
      <alignment horizontal="center" vertical="center" wrapText="1"/>
    </xf>
    <xf numFmtId="0" fontId="46" fillId="0" borderId="0" xfId="95" applyFont="1" applyAlignment="1">
      <alignment horizontal="left"/>
    </xf>
    <xf numFmtId="3" fontId="46" fillId="0" borderId="0" xfId="95" applyNumberFormat="1" applyFont="1" applyAlignment="1">
      <alignment horizontal="left"/>
    </xf>
    <xf numFmtId="172" fontId="17" fillId="5" borderId="38" xfId="137" applyFont="1" applyFill="1" applyBorder="1" applyAlignment="1">
      <alignment horizontal="center" vertical="center" wrapText="1"/>
    </xf>
    <xf numFmtId="14" fontId="23" fillId="9" borderId="38" xfId="137" applyNumberFormat="1" applyFont="1" applyFill="1" applyBorder="1" applyAlignment="1">
      <alignment horizontal="center" vertical="center"/>
    </xf>
    <xf numFmtId="14" fontId="21" fillId="9" borderId="38" xfId="137" applyNumberFormat="1" applyFont="1" applyFill="1" applyBorder="1" applyAlignment="1">
      <alignment horizontal="center" vertical="center"/>
    </xf>
    <xf numFmtId="172" fontId="21" fillId="9" borderId="38" xfId="137" applyFont="1" applyFill="1" applyBorder="1" applyAlignment="1">
      <alignment vertical="center" wrapText="1"/>
    </xf>
    <xf numFmtId="0" fontId="21" fillId="9" borderId="38" xfId="137" applyNumberFormat="1" applyFont="1" applyFill="1" applyBorder="1" applyAlignment="1">
      <alignment horizontal="right" vertical="center" wrapText="1"/>
    </xf>
    <xf numFmtId="170" fontId="16" fillId="2" borderId="37" xfId="25" applyNumberFormat="1" applyFont="1" applyFill="1" applyBorder="1" applyAlignment="1">
      <alignment horizontal="center" vertical="center"/>
    </xf>
    <xf numFmtId="172" fontId="18" fillId="2" borderId="37" xfId="137" applyFont="1" applyFill="1" applyBorder="1" applyAlignment="1">
      <alignment horizontal="center" vertical="center"/>
    </xf>
    <xf numFmtId="172" fontId="22" fillId="2" borderId="37" xfId="137" applyFont="1" applyFill="1" applyBorder="1" applyAlignment="1">
      <alignment horizontal="center" vertical="center"/>
    </xf>
    <xf numFmtId="0" fontId="22" fillId="0" borderId="38" xfId="31" applyFont="1" applyFill="1" applyBorder="1" applyAlignment="1">
      <alignment horizontal="center" vertical="center" wrapText="1"/>
    </xf>
    <xf numFmtId="173" fontId="18" fillId="2" borderId="38" xfId="31" applyNumberFormat="1" applyFont="1" applyFill="1" applyBorder="1" applyAlignment="1">
      <alignment horizontal="left" vertical="center" wrapText="1"/>
    </xf>
    <xf numFmtId="170" fontId="17" fillId="2" borderId="37" xfId="25" applyNumberFormat="1" applyFont="1" applyFill="1" applyBorder="1" applyAlignment="1">
      <alignment horizontal="center" vertical="center"/>
    </xf>
    <xf numFmtId="172" fontId="27" fillId="2" borderId="37" xfId="137" applyFont="1" applyFill="1" applyBorder="1" applyAlignment="1">
      <alignment horizontal="center" vertical="center"/>
    </xf>
    <xf numFmtId="172" fontId="23" fillId="5" borderId="38" xfId="137" applyFont="1" applyFill="1" applyBorder="1" applyAlignment="1">
      <alignment horizontal="center" vertical="center"/>
    </xf>
    <xf numFmtId="172" fontId="16" fillId="5" borderId="38" xfId="137" applyFont="1" applyFill="1" applyBorder="1" applyAlignment="1">
      <alignment horizontal="center" vertical="center"/>
    </xf>
    <xf numFmtId="170" fontId="17" fillId="2" borderId="38" xfId="25" applyNumberFormat="1" applyFont="1" applyFill="1" applyBorder="1" applyAlignment="1">
      <alignment horizontal="center" vertical="center" wrapText="1"/>
    </xf>
    <xf numFmtId="173" fontId="18" fillId="2" borderId="38" xfId="31" applyNumberFormat="1" applyFont="1" applyFill="1" applyBorder="1" applyAlignment="1">
      <alignment vertical="center" wrapText="1"/>
    </xf>
    <xf numFmtId="0" fontId="18" fillId="2" borderId="38" xfId="31" applyFont="1" applyFill="1" applyBorder="1" applyAlignment="1">
      <alignment horizontal="left" vertical="center" wrapText="1"/>
    </xf>
    <xf numFmtId="172" fontId="23" fillId="8" borderId="31" xfId="137" applyFont="1" applyFill="1" applyBorder="1" applyAlignment="1">
      <alignment horizontal="left" vertical="center" wrapText="1"/>
    </xf>
    <xf numFmtId="172" fontId="21" fillId="8" borderId="31" xfId="137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5" fillId="7" borderId="24" xfId="0" applyFont="1" applyFill="1" applyBorder="1" applyAlignment="1">
      <alignment horizontal="center" vertical="center" wrapText="1"/>
    </xf>
    <xf numFmtId="0" fontId="25" fillId="7" borderId="26" xfId="0" applyFont="1" applyFill="1" applyBorder="1" applyAlignment="1">
      <alignment horizontal="center" vertical="center" wrapText="1"/>
    </xf>
    <xf numFmtId="0" fontId="25" fillId="7" borderId="23" xfId="0" applyFont="1" applyFill="1" applyBorder="1" applyAlignment="1">
      <alignment horizontal="center" vertical="center"/>
    </xf>
    <xf numFmtId="0" fontId="25" fillId="7" borderId="25" xfId="0" applyFont="1" applyFill="1" applyBorder="1" applyAlignment="1">
      <alignment horizontal="center" vertical="center"/>
    </xf>
    <xf numFmtId="0" fontId="25" fillId="7" borderId="2" xfId="0" applyFont="1" applyFill="1" applyBorder="1" applyAlignment="1">
      <alignment horizontal="center" vertical="center" wrapText="1"/>
    </xf>
    <xf numFmtId="0" fontId="25" fillId="7" borderId="2" xfId="0" applyFont="1" applyFill="1" applyBorder="1" applyAlignment="1">
      <alignment horizontal="center" vertical="center"/>
    </xf>
    <xf numFmtId="172" fontId="16" fillId="0" borderId="0" xfId="29" applyFont="1" applyAlignment="1">
      <alignment horizontal="center"/>
    </xf>
    <xf numFmtId="3" fontId="21" fillId="8" borderId="28" xfId="28" applyNumberFormat="1" applyFont="1" applyFill="1" applyBorder="1" applyAlignment="1">
      <alignment horizontal="center" vertical="center"/>
    </xf>
    <xf numFmtId="3" fontId="21" fillId="6" borderId="28" xfId="28" applyNumberFormat="1" applyFont="1" applyFill="1" applyBorder="1" applyAlignment="1">
      <alignment horizontal="center" vertical="center"/>
    </xf>
    <xf numFmtId="172" fontId="17" fillId="0" borderId="0" xfId="28" applyFont="1" applyAlignment="1">
      <alignment horizontal="center" vertical="center"/>
    </xf>
    <xf numFmtId="172" fontId="16" fillId="0" borderId="27" xfId="29" applyFont="1" applyBorder="1" applyAlignment="1">
      <alignment horizontal="center"/>
    </xf>
    <xf numFmtId="3" fontId="21" fillId="8" borderId="28" xfId="28" applyNumberFormat="1" applyFont="1" applyFill="1" applyBorder="1" applyAlignment="1">
      <alignment horizontal="right" vertical="center" wrapText="1"/>
    </xf>
    <xf numFmtId="3" fontId="21" fillId="8" borderId="28" xfId="28" applyNumberFormat="1" applyFont="1" applyFill="1" applyBorder="1" applyAlignment="1">
      <alignment horizontal="center" vertical="center" wrapText="1"/>
    </xf>
    <xf numFmtId="17" fontId="21" fillId="8" borderId="28" xfId="28" applyNumberFormat="1" applyFont="1" applyFill="1" applyBorder="1" applyAlignment="1">
      <alignment horizontal="center" vertical="center" wrapText="1"/>
    </xf>
    <xf numFmtId="170" fontId="21" fillId="6" borderId="53" xfId="25" applyNumberFormat="1" applyFont="1" applyFill="1" applyBorder="1" applyAlignment="1">
      <alignment horizontal="center" vertical="center"/>
    </xf>
    <xf numFmtId="170" fontId="21" fillId="6" borderId="55" xfId="25" applyNumberFormat="1" applyFont="1" applyFill="1" applyBorder="1" applyAlignment="1">
      <alignment horizontal="center" vertical="center"/>
    </xf>
    <xf numFmtId="172" fontId="21" fillId="6" borderId="49" xfId="87" applyFont="1" applyFill="1" applyBorder="1" applyAlignment="1">
      <alignment horizontal="center" vertical="center" wrapText="1"/>
    </xf>
    <xf numFmtId="172" fontId="21" fillId="6" borderId="50" xfId="87" applyFont="1" applyFill="1" applyBorder="1" applyAlignment="1">
      <alignment horizontal="center" vertical="center" wrapText="1"/>
    </xf>
    <xf numFmtId="172" fontId="21" fillId="6" borderId="51" xfId="87" applyFont="1" applyFill="1" applyBorder="1" applyAlignment="1">
      <alignment horizontal="center" vertical="center" wrapText="1"/>
    </xf>
    <xf numFmtId="172" fontId="21" fillId="6" borderId="52" xfId="87" applyFont="1" applyFill="1" applyBorder="1" applyAlignment="1">
      <alignment horizontal="center" vertical="center" wrapText="1"/>
    </xf>
    <xf numFmtId="3" fontId="21" fillId="6" borderId="53" xfId="28" applyNumberFormat="1" applyFont="1" applyFill="1" applyBorder="1" applyAlignment="1">
      <alignment horizontal="center" vertical="center"/>
    </xf>
    <xf numFmtId="3" fontId="21" fillId="6" borderId="54" xfId="28" applyNumberFormat="1" applyFont="1" applyFill="1" applyBorder="1" applyAlignment="1">
      <alignment horizontal="center" vertical="center"/>
    </xf>
    <xf numFmtId="3" fontId="21" fillId="6" borderId="55" xfId="28" applyNumberFormat="1" applyFont="1" applyFill="1" applyBorder="1" applyAlignment="1">
      <alignment horizontal="center" vertical="center"/>
    </xf>
    <xf numFmtId="172" fontId="16" fillId="0" borderId="0" xfId="87" applyFont="1" applyAlignment="1">
      <alignment horizontal="center"/>
    </xf>
    <xf numFmtId="172" fontId="21" fillId="6" borderId="64" xfId="87" applyFont="1" applyFill="1" applyBorder="1" applyAlignment="1">
      <alignment horizontal="center" vertical="center" wrapText="1"/>
    </xf>
    <xf numFmtId="172" fontId="21" fillId="6" borderId="65" xfId="87" applyFont="1" applyFill="1" applyBorder="1" applyAlignment="1">
      <alignment horizontal="center" vertical="center" wrapText="1"/>
    </xf>
    <xf numFmtId="172" fontId="21" fillId="38" borderId="67" xfId="94" applyFont="1" applyFill="1" applyBorder="1" applyAlignment="1">
      <alignment horizontal="center" vertical="center" wrapText="1"/>
    </xf>
    <xf numFmtId="172" fontId="28" fillId="38" borderId="68" xfId="94" applyFont="1" applyFill="1" applyBorder="1" applyAlignment="1">
      <alignment vertical="center"/>
    </xf>
    <xf numFmtId="172" fontId="28" fillId="38" borderId="69" xfId="94" applyFont="1" applyFill="1" applyBorder="1" applyAlignment="1">
      <alignment vertical="center"/>
    </xf>
    <xf numFmtId="172" fontId="17" fillId="39" borderId="29" xfId="94" applyFont="1" applyFill="1" applyBorder="1" applyAlignment="1">
      <alignment horizontal="center" vertical="center" wrapText="1"/>
    </xf>
    <xf numFmtId="172" fontId="17" fillId="39" borderId="29" xfId="94" applyFont="1" applyFill="1" applyBorder="1" applyAlignment="1">
      <alignment vertical="center"/>
    </xf>
    <xf numFmtId="172" fontId="17" fillId="39" borderId="31" xfId="94" applyFont="1" applyFill="1" applyBorder="1" applyAlignment="1">
      <alignment horizontal="center" vertical="center" wrapText="1"/>
    </xf>
    <xf numFmtId="172" fontId="17" fillId="39" borderId="31" xfId="94" applyFont="1" applyFill="1" applyBorder="1" applyAlignment="1">
      <alignment horizontal="left" vertical="center" wrapText="1"/>
    </xf>
    <xf numFmtId="172" fontId="17" fillId="39" borderId="31" xfId="94" applyFont="1" applyFill="1" applyBorder="1" applyAlignment="1">
      <alignment horizontal="center" vertical="center"/>
    </xf>
    <xf numFmtId="170" fontId="17" fillId="39" borderId="31" xfId="25" applyNumberFormat="1" applyFont="1" applyFill="1" applyBorder="1" applyAlignment="1">
      <alignment horizontal="center" vertical="center" wrapText="1"/>
    </xf>
    <xf numFmtId="172" fontId="17" fillId="39" borderId="31" xfId="94" applyFont="1" applyFill="1" applyBorder="1" applyAlignment="1">
      <alignment vertical="center"/>
    </xf>
    <xf numFmtId="181" fontId="17" fillId="39" borderId="31" xfId="94" applyNumberFormat="1" applyFont="1" applyFill="1" applyBorder="1" applyAlignment="1">
      <alignment horizontal="center" vertical="center" wrapText="1"/>
    </xf>
    <xf numFmtId="172" fontId="17" fillId="5" borderId="31" xfId="94" applyFont="1" applyFill="1" applyBorder="1" applyAlignment="1">
      <alignment horizontal="right" vertical="center" wrapText="1"/>
    </xf>
    <xf numFmtId="172" fontId="17" fillId="5" borderId="29" xfId="94" applyFont="1" applyFill="1" applyBorder="1" applyAlignment="1">
      <alignment horizontal="right" vertical="center" wrapText="1"/>
    </xf>
    <xf numFmtId="172" fontId="17" fillId="39" borderId="71" xfId="94" applyFont="1" applyFill="1" applyBorder="1" applyAlignment="1">
      <alignment horizontal="center" vertical="center" wrapText="1"/>
    </xf>
    <xf numFmtId="172" fontId="17" fillId="39" borderId="0" xfId="94" applyFont="1" applyFill="1" applyBorder="1" applyAlignment="1">
      <alignment horizontal="center" vertical="center" wrapText="1"/>
    </xf>
    <xf numFmtId="172" fontId="17" fillId="39" borderId="32" xfId="94" applyFont="1" applyFill="1" applyBorder="1" applyAlignment="1">
      <alignment horizontal="center" vertical="center" wrapText="1"/>
    </xf>
    <xf numFmtId="172" fontId="18" fillId="2" borderId="78" xfId="94" applyFont="1" applyFill="1" applyBorder="1" applyAlignment="1">
      <alignment horizontal="left" vertical="center" wrapText="1"/>
    </xf>
    <xf numFmtId="172" fontId="18" fillId="2" borderId="79" xfId="94" applyFont="1" applyFill="1" applyBorder="1" applyAlignment="1">
      <alignment horizontal="left" vertical="center" wrapText="1"/>
    </xf>
    <xf numFmtId="172" fontId="17" fillId="39" borderId="32" xfId="94" applyFont="1" applyFill="1" applyBorder="1" applyAlignment="1">
      <alignment horizontal="left" vertical="center" wrapText="1"/>
    </xf>
    <xf numFmtId="172" fontId="17" fillId="39" borderId="32" xfId="94" applyFont="1" applyFill="1" applyBorder="1" applyAlignment="1">
      <alignment horizontal="center" vertical="center"/>
    </xf>
    <xf numFmtId="172" fontId="17" fillId="39" borderId="32" xfId="94" applyFont="1" applyFill="1" applyBorder="1" applyAlignment="1">
      <alignment vertical="center"/>
    </xf>
    <xf numFmtId="181" fontId="22" fillId="5" borderId="35" xfId="110" applyNumberFormat="1" applyFont="1" applyFill="1" applyBorder="1" applyAlignment="1">
      <alignment horizontal="center" vertical="center"/>
    </xf>
    <xf numFmtId="181" fontId="22" fillId="5" borderId="81" xfId="110" applyNumberFormat="1" applyFont="1" applyFill="1" applyBorder="1" applyAlignment="1">
      <alignment horizontal="center" vertical="center"/>
    </xf>
    <xf numFmtId="172" fontId="17" fillId="39" borderId="35" xfId="94" applyFont="1" applyFill="1" applyBorder="1" applyAlignment="1">
      <alignment vertical="center"/>
    </xf>
    <xf numFmtId="172" fontId="17" fillId="39" borderId="72" xfId="94" applyFont="1" applyFill="1" applyBorder="1" applyAlignment="1">
      <alignment horizontal="center" vertical="center" wrapText="1"/>
    </xf>
    <xf numFmtId="172" fontId="17" fillId="39" borderId="73" xfId="94" applyFont="1" applyFill="1" applyBorder="1" applyAlignment="1">
      <alignment horizontal="center" vertical="center" wrapText="1"/>
    </xf>
    <xf numFmtId="172" fontId="17" fillId="39" borderId="74" xfId="94" applyFont="1" applyFill="1" applyBorder="1" applyAlignment="1">
      <alignment horizontal="center" vertical="center" wrapText="1"/>
    </xf>
    <xf numFmtId="172" fontId="17" fillId="39" borderId="75" xfId="94" applyFont="1" applyFill="1" applyBorder="1" applyAlignment="1">
      <alignment horizontal="center" vertical="center" wrapText="1"/>
    </xf>
    <xf numFmtId="172" fontId="18" fillId="2" borderId="76" xfId="94" applyFont="1" applyFill="1" applyBorder="1" applyAlignment="1">
      <alignment horizontal="left" vertical="center" wrapText="1"/>
    </xf>
    <xf numFmtId="172" fontId="18" fillId="2" borderId="77" xfId="94" applyFont="1" applyFill="1" applyBorder="1" applyAlignment="1">
      <alignment horizontal="left" vertical="center" wrapText="1"/>
    </xf>
    <xf numFmtId="172" fontId="18" fillId="2" borderId="78" xfId="94" applyFont="1" applyFill="1" applyBorder="1" applyAlignment="1">
      <alignment horizontal="center" vertical="center" wrapText="1"/>
    </xf>
    <xf numFmtId="172" fontId="18" fillId="2" borderId="79" xfId="94" applyFont="1" applyFill="1" applyBorder="1" applyAlignment="1">
      <alignment horizontal="center" vertical="center" wrapText="1"/>
    </xf>
    <xf numFmtId="172" fontId="17" fillId="39" borderId="36" xfId="94" applyFont="1" applyFill="1" applyBorder="1" applyAlignment="1">
      <alignment horizontal="center" vertical="center" wrapText="1"/>
    </xf>
    <xf numFmtId="181" fontId="17" fillId="39" borderId="36" xfId="94" applyNumberFormat="1" applyFont="1" applyFill="1" applyBorder="1" applyAlignment="1">
      <alignment horizontal="center" vertical="center" wrapText="1"/>
    </xf>
    <xf numFmtId="172" fontId="16" fillId="5" borderId="36" xfId="110" applyFont="1" applyFill="1" applyBorder="1" applyAlignment="1">
      <alignment horizontal="right" vertical="center"/>
    </xf>
    <xf numFmtId="181" fontId="22" fillId="5" borderId="36" xfId="110" applyNumberFormat="1" applyFont="1" applyFill="1" applyBorder="1" applyAlignment="1">
      <alignment horizontal="center" vertical="center"/>
    </xf>
    <xf numFmtId="172" fontId="18" fillId="2" borderId="36" xfId="94" applyFont="1" applyFill="1" applyBorder="1" applyAlignment="1">
      <alignment horizontal="left" vertical="center" wrapText="1"/>
    </xf>
    <xf numFmtId="172" fontId="18" fillId="2" borderId="86" xfId="94" applyFont="1" applyFill="1" applyBorder="1" applyAlignment="1">
      <alignment horizontal="center" vertical="center" wrapText="1"/>
    </xf>
    <xf numFmtId="172" fontId="18" fillId="2" borderId="87" xfId="94" applyFont="1" applyFill="1" applyBorder="1" applyAlignment="1">
      <alignment horizontal="center" vertical="center" wrapText="1"/>
    </xf>
    <xf numFmtId="172" fontId="18" fillId="5" borderId="36" xfId="110" applyFont="1" applyFill="1" applyBorder="1" applyAlignment="1">
      <alignment horizontal="center" vertical="center"/>
    </xf>
    <xf numFmtId="172" fontId="17" fillId="39" borderId="36" xfId="94" applyFont="1" applyFill="1" applyBorder="1" applyAlignment="1">
      <alignment horizontal="left" vertical="center" wrapText="1"/>
    </xf>
    <xf numFmtId="172" fontId="17" fillId="39" borderId="36" xfId="94" applyFont="1" applyFill="1" applyBorder="1" applyAlignment="1">
      <alignment horizontal="center" vertical="center"/>
    </xf>
    <xf numFmtId="172" fontId="17" fillId="39" borderId="36" xfId="94" applyFont="1" applyFill="1" applyBorder="1" applyAlignment="1">
      <alignment vertical="center"/>
    </xf>
    <xf numFmtId="172" fontId="17" fillId="2" borderId="36" xfId="94" applyFont="1" applyFill="1" applyBorder="1" applyAlignment="1">
      <alignment horizontal="left" vertical="center" wrapText="1"/>
    </xf>
    <xf numFmtId="172" fontId="16" fillId="5" borderId="31" xfId="110" applyFont="1" applyFill="1" applyBorder="1" applyAlignment="1">
      <alignment horizontal="right" vertical="center"/>
    </xf>
    <xf numFmtId="3" fontId="15" fillId="36" borderId="16" xfId="95" applyNumberFormat="1" applyFont="1" applyFill="1" applyBorder="1" applyAlignment="1">
      <alignment horizontal="center"/>
    </xf>
    <xf numFmtId="3" fontId="15" fillId="36" borderId="6" xfId="95" applyNumberFormat="1" applyFont="1" applyFill="1" applyBorder="1" applyAlignment="1">
      <alignment horizontal="center"/>
    </xf>
    <xf numFmtId="0" fontId="46" fillId="0" borderId="0" xfId="95" applyFont="1" applyAlignment="1">
      <alignment horizontal="center" wrapText="1"/>
    </xf>
    <xf numFmtId="9" fontId="15" fillId="0" borderId="0" xfId="95" applyNumberFormat="1" applyFont="1" applyAlignment="1">
      <alignment horizontal="center" vertical="center" wrapText="1"/>
    </xf>
    <xf numFmtId="0" fontId="46" fillId="0" borderId="0" xfId="95" applyFont="1" applyAlignment="1">
      <alignment horizontal="left"/>
    </xf>
    <xf numFmtId="3" fontId="46" fillId="0" borderId="0" xfId="95" applyNumberFormat="1" applyFont="1" applyAlignment="1">
      <alignment horizontal="left"/>
    </xf>
    <xf numFmtId="180" fontId="48" fillId="0" borderId="0" xfId="95" applyNumberFormat="1" applyFont="1" applyAlignment="1">
      <alignment horizontal="center"/>
    </xf>
  </cellXfs>
  <cellStyles count="138"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Cabecera 1" xfId="1"/>
    <cellStyle name="Cabecera 2" xfId="2"/>
    <cellStyle name="Calculation 2" xfId="57"/>
    <cellStyle name="Check Cell 2" xfId="58"/>
    <cellStyle name="Comma" xfId="136" builtinId="3"/>
    <cellStyle name="Comma [0] 2" xfId="59"/>
    <cellStyle name="Comma 2" xfId="25"/>
    <cellStyle name="Comma 3" xfId="60"/>
    <cellStyle name="Comma 4" xfId="61"/>
    <cellStyle name="Euro" xfId="3"/>
    <cellStyle name="Euro 2" xfId="4"/>
    <cellStyle name="Explanatory Text 2" xfId="62"/>
    <cellStyle name="F2" xfId="5"/>
    <cellStyle name="F3" xfId="6"/>
    <cellStyle name="F4" xfId="7"/>
    <cellStyle name="F5" xfId="8"/>
    <cellStyle name="F6" xfId="9"/>
    <cellStyle name="F7" xfId="10"/>
    <cellStyle name="F8" xfId="11"/>
    <cellStyle name="Fecha" xfId="12"/>
    <cellStyle name="Fijo" xfId="13"/>
    <cellStyle name="Good 2" xfId="63"/>
    <cellStyle name="Heading 1 2" xfId="64"/>
    <cellStyle name="Heading 2 2" xfId="65"/>
    <cellStyle name="Heading 3 2" xfId="66"/>
    <cellStyle name="Heading 4 2" xfId="67"/>
    <cellStyle name="Heading1" xfId="14"/>
    <cellStyle name="Heading2" xfId="15"/>
    <cellStyle name="Input 2" xfId="68"/>
    <cellStyle name="Linked Cell 2" xfId="69"/>
    <cellStyle name="Millares [0] 2" xfId="16"/>
    <cellStyle name="Millares [0] 2 2" xfId="70"/>
    <cellStyle name="Millares [0] 3" xfId="71"/>
    <cellStyle name="Millares 2" xfId="17"/>
    <cellStyle name="Millares 3" xfId="18"/>
    <cellStyle name="Millares 3 2" xfId="72"/>
    <cellStyle name="Millares 4" xfId="73"/>
    <cellStyle name="Millares 4 2" xfId="74"/>
    <cellStyle name="Millares 5" xfId="75"/>
    <cellStyle name="Millares 5 2" xfId="76"/>
    <cellStyle name="Millares 5 3" xfId="77"/>
    <cellStyle name="Millares 6" xfId="78"/>
    <cellStyle name="Moneda 2" xfId="79"/>
    <cellStyle name="Moneda 2 2" xfId="80"/>
    <cellStyle name="Moneda 2 3" xfId="81"/>
    <cellStyle name="Monetario" xfId="19"/>
    <cellStyle name="Monetario0" xfId="20"/>
    <cellStyle name="Neutral 2" xfId="82"/>
    <cellStyle name="Normal" xfId="0" builtinId="0"/>
    <cellStyle name="Normal 10" xfId="83"/>
    <cellStyle name="Normal 10 2" xfId="84"/>
    <cellStyle name="Normal 10 2 2" xfId="85"/>
    <cellStyle name="Normal 10 3" xfId="86"/>
    <cellStyle name="Normal 11" xfId="87"/>
    <cellStyle name="Normal 12" xfId="88"/>
    <cellStyle name="Normal 13" xfId="31"/>
    <cellStyle name="Normal 14" xfId="89"/>
    <cellStyle name="Normal 14 2" xfId="90"/>
    <cellStyle name="Normal 15" xfId="91"/>
    <cellStyle name="Normal 16" xfId="92"/>
    <cellStyle name="Normal 2" xfId="21"/>
    <cellStyle name="Normal 2 2" xfId="93"/>
    <cellStyle name="Normal 2 2 2" xfId="94"/>
    <cellStyle name="Normal 2 3" xfId="95"/>
    <cellStyle name="Normal 2_POA 18 meses" xfId="96"/>
    <cellStyle name="Normal 3" xfId="26"/>
    <cellStyle name="Normal 3 2" xfId="97"/>
    <cellStyle name="Normal 3 2 2" xfId="98"/>
    <cellStyle name="Normal 4" xfId="29"/>
    <cellStyle name="Normal 4 2" xfId="99"/>
    <cellStyle name="Normal 4 3" xfId="100"/>
    <cellStyle name="Normal 5" xfId="101"/>
    <cellStyle name="Normal 5 2" xfId="102"/>
    <cellStyle name="Normal 5 2 2" xfId="103"/>
    <cellStyle name="Normal 5 3" xfId="104"/>
    <cellStyle name="Normal 6" xfId="105"/>
    <cellStyle name="Normal 7" xfId="27"/>
    <cellStyle name="Normal 7 2" xfId="28"/>
    <cellStyle name="Normal 7 3" xfId="106"/>
    <cellStyle name="Normal 8" xfId="107"/>
    <cellStyle name="Normal 8 2" xfId="108"/>
    <cellStyle name="Normal 9" xfId="109"/>
    <cellStyle name="Normal 9 2" xfId="110"/>
    <cellStyle name="Normal 9 2 2" xfId="111"/>
    <cellStyle name="Normal 9 3" xfId="112"/>
    <cellStyle name="Normal_9. PA" xfId="135"/>
    <cellStyle name="Normal_PA_1" xfId="134"/>
    <cellStyle name="Normal_PEP" xfId="30"/>
    <cellStyle name="Normal_PEP 2" xfId="130"/>
    <cellStyle name="Normal_PEP 3" xfId="131"/>
    <cellStyle name="Normal_PEP 4" xfId="133"/>
    <cellStyle name="Normal_PEP 5" xfId="137"/>
    <cellStyle name="Note 2" xfId="113"/>
    <cellStyle name="Output 2" xfId="114"/>
    <cellStyle name="Percent" xfId="132" builtinId="5"/>
    <cellStyle name="Porcentaje 2" xfId="22"/>
    <cellStyle name="Porcentaje 2 2" xfId="115"/>
    <cellStyle name="Porcentaje 3" xfId="116"/>
    <cellStyle name="Porcentual 2" xfId="117"/>
    <cellStyle name="Porcentual 2 2" xfId="118"/>
    <cellStyle name="Porcentual 2 3" xfId="119"/>
    <cellStyle name="Porcentual 3" xfId="120"/>
    <cellStyle name="Porcentual 4" xfId="121"/>
    <cellStyle name="Porcentual 5" xfId="122"/>
    <cellStyle name="Porcentual 6" xfId="123"/>
    <cellStyle name="Porcentual 6 2" xfId="124"/>
    <cellStyle name="Porcentual 7" xfId="125"/>
    <cellStyle name="Porcentual 7 2" xfId="126"/>
    <cellStyle name="Punto" xfId="23"/>
    <cellStyle name="Punto0" xfId="24"/>
    <cellStyle name="Title 2" xfId="127"/>
    <cellStyle name="Total 2" xfId="128"/>
    <cellStyle name="Warning Text 2" xfId="129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Curva de Avance Físico - Financiero</a:t>
            </a:r>
          </a:p>
        </c:rich>
      </c:tx>
      <c:layout>
        <c:manualLayout>
          <c:xMode val="edge"/>
          <c:yMode val="edge"/>
          <c:x val="0.74969191467547902"/>
          <c:y val="2.621302579604579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851811153247034E-2"/>
          <c:y val="0.13421052631578917"/>
          <c:w val="0.7283828354358437"/>
          <c:h val="0.7486081241787903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'Tramo 1'!$A$18:$A$42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'Tramo 1'!$C$18:$C$42</c:f>
              <c:numCache>
                <c:formatCode>0.00%</c:formatCode>
                <c:ptCount val="25"/>
                <c:pt idx="0">
                  <c:v>0</c:v>
                </c:pt>
                <c:pt idx="1">
                  <c:v>2.5000000000000001E-2</c:v>
                </c:pt>
                <c:pt idx="2">
                  <c:v>5.5E-2</c:v>
                </c:pt>
                <c:pt idx="3">
                  <c:v>0.09</c:v>
                </c:pt>
                <c:pt idx="4">
                  <c:v>0.125</c:v>
                </c:pt>
                <c:pt idx="5">
                  <c:v>0.16500000000000001</c:v>
                </c:pt>
                <c:pt idx="6">
                  <c:v>0.21000000000000002</c:v>
                </c:pt>
                <c:pt idx="7">
                  <c:v>0.255</c:v>
                </c:pt>
                <c:pt idx="8">
                  <c:v>0.30499999999999999</c:v>
                </c:pt>
                <c:pt idx="9">
                  <c:v>0.36</c:v>
                </c:pt>
                <c:pt idx="10">
                  <c:v>0.41499999999999998</c:v>
                </c:pt>
                <c:pt idx="11">
                  <c:v>0.47</c:v>
                </c:pt>
                <c:pt idx="12">
                  <c:v>0.53</c:v>
                </c:pt>
                <c:pt idx="13">
                  <c:v>0.60000000000000009</c:v>
                </c:pt>
                <c:pt idx="14">
                  <c:v>0.67000000000000015</c:v>
                </c:pt>
                <c:pt idx="15">
                  <c:v>0.7350000000000001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0.90000000000000013</c:v>
                </c:pt>
                <c:pt idx="19">
                  <c:v>0.94000000000000017</c:v>
                </c:pt>
                <c:pt idx="20">
                  <c:v>0.96000000000000019</c:v>
                </c:pt>
                <c:pt idx="21">
                  <c:v>0.9700000000000002</c:v>
                </c:pt>
                <c:pt idx="22">
                  <c:v>0.9800000000000002</c:v>
                </c:pt>
                <c:pt idx="23">
                  <c:v>0.99000000000000021</c:v>
                </c:pt>
                <c:pt idx="24">
                  <c:v>1.0000000000000002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614-4D2E-A920-F1B672023599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'Tramo 1'!$A$18:$A$42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'Tramo 1'!$F$18:$F$42</c:f>
              <c:numCache>
                <c:formatCode>0.00%</c:formatCode>
                <c:ptCount val="25"/>
                <c:pt idx="0">
                  <c:v>0.2</c:v>
                </c:pt>
                <c:pt idx="1">
                  <c:v>0.22</c:v>
                </c:pt>
                <c:pt idx="2">
                  <c:v>0.24399999999999999</c:v>
                </c:pt>
                <c:pt idx="3">
                  <c:v>0.27200000000000002</c:v>
                </c:pt>
                <c:pt idx="4">
                  <c:v>0.3</c:v>
                </c:pt>
                <c:pt idx="5">
                  <c:v>0.33200000000000002</c:v>
                </c:pt>
                <c:pt idx="6">
                  <c:v>0.36799999999999999</c:v>
                </c:pt>
                <c:pt idx="7">
                  <c:v>0.40400000000000003</c:v>
                </c:pt>
                <c:pt idx="8">
                  <c:v>0.44400000000000001</c:v>
                </c:pt>
                <c:pt idx="9">
                  <c:v>0.48799999999999999</c:v>
                </c:pt>
                <c:pt idx="10">
                  <c:v>0.53200000000000003</c:v>
                </c:pt>
                <c:pt idx="11">
                  <c:v>0.57599999999999996</c:v>
                </c:pt>
                <c:pt idx="12">
                  <c:v>0.624</c:v>
                </c:pt>
                <c:pt idx="13">
                  <c:v>0.68</c:v>
                </c:pt>
                <c:pt idx="14">
                  <c:v>0.73599999999999999</c:v>
                </c:pt>
                <c:pt idx="15">
                  <c:v>0.78800000000000003</c:v>
                </c:pt>
                <c:pt idx="16">
                  <c:v>0.84</c:v>
                </c:pt>
                <c:pt idx="17">
                  <c:v>0.88</c:v>
                </c:pt>
                <c:pt idx="18">
                  <c:v>0.92</c:v>
                </c:pt>
                <c:pt idx="19">
                  <c:v>0.95199999999999996</c:v>
                </c:pt>
                <c:pt idx="20">
                  <c:v>0.96799999999999997</c:v>
                </c:pt>
                <c:pt idx="21">
                  <c:v>0.97599999999999998</c:v>
                </c:pt>
                <c:pt idx="22">
                  <c:v>0.98399999999999999</c:v>
                </c:pt>
                <c:pt idx="23">
                  <c:v>0.99199999999999999</c:v>
                </c:pt>
                <c:pt idx="24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614-4D2E-A920-F1B672023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502848"/>
        <c:axId val="197640576"/>
      </c:scatterChart>
      <c:valAx>
        <c:axId val="197502848"/>
        <c:scaling>
          <c:orientation val="minMax"/>
          <c:max val="24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640576"/>
        <c:crosses val="autoZero"/>
        <c:crossBetween val="midCat"/>
        <c:majorUnit val="1"/>
      </c:valAx>
      <c:valAx>
        <c:axId val="197640576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50284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771146336539404"/>
          <c:y val="0.41052631578947668"/>
          <c:w val="0.15009390711714601"/>
          <c:h val="0.12368421052631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78" r="0.75000000000000278" t="1" header="0" footer="0"/>
    <c:pageSetup paperSize="9" orientation="landscape" horizontalDpi="-1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Curva de Avance Físico - Financiero</a:t>
            </a:r>
          </a:p>
        </c:rich>
      </c:tx>
      <c:layout>
        <c:manualLayout>
          <c:xMode val="edge"/>
          <c:yMode val="edge"/>
          <c:x val="0.74969191467547902"/>
          <c:y val="2.621302579604579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851811153247034E-2"/>
          <c:y val="0.13421052631578917"/>
          <c:w val="0.7283828354358437"/>
          <c:h val="0.7486081241787903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'Tramo 2'!$A$18:$A$42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'Tramo 2'!$C$18:$C$42</c:f>
              <c:numCache>
                <c:formatCode>0.00%</c:formatCode>
                <c:ptCount val="25"/>
                <c:pt idx="0">
                  <c:v>0</c:v>
                </c:pt>
                <c:pt idx="1">
                  <c:v>2.5000000000000001E-2</c:v>
                </c:pt>
                <c:pt idx="2">
                  <c:v>5.5E-2</c:v>
                </c:pt>
                <c:pt idx="3">
                  <c:v>0.09</c:v>
                </c:pt>
                <c:pt idx="4">
                  <c:v>0.125</c:v>
                </c:pt>
                <c:pt idx="5">
                  <c:v>0.16500000000000001</c:v>
                </c:pt>
                <c:pt idx="6">
                  <c:v>0.21000000000000002</c:v>
                </c:pt>
                <c:pt idx="7">
                  <c:v>0.255</c:v>
                </c:pt>
                <c:pt idx="8">
                  <c:v>0.30499999999999999</c:v>
                </c:pt>
                <c:pt idx="9">
                  <c:v>0.36</c:v>
                </c:pt>
                <c:pt idx="10">
                  <c:v>0.41499999999999998</c:v>
                </c:pt>
                <c:pt idx="11">
                  <c:v>0.47</c:v>
                </c:pt>
                <c:pt idx="12">
                  <c:v>0.53</c:v>
                </c:pt>
                <c:pt idx="13">
                  <c:v>0.60000000000000009</c:v>
                </c:pt>
                <c:pt idx="14">
                  <c:v>0.67000000000000015</c:v>
                </c:pt>
                <c:pt idx="15">
                  <c:v>0.7350000000000001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0.90000000000000013</c:v>
                </c:pt>
                <c:pt idx="19">
                  <c:v>0.94000000000000017</c:v>
                </c:pt>
                <c:pt idx="20">
                  <c:v>0.96000000000000019</c:v>
                </c:pt>
                <c:pt idx="21">
                  <c:v>0.9700000000000002</c:v>
                </c:pt>
                <c:pt idx="22">
                  <c:v>0.9800000000000002</c:v>
                </c:pt>
                <c:pt idx="23">
                  <c:v>0.99000000000000021</c:v>
                </c:pt>
                <c:pt idx="24">
                  <c:v>1.0000000000000002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1ED-4DC2-8CCC-8728F0ABD05C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'Tramo 2'!$A$18:$A$42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'Tramo 2'!$F$18:$F$42</c:f>
              <c:numCache>
                <c:formatCode>0.00%</c:formatCode>
                <c:ptCount val="25"/>
                <c:pt idx="0">
                  <c:v>0.2</c:v>
                </c:pt>
                <c:pt idx="1">
                  <c:v>0.22</c:v>
                </c:pt>
                <c:pt idx="2">
                  <c:v>0.24399999999999999</c:v>
                </c:pt>
                <c:pt idx="3">
                  <c:v>0.27200000000000002</c:v>
                </c:pt>
                <c:pt idx="4">
                  <c:v>0.3</c:v>
                </c:pt>
                <c:pt idx="5">
                  <c:v>0.33200000000000002</c:v>
                </c:pt>
                <c:pt idx="6">
                  <c:v>0.36799999999999999</c:v>
                </c:pt>
                <c:pt idx="7">
                  <c:v>0.40400000000000003</c:v>
                </c:pt>
                <c:pt idx="8">
                  <c:v>0.44400000000000001</c:v>
                </c:pt>
                <c:pt idx="9">
                  <c:v>0.48799999999999999</c:v>
                </c:pt>
                <c:pt idx="10">
                  <c:v>0.53200000000000003</c:v>
                </c:pt>
                <c:pt idx="11">
                  <c:v>0.57599999999999996</c:v>
                </c:pt>
                <c:pt idx="12">
                  <c:v>0.624</c:v>
                </c:pt>
                <c:pt idx="13">
                  <c:v>0.68</c:v>
                </c:pt>
                <c:pt idx="14">
                  <c:v>0.73599999999999999</c:v>
                </c:pt>
                <c:pt idx="15">
                  <c:v>0.78800000000000003</c:v>
                </c:pt>
                <c:pt idx="16">
                  <c:v>0.84</c:v>
                </c:pt>
                <c:pt idx="17">
                  <c:v>0.88</c:v>
                </c:pt>
                <c:pt idx="18">
                  <c:v>0.92</c:v>
                </c:pt>
                <c:pt idx="19">
                  <c:v>0.95199999999999996</c:v>
                </c:pt>
                <c:pt idx="20">
                  <c:v>0.96799999999999997</c:v>
                </c:pt>
                <c:pt idx="21">
                  <c:v>0.97599999999999998</c:v>
                </c:pt>
                <c:pt idx="22">
                  <c:v>0.98399999999999999</c:v>
                </c:pt>
                <c:pt idx="23">
                  <c:v>0.99199999999999999</c:v>
                </c:pt>
                <c:pt idx="24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1ED-4DC2-8CCC-8728F0ABD0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502848"/>
        <c:axId val="197640576"/>
      </c:scatterChart>
      <c:valAx>
        <c:axId val="197502848"/>
        <c:scaling>
          <c:orientation val="minMax"/>
          <c:max val="24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640576"/>
        <c:crosses val="autoZero"/>
        <c:crossBetween val="midCat"/>
        <c:majorUnit val="1"/>
      </c:valAx>
      <c:valAx>
        <c:axId val="197640576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50284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771146336539404"/>
          <c:y val="0.41052631578947668"/>
          <c:w val="0.15009390711714601"/>
          <c:h val="0.12368421052631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78" r="0.75000000000000278" t="1" header="0" footer="0"/>
    <c:pageSetup paperSize="9" orientation="landscape" horizontalDpi="-1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Curva de Avance Físico - Financiero</a:t>
            </a:r>
          </a:p>
        </c:rich>
      </c:tx>
      <c:layout>
        <c:manualLayout>
          <c:xMode val="edge"/>
          <c:yMode val="edge"/>
          <c:x val="0.74969191467547902"/>
          <c:y val="2.621302579604579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851811153247034E-2"/>
          <c:y val="0.13421052631578917"/>
          <c:w val="0.7283828354358437"/>
          <c:h val="0.7486081241787903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Tramo3!$A$18:$A$42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Tramo3!$C$18:$C$42</c:f>
              <c:numCache>
                <c:formatCode>0.00%</c:formatCode>
                <c:ptCount val="25"/>
                <c:pt idx="0">
                  <c:v>0</c:v>
                </c:pt>
                <c:pt idx="1">
                  <c:v>2.5000000000000001E-2</c:v>
                </c:pt>
                <c:pt idx="2">
                  <c:v>5.5E-2</c:v>
                </c:pt>
                <c:pt idx="3">
                  <c:v>0.09</c:v>
                </c:pt>
                <c:pt idx="4">
                  <c:v>0.125</c:v>
                </c:pt>
                <c:pt idx="5">
                  <c:v>0.16500000000000001</c:v>
                </c:pt>
                <c:pt idx="6">
                  <c:v>0.21000000000000002</c:v>
                </c:pt>
                <c:pt idx="7">
                  <c:v>0.255</c:v>
                </c:pt>
                <c:pt idx="8">
                  <c:v>0.30499999999999999</c:v>
                </c:pt>
                <c:pt idx="9">
                  <c:v>0.36</c:v>
                </c:pt>
                <c:pt idx="10">
                  <c:v>0.41499999999999998</c:v>
                </c:pt>
                <c:pt idx="11">
                  <c:v>0.47</c:v>
                </c:pt>
                <c:pt idx="12">
                  <c:v>0.53</c:v>
                </c:pt>
                <c:pt idx="13">
                  <c:v>0.60000000000000009</c:v>
                </c:pt>
                <c:pt idx="14">
                  <c:v>0.67000000000000015</c:v>
                </c:pt>
                <c:pt idx="15">
                  <c:v>0.7350000000000001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0.90000000000000013</c:v>
                </c:pt>
                <c:pt idx="19">
                  <c:v>0.94000000000000017</c:v>
                </c:pt>
                <c:pt idx="20">
                  <c:v>0.96000000000000019</c:v>
                </c:pt>
                <c:pt idx="21">
                  <c:v>0.9700000000000002</c:v>
                </c:pt>
                <c:pt idx="22">
                  <c:v>0.9800000000000002</c:v>
                </c:pt>
                <c:pt idx="23">
                  <c:v>0.99000000000000021</c:v>
                </c:pt>
                <c:pt idx="24">
                  <c:v>1.0000000000000002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ECD-498C-B7EE-38F607E3BD9C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Tramo3!$A$18:$A$42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Tramo3!$F$18:$F$42</c:f>
              <c:numCache>
                <c:formatCode>0.00%</c:formatCode>
                <c:ptCount val="25"/>
                <c:pt idx="0">
                  <c:v>0.2</c:v>
                </c:pt>
                <c:pt idx="1">
                  <c:v>0.22</c:v>
                </c:pt>
                <c:pt idx="2">
                  <c:v>0.24399999999999999</c:v>
                </c:pt>
                <c:pt idx="3">
                  <c:v>0.27200000000000002</c:v>
                </c:pt>
                <c:pt idx="4">
                  <c:v>0.3</c:v>
                </c:pt>
                <c:pt idx="5">
                  <c:v>0.33200000000000002</c:v>
                </c:pt>
                <c:pt idx="6">
                  <c:v>0.36799999999999999</c:v>
                </c:pt>
                <c:pt idx="7">
                  <c:v>0.40400000000000003</c:v>
                </c:pt>
                <c:pt idx="8">
                  <c:v>0.44400000000000001</c:v>
                </c:pt>
                <c:pt idx="9">
                  <c:v>0.48799999999999999</c:v>
                </c:pt>
                <c:pt idx="10">
                  <c:v>0.53200000000000003</c:v>
                </c:pt>
                <c:pt idx="11">
                  <c:v>0.57599999999999996</c:v>
                </c:pt>
                <c:pt idx="12">
                  <c:v>0.624</c:v>
                </c:pt>
                <c:pt idx="13">
                  <c:v>0.68</c:v>
                </c:pt>
                <c:pt idx="14">
                  <c:v>0.73599999999999999</c:v>
                </c:pt>
                <c:pt idx="15">
                  <c:v>0.78800000000000003</c:v>
                </c:pt>
                <c:pt idx="16">
                  <c:v>0.84</c:v>
                </c:pt>
                <c:pt idx="17">
                  <c:v>0.88</c:v>
                </c:pt>
                <c:pt idx="18">
                  <c:v>0.92</c:v>
                </c:pt>
                <c:pt idx="19">
                  <c:v>0.95199999999999996</c:v>
                </c:pt>
                <c:pt idx="20">
                  <c:v>0.96799999999999997</c:v>
                </c:pt>
                <c:pt idx="21">
                  <c:v>0.97599999999999998</c:v>
                </c:pt>
                <c:pt idx="22">
                  <c:v>0.98399999999999999</c:v>
                </c:pt>
                <c:pt idx="23">
                  <c:v>0.99199999999999999</c:v>
                </c:pt>
                <c:pt idx="24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ECD-498C-B7EE-38F607E3B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502848"/>
        <c:axId val="197640576"/>
      </c:scatterChart>
      <c:valAx>
        <c:axId val="197502848"/>
        <c:scaling>
          <c:orientation val="minMax"/>
          <c:max val="24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640576"/>
        <c:crosses val="autoZero"/>
        <c:crossBetween val="midCat"/>
        <c:majorUnit val="1"/>
      </c:valAx>
      <c:valAx>
        <c:axId val="197640576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50284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771146336539404"/>
          <c:y val="0.41052631578947668"/>
          <c:w val="0.15009390711714601"/>
          <c:h val="0.12368421052631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78" r="0.75000000000000278" t="1" header="0" footer="0"/>
    <c:pageSetup paperSize="9" orientation="landscape" horizontalDpi="-1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Curva de Avance Físico - Financiero</a:t>
            </a:r>
          </a:p>
        </c:rich>
      </c:tx>
      <c:layout>
        <c:manualLayout>
          <c:xMode val="edge"/>
          <c:yMode val="edge"/>
          <c:x val="0.74969191467547902"/>
          <c:y val="2.621302579604579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851811153247034E-2"/>
          <c:y val="0.13421052631578917"/>
          <c:w val="0.7283828354358437"/>
          <c:h val="0.7486081241787903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'Tramo 4'!$A$18:$A$42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'Tramo 4'!$C$18:$C$42</c:f>
              <c:numCache>
                <c:formatCode>0.00%</c:formatCode>
                <c:ptCount val="25"/>
                <c:pt idx="0">
                  <c:v>0</c:v>
                </c:pt>
                <c:pt idx="1">
                  <c:v>2.5000000000000001E-2</c:v>
                </c:pt>
                <c:pt idx="2">
                  <c:v>5.5E-2</c:v>
                </c:pt>
                <c:pt idx="3">
                  <c:v>0.09</c:v>
                </c:pt>
                <c:pt idx="4">
                  <c:v>0.125</c:v>
                </c:pt>
                <c:pt idx="5">
                  <c:v>0.16500000000000001</c:v>
                </c:pt>
                <c:pt idx="6">
                  <c:v>0.21000000000000002</c:v>
                </c:pt>
                <c:pt idx="7">
                  <c:v>0.255</c:v>
                </c:pt>
                <c:pt idx="8">
                  <c:v>0.30499999999999999</c:v>
                </c:pt>
                <c:pt idx="9">
                  <c:v>0.36</c:v>
                </c:pt>
                <c:pt idx="10">
                  <c:v>0.41499999999999998</c:v>
                </c:pt>
                <c:pt idx="11">
                  <c:v>0.47</c:v>
                </c:pt>
                <c:pt idx="12">
                  <c:v>0.53</c:v>
                </c:pt>
                <c:pt idx="13">
                  <c:v>0.60000000000000009</c:v>
                </c:pt>
                <c:pt idx="14">
                  <c:v>0.67000000000000015</c:v>
                </c:pt>
                <c:pt idx="15">
                  <c:v>0.7350000000000001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0.90000000000000013</c:v>
                </c:pt>
                <c:pt idx="19">
                  <c:v>0.94000000000000017</c:v>
                </c:pt>
                <c:pt idx="20">
                  <c:v>0.96000000000000019</c:v>
                </c:pt>
                <c:pt idx="21">
                  <c:v>0.9700000000000002</c:v>
                </c:pt>
                <c:pt idx="22">
                  <c:v>0.9800000000000002</c:v>
                </c:pt>
                <c:pt idx="23">
                  <c:v>0.99000000000000021</c:v>
                </c:pt>
                <c:pt idx="24">
                  <c:v>1.0000000000000002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CC7-43D1-AE18-B6FDB94BFA51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'Tramo 4'!$A$18:$A$42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'Tramo 4'!$F$18:$F$42</c:f>
              <c:numCache>
                <c:formatCode>0.00%</c:formatCode>
                <c:ptCount val="25"/>
                <c:pt idx="0">
                  <c:v>0.2</c:v>
                </c:pt>
                <c:pt idx="1">
                  <c:v>0.22</c:v>
                </c:pt>
                <c:pt idx="2">
                  <c:v>0.24399999999999999</c:v>
                </c:pt>
                <c:pt idx="3">
                  <c:v>0.27200000000000002</c:v>
                </c:pt>
                <c:pt idx="4">
                  <c:v>0.3</c:v>
                </c:pt>
                <c:pt idx="5">
                  <c:v>0.33200000000000002</c:v>
                </c:pt>
                <c:pt idx="6">
                  <c:v>0.36799999999999999</c:v>
                </c:pt>
                <c:pt idx="7">
                  <c:v>0.40400000000000003</c:v>
                </c:pt>
                <c:pt idx="8">
                  <c:v>0.44400000000000001</c:v>
                </c:pt>
                <c:pt idx="9">
                  <c:v>0.48799999999999999</c:v>
                </c:pt>
                <c:pt idx="10">
                  <c:v>0.53200000000000003</c:v>
                </c:pt>
                <c:pt idx="11">
                  <c:v>0.57599999999999996</c:v>
                </c:pt>
                <c:pt idx="12">
                  <c:v>0.624</c:v>
                </c:pt>
                <c:pt idx="13">
                  <c:v>0.68</c:v>
                </c:pt>
                <c:pt idx="14">
                  <c:v>0.73599999999999999</c:v>
                </c:pt>
                <c:pt idx="15">
                  <c:v>0.78800000000000003</c:v>
                </c:pt>
                <c:pt idx="16">
                  <c:v>0.84</c:v>
                </c:pt>
                <c:pt idx="17">
                  <c:v>0.88</c:v>
                </c:pt>
                <c:pt idx="18">
                  <c:v>0.92</c:v>
                </c:pt>
                <c:pt idx="19">
                  <c:v>0.95199999999999996</c:v>
                </c:pt>
                <c:pt idx="20">
                  <c:v>0.96799999999999997</c:v>
                </c:pt>
                <c:pt idx="21">
                  <c:v>0.97599999999999998</c:v>
                </c:pt>
                <c:pt idx="22">
                  <c:v>0.98399999999999999</c:v>
                </c:pt>
                <c:pt idx="23">
                  <c:v>0.99199999999999999</c:v>
                </c:pt>
                <c:pt idx="24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CC7-43D1-AE18-B6FDB94BF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502848"/>
        <c:axId val="197640576"/>
      </c:scatterChart>
      <c:valAx>
        <c:axId val="197502848"/>
        <c:scaling>
          <c:orientation val="minMax"/>
          <c:max val="24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640576"/>
        <c:crosses val="autoZero"/>
        <c:crossBetween val="midCat"/>
        <c:majorUnit val="1"/>
      </c:valAx>
      <c:valAx>
        <c:axId val="197640576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50284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771146336539404"/>
          <c:y val="0.41052631578947668"/>
          <c:w val="0.15009390711714601"/>
          <c:h val="0.12368421052631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78" r="0.75000000000000278" t="1" header="0" footer="0"/>
    <c:pageSetup paperSize="9" orientation="landscape" horizontalDpi="-1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357188</xdr:colOff>
      <xdr:row>4</xdr:row>
      <xdr:rowOff>9525</xdr:rowOff>
    </xdr:from>
    <xdr:to>
      <xdr:col>26</xdr:col>
      <xdr:colOff>141514</xdr:colOff>
      <xdr:row>26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357188</xdr:colOff>
      <xdr:row>4</xdr:row>
      <xdr:rowOff>9525</xdr:rowOff>
    </xdr:from>
    <xdr:to>
      <xdr:col>26</xdr:col>
      <xdr:colOff>141514</xdr:colOff>
      <xdr:row>26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D9B85FE-8D5C-453A-B4B7-275E026006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248331</xdr:colOff>
      <xdr:row>4</xdr:row>
      <xdr:rowOff>9525</xdr:rowOff>
    </xdr:from>
    <xdr:to>
      <xdr:col>26</xdr:col>
      <xdr:colOff>32657</xdr:colOff>
      <xdr:row>26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C9DE286-2DC9-4B5F-BEB4-12C90F0DC9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248331</xdr:colOff>
      <xdr:row>4</xdr:row>
      <xdr:rowOff>9525</xdr:rowOff>
    </xdr:from>
    <xdr:to>
      <xdr:col>26</xdr:col>
      <xdr:colOff>32657</xdr:colOff>
      <xdr:row>26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13CA234-1FC4-4FA5-971C-87A88ABCD4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dbg-my.sharepoint.com/Documents%20and%20Settings/TEODORON/Local%20Settings/Temporary%20Internet%20Files/Content.Outlook/K2JWR7MW/GRP%20EMP%202120OC-CO%20-%20SEP%202010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dbg-my.sharepoint.com/Users/msosa/AppData/Local/Microsoft/Windows/Temporary%20Internet%20Files/Content.Outlook/AL0H3DBL/1092/-v4-EER#1_Plan_de_Ejecuci&#243;n_Plurianual_(PEP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dbg-my.sharepoint.com/Users/pgodoy.IDB/OneDrive%20-%20Inter-American%20Development%20Bank%20Group/PR-L1145/Revision%20POD/EER-3.%20Plan%20de%20Operaciones%20Anual%20(POA)%20PR-L1145%20post%20QR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RF"/>
      <sheetName val="MER"/>
      <sheetName val="MMR"/>
      <sheetName val="Settings"/>
    </sheetNames>
    <sheetDataSet>
      <sheetData sheetId="0">
        <row r="8">
          <cell r="C8" t="str">
            <v>I</v>
          </cell>
          <cell r="D8" t="str">
            <v>Desarrollo</v>
          </cell>
          <cell r="E8" t="str">
            <v xml:space="preserve">Que la entidad se vea sometida a procesos judiciales y/o administrativos </v>
          </cell>
        </row>
        <row r="12">
          <cell r="C12" t="str">
            <v>I y II</v>
          </cell>
          <cell r="D12" t="str">
            <v>Desarrollo</v>
          </cell>
          <cell r="E12" t="str">
            <v>Sobrecostos de las obras</v>
          </cell>
        </row>
        <row r="19">
          <cell r="C19" t="str">
            <v>II</v>
          </cell>
          <cell r="D19" t="str">
            <v>Desarrollo</v>
          </cell>
          <cell r="E19" t="str">
            <v>Retrasos/ paro de ejecución del interceptor</v>
          </cell>
        </row>
        <row r="26">
          <cell r="C26" t="str">
            <v>I y II</v>
          </cell>
          <cell r="D26" t="str">
            <v>Fiduciarios</v>
          </cell>
          <cell r="E26" t="str">
            <v>Retrasos en las contrataciones /adquisiciones</v>
          </cell>
        </row>
        <row r="31">
          <cell r="C31" t="str">
            <v>I y II</v>
          </cell>
          <cell r="D31" t="str">
            <v>Ambientales y Sociales</v>
          </cell>
          <cell r="E31" t="str">
            <v>No se logren los objetivos de calidad del proyecto</v>
          </cell>
        </row>
        <row r="35">
          <cell r="C35" t="str">
            <v>I y II</v>
          </cell>
          <cell r="D35" t="str">
            <v>Ambientales y Sociales</v>
          </cell>
          <cell r="E35" t="str">
            <v>Impacto en el medio ambiente por problemas en el proceso de construcción</v>
          </cell>
        </row>
        <row r="40">
          <cell r="C40" t="str">
            <v>III</v>
          </cell>
          <cell r="D40" t="str">
            <v>Gobernabilidad</v>
          </cell>
          <cell r="E40" t="str">
            <v>Retraso en la implementación de la NIIF</v>
          </cell>
        </row>
        <row r="44">
          <cell r="C44" t="str">
            <v>I</v>
          </cell>
          <cell r="D44" t="str">
            <v>Desarrollo</v>
          </cell>
          <cell r="E44" t="str">
            <v>Retrasos/ paro de ejecución de la PTAR</v>
          </cell>
        </row>
      </sheetData>
      <sheetData sheetId="1">
        <row r="15">
          <cell r="I15">
            <v>2</v>
          </cell>
          <cell r="J15" t="str">
            <v>Medio</v>
          </cell>
        </row>
        <row r="16">
          <cell r="I16">
            <v>1</v>
          </cell>
          <cell r="J16" t="str">
            <v>Bajo</v>
          </cell>
        </row>
        <row r="17">
          <cell r="I17">
            <v>2</v>
          </cell>
          <cell r="J17" t="str">
            <v>Medio</v>
          </cell>
        </row>
        <row r="18">
          <cell r="I18">
            <v>2</v>
          </cell>
          <cell r="J18" t="str">
            <v>Medio</v>
          </cell>
        </row>
        <row r="21">
          <cell r="I21">
            <v>2</v>
          </cell>
          <cell r="J21" t="str">
            <v>Medio</v>
          </cell>
        </row>
        <row r="22">
          <cell r="I22">
            <v>2</v>
          </cell>
          <cell r="J22" t="str">
            <v>Medio</v>
          </cell>
        </row>
        <row r="23">
          <cell r="I23">
            <v>1</v>
          </cell>
          <cell r="J23" t="str">
            <v>Bajo</v>
          </cell>
        </row>
        <row r="25">
          <cell r="I25">
            <v>2</v>
          </cell>
          <cell r="J25" t="str">
            <v>Medio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1.EDT"/>
      <sheetName val="2.MdR"/>
      <sheetName val="3. PEP"/>
      <sheetName val="4. CC D"/>
      <sheetName val="5. CC R-1"/>
      <sheetName val="6. PF M BID"/>
      <sheetName val="7. PF A BID"/>
      <sheetName val="8. Ejecucion por producto"/>
      <sheetName val="9. PD A"/>
      <sheetName val="10. PA"/>
      <sheetName val="11. PAI"/>
      <sheetName val="12. POA año 1"/>
      <sheetName val="caledario"/>
      <sheetName val="12.1 CAMINOS"/>
      <sheetName val="12.2 PUENTES"/>
      <sheetName val="Caminos G1"/>
      <sheetName val="Fisc CG1"/>
      <sheetName val="Camino G2"/>
      <sheetName val="Fisc CG2"/>
      <sheetName val="Puentes G1"/>
      <sheetName val="Fisca PG1"/>
      <sheetName val="Puentes G2"/>
      <sheetName val="12.8 Mantenimiento"/>
      <sheetName val="Fisc PG2"/>
      <sheetName val="MANT. 504,90 km"/>
      <sheetName val="CRONOG FISICO-FINANCIERO"/>
      <sheetName val="12.3Mitigació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A8">
            <v>0</v>
          </cell>
          <cell r="G8">
            <v>0</v>
          </cell>
        </row>
        <row r="9">
          <cell r="G9">
            <v>0</v>
          </cell>
        </row>
        <row r="32">
          <cell r="G32">
            <v>0</v>
          </cell>
        </row>
        <row r="33">
          <cell r="G33" t="str">
            <v>ECATEF/DCV</v>
          </cell>
        </row>
        <row r="35">
          <cell r="G35" t="str">
            <v>ECATEF/DCV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de Costos"/>
      <sheetName val="CC D"/>
      <sheetName val="PEP"/>
      <sheetName val="PF M BID"/>
      <sheetName val="PF A BID"/>
      <sheetName val="PA"/>
      <sheetName val="Tramo 1"/>
      <sheetName val="Tramo 2"/>
      <sheetName val="Tramo3"/>
      <sheetName val="Tramo 4"/>
      <sheetName val="Fisc Tramo 1"/>
      <sheetName val="Fisc Tramo 2"/>
    </sheetNames>
    <sheetDataSet>
      <sheetData sheetId="0">
        <row r="1">
          <cell r="A1" t="str">
            <v>Proyecto de Habilitación de la ruta Nº9</v>
          </cell>
          <cell r="B1"/>
          <cell r="C1"/>
          <cell r="D1"/>
          <cell r="E1"/>
          <cell r="F1"/>
          <cell r="G1"/>
        </row>
        <row r="8">
          <cell r="B8" t="str">
            <v>Componente Unico Obras civiles</v>
          </cell>
        </row>
      </sheetData>
      <sheetData sheetId="1">
        <row r="9">
          <cell r="A9">
            <v>1</v>
          </cell>
        </row>
        <row r="10">
          <cell r="A10">
            <v>1.1000000000000001</v>
          </cell>
          <cell r="B10" t="str">
            <v>Obras de Rehabilitación y Mantenimiento</v>
          </cell>
          <cell r="G10" t="str">
            <v>ECATEF/DV</v>
          </cell>
        </row>
        <row r="11">
          <cell r="A11" t="str">
            <v>1.1.1</v>
          </cell>
          <cell r="B11" t="str">
            <v>Contratación de Firma Constructora para la rehabilitación y mantenimiento del tramo 1: km 50 - km 173 (123 Km) - Lote 1</v>
          </cell>
          <cell r="H11" t="str">
            <v>72 meses</v>
          </cell>
        </row>
        <row r="12">
          <cell r="A12" t="str">
            <v>1.1.2</v>
          </cell>
          <cell r="B12" t="str">
            <v>Contratación de Firma Constructora para la rehabilitación y mantenimiento del tramo 2: km 173 - km 326 (153 Km) - Lote 2</v>
          </cell>
          <cell r="H12" t="str">
            <v>73 meses</v>
          </cell>
        </row>
        <row r="13">
          <cell r="A13" t="str">
            <v>1.1.3</v>
          </cell>
          <cell r="B13" t="str">
            <v>Contratación de Firma Constructora para la rehabilitación y mantenimiento del tramo 3: km 326 - km 450 (124 Km) - Lote 3</v>
          </cell>
          <cell r="H13" t="str">
            <v>74 meses</v>
          </cell>
        </row>
        <row r="14">
          <cell r="A14" t="str">
            <v>1.1.4</v>
          </cell>
          <cell r="B14" t="str">
            <v>Contratación de Firma Constructora para la rehabilitación y mantenimiento del tramo 4: km 450 - km 525, accesos y linea 1 - Lote  4</v>
          </cell>
          <cell r="H14" t="str">
            <v>75 meses</v>
          </cell>
        </row>
        <row r="15">
          <cell r="A15">
            <v>1.2</v>
          </cell>
          <cell r="B15" t="str">
            <v>Fiscalización</v>
          </cell>
          <cell r="G15" t="str">
            <v>ECATEF/DV</v>
          </cell>
        </row>
        <row r="16">
          <cell r="A16" t="str">
            <v>1.2.1</v>
          </cell>
          <cell r="B16" t="str">
            <v>Contratación de Firma Consultora para la fiscalización de la rehabilitación y mantenimiento de Lotes 1 y 2</v>
          </cell>
          <cell r="H16" t="str">
            <v>74 meses</v>
          </cell>
        </row>
        <row r="17">
          <cell r="A17" t="str">
            <v>1.2.2</v>
          </cell>
          <cell r="B17" t="str">
            <v>Contratación de Firma Consultora para la fiscalización de la rehabilitación y mantenimiento de lotes 3 y 4</v>
          </cell>
          <cell r="H17" t="str">
            <v>75 meses</v>
          </cell>
        </row>
        <row r="18">
          <cell r="A18">
            <v>1.3</v>
          </cell>
          <cell r="B18" t="str">
            <v xml:space="preserve">Plan de Gestión Ambiental y Social </v>
          </cell>
          <cell r="G18" t="str">
            <v>ECATEF/DV</v>
          </cell>
        </row>
        <row r="19">
          <cell r="A19" t="str">
            <v>1.3.1</v>
          </cell>
          <cell r="B19" t="str">
            <v>Monitoreo y Evaluación Socio Ambiental</v>
          </cell>
          <cell r="H19" t="str">
            <v>50 meses</v>
          </cell>
        </row>
        <row r="20">
          <cell r="A20" t="str">
            <v>1.3.2</v>
          </cell>
          <cell r="B20" t="str">
            <v>Contratación Firma Consultora para el Monitoreo de las áreas inundadas por efecto de la barrera de la Ruta</v>
          </cell>
          <cell r="H20" t="str">
            <v>12 meses</v>
          </cell>
        </row>
        <row r="21">
          <cell r="A21" t="str">
            <v>1.3.3</v>
          </cell>
          <cell r="B21" t="str">
            <v>Implementación del Plan de Gestión Socio Ambiental</v>
          </cell>
          <cell r="H21" t="str">
            <v>48 meses</v>
          </cell>
        </row>
        <row r="22">
          <cell r="A22" t="str">
            <v>1.3.4</v>
          </cell>
          <cell r="B22" t="str">
            <v>Plan de Reasentamiento</v>
          </cell>
          <cell r="H22" t="str">
            <v>48 meses</v>
          </cell>
        </row>
        <row r="23">
          <cell r="A23" t="str">
            <v>1.3.5</v>
          </cell>
          <cell r="B23" t="str">
            <v>Contratación Firma Consultora para el Apoyo a la Gestión Institucional de Supervisión del PGAS</v>
          </cell>
          <cell r="H23" t="str">
            <v>6 meses</v>
          </cell>
        </row>
        <row r="24">
          <cell r="A24" t="str">
            <v>1.3.6</v>
          </cell>
          <cell r="B24" t="str">
            <v>Contratación Firma Consultora para el Apoyo a la Gestión de los Municipios en los Proyectos Viales</v>
          </cell>
          <cell r="H24" t="str">
            <v>12 meses</v>
          </cell>
        </row>
        <row r="25">
          <cell r="A25">
            <v>1.4</v>
          </cell>
          <cell r="B25" t="str">
            <v>Pago por Servicios Ambientales</v>
          </cell>
        </row>
        <row r="26">
          <cell r="A26" t="str">
            <v>1.4.1</v>
          </cell>
          <cell r="B26" t="str">
            <v>Pagos por Servicios Ambientales</v>
          </cell>
        </row>
        <row r="27">
          <cell r="A27">
            <v>1.5</v>
          </cell>
          <cell r="B27" t="str">
            <v>Escalamientos e Imprevistos</v>
          </cell>
          <cell r="G27" t="str">
            <v>ECATEF/DV</v>
          </cell>
        </row>
        <row r="28">
          <cell r="A28">
            <v>2</v>
          </cell>
          <cell r="B28" t="str">
            <v>Otros Costos</v>
          </cell>
        </row>
        <row r="29">
          <cell r="A29">
            <v>2.1</v>
          </cell>
          <cell r="B29" t="str">
            <v>Administración del Programa</v>
          </cell>
        </row>
        <row r="30">
          <cell r="A30" t="str">
            <v>2.1.1</v>
          </cell>
          <cell r="B30" t="str">
            <v xml:space="preserve">Contratación de la ECATEF para apoyo en la ejecución del Programa </v>
          </cell>
          <cell r="H30" t="str">
            <v>84 meses</v>
          </cell>
        </row>
        <row r="31">
          <cell r="A31">
            <v>2.2000000000000002</v>
          </cell>
          <cell r="B31" t="str">
            <v>Auditoria, Monitoreo y Evaluación desarrollados</v>
          </cell>
        </row>
        <row r="32">
          <cell r="A32" t="str">
            <v>2.2.1</v>
          </cell>
          <cell r="B32" t="str">
            <v>Contratación de Firma Consultora para la Auditoria Externa del Proyecto PR-L1145</v>
          </cell>
          <cell r="H32" t="str">
            <v>74 meses</v>
          </cell>
        </row>
        <row r="33">
          <cell r="A33" t="str">
            <v>2.2.2</v>
          </cell>
          <cell r="B33" t="str">
            <v>Contratación de Firma Consultora para la Evaluación Final del Proyecto</v>
          </cell>
          <cell r="H33" t="str">
            <v>6 meses</v>
          </cell>
        </row>
        <row r="34">
          <cell r="A34" t="str">
            <v>2.2.3</v>
          </cell>
          <cell r="B34" t="str">
            <v>Contratíon Firma Consultora para la Capacitación de Funcionarios en Gestión de contratos CREMA</v>
          </cell>
          <cell r="H34" t="str">
            <v>6 meses</v>
          </cell>
        </row>
        <row r="35">
          <cell r="A35" t="str">
            <v>2.2.4</v>
          </cell>
          <cell r="B35" t="str">
            <v>Contratación Firma Consultora para la Inspección de Seguridad vial en obras concluidas</v>
          </cell>
          <cell r="H35" t="str">
            <v>6 meses</v>
          </cell>
        </row>
        <row r="36">
          <cell r="A36" t="str">
            <v>2.2.5</v>
          </cell>
          <cell r="B36" t="str">
            <v xml:space="preserve">Contratación Firma Consultora para Innovación tecnológica de red vial secundaria del Chaco y alimentadoras de la Ruta 9 </v>
          </cell>
          <cell r="H36" t="str">
            <v>6 meses</v>
          </cell>
        </row>
        <row r="37">
          <cell r="A37" t="str">
            <v>2.2.6</v>
          </cell>
          <cell r="B37" t="str">
            <v>Contratación Firma Consultora para el Estudio de alternativas de mantenimiento de red vial en el Chaco</v>
          </cell>
          <cell r="H37" t="str">
            <v>6 meses</v>
          </cell>
        </row>
        <row r="38">
          <cell r="A38" t="str">
            <v>2.2.7</v>
          </cell>
          <cell r="B38" t="str">
            <v>Contratación Firma Consultora para el  Estudio de viabilidad de uso de bitrenes en la Ruta 9</v>
          </cell>
        </row>
        <row r="40">
          <cell r="B40" t="str">
            <v>Comisión de Financiamiento (CAF)</v>
          </cell>
        </row>
        <row r="41">
          <cell r="B41" t="str">
            <v>Gastos de Evaluación (CAF)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3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4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7"/>
  <sheetViews>
    <sheetView zoomScaleNormal="100" workbookViewId="0">
      <selection activeCell="A3" sqref="A3:XFD23"/>
    </sheetView>
  </sheetViews>
  <sheetFormatPr defaultColWidth="11.44140625" defaultRowHeight="15" x14ac:dyDescent="0.25"/>
  <cols>
    <col min="1" max="1" width="10.44140625" style="1" bestFit="1" customWidth="1"/>
    <col min="2" max="2" width="78.33203125" style="1" bestFit="1" customWidth="1"/>
    <col min="3" max="3" width="17" style="2" customWidth="1"/>
    <col min="4" max="4" width="8.33203125" style="2" bestFit="1" customWidth="1"/>
    <col min="5" max="5" width="18.6640625" style="2" bestFit="1" customWidth="1"/>
    <col min="6" max="6" width="9" style="2" bestFit="1" customWidth="1"/>
    <col min="7" max="7" width="17.44140625" style="2" bestFit="1" customWidth="1"/>
    <col min="8" max="8" width="13.33203125" style="1" bestFit="1" customWidth="1"/>
    <col min="9" max="16384" width="11.44140625" style="1"/>
  </cols>
  <sheetData>
    <row r="1" spans="1:9" ht="16.5" customHeight="1" x14ac:dyDescent="0.25">
      <c r="A1" s="463" t="s">
        <v>0</v>
      </c>
      <c r="B1" s="463"/>
      <c r="C1" s="463"/>
      <c r="D1" s="463"/>
      <c r="E1" s="463"/>
      <c r="F1" s="463"/>
      <c r="G1" s="463"/>
    </row>
    <row r="2" spans="1:9" ht="33.75" customHeight="1" x14ac:dyDescent="0.25">
      <c r="A2" s="464" t="s">
        <v>1</v>
      </c>
      <c r="B2" s="464"/>
      <c r="C2" s="464"/>
      <c r="D2" s="464"/>
      <c r="E2" s="464"/>
      <c r="F2" s="464"/>
      <c r="G2" s="464"/>
    </row>
    <row r="3" spans="1:9" ht="33.75" hidden="1" customHeight="1" x14ac:dyDescent="0.25">
      <c r="A3" s="423"/>
      <c r="B3" s="423"/>
      <c r="C3" s="423"/>
      <c r="D3" s="423"/>
      <c r="E3" s="423"/>
      <c r="F3" s="423"/>
      <c r="G3" s="423"/>
    </row>
    <row r="4" spans="1:9" ht="33.75" hidden="1" customHeight="1" x14ac:dyDescent="0.25">
      <c r="A4" s="423" t="s">
        <v>2</v>
      </c>
      <c r="B4" s="423" t="s">
        <v>3</v>
      </c>
      <c r="C4" s="423"/>
      <c r="D4" s="423"/>
      <c r="E4" s="423"/>
      <c r="F4" s="423"/>
      <c r="G4" s="423"/>
    </row>
    <row r="5" spans="1:9" ht="15" hidden="1" customHeight="1" x14ac:dyDescent="0.25">
      <c r="A5" s="423"/>
      <c r="B5" s="423"/>
      <c r="C5" s="423"/>
      <c r="D5" s="423"/>
      <c r="E5" s="423"/>
      <c r="F5" s="423"/>
      <c r="G5" s="423"/>
    </row>
    <row r="6" spans="1:9" customFormat="1" ht="13.2" hidden="1" x14ac:dyDescent="0.25">
      <c r="A6" s="465"/>
      <c r="B6" s="467" t="s">
        <v>4</v>
      </c>
      <c r="C6" s="17" t="s">
        <v>5</v>
      </c>
      <c r="D6" s="395"/>
      <c r="E6" s="395"/>
      <c r="F6" s="395"/>
      <c r="G6" s="395"/>
    </row>
    <row r="7" spans="1:9" customFormat="1" ht="13.2" hidden="1" x14ac:dyDescent="0.25">
      <c r="A7" s="466"/>
      <c r="B7" s="468"/>
      <c r="C7" s="18" t="s">
        <v>6</v>
      </c>
      <c r="D7" s="18"/>
      <c r="E7" s="18"/>
      <c r="F7" s="18"/>
      <c r="G7" s="18"/>
    </row>
    <row r="8" spans="1:9" customFormat="1" ht="23.25" hidden="1" customHeight="1" x14ac:dyDescent="0.25">
      <c r="A8" s="7">
        <v>1</v>
      </c>
      <c r="B8" s="8" t="s">
        <v>7</v>
      </c>
      <c r="C8" s="9">
        <f>+C9</f>
        <v>493000000</v>
      </c>
      <c r="D8" s="9"/>
      <c r="E8" s="9" t="s">
        <v>8</v>
      </c>
      <c r="F8" s="396"/>
      <c r="G8" s="396" t="s">
        <v>9</v>
      </c>
    </row>
    <row r="9" spans="1:9" s="13" customFormat="1" ht="13.2" hidden="1" x14ac:dyDescent="0.25">
      <c r="A9" s="10">
        <v>1.1000000000000001</v>
      </c>
      <c r="B9" s="11" t="s">
        <v>10</v>
      </c>
      <c r="C9" s="12">
        <f>+C10+C13+C11+C12</f>
        <v>493000000</v>
      </c>
      <c r="D9" s="12"/>
      <c r="E9" s="12">
        <f>+E10+E11+E12+E13</f>
        <v>472000000</v>
      </c>
      <c r="F9" s="12"/>
      <c r="G9" s="12">
        <f>+G10+G11+G12+G13</f>
        <v>21000000</v>
      </c>
      <c r="H9" s="403"/>
      <c r="I9" s="419"/>
    </row>
    <row r="10" spans="1:9" s="13" customFormat="1" ht="13.2" hidden="1" x14ac:dyDescent="0.25">
      <c r="A10" s="268" t="s">
        <v>11</v>
      </c>
      <c r="B10" s="269" t="s">
        <v>12</v>
      </c>
      <c r="C10" s="270">
        <f>+G10+E10</f>
        <v>104000000</v>
      </c>
      <c r="D10" s="270"/>
      <c r="E10" s="270">
        <v>99200000</v>
      </c>
      <c r="F10" s="270"/>
      <c r="G10" s="270">
        <v>4800000</v>
      </c>
      <c r="H10" s="403"/>
      <c r="I10" s="404"/>
    </row>
    <row r="11" spans="1:9" s="13" customFormat="1" ht="13.2" hidden="1" x14ac:dyDescent="0.25">
      <c r="A11" s="268" t="s">
        <v>13</v>
      </c>
      <c r="B11" s="269" t="s">
        <v>14</v>
      </c>
      <c r="C11" s="270">
        <f t="shared" ref="C11:C13" si="0">+G11+E11</f>
        <v>142000000</v>
      </c>
      <c r="D11" s="270"/>
      <c r="E11" s="270">
        <v>136200000</v>
      </c>
      <c r="F11" s="270"/>
      <c r="G11" s="270">
        <v>5800000</v>
      </c>
      <c r="H11" s="403"/>
      <c r="I11" s="404"/>
    </row>
    <row r="12" spans="1:9" s="13" customFormat="1" ht="13.2" hidden="1" x14ac:dyDescent="0.25">
      <c r="A12" s="268" t="s">
        <v>15</v>
      </c>
      <c r="B12" s="269" t="s">
        <v>16</v>
      </c>
      <c r="C12" s="270">
        <f t="shared" si="0"/>
        <v>131000000</v>
      </c>
      <c r="D12" s="270"/>
      <c r="E12" s="270">
        <v>126400000</v>
      </c>
      <c r="F12" s="270"/>
      <c r="G12" s="270">
        <v>4600000</v>
      </c>
      <c r="H12" s="403"/>
      <c r="I12" s="404"/>
    </row>
    <row r="13" spans="1:9" s="13" customFormat="1" ht="13.2" hidden="1" x14ac:dyDescent="0.25">
      <c r="A13" s="268" t="s">
        <v>17</v>
      </c>
      <c r="B13" s="269" t="s">
        <v>18</v>
      </c>
      <c r="C13" s="270">
        <f t="shared" si="0"/>
        <v>116000000</v>
      </c>
      <c r="D13" s="270"/>
      <c r="E13" s="270">
        <v>110200000</v>
      </c>
      <c r="F13" s="270"/>
      <c r="G13" s="270">
        <v>5800000</v>
      </c>
      <c r="H13" s="403"/>
      <c r="I13" s="404"/>
    </row>
    <row r="14" spans="1:9" customFormat="1" ht="18.75" hidden="1" customHeight="1" x14ac:dyDescent="0.25">
      <c r="A14" s="7">
        <v>2</v>
      </c>
      <c r="B14" s="8" t="s">
        <v>19</v>
      </c>
      <c r="C14" s="9">
        <f>+C15+C16+C17+C18</f>
        <v>43550000</v>
      </c>
      <c r="D14" s="9"/>
      <c r="E14" s="9" t="e">
        <f>+E15+E16+E17</f>
        <v>#REF!</v>
      </c>
      <c r="F14" s="396"/>
      <c r="G14" s="396"/>
    </row>
    <row r="15" spans="1:9" customFormat="1" ht="18.75" hidden="1" customHeight="1" x14ac:dyDescent="0.25">
      <c r="A15" s="10">
        <v>2.1</v>
      </c>
      <c r="B15" s="11" t="s">
        <v>20</v>
      </c>
      <c r="C15" s="12">
        <f>+'CC D'!I29</f>
        <v>6000000</v>
      </c>
      <c r="D15" s="12"/>
      <c r="E15" s="12">
        <f>+'CC D'!J29</f>
        <v>0</v>
      </c>
      <c r="F15" s="12"/>
      <c r="G15" s="12"/>
    </row>
    <row r="16" spans="1:9" customFormat="1" ht="13.2" hidden="1" x14ac:dyDescent="0.25">
      <c r="A16" s="10">
        <v>2.2000000000000002</v>
      </c>
      <c r="B16" s="11" t="s">
        <v>21</v>
      </c>
      <c r="C16" s="12">
        <f>+'CC D'!I31</f>
        <v>1100000</v>
      </c>
      <c r="D16" s="12"/>
      <c r="E16" s="12">
        <f>+'CC D'!J31</f>
        <v>0</v>
      </c>
      <c r="F16" s="12"/>
      <c r="G16" s="12"/>
    </row>
    <row r="17" spans="1:8" s="13" customFormat="1" ht="13.2" hidden="1" x14ac:dyDescent="0.25">
      <c r="A17" s="10">
        <v>2.2999999999999998</v>
      </c>
      <c r="B17" s="11" t="s">
        <v>22</v>
      </c>
      <c r="C17" s="12">
        <f>+'CC D'!I18+'CC D'!I25</f>
        <v>12560000</v>
      </c>
      <c r="D17" s="12"/>
      <c r="E17" s="12" t="e">
        <f>+'CC D'!#REF!</f>
        <v>#REF!</v>
      </c>
      <c r="F17" s="12"/>
      <c r="G17" s="12"/>
    </row>
    <row r="18" spans="1:8" s="13" customFormat="1" ht="13.2" hidden="1" x14ac:dyDescent="0.25">
      <c r="A18" s="10">
        <v>2.4</v>
      </c>
      <c r="B18" s="11" t="s">
        <v>23</v>
      </c>
      <c r="C18" s="12">
        <f>+'CC D'!I27</f>
        <v>23890000</v>
      </c>
      <c r="D18" s="12"/>
      <c r="E18" s="12"/>
      <c r="F18" s="12"/>
      <c r="G18" s="12"/>
    </row>
    <row r="19" spans="1:8" customFormat="1" ht="13.2" hidden="1" x14ac:dyDescent="0.25">
      <c r="A19" s="14"/>
      <c r="B19" s="15" t="s">
        <v>24</v>
      </c>
      <c r="C19" s="16">
        <f>+C14+C8</f>
        <v>536550000</v>
      </c>
      <c r="D19" s="16"/>
      <c r="E19" s="16"/>
      <c r="F19" s="16"/>
      <c r="G19" s="16"/>
    </row>
    <row r="20" spans="1:8" customFormat="1" ht="13.2" hidden="1" x14ac:dyDescent="0.25"/>
    <row r="21" spans="1:8" customFormat="1" hidden="1" x14ac:dyDescent="0.25">
      <c r="A21" s="1"/>
      <c r="B21" s="1"/>
      <c r="C21" s="2"/>
      <c r="D21" s="2"/>
      <c r="E21" s="2"/>
      <c r="F21" s="2"/>
      <c r="G21" s="2"/>
    </row>
    <row r="22" spans="1:8" s="13" customFormat="1" ht="22.5" hidden="1" customHeight="1" x14ac:dyDescent="0.25">
      <c r="A22" s="1"/>
      <c r="B22" s="1"/>
      <c r="C22" s="2"/>
      <c r="D22" s="2"/>
      <c r="E22" s="2"/>
      <c r="F22" s="2"/>
      <c r="G22" s="2"/>
    </row>
    <row r="23" spans="1:8" customFormat="1" hidden="1" x14ac:dyDescent="0.25">
      <c r="A23" s="1"/>
      <c r="B23" s="1"/>
      <c r="C23" s="2"/>
      <c r="D23" s="2"/>
      <c r="E23" s="2"/>
      <c r="F23" s="2"/>
      <c r="G23" s="2"/>
    </row>
    <row r="24" spans="1:8" s="13" customFormat="1" ht="22.5" customHeight="1" x14ac:dyDescent="0.25">
      <c r="A24" s="423"/>
      <c r="B24" s="423" t="s">
        <v>3</v>
      </c>
      <c r="C24" s="2"/>
      <c r="D24" s="2"/>
      <c r="E24" s="2"/>
      <c r="F24" s="2"/>
      <c r="G24" s="2"/>
    </row>
    <row r="25" spans="1:8" customFormat="1" x14ac:dyDescent="0.25">
      <c r="A25" s="1"/>
      <c r="B25" s="1"/>
      <c r="C25" s="2"/>
      <c r="D25" s="2"/>
      <c r="E25" s="2"/>
      <c r="F25" s="2"/>
      <c r="G25" s="2"/>
    </row>
    <row r="26" spans="1:8" customFormat="1" ht="13.2" x14ac:dyDescent="0.25">
      <c r="A26" s="469"/>
      <c r="B26" s="470" t="s">
        <v>4</v>
      </c>
      <c r="C26" s="424" t="s">
        <v>5</v>
      </c>
      <c r="D26" s="395"/>
      <c r="E26" s="395" t="s">
        <v>25</v>
      </c>
      <c r="F26" s="395"/>
      <c r="G26" s="395" t="s">
        <v>24</v>
      </c>
    </row>
    <row r="27" spans="1:8" customFormat="1" ht="13.2" x14ac:dyDescent="0.25">
      <c r="A27" s="469"/>
      <c r="B27" s="470"/>
      <c r="C27" s="271" t="s">
        <v>6</v>
      </c>
      <c r="D27" s="18"/>
      <c r="E27" s="18" t="s">
        <v>6</v>
      </c>
      <c r="F27" s="18"/>
      <c r="G27" s="18" t="s">
        <v>6</v>
      </c>
    </row>
    <row r="28" spans="1:8" customFormat="1" ht="16.5" customHeight="1" x14ac:dyDescent="0.25">
      <c r="A28" s="272">
        <v>1</v>
      </c>
      <c r="B28" s="273" t="s">
        <v>7</v>
      </c>
      <c r="C28" s="274">
        <f>C29+C30+C31+C32+C33</f>
        <v>158000000</v>
      </c>
      <c r="D28" s="275">
        <f t="shared" ref="D28:D36" si="1">+C28/G28</f>
        <v>0.28756028756028756</v>
      </c>
      <c r="E28" s="274">
        <f>E29+E30+E31+E32+E33</f>
        <v>391450000</v>
      </c>
      <c r="F28" s="422">
        <f>+E28/G28</f>
        <v>0.71243971243971249</v>
      </c>
      <c r="G28" s="274">
        <f>G29+G30+G31+G32+G33</f>
        <v>549450000</v>
      </c>
      <c r="H28" s="421"/>
    </row>
    <row r="29" spans="1:8" s="13" customFormat="1" ht="22.5" customHeight="1" x14ac:dyDescent="0.25">
      <c r="A29" s="276">
        <v>1.1000000000000001</v>
      </c>
      <c r="B29" s="277" t="s">
        <v>26</v>
      </c>
      <c r="C29" s="278">
        <v>136000000</v>
      </c>
      <c r="D29" s="408">
        <f>+C29/G29</f>
        <v>0.27586206896551724</v>
      </c>
      <c r="E29" s="278">
        <v>357000000</v>
      </c>
      <c r="F29" s="408">
        <f>+E29/G29</f>
        <v>0.72413793103448276</v>
      </c>
      <c r="G29" s="278">
        <f>+E29+C29</f>
        <v>493000000</v>
      </c>
      <c r="H29" s="421"/>
    </row>
    <row r="30" spans="1:8" customFormat="1" ht="13.2" x14ac:dyDescent="0.25">
      <c r="A30" s="276">
        <v>1.2</v>
      </c>
      <c r="B30" s="277" t="s">
        <v>27</v>
      </c>
      <c r="C30" s="278">
        <v>5600000</v>
      </c>
      <c r="D30" s="408">
        <f t="shared" si="1"/>
        <v>0.28000000000000003</v>
      </c>
      <c r="E30" s="278">
        <v>14400000</v>
      </c>
      <c r="F30" s="408">
        <f t="shared" ref="D30:F38" si="2">+E30/G30</f>
        <v>0.72</v>
      </c>
      <c r="G30" s="278">
        <f t="shared" ref="G30:G33" si="3">+E30+C30</f>
        <v>20000000</v>
      </c>
      <c r="H30" s="421"/>
    </row>
    <row r="31" spans="1:8" customFormat="1" ht="13.2" x14ac:dyDescent="0.25">
      <c r="A31" s="276">
        <v>1.3</v>
      </c>
      <c r="B31" s="277" t="s">
        <v>28</v>
      </c>
      <c r="C31" s="278">
        <v>5100000</v>
      </c>
      <c r="D31" s="408">
        <f t="shared" si="1"/>
        <v>0.66841415465268672</v>
      </c>
      <c r="E31" s="278">
        <v>2530000</v>
      </c>
      <c r="F31" s="408">
        <f t="shared" si="2"/>
        <v>0.33158584534731322</v>
      </c>
      <c r="G31" s="278">
        <f t="shared" si="3"/>
        <v>7630000</v>
      </c>
      <c r="H31" s="421"/>
    </row>
    <row r="32" spans="1:8" customFormat="1" ht="13.2" x14ac:dyDescent="0.25">
      <c r="A32" s="276">
        <v>1.4</v>
      </c>
      <c r="B32" s="277" t="s">
        <v>29</v>
      </c>
      <c r="C32" s="278">
        <v>4930000</v>
      </c>
      <c r="D32" s="408">
        <f>+C32/G32</f>
        <v>1</v>
      </c>
      <c r="E32" s="278">
        <v>0</v>
      </c>
      <c r="F32" s="408">
        <f>+E32/G32</f>
        <v>0</v>
      </c>
      <c r="G32" s="278">
        <f>+E32+C32</f>
        <v>4930000</v>
      </c>
      <c r="H32" s="421"/>
    </row>
    <row r="33" spans="1:8" customFormat="1" ht="13.2" x14ac:dyDescent="0.25">
      <c r="A33" s="276">
        <v>1.5</v>
      </c>
      <c r="B33" s="277" t="s">
        <v>23</v>
      </c>
      <c r="C33" s="278">
        <v>6370000</v>
      </c>
      <c r="D33" s="408">
        <f t="shared" si="1"/>
        <v>0.26663876098786105</v>
      </c>
      <c r="E33" s="278">
        <v>17520000</v>
      </c>
      <c r="F33" s="408">
        <f t="shared" si="2"/>
        <v>0.73336123901213901</v>
      </c>
      <c r="G33" s="278">
        <f t="shared" si="3"/>
        <v>23890000</v>
      </c>
      <c r="H33" s="421"/>
    </row>
    <row r="34" spans="1:8" customFormat="1" ht="13.2" x14ac:dyDescent="0.25">
      <c r="A34" s="272">
        <v>2</v>
      </c>
      <c r="B34" s="273" t="s">
        <v>19</v>
      </c>
      <c r="C34" s="274">
        <f>+C35+C36</f>
        <v>2000000</v>
      </c>
      <c r="D34" s="275">
        <f t="shared" si="1"/>
        <v>0.1895734597156398</v>
      </c>
      <c r="E34" s="274">
        <f>+E35+E36+E37+E38</f>
        <v>8550000</v>
      </c>
      <c r="F34" s="275">
        <f t="shared" si="2"/>
        <v>0.81042654028436023</v>
      </c>
      <c r="G34" s="274">
        <f>+G35+G36+G37+G38</f>
        <v>10550000</v>
      </c>
      <c r="H34" s="421"/>
    </row>
    <row r="35" spans="1:8" customFormat="1" ht="16.5" customHeight="1" x14ac:dyDescent="0.25">
      <c r="A35" s="276">
        <v>2.1</v>
      </c>
      <c r="B35" s="277" t="s">
        <v>30</v>
      </c>
      <c r="C35" s="278">
        <v>1700000</v>
      </c>
      <c r="D35" s="408">
        <f t="shared" si="1"/>
        <v>0.28333333333333333</v>
      </c>
      <c r="E35" s="278">
        <v>4300000</v>
      </c>
      <c r="F35" s="408">
        <f t="shared" si="2"/>
        <v>0.71666666666666667</v>
      </c>
      <c r="G35" s="278">
        <f>+E35+C35</f>
        <v>6000000</v>
      </c>
      <c r="H35" s="421"/>
    </row>
    <row r="36" spans="1:8" customFormat="1" ht="13.2" x14ac:dyDescent="0.25">
      <c r="A36" s="276">
        <v>2.2000000000000002</v>
      </c>
      <c r="B36" s="277" t="s">
        <v>31</v>
      </c>
      <c r="C36" s="278">
        <v>300000</v>
      </c>
      <c r="D36" s="408">
        <f t="shared" si="1"/>
        <v>0.27272727272727271</v>
      </c>
      <c r="E36" s="278">
        <v>800000</v>
      </c>
      <c r="F36" s="408">
        <f t="shared" si="2"/>
        <v>0.72727272727272729</v>
      </c>
      <c r="G36" s="278">
        <f>+C36+E36</f>
        <v>1100000</v>
      </c>
      <c r="H36" s="421"/>
    </row>
    <row r="37" spans="1:8" customFormat="1" ht="13.2" x14ac:dyDescent="0.25">
      <c r="A37" s="276">
        <v>2.2999999999999998</v>
      </c>
      <c r="B37" s="277" t="s">
        <v>32</v>
      </c>
      <c r="C37" s="278">
        <v>0</v>
      </c>
      <c r="D37" s="408">
        <f t="shared" si="2"/>
        <v>0</v>
      </c>
      <c r="E37" s="278">
        <v>3400000</v>
      </c>
      <c r="F37" s="408">
        <f t="shared" si="2"/>
        <v>1</v>
      </c>
      <c r="G37" s="278">
        <f>+E37</f>
        <v>3400000</v>
      </c>
      <c r="H37" s="421"/>
    </row>
    <row r="38" spans="1:8" customFormat="1" ht="13.2" x14ac:dyDescent="0.25">
      <c r="A38" s="276">
        <v>2.4</v>
      </c>
      <c r="B38" s="277" t="s">
        <v>33</v>
      </c>
      <c r="C38" s="278">
        <v>0</v>
      </c>
      <c r="D38" s="408">
        <f t="shared" si="2"/>
        <v>0</v>
      </c>
      <c r="E38" s="278">
        <v>50000</v>
      </c>
      <c r="F38" s="408">
        <f t="shared" si="2"/>
        <v>1</v>
      </c>
      <c r="G38" s="278">
        <f>+E38</f>
        <v>50000</v>
      </c>
      <c r="H38" s="421"/>
    </row>
    <row r="39" spans="1:8" x14ac:dyDescent="0.25">
      <c r="A39" s="279"/>
      <c r="B39" s="280" t="s">
        <v>24</v>
      </c>
      <c r="C39" s="281">
        <f>+C34+C28</f>
        <v>160000000</v>
      </c>
      <c r="D39" s="281"/>
      <c r="E39" s="281">
        <f>+E34+E28</f>
        <v>400000000</v>
      </c>
      <c r="F39" s="281"/>
      <c r="G39" s="281">
        <f>+G28+G34</f>
        <v>560000000</v>
      </c>
    </row>
    <row r="47" spans="1:8" x14ac:dyDescent="0.25">
      <c r="B47" s="6"/>
      <c r="C47" s="4"/>
      <c r="D47" s="4"/>
      <c r="E47" s="4"/>
      <c r="F47" s="4"/>
      <c r="G47" s="4"/>
    </row>
    <row r="48" spans="1:8" x14ac:dyDescent="0.25">
      <c r="B48" s="5"/>
      <c r="C48" s="4"/>
      <c r="D48" s="4"/>
      <c r="E48" s="4"/>
      <c r="F48" s="4"/>
      <c r="G48" s="4"/>
    </row>
    <row r="49" spans="2:7" x14ac:dyDescent="0.25">
      <c r="B49" s="5"/>
      <c r="C49" s="4"/>
      <c r="D49" s="4"/>
      <c r="E49" s="4"/>
      <c r="F49" s="4"/>
      <c r="G49" s="4"/>
    </row>
    <row r="50" spans="2:7" x14ac:dyDescent="0.25">
      <c r="B50" s="5"/>
      <c r="C50" s="4"/>
      <c r="D50" s="4"/>
      <c r="E50" s="4"/>
      <c r="F50" s="4"/>
      <c r="G50" s="4"/>
    </row>
    <row r="51" spans="2:7" ht="16.5" customHeight="1" x14ac:dyDescent="0.25">
      <c r="B51" s="3"/>
      <c r="C51" s="4"/>
      <c r="D51" s="4"/>
      <c r="E51" s="4"/>
      <c r="F51" s="4"/>
      <c r="G51" s="4"/>
    </row>
    <row r="64" spans="2:7" ht="16.5" customHeight="1" x14ac:dyDescent="0.25"/>
    <row r="65" ht="16.5" customHeight="1" x14ac:dyDescent="0.25"/>
    <row r="66" ht="16.5" customHeight="1" x14ac:dyDescent="0.25"/>
    <row r="67" ht="16.5" customHeight="1" x14ac:dyDescent="0.25"/>
    <row r="68" ht="16.5" customHeight="1" x14ac:dyDescent="0.25"/>
    <row r="71" ht="16.5" customHeight="1" x14ac:dyDescent="0.25"/>
    <row r="87" ht="16.5" customHeight="1" x14ac:dyDescent="0.25"/>
  </sheetData>
  <mergeCells count="6">
    <mergeCell ref="A1:G1"/>
    <mergeCell ref="A2:G2"/>
    <mergeCell ref="A6:A7"/>
    <mergeCell ref="B6:B7"/>
    <mergeCell ref="A26:A27"/>
    <mergeCell ref="B26:B27"/>
  </mergeCells>
  <pageMargins left="0.70866141732283472" right="0.70866141732283472" top="0.74803149606299213" bottom="0.74803149606299213" header="0.31496062992125984" footer="0.31496062992125984"/>
  <pageSetup paperSize="8" fitToHeight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53"/>
  <sheetViews>
    <sheetView showGridLines="0" topLeftCell="D1" zoomScale="70" zoomScaleNormal="70" workbookViewId="0">
      <selection activeCell="I44" sqref="I44:J44"/>
    </sheetView>
  </sheetViews>
  <sheetFormatPr defaultColWidth="9.109375" defaultRowHeight="12" x14ac:dyDescent="0.25"/>
  <cols>
    <col min="1" max="1" width="8.44140625" style="169" customWidth="1"/>
    <col min="2" max="2" width="14.44140625" style="179" customWidth="1"/>
    <col min="3" max="3" width="15.44140625" style="177" customWidth="1"/>
    <col min="4" max="4" width="16.44140625" style="177" customWidth="1"/>
    <col min="5" max="5" width="16.109375" style="177" customWidth="1"/>
    <col min="6" max="6" width="13.6640625" style="169" customWidth="1"/>
    <col min="7" max="7" width="18.88671875" style="169" customWidth="1"/>
    <col min="8" max="8" width="15.6640625" style="174" customWidth="1"/>
    <col min="9" max="10" width="16.5546875" style="169" customWidth="1"/>
    <col min="11" max="11" width="13.109375" style="169" customWidth="1"/>
    <col min="12" max="12" width="13.44140625" style="169" customWidth="1"/>
    <col min="13" max="14" width="14.6640625" style="169" customWidth="1"/>
    <col min="15" max="19" width="14.44140625" style="169" customWidth="1"/>
    <col min="20" max="20" width="14.88671875" style="169" customWidth="1"/>
    <col min="21" max="21" width="10.88671875" style="169" customWidth="1"/>
    <col min="22" max="22" width="9.109375" style="169"/>
    <col min="23" max="23" width="10.33203125" style="169" customWidth="1"/>
    <col min="24" max="26" width="9.109375" style="169"/>
    <col min="27" max="27" width="10" style="169" customWidth="1"/>
    <col min="28" max="256" width="9.109375" style="169"/>
    <col min="257" max="257" width="8.44140625" style="169" customWidth="1"/>
    <col min="258" max="258" width="14.44140625" style="169" customWidth="1"/>
    <col min="259" max="259" width="15.44140625" style="169" customWidth="1"/>
    <col min="260" max="260" width="16.44140625" style="169" customWidth="1"/>
    <col min="261" max="261" width="16.109375" style="169" customWidth="1"/>
    <col min="262" max="262" width="13.6640625" style="169" customWidth="1"/>
    <col min="263" max="263" width="18.88671875" style="169" customWidth="1"/>
    <col min="264" max="264" width="15.6640625" style="169" customWidth="1"/>
    <col min="265" max="266" width="16.5546875" style="169" customWidth="1"/>
    <col min="267" max="267" width="13.109375" style="169" customWidth="1"/>
    <col min="268" max="268" width="13.44140625" style="169" customWidth="1"/>
    <col min="269" max="270" width="14.6640625" style="169" customWidth="1"/>
    <col min="271" max="275" width="14.44140625" style="169" customWidth="1"/>
    <col min="276" max="276" width="14.88671875" style="169" customWidth="1"/>
    <col min="277" max="277" width="10.88671875" style="169" customWidth="1"/>
    <col min="278" max="512" width="9.109375" style="169"/>
    <col min="513" max="513" width="8.44140625" style="169" customWidth="1"/>
    <col min="514" max="514" width="14.44140625" style="169" customWidth="1"/>
    <col min="515" max="515" width="15.44140625" style="169" customWidth="1"/>
    <col min="516" max="516" width="16.44140625" style="169" customWidth="1"/>
    <col min="517" max="517" width="16.109375" style="169" customWidth="1"/>
    <col min="518" max="518" width="13.6640625" style="169" customWidth="1"/>
    <col min="519" max="519" width="18.88671875" style="169" customWidth="1"/>
    <col min="520" max="520" width="15.6640625" style="169" customWidth="1"/>
    <col min="521" max="522" width="16.5546875" style="169" customWidth="1"/>
    <col min="523" max="523" width="13.109375" style="169" customWidth="1"/>
    <col min="524" max="524" width="13.44140625" style="169" customWidth="1"/>
    <col min="525" max="526" width="14.6640625" style="169" customWidth="1"/>
    <col min="527" max="531" width="14.44140625" style="169" customWidth="1"/>
    <col min="532" max="532" width="14.88671875" style="169" customWidth="1"/>
    <col min="533" max="533" width="10.88671875" style="169" customWidth="1"/>
    <col min="534" max="768" width="9.109375" style="169"/>
    <col min="769" max="769" width="8.44140625" style="169" customWidth="1"/>
    <col min="770" max="770" width="14.44140625" style="169" customWidth="1"/>
    <col min="771" max="771" width="15.44140625" style="169" customWidth="1"/>
    <col min="772" max="772" width="16.44140625" style="169" customWidth="1"/>
    <col min="773" max="773" width="16.109375" style="169" customWidth="1"/>
    <col min="774" max="774" width="13.6640625" style="169" customWidth="1"/>
    <col min="775" max="775" width="18.88671875" style="169" customWidth="1"/>
    <col min="776" max="776" width="15.6640625" style="169" customWidth="1"/>
    <col min="777" max="778" width="16.5546875" style="169" customWidth="1"/>
    <col min="779" max="779" width="13.109375" style="169" customWidth="1"/>
    <col min="780" max="780" width="13.44140625" style="169" customWidth="1"/>
    <col min="781" max="782" width="14.6640625" style="169" customWidth="1"/>
    <col min="783" max="787" width="14.44140625" style="169" customWidth="1"/>
    <col min="788" max="788" width="14.88671875" style="169" customWidth="1"/>
    <col min="789" max="789" width="10.88671875" style="169" customWidth="1"/>
    <col min="790" max="1024" width="9.109375" style="169"/>
    <col min="1025" max="1025" width="8.44140625" style="169" customWidth="1"/>
    <col min="1026" max="1026" width="14.44140625" style="169" customWidth="1"/>
    <col min="1027" max="1027" width="15.44140625" style="169" customWidth="1"/>
    <col min="1028" max="1028" width="16.44140625" style="169" customWidth="1"/>
    <col min="1029" max="1029" width="16.109375" style="169" customWidth="1"/>
    <col min="1030" max="1030" width="13.6640625" style="169" customWidth="1"/>
    <col min="1031" max="1031" width="18.88671875" style="169" customWidth="1"/>
    <col min="1032" max="1032" width="15.6640625" style="169" customWidth="1"/>
    <col min="1033" max="1034" width="16.5546875" style="169" customWidth="1"/>
    <col min="1035" max="1035" width="13.109375" style="169" customWidth="1"/>
    <col min="1036" max="1036" width="13.44140625" style="169" customWidth="1"/>
    <col min="1037" max="1038" width="14.6640625" style="169" customWidth="1"/>
    <col min="1039" max="1043" width="14.44140625" style="169" customWidth="1"/>
    <col min="1044" max="1044" width="14.88671875" style="169" customWidth="1"/>
    <col min="1045" max="1045" width="10.88671875" style="169" customWidth="1"/>
    <col min="1046" max="1280" width="9.109375" style="169"/>
    <col min="1281" max="1281" width="8.44140625" style="169" customWidth="1"/>
    <col min="1282" max="1282" width="14.44140625" style="169" customWidth="1"/>
    <col min="1283" max="1283" width="15.44140625" style="169" customWidth="1"/>
    <col min="1284" max="1284" width="16.44140625" style="169" customWidth="1"/>
    <col min="1285" max="1285" width="16.109375" style="169" customWidth="1"/>
    <col min="1286" max="1286" width="13.6640625" style="169" customWidth="1"/>
    <col min="1287" max="1287" width="18.88671875" style="169" customWidth="1"/>
    <col min="1288" max="1288" width="15.6640625" style="169" customWidth="1"/>
    <col min="1289" max="1290" width="16.5546875" style="169" customWidth="1"/>
    <col min="1291" max="1291" width="13.109375" style="169" customWidth="1"/>
    <col min="1292" max="1292" width="13.44140625" style="169" customWidth="1"/>
    <col min="1293" max="1294" width="14.6640625" style="169" customWidth="1"/>
    <col min="1295" max="1299" width="14.44140625" style="169" customWidth="1"/>
    <col min="1300" max="1300" width="14.88671875" style="169" customWidth="1"/>
    <col min="1301" max="1301" width="10.88671875" style="169" customWidth="1"/>
    <col min="1302" max="1536" width="9.109375" style="169"/>
    <col min="1537" max="1537" width="8.44140625" style="169" customWidth="1"/>
    <col min="1538" max="1538" width="14.44140625" style="169" customWidth="1"/>
    <col min="1539" max="1539" width="15.44140625" style="169" customWidth="1"/>
    <col min="1540" max="1540" width="16.44140625" style="169" customWidth="1"/>
    <col min="1541" max="1541" width="16.109375" style="169" customWidth="1"/>
    <col min="1542" max="1542" width="13.6640625" style="169" customWidth="1"/>
    <col min="1543" max="1543" width="18.88671875" style="169" customWidth="1"/>
    <col min="1544" max="1544" width="15.6640625" style="169" customWidth="1"/>
    <col min="1545" max="1546" width="16.5546875" style="169" customWidth="1"/>
    <col min="1547" max="1547" width="13.109375" style="169" customWidth="1"/>
    <col min="1548" max="1548" width="13.44140625" style="169" customWidth="1"/>
    <col min="1549" max="1550" width="14.6640625" style="169" customWidth="1"/>
    <col min="1551" max="1555" width="14.44140625" style="169" customWidth="1"/>
    <col min="1556" max="1556" width="14.88671875" style="169" customWidth="1"/>
    <col min="1557" max="1557" width="10.88671875" style="169" customWidth="1"/>
    <col min="1558" max="1792" width="9.109375" style="169"/>
    <col min="1793" max="1793" width="8.44140625" style="169" customWidth="1"/>
    <col min="1794" max="1794" width="14.44140625" style="169" customWidth="1"/>
    <col min="1795" max="1795" width="15.44140625" style="169" customWidth="1"/>
    <col min="1796" max="1796" width="16.44140625" style="169" customWidth="1"/>
    <col min="1797" max="1797" width="16.109375" style="169" customWidth="1"/>
    <col min="1798" max="1798" width="13.6640625" style="169" customWidth="1"/>
    <col min="1799" max="1799" width="18.88671875" style="169" customWidth="1"/>
    <col min="1800" max="1800" width="15.6640625" style="169" customWidth="1"/>
    <col min="1801" max="1802" width="16.5546875" style="169" customWidth="1"/>
    <col min="1803" max="1803" width="13.109375" style="169" customWidth="1"/>
    <col min="1804" max="1804" width="13.44140625" style="169" customWidth="1"/>
    <col min="1805" max="1806" width="14.6640625" style="169" customWidth="1"/>
    <col min="1807" max="1811" width="14.44140625" style="169" customWidth="1"/>
    <col min="1812" max="1812" width="14.88671875" style="169" customWidth="1"/>
    <col min="1813" max="1813" width="10.88671875" style="169" customWidth="1"/>
    <col min="1814" max="2048" width="9.109375" style="169"/>
    <col min="2049" max="2049" width="8.44140625" style="169" customWidth="1"/>
    <col min="2050" max="2050" width="14.44140625" style="169" customWidth="1"/>
    <col min="2051" max="2051" width="15.44140625" style="169" customWidth="1"/>
    <col min="2052" max="2052" width="16.44140625" style="169" customWidth="1"/>
    <col min="2053" max="2053" width="16.109375" style="169" customWidth="1"/>
    <col min="2054" max="2054" width="13.6640625" style="169" customWidth="1"/>
    <col min="2055" max="2055" width="18.88671875" style="169" customWidth="1"/>
    <col min="2056" max="2056" width="15.6640625" style="169" customWidth="1"/>
    <col min="2057" max="2058" width="16.5546875" style="169" customWidth="1"/>
    <col min="2059" max="2059" width="13.109375" style="169" customWidth="1"/>
    <col min="2060" max="2060" width="13.44140625" style="169" customWidth="1"/>
    <col min="2061" max="2062" width="14.6640625" style="169" customWidth="1"/>
    <col min="2063" max="2067" width="14.44140625" style="169" customWidth="1"/>
    <col min="2068" max="2068" width="14.88671875" style="169" customWidth="1"/>
    <col min="2069" max="2069" width="10.88671875" style="169" customWidth="1"/>
    <col min="2070" max="2304" width="9.109375" style="169"/>
    <col min="2305" max="2305" width="8.44140625" style="169" customWidth="1"/>
    <col min="2306" max="2306" width="14.44140625" style="169" customWidth="1"/>
    <col min="2307" max="2307" width="15.44140625" style="169" customWidth="1"/>
    <col min="2308" max="2308" width="16.44140625" style="169" customWidth="1"/>
    <col min="2309" max="2309" width="16.109375" style="169" customWidth="1"/>
    <col min="2310" max="2310" width="13.6640625" style="169" customWidth="1"/>
    <col min="2311" max="2311" width="18.88671875" style="169" customWidth="1"/>
    <col min="2312" max="2312" width="15.6640625" style="169" customWidth="1"/>
    <col min="2313" max="2314" width="16.5546875" style="169" customWidth="1"/>
    <col min="2315" max="2315" width="13.109375" style="169" customWidth="1"/>
    <col min="2316" max="2316" width="13.44140625" style="169" customWidth="1"/>
    <col min="2317" max="2318" width="14.6640625" style="169" customWidth="1"/>
    <col min="2319" max="2323" width="14.44140625" style="169" customWidth="1"/>
    <col min="2324" max="2324" width="14.88671875" style="169" customWidth="1"/>
    <col min="2325" max="2325" width="10.88671875" style="169" customWidth="1"/>
    <col min="2326" max="2560" width="9.109375" style="169"/>
    <col min="2561" max="2561" width="8.44140625" style="169" customWidth="1"/>
    <col min="2562" max="2562" width="14.44140625" style="169" customWidth="1"/>
    <col min="2563" max="2563" width="15.44140625" style="169" customWidth="1"/>
    <col min="2564" max="2564" width="16.44140625" style="169" customWidth="1"/>
    <col min="2565" max="2565" width="16.109375" style="169" customWidth="1"/>
    <col min="2566" max="2566" width="13.6640625" style="169" customWidth="1"/>
    <col min="2567" max="2567" width="18.88671875" style="169" customWidth="1"/>
    <col min="2568" max="2568" width="15.6640625" style="169" customWidth="1"/>
    <col min="2569" max="2570" width="16.5546875" style="169" customWidth="1"/>
    <col min="2571" max="2571" width="13.109375" style="169" customWidth="1"/>
    <col min="2572" max="2572" width="13.44140625" style="169" customWidth="1"/>
    <col min="2573" max="2574" width="14.6640625" style="169" customWidth="1"/>
    <col min="2575" max="2579" width="14.44140625" style="169" customWidth="1"/>
    <col min="2580" max="2580" width="14.88671875" style="169" customWidth="1"/>
    <col min="2581" max="2581" width="10.88671875" style="169" customWidth="1"/>
    <col min="2582" max="2816" width="9.109375" style="169"/>
    <col min="2817" max="2817" width="8.44140625" style="169" customWidth="1"/>
    <col min="2818" max="2818" width="14.44140625" style="169" customWidth="1"/>
    <col min="2819" max="2819" width="15.44140625" style="169" customWidth="1"/>
    <col min="2820" max="2820" width="16.44140625" style="169" customWidth="1"/>
    <col min="2821" max="2821" width="16.109375" style="169" customWidth="1"/>
    <col min="2822" max="2822" width="13.6640625" style="169" customWidth="1"/>
    <col min="2823" max="2823" width="18.88671875" style="169" customWidth="1"/>
    <col min="2824" max="2824" width="15.6640625" style="169" customWidth="1"/>
    <col min="2825" max="2826" width="16.5546875" style="169" customWidth="1"/>
    <col min="2827" max="2827" width="13.109375" style="169" customWidth="1"/>
    <col min="2828" max="2828" width="13.44140625" style="169" customWidth="1"/>
    <col min="2829" max="2830" width="14.6640625" style="169" customWidth="1"/>
    <col min="2831" max="2835" width="14.44140625" style="169" customWidth="1"/>
    <col min="2836" max="2836" width="14.88671875" style="169" customWidth="1"/>
    <col min="2837" max="2837" width="10.88671875" style="169" customWidth="1"/>
    <col min="2838" max="3072" width="9.109375" style="169"/>
    <col min="3073" max="3073" width="8.44140625" style="169" customWidth="1"/>
    <col min="3074" max="3074" width="14.44140625" style="169" customWidth="1"/>
    <col min="3075" max="3075" width="15.44140625" style="169" customWidth="1"/>
    <col min="3076" max="3076" width="16.44140625" style="169" customWidth="1"/>
    <col min="3077" max="3077" width="16.109375" style="169" customWidth="1"/>
    <col min="3078" max="3078" width="13.6640625" style="169" customWidth="1"/>
    <col min="3079" max="3079" width="18.88671875" style="169" customWidth="1"/>
    <col min="3080" max="3080" width="15.6640625" style="169" customWidth="1"/>
    <col min="3081" max="3082" width="16.5546875" style="169" customWidth="1"/>
    <col min="3083" max="3083" width="13.109375" style="169" customWidth="1"/>
    <col min="3084" max="3084" width="13.44140625" style="169" customWidth="1"/>
    <col min="3085" max="3086" width="14.6640625" style="169" customWidth="1"/>
    <col min="3087" max="3091" width="14.44140625" style="169" customWidth="1"/>
    <col min="3092" max="3092" width="14.88671875" style="169" customWidth="1"/>
    <col min="3093" max="3093" width="10.88671875" style="169" customWidth="1"/>
    <col min="3094" max="3328" width="9.109375" style="169"/>
    <col min="3329" max="3329" width="8.44140625" style="169" customWidth="1"/>
    <col min="3330" max="3330" width="14.44140625" style="169" customWidth="1"/>
    <col min="3331" max="3331" width="15.44140625" style="169" customWidth="1"/>
    <col min="3332" max="3332" width="16.44140625" style="169" customWidth="1"/>
    <col min="3333" max="3333" width="16.109375" style="169" customWidth="1"/>
    <col min="3334" max="3334" width="13.6640625" style="169" customWidth="1"/>
    <col min="3335" max="3335" width="18.88671875" style="169" customWidth="1"/>
    <col min="3336" max="3336" width="15.6640625" style="169" customWidth="1"/>
    <col min="3337" max="3338" width="16.5546875" style="169" customWidth="1"/>
    <col min="3339" max="3339" width="13.109375" style="169" customWidth="1"/>
    <col min="3340" max="3340" width="13.44140625" style="169" customWidth="1"/>
    <col min="3341" max="3342" width="14.6640625" style="169" customWidth="1"/>
    <col min="3343" max="3347" width="14.44140625" style="169" customWidth="1"/>
    <col min="3348" max="3348" width="14.88671875" style="169" customWidth="1"/>
    <col min="3349" max="3349" width="10.88671875" style="169" customWidth="1"/>
    <col min="3350" max="3584" width="9.109375" style="169"/>
    <col min="3585" max="3585" width="8.44140625" style="169" customWidth="1"/>
    <col min="3586" max="3586" width="14.44140625" style="169" customWidth="1"/>
    <col min="3587" max="3587" width="15.44140625" style="169" customWidth="1"/>
    <col min="3588" max="3588" width="16.44140625" style="169" customWidth="1"/>
    <col min="3589" max="3589" width="16.109375" style="169" customWidth="1"/>
    <col min="3590" max="3590" width="13.6640625" style="169" customWidth="1"/>
    <col min="3591" max="3591" width="18.88671875" style="169" customWidth="1"/>
    <col min="3592" max="3592" width="15.6640625" style="169" customWidth="1"/>
    <col min="3593" max="3594" width="16.5546875" style="169" customWidth="1"/>
    <col min="3595" max="3595" width="13.109375" style="169" customWidth="1"/>
    <col min="3596" max="3596" width="13.44140625" style="169" customWidth="1"/>
    <col min="3597" max="3598" width="14.6640625" style="169" customWidth="1"/>
    <col min="3599" max="3603" width="14.44140625" style="169" customWidth="1"/>
    <col min="3604" max="3604" width="14.88671875" style="169" customWidth="1"/>
    <col min="3605" max="3605" width="10.88671875" style="169" customWidth="1"/>
    <col min="3606" max="3840" width="9.109375" style="169"/>
    <col min="3841" max="3841" width="8.44140625" style="169" customWidth="1"/>
    <col min="3842" max="3842" width="14.44140625" style="169" customWidth="1"/>
    <col min="3843" max="3843" width="15.44140625" style="169" customWidth="1"/>
    <col min="3844" max="3844" width="16.44140625" style="169" customWidth="1"/>
    <col min="3845" max="3845" width="16.109375" style="169" customWidth="1"/>
    <col min="3846" max="3846" width="13.6640625" style="169" customWidth="1"/>
    <col min="3847" max="3847" width="18.88671875" style="169" customWidth="1"/>
    <col min="3848" max="3848" width="15.6640625" style="169" customWidth="1"/>
    <col min="3849" max="3850" width="16.5546875" style="169" customWidth="1"/>
    <col min="3851" max="3851" width="13.109375" style="169" customWidth="1"/>
    <col min="3852" max="3852" width="13.44140625" style="169" customWidth="1"/>
    <col min="3853" max="3854" width="14.6640625" style="169" customWidth="1"/>
    <col min="3855" max="3859" width="14.44140625" style="169" customWidth="1"/>
    <col min="3860" max="3860" width="14.88671875" style="169" customWidth="1"/>
    <col min="3861" max="3861" width="10.88671875" style="169" customWidth="1"/>
    <col min="3862" max="4096" width="9.109375" style="169"/>
    <col min="4097" max="4097" width="8.44140625" style="169" customWidth="1"/>
    <col min="4098" max="4098" width="14.44140625" style="169" customWidth="1"/>
    <col min="4099" max="4099" width="15.44140625" style="169" customWidth="1"/>
    <col min="4100" max="4100" width="16.44140625" style="169" customWidth="1"/>
    <col min="4101" max="4101" width="16.109375" style="169" customWidth="1"/>
    <col min="4102" max="4102" width="13.6640625" style="169" customWidth="1"/>
    <col min="4103" max="4103" width="18.88671875" style="169" customWidth="1"/>
    <col min="4104" max="4104" width="15.6640625" style="169" customWidth="1"/>
    <col min="4105" max="4106" width="16.5546875" style="169" customWidth="1"/>
    <col min="4107" max="4107" width="13.109375" style="169" customWidth="1"/>
    <col min="4108" max="4108" width="13.44140625" style="169" customWidth="1"/>
    <col min="4109" max="4110" width="14.6640625" style="169" customWidth="1"/>
    <col min="4111" max="4115" width="14.44140625" style="169" customWidth="1"/>
    <col min="4116" max="4116" width="14.88671875" style="169" customWidth="1"/>
    <col min="4117" max="4117" width="10.88671875" style="169" customWidth="1"/>
    <col min="4118" max="4352" width="9.109375" style="169"/>
    <col min="4353" max="4353" width="8.44140625" style="169" customWidth="1"/>
    <col min="4354" max="4354" width="14.44140625" style="169" customWidth="1"/>
    <col min="4355" max="4355" width="15.44140625" style="169" customWidth="1"/>
    <col min="4356" max="4356" width="16.44140625" style="169" customWidth="1"/>
    <col min="4357" max="4357" width="16.109375" style="169" customWidth="1"/>
    <col min="4358" max="4358" width="13.6640625" style="169" customWidth="1"/>
    <col min="4359" max="4359" width="18.88671875" style="169" customWidth="1"/>
    <col min="4360" max="4360" width="15.6640625" style="169" customWidth="1"/>
    <col min="4361" max="4362" width="16.5546875" style="169" customWidth="1"/>
    <col min="4363" max="4363" width="13.109375" style="169" customWidth="1"/>
    <col min="4364" max="4364" width="13.44140625" style="169" customWidth="1"/>
    <col min="4365" max="4366" width="14.6640625" style="169" customWidth="1"/>
    <col min="4367" max="4371" width="14.44140625" style="169" customWidth="1"/>
    <col min="4372" max="4372" width="14.88671875" style="169" customWidth="1"/>
    <col min="4373" max="4373" width="10.88671875" style="169" customWidth="1"/>
    <col min="4374" max="4608" width="9.109375" style="169"/>
    <col min="4609" max="4609" width="8.44140625" style="169" customWidth="1"/>
    <col min="4610" max="4610" width="14.44140625" style="169" customWidth="1"/>
    <col min="4611" max="4611" width="15.44140625" style="169" customWidth="1"/>
    <col min="4612" max="4612" width="16.44140625" style="169" customWidth="1"/>
    <col min="4613" max="4613" width="16.109375" style="169" customWidth="1"/>
    <col min="4614" max="4614" width="13.6640625" style="169" customWidth="1"/>
    <col min="4615" max="4615" width="18.88671875" style="169" customWidth="1"/>
    <col min="4616" max="4616" width="15.6640625" style="169" customWidth="1"/>
    <col min="4617" max="4618" width="16.5546875" style="169" customWidth="1"/>
    <col min="4619" max="4619" width="13.109375" style="169" customWidth="1"/>
    <col min="4620" max="4620" width="13.44140625" style="169" customWidth="1"/>
    <col min="4621" max="4622" width="14.6640625" style="169" customWidth="1"/>
    <col min="4623" max="4627" width="14.44140625" style="169" customWidth="1"/>
    <col min="4628" max="4628" width="14.88671875" style="169" customWidth="1"/>
    <col min="4629" max="4629" width="10.88671875" style="169" customWidth="1"/>
    <col min="4630" max="4864" width="9.109375" style="169"/>
    <col min="4865" max="4865" width="8.44140625" style="169" customWidth="1"/>
    <col min="4866" max="4866" width="14.44140625" style="169" customWidth="1"/>
    <col min="4867" max="4867" width="15.44140625" style="169" customWidth="1"/>
    <col min="4868" max="4868" width="16.44140625" style="169" customWidth="1"/>
    <col min="4869" max="4869" width="16.109375" style="169" customWidth="1"/>
    <col min="4870" max="4870" width="13.6640625" style="169" customWidth="1"/>
    <col min="4871" max="4871" width="18.88671875" style="169" customWidth="1"/>
    <col min="4872" max="4872" width="15.6640625" style="169" customWidth="1"/>
    <col min="4873" max="4874" width="16.5546875" style="169" customWidth="1"/>
    <col min="4875" max="4875" width="13.109375" style="169" customWidth="1"/>
    <col min="4876" max="4876" width="13.44140625" style="169" customWidth="1"/>
    <col min="4877" max="4878" width="14.6640625" style="169" customWidth="1"/>
    <col min="4879" max="4883" width="14.44140625" style="169" customWidth="1"/>
    <col min="4884" max="4884" width="14.88671875" style="169" customWidth="1"/>
    <col min="4885" max="4885" width="10.88671875" style="169" customWidth="1"/>
    <col min="4886" max="5120" width="9.109375" style="169"/>
    <col min="5121" max="5121" width="8.44140625" style="169" customWidth="1"/>
    <col min="5122" max="5122" width="14.44140625" style="169" customWidth="1"/>
    <col min="5123" max="5123" width="15.44140625" style="169" customWidth="1"/>
    <col min="5124" max="5124" width="16.44140625" style="169" customWidth="1"/>
    <col min="5125" max="5125" width="16.109375" style="169" customWidth="1"/>
    <col min="5126" max="5126" width="13.6640625" style="169" customWidth="1"/>
    <col min="5127" max="5127" width="18.88671875" style="169" customWidth="1"/>
    <col min="5128" max="5128" width="15.6640625" style="169" customWidth="1"/>
    <col min="5129" max="5130" width="16.5546875" style="169" customWidth="1"/>
    <col min="5131" max="5131" width="13.109375" style="169" customWidth="1"/>
    <col min="5132" max="5132" width="13.44140625" style="169" customWidth="1"/>
    <col min="5133" max="5134" width="14.6640625" style="169" customWidth="1"/>
    <col min="5135" max="5139" width="14.44140625" style="169" customWidth="1"/>
    <col min="5140" max="5140" width="14.88671875" style="169" customWidth="1"/>
    <col min="5141" max="5141" width="10.88671875" style="169" customWidth="1"/>
    <col min="5142" max="5376" width="9.109375" style="169"/>
    <col min="5377" max="5377" width="8.44140625" style="169" customWidth="1"/>
    <col min="5378" max="5378" width="14.44140625" style="169" customWidth="1"/>
    <col min="5379" max="5379" width="15.44140625" style="169" customWidth="1"/>
    <col min="5380" max="5380" width="16.44140625" style="169" customWidth="1"/>
    <col min="5381" max="5381" width="16.109375" style="169" customWidth="1"/>
    <col min="5382" max="5382" width="13.6640625" style="169" customWidth="1"/>
    <col min="5383" max="5383" width="18.88671875" style="169" customWidth="1"/>
    <col min="5384" max="5384" width="15.6640625" style="169" customWidth="1"/>
    <col min="5385" max="5386" width="16.5546875" style="169" customWidth="1"/>
    <col min="5387" max="5387" width="13.109375" style="169" customWidth="1"/>
    <col min="5388" max="5388" width="13.44140625" style="169" customWidth="1"/>
    <col min="5389" max="5390" width="14.6640625" style="169" customWidth="1"/>
    <col min="5391" max="5395" width="14.44140625" style="169" customWidth="1"/>
    <col min="5396" max="5396" width="14.88671875" style="169" customWidth="1"/>
    <col min="5397" max="5397" width="10.88671875" style="169" customWidth="1"/>
    <col min="5398" max="5632" width="9.109375" style="169"/>
    <col min="5633" max="5633" width="8.44140625" style="169" customWidth="1"/>
    <col min="5634" max="5634" width="14.44140625" style="169" customWidth="1"/>
    <col min="5635" max="5635" width="15.44140625" style="169" customWidth="1"/>
    <col min="5636" max="5636" width="16.44140625" style="169" customWidth="1"/>
    <col min="5637" max="5637" width="16.109375" style="169" customWidth="1"/>
    <col min="5638" max="5638" width="13.6640625" style="169" customWidth="1"/>
    <col min="5639" max="5639" width="18.88671875" style="169" customWidth="1"/>
    <col min="5640" max="5640" width="15.6640625" style="169" customWidth="1"/>
    <col min="5641" max="5642" width="16.5546875" style="169" customWidth="1"/>
    <col min="5643" max="5643" width="13.109375" style="169" customWidth="1"/>
    <col min="5644" max="5644" width="13.44140625" style="169" customWidth="1"/>
    <col min="5645" max="5646" width="14.6640625" style="169" customWidth="1"/>
    <col min="5647" max="5651" width="14.44140625" style="169" customWidth="1"/>
    <col min="5652" max="5652" width="14.88671875" style="169" customWidth="1"/>
    <col min="5653" max="5653" width="10.88671875" style="169" customWidth="1"/>
    <col min="5654" max="5888" width="9.109375" style="169"/>
    <col min="5889" max="5889" width="8.44140625" style="169" customWidth="1"/>
    <col min="5890" max="5890" width="14.44140625" style="169" customWidth="1"/>
    <col min="5891" max="5891" width="15.44140625" style="169" customWidth="1"/>
    <col min="5892" max="5892" width="16.44140625" style="169" customWidth="1"/>
    <col min="5893" max="5893" width="16.109375" style="169" customWidth="1"/>
    <col min="5894" max="5894" width="13.6640625" style="169" customWidth="1"/>
    <col min="5895" max="5895" width="18.88671875" style="169" customWidth="1"/>
    <col min="5896" max="5896" width="15.6640625" style="169" customWidth="1"/>
    <col min="5897" max="5898" width="16.5546875" style="169" customWidth="1"/>
    <col min="5899" max="5899" width="13.109375" style="169" customWidth="1"/>
    <col min="5900" max="5900" width="13.44140625" style="169" customWidth="1"/>
    <col min="5901" max="5902" width="14.6640625" style="169" customWidth="1"/>
    <col min="5903" max="5907" width="14.44140625" style="169" customWidth="1"/>
    <col min="5908" max="5908" width="14.88671875" style="169" customWidth="1"/>
    <col min="5909" max="5909" width="10.88671875" style="169" customWidth="1"/>
    <col min="5910" max="6144" width="9.109375" style="169"/>
    <col min="6145" max="6145" width="8.44140625" style="169" customWidth="1"/>
    <col min="6146" max="6146" width="14.44140625" style="169" customWidth="1"/>
    <col min="6147" max="6147" width="15.44140625" style="169" customWidth="1"/>
    <col min="6148" max="6148" width="16.44140625" style="169" customWidth="1"/>
    <col min="6149" max="6149" width="16.109375" style="169" customWidth="1"/>
    <col min="6150" max="6150" width="13.6640625" style="169" customWidth="1"/>
    <col min="6151" max="6151" width="18.88671875" style="169" customWidth="1"/>
    <col min="6152" max="6152" width="15.6640625" style="169" customWidth="1"/>
    <col min="6153" max="6154" width="16.5546875" style="169" customWidth="1"/>
    <col min="6155" max="6155" width="13.109375" style="169" customWidth="1"/>
    <col min="6156" max="6156" width="13.44140625" style="169" customWidth="1"/>
    <col min="6157" max="6158" width="14.6640625" style="169" customWidth="1"/>
    <col min="6159" max="6163" width="14.44140625" style="169" customWidth="1"/>
    <col min="6164" max="6164" width="14.88671875" style="169" customWidth="1"/>
    <col min="6165" max="6165" width="10.88671875" style="169" customWidth="1"/>
    <col min="6166" max="6400" width="9.109375" style="169"/>
    <col min="6401" max="6401" width="8.44140625" style="169" customWidth="1"/>
    <col min="6402" max="6402" width="14.44140625" style="169" customWidth="1"/>
    <col min="6403" max="6403" width="15.44140625" style="169" customWidth="1"/>
    <col min="6404" max="6404" width="16.44140625" style="169" customWidth="1"/>
    <col min="6405" max="6405" width="16.109375" style="169" customWidth="1"/>
    <col min="6406" max="6406" width="13.6640625" style="169" customWidth="1"/>
    <col min="6407" max="6407" width="18.88671875" style="169" customWidth="1"/>
    <col min="6408" max="6408" width="15.6640625" style="169" customWidth="1"/>
    <col min="6409" max="6410" width="16.5546875" style="169" customWidth="1"/>
    <col min="6411" max="6411" width="13.109375" style="169" customWidth="1"/>
    <col min="6412" max="6412" width="13.44140625" style="169" customWidth="1"/>
    <col min="6413" max="6414" width="14.6640625" style="169" customWidth="1"/>
    <col min="6415" max="6419" width="14.44140625" style="169" customWidth="1"/>
    <col min="6420" max="6420" width="14.88671875" style="169" customWidth="1"/>
    <col min="6421" max="6421" width="10.88671875" style="169" customWidth="1"/>
    <col min="6422" max="6656" width="9.109375" style="169"/>
    <col min="6657" max="6657" width="8.44140625" style="169" customWidth="1"/>
    <col min="6658" max="6658" width="14.44140625" style="169" customWidth="1"/>
    <col min="6659" max="6659" width="15.44140625" style="169" customWidth="1"/>
    <col min="6660" max="6660" width="16.44140625" style="169" customWidth="1"/>
    <col min="6661" max="6661" width="16.109375" style="169" customWidth="1"/>
    <col min="6662" max="6662" width="13.6640625" style="169" customWidth="1"/>
    <col min="6663" max="6663" width="18.88671875" style="169" customWidth="1"/>
    <col min="6664" max="6664" width="15.6640625" style="169" customWidth="1"/>
    <col min="6665" max="6666" width="16.5546875" style="169" customWidth="1"/>
    <col min="6667" max="6667" width="13.109375" style="169" customWidth="1"/>
    <col min="6668" max="6668" width="13.44140625" style="169" customWidth="1"/>
    <col min="6669" max="6670" width="14.6640625" style="169" customWidth="1"/>
    <col min="6671" max="6675" width="14.44140625" style="169" customWidth="1"/>
    <col min="6676" max="6676" width="14.88671875" style="169" customWidth="1"/>
    <col min="6677" max="6677" width="10.88671875" style="169" customWidth="1"/>
    <col min="6678" max="6912" width="9.109375" style="169"/>
    <col min="6913" max="6913" width="8.44140625" style="169" customWidth="1"/>
    <col min="6914" max="6914" width="14.44140625" style="169" customWidth="1"/>
    <col min="6915" max="6915" width="15.44140625" style="169" customWidth="1"/>
    <col min="6916" max="6916" width="16.44140625" style="169" customWidth="1"/>
    <col min="6917" max="6917" width="16.109375" style="169" customWidth="1"/>
    <col min="6918" max="6918" width="13.6640625" style="169" customWidth="1"/>
    <col min="6919" max="6919" width="18.88671875" style="169" customWidth="1"/>
    <col min="6920" max="6920" width="15.6640625" style="169" customWidth="1"/>
    <col min="6921" max="6922" width="16.5546875" style="169" customWidth="1"/>
    <col min="6923" max="6923" width="13.109375" style="169" customWidth="1"/>
    <col min="6924" max="6924" width="13.44140625" style="169" customWidth="1"/>
    <col min="6925" max="6926" width="14.6640625" style="169" customWidth="1"/>
    <col min="6927" max="6931" width="14.44140625" style="169" customWidth="1"/>
    <col min="6932" max="6932" width="14.88671875" style="169" customWidth="1"/>
    <col min="6933" max="6933" width="10.88671875" style="169" customWidth="1"/>
    <col min="6934" max="7168" width="9.109375" style="169"/>
    <col min="7169" max="7169" width="8.44140625" style="169" customWidth="1"/>
    <col min="7170" max="7170" width="14.44140625" style="169" customWidth="1"/>
    <col min="7171" max="7171" width="15.44140625" style="169" customWidth="1"/>
    <col min="7172" max="7172" width="16.44140625" style="169" customWidth="1"/>
    <col min="7173" max="7173" width="16.109375" style="169" customWidth="1"/>
    <col min="7174" max="7174" width="13.6640625" style="169" customWidth="1"/>
    <col min="7175" max="7175" width="18.88671875" style="169" customWidth="1"/>
    <col min="7176" max="7176" width="15.6640625" style="169" customWidth="1"/>
    <col min="7177" max="7178" width="16.5546875" style="169" customWidth="1"/>
    <col min="7179" max="7179" width="13.109375" style="169" customWidth="1"/>
    <col min="7180" max="7180" width="13.44140625" style="169" customWidth="1"/>
    <col min="7181" max="7182" width="14.6640625" style="169" customWidth="1"/>
    <col min="7183" max="7187" width="14.44140625" style="169" customWidth="1"/>
    <col min="7188" max="7188" width="14.88671875" style="169" customWidth="1"/>
    <col min="7189" max="7189" width="10.88671875" style="169" customWidth="1"/>
    <col min="7190" max="7424" width="9.109375" style="169"/>
    <col min="7425" max="7425" width="8.44140625" style="169" customWidth="1"/>
    <col min="7426" max="7426" width="14.44140625" style="169" customWidth="1"/>
    <col min="7427" max="7427" width="15.44140625" style="169" customWidth="1"/>
    <col min="7428" max="7428" width="16.44140625" style="169" customWidth="1"/>
    <col min="7429" max="7429" width="16.109375" style="169" customWidth="1"/>
    <col min="7430" max="7430" width="13.6640625" style="169" customWidth="1"/>
    <col min="7431" max="7431" width="18.88671875" style="169" customWidth="1"/>
    <col min="7432" max="7432" width="15.6640625" style="169" customWidth="1"/>
    <col min="7433" max="7434" width="16.5546875" style="169" customWidth="1"/>
    <col min="7435" max="7435" width="13.109375" style="169" customWidth="1"/>
    <col min="7436" max="7436" width="13.44140625" style="169" customWidth="1"/>
    <col min="7437" max="7438" width="14.6640625" style="169" customWidth="1"/>
    <col min="7439" max="7443" width="14.44140625" style="169" customWidth="1"/>
    <col min="7444" max="7444" width="14.88671875" style="169" customWidth="1"/>
    <col min="7445" max="7445" width="10.88671875" style="169" customWidth="1"/>
    <col min="7446" max="7680" width="9.109375" style="169"/>
    <col min="7681" max="7681" width="8.44140625" style="169" customWidth="1"/>
    <col min="7682" max="7682" width="14.44140625" style="169" customWidth="1"/>
    <col min="7683" max="7683" width="15.44140625" style="169" customWidth="1"/>
    <col min="7684" max="7684" width="16.44140625" style="169" customWidth="1"/>
    <col min="7685" max="7685" width="16.109375" style="169" customWidth="1"/>
    <col min="7686" max="7686" width="13.6640625" style="169" customWidth="1"/>
    <col min="7687" max="7687" width="18.88671875" style="169" customWidth="1"/>
    <col min="7688" max="7688" width="15.6640625" style="169" customWidth="1"/>
    <col min="7689" max="7690" width="16.5546875" style="169" customWidth="1"/>
    <col min="7691" max="7691" width="13.109375" style="169" customWidth="1"/>
    <col min="7692" max="7692" width="13.44140625" style="169" customWidth="1"/>
    <col min="7693" max="7694" width="14.6640625" style="169" customWidth="1"/>
    <col min="7695" max="7699" width="14.44140625" style="169" customWidth="1"/>
    <col min="7700" max="7700" width="14.88671875" style="169" customWidth="1"/>
    <col min="7701" max="7701" width="10.88671875" style="169" customWidth="1"/>
    <col min="7702" max="7936" width="9.109375" style="169"/>
    <col min="7937" max="7937" width="8.44140625" style="169" customWidth="1"/>
    <col min="7938" max="7938" width="14.44140625" style="169" customWidth="1"/>
    <col min="7939" max="7939" width="15.44140625" style="169" customWidth="1"/>
    <col min="7940" max="7940" width="16.44140625" style="169" customWidth="1"/>
    <col min="7941" max="7941" width="16.109375" style="169" customWidth="1"/>
    <col min="7942" max="7942" width="13.6640625" style="169" customWidth="1"/>
    <col min="7943" max="7943" width="18.88671875" style="169" customWidth="1"/>
    <col min="7944" max="7944" width="15.6640625" style="169" customWidth="1"/>
    <col min="7945" max="7946" width="16.5546875" style="169" customWidth="1"/>
    <col min="7947" max="7947" width="13.109375" style="169" customWidth="1"/>
    <col min="7948" max="7948" width="13.44140625" style="169" customWidth="1"/>
    <col min="7949" max="7950" width="14.6640625" style="169" customWidth="1"/>
    <col min="7951" max="7955" width="14.44140625" style="169" customWidth="1"/>
    <col min="7956" max="7956" width="14.88671875" style="169" customWidth="1"/>
    <col min="7957" max="7957" width="10.88671875" style="169" customWidth="1"/>
    <col min="7958" max="8192" width="9.109375" style="169"/>
    <col min="8193" max="8193" width="8.44140625" style="169" customWidth="1"/>
    <col min="8194" max="8194" width="14.44140625" style="169" customWidth="1"/>
    <col min="8195" max="8195" width="15.44140625" style="169" customWidth="1"/>
    <col min="8196" max="8196" width="16.44140625" style="169" customWidth="1"/>
    <col min="8197" max="8197" width="16.109375" style="169" customWidth="1"/>
    <col min="8198" max="8198" width="13.6640625" style="169" customWidth="1"/>
    <col min="8199" max="8199" width="18.88671875" style="169" customWidth="1"/>
    <col min="8200" max="8200" width="15.6640625" style="169" customWidth="1"/>
    <col min="8201" max="8202" width="16.5546875" style="169" customWidth="1"/>
    <col min="8203" max="8203" width="13.109375" style="169" customWidth="1"/>
    <col min="8204" max="8204" width="13.44140625" style="169" customWidth="1"/>
    <col min="8205" max="8206" width="14.6640625" style="169" customWidth="1"/>
    <col min="8207" max="8211" width="14.44140625" style="169" customWidth="1"/>
    <col min="8212" max="8212" width="14.88671875" style="169" customWidth="1"/>
    <col min="8213" max="8213" width="10.88671875" style="169" customWidth="1"/>
    <col min="8214" max="8448" width="9.109375" style="169"/>
    <col min="8449" max="8449" width="8.44140625" style="169" customWidth="1"/>
    <col min="8450" max="8450" width="14.44140625" style="169" customWidth="1"/>
    <col min="8451" max="8451" width="15.44140625" style="169" customWidth="1"/>
    <col min="8452" max="8452" width="16.44140625" style="169" customWidth="1"/>
    <col min="8453" max="8453" width="16.109375" style="169" customWidth="1"/>
    <col min="8454" max="8454" width="13.6640625" style="169" customWidth="1"/>
    <col min="8455" max="8455" width="18.88671875" style="169" customWidth="1"/>
    <col min="8456" max="8456" width="15.6640625" style="169" customWidth="1"/>
    <col min="8457" max="8458" width="16.5546875" style="169" customWidth="1"/>
    <col min="8459" max="8459" width="13.109375" style="169" customWidth="1"/>
    <col min="8460" max="8460" width="13.44140625" style="169" customWidth="1"/>
    <col min="8461" max="8462" width="14.6640625" style="169" customWidth="1"/>
    <col min="8463" max="8467" width="14.44140625" style="169" customWidth="1"/>
    <col min="8468" max="8468" width="14.88671875" style="169" customWidth="1"/>
    <col min="8469" max="8469" width="10.88671875" style="169" customWidth="1"/>
    <col min="8470" max="8704" width="9.109375" style="169"/>
    <col min="8705" max="8705" width="8.44140625" style="169" customWidth="1"/>
    <col min="8706" max="8706" width="14.44140625" style="169" customWidth="1"/>
    <col min="8707" max="8707" width="15.44140625" style="169" customWidth="1"/>
    <col min="8708" max="8708" width="16.44140625" style="169" customWidth="1"/>
    <col min="8709" max="8709" width="16.109375" style="169" customWidth="1"/>
    <col min="8710" max="8710" width="13.6640625" style="169" customWidth="1"/>
    <col min="8711" max="8711" width="18.88671875" style="169" customWidth="1"/>
    <col min="8712" max="8712" width="15.6640625" style="169" customWidth="1"/>
    <col min="8713" max="8714" width="16.5546875" style="169" customWidth="1"/>
    <col min="8715" max="8715" width="13.109375" style="169" customWidth="1"/>
    <col min="8716" max="8716" width="13.44140625" style="169" customWidth="1"/>
    <col min="8717" max="8718" width="14.6640625" style="169" customWidth="1"/>
    <col min="8719" max="8723" width="14.44140625" style="169" customWidth="1"/>
    <col min="8724" max="8724" width="14.88671875" style="169" customWidth="1"/>
    <col min="8725" max="8725" width="10.88671875" style="169" customWidth="1"/>
    <col min="8726" max="8960" width="9.109375" style="169"/>
    <col min="8961" max="8961" width="8.44140625" style="169" customWidth="1"/>
    <col min="8962" max="8962" width="14.44140625" style="169" customWidth="1"/>
    <col min="8963" max="8963" width="15.44140625" style="169" customWidth="1"/>
    <col min="8964" max="8964" width="16.44140625" style="169" customWidth="1"/>
    <col min="8965" max="8965" width="16.109375" style="169" customWidth="1"/>
    <col min="8966" max="8966" width="13.6640625" style="169" customWidth="1"/>
    <col min="8967" max="8967" width="18.88671875" style="169" customWidth="1"/>
    <col min="8968" max="8968" width="15.6640625" style="169" customWidth="1"/>
    <col min="8969" max="8970" width="16.5546875" style="169" customWidth="1"/>
    <col min="8971" max="8971" width="13.109375" style="169" customWidth="1"/>
    <col min="8972" max="8972" width="13.44140625" style="169" customWidth="1"/>
    <col min="8973" max="8974" width="14.6640625" style="169" customWidth="1"/>
    <col min="8975" max="8979" width="14.44140625" style="169" customWidth="1"/>
    <col min="8980" max="8980" width="14.88671875" style="169" customWidth="1"/>
    <col min="8981" max="8981" width="10.88671875" style="169" customWidth="1"/>
    <col min="8982" max="9216" width="9.109375" style="169"/>
    <col min="9217" max="9217" width="8.44140625" style="169" customWidth="1"/>
    <col min="9218" max="9218" width="14.44140625" style="169" customWidth="1"/>
    <col min="9219" max="9219" width="15.44140625" style="169" customWidth="1"/>
    <col min="9220" max="9220" width="16.44140625" style="169" customWidth="1"/>
    <col min="9221" max="9221" width="16.109375" style="169" customWidth="1"/>
    <col min="9222" max="9222" width="13.6640625" style="169" customWidth="1"/>
    <col min="9223" max="9223" width="18.88671875" style="169" customWidth="1"/>
    <col min="9224" max="9224" width="15.6640625" style="169" customWidth="1"/>
    <col min="9225" max="9226" width="16.5546875" style="169" customWidth="1"/>
    <col min="9227" max="9227" width="13.109375" style="169" customWidth="1"/>
    <col min="9228" max="9228" width="13.44140625" style="169" customWidth="1"/>
    <col min="9229" max="9230" width="14.6640625" style="169" customWidth="1"/>
    <col min="9231" max="9235" width="14.44140625" style="169" customWidth="1"/>
    <col min="9236" max="9236" width="14.88671875" style="169" customWidth="1"/>
    <col min="9237" max="9237" width="10.88671875" style="169" customWidth="1"/>
    <col min="9238" max="9472" width="9.109375" style="169"/>
    <col min="9473" max="9473" width="8.44140625" style="169" customWidth="1"/>
    <col min="9474" max="9474" width="14.44140625" style="169" customWidth="1"/>
    <col min="9475" max="9475" width="15.44140625" style="169" customWidth="1"/>
    <col min="9476" max="9476" width="16.44140625" style="169" customWidth="1"/>
    <col min="9477" max="9477" width="16.109375" style="169" customWidth="1"/>
    <col min="9478" max="9478" width="13.6640625" style="169" customWidth="1"/>
    <col min="9479" max="9479" width="18.88671875" style="169" customWidth="1"/>
    <col min="9480" max="9480" width="15.6640625" style="169" customWidth="1"/>
    <col min="9481" max="9482" width="16.5546875" style="169" customWidth="1"/>
    <col min="9483" max="9483" width="13.109375" style="169" customWidth="1"/>
    <col min="9484" max="9484" width="13.44140625" style="169" customWidth="1"/>
    <col min="9485" max="9486" width="14.6640625" style="169" customWidth="1"/>
    <col min="9487" max="9491" width="14.44140625" style="169" customWidth="1"/>
    <col min="9492" max="9492" width="14.88671875" style="169" customWidth="1"/>
    <col min="9493" max="9493" width="10.88671875" style="169" customWidth="1"/>
    <col min="9494" max="9728" width="9.109375" style="169"/>
    <col min="9729" max="9729" width="8.44140625" style="169" customWidth="1"/>
    <col min="9730" max="9730" width="14.44140625" style="169" customWidth="1"/>
    <col min="9731" max="9731" width="15.44140625" style="169" customWidth="1"/>
    <col min="9732" max="9732" width="16.44140625" style="169" customWidth="1"/>
    <col min="9733" max="9733" width="16.109375" style="169" customWidth="1"/>
    <col min="9734" max="9734" width="13.6640625" style="169" customWidth="1"/>
    <col min="9735" max="9735" width="18.88671875" style="169" customWidth="1"/>
    <col min="9736" max="9736" width="15.6640625" style="169" customWidth="1"/>
    <col min="9737" max="9738" width="16.5546875" style="169" customWidth="1"/>
    <col min="9739" max="9739" width="13.109375" style="169" customWidth="1"/>
    <col min="9740" max="9740" width="13.44140625" style="169" customWidth="1"/>
    <col min="9741" max="9742" width="14.6640625" style="169" customWidth="1"/>
    <col min="9743" max="9747" width="14.44140625" style="169" customWidth="1"/>
    <col min="9748" max="9748" width="14.88671875" style="169" customWidth="1"/>
    <col min="9749" max="9749" width="10.88671875" style="169" customWidth="1"/>
    <col min="9750" max="9984" width="9.109375" style="169"/>
    <col min="9985" max="9985" width="8.44140625" style="169" customWidth="1"/>
    <col min="9986" max="9986" width="14.44140625" style="169" customWidth="1"/>
    <col min="9987" max="9987" width="15.44140625" style="169" customWidth="1"/>
    <col min="9988" max="9988" width="16.44140625" style="169" customWidth="1"/>
    <col min="9989" max="9989" width="16.109375" style="169" customWidth="1"/>
    <col min="9990" max="9990" width="13.6640625" style="169" customWidth="1"/>
    <col min="9991" max="9991" width="18.88671875" style="169" customWidth="1"/>
    <col min="9992" max="9992" width="15.6640625" style="169" customWidth="1"/>
    <col min="9993" max="9994" width="16.5546875" style="169" customWidth="1"/>
    <col min="9995" max="9995" width="13.109375" style="169" customWidth="1"/>
    <col min="9996" max="9996" width="13.44140625" style="169" customWidth="1"/>
    <col min="9997" max="9998" width="14.6640625" style="169" customWidth="1"/>
    <col min="9999" max="10003" width="14.44140625" style="169" customWidth="1"/>
    <col min="10004" max="10004" width="14.88671875" style="169" customWidth="1"/>
    <col min="10005" max="10005" width="10.88671875" style="169" customWidth="1"/>
    <col min="10006" max="10240" width="9.109375" style="169"/>
    <col min="10241" max="10241" width="8.44140625" style="169" customWidth="1"/>
    <col min="10242" max="10242" width="14.44140625" style="169" customWidth="1"/>
    <col min="10243" max="10243" width="15.44140625" style="169" customWidth="1"/>
    <col min="10244" max="10244" width="16.44140625" style="169" customWidth="1"/>
    <col min="10245" max="10245" width="16.109375" style="169" customWidth="1"/>
    <col min="10246" max="10246" width="13.6640625" style="169" customWidth="1"/>
    <col min="10247" max="10247" width="18.88671875" style="169" customWidth="1"/>
    <col min="10248" max="10248" width="15.6640625" style="169" customWidth="1"/>
    <col min="10249" max="10250" width="16.5546875" style="169" customWidth="1"/>
    <col min="10251" max="10251" width="13.109375" style="169" customWidth="1"/>
    <col min="10252" max="10252" width="13.44140625" style="169" customWidth="1"/>
    <col min="10253" max="10254" width="14.6640625" style="169" customWidth="1"/>
    <col min="10255" max="10259" width="14.44140625" style="169" customWidth="1"/>
    <col min="10260" max="10260" width="14.88671875" style="169" customWidth="1"/>
    <col min="10261" max="10261" width="10.88671875" style="169" customWidth="1"/>
    <col min="10262" max="10496" width="9.109375" style="169"/>
    <col min="10497" max="10497" width="8.44140625" style="169" customWidth="1"/>
    <col min="10498" max="10498" width="14.44140625" style="169" customWidth="1"/>
    <col min="10499" max="10499" width="15.44140625" style="169" customWidth="1"/>
    <col min="10500" max="10500" width="16.44140625" style="169" customWidth="1"/>
    <col min="10501" max="10501" width="16.109375" style="169" customWidth="1"/>
    <col min="10502" max="10502" width="13.6640625" style="169" customWidth="1"/>
    <col min="10503" max="10503" width="18.88671875" style="169" customWidth="1"/>
    <col min="10504" max="10504" width="15.6640625" style="169" customWidth="1"/>
    <col min="10505" max="10506" width="16.5546875" style="169" customWidth="1"/>
    <col min="10507" max="10507" width="13.109375" style="169" customWidth="1"/>
    <col min="10508" max="10508" width="13.44140625" style="169" customWidth="1"/>
    <col min="10509" max="10510" width="14.6640625" style="169" customWidth="1"/>
    <col min="10511" max="10515" width="14.44140625" style="169" customWidth="1"/>
    <col min="10516" max="10516" width="14.88671875" style="169" customWidth="1"/>
    <col min="10517" max="10517" width="10.88671875" style="169" customWidth="1"/>
    <col min="10518" max="10752" width="9.109375" style="169"/>
    <col min="10753" max="10753" width="8.44140625" style="169" customWidth="1"/>
    <col min="10754" max="10754" width="14.44140625" style="169" customWidth="1"/>
    <col min="10755" max="10755" width="15.44140625" style="169" customWidth="1"/>
    <col min="10756" max="10756" width="16.44140625" style="169" customWidth="1"/>
    <col min="10757" max="10757" width="16.109375" style="169" customWidth="1"/>
    <col min="10758" max="10758" width="13.6640625" style="169" customWidth="1"/>
    <col min="10759" max="10759" width="18.88671875" style="169" customWidth="1"/>
    <col min="10760" max="10760" width="15.6640625" style="169" customWidth="1"/>
    <col min="10761" max="10762" width="16.5546875" style="169" customWidth="1"/>
    <col min="10763" max="10763" width="13.109375" style="169" customWidth="1"/>
    <col min="10764" max="10764" width="13.44140625" style="169" customWidth="1"/>
    <col min="10765" max="10766" width="14.6640625" style="169" customWidth="1"/>
    <col min="10767" max="10771" width="14.44140625" style="169" customWidth="1"/>
    <col min="10772" max="10772" width="14.88671875" style="169" customWidth="1"/>
    <col min="10773" max="10773" width="10.88671875" style="169" customWidth="1"/>
    <col min="10774" max="11008" width="9.109375" style="169"/>
    <col min="11009" max="11009" width="8.44140625" style="169" customWidth="1"/>
    <col min="11010" max="11010" width="14.44140625" style="169" customWidth="1"/>
    <col min="11011" max="11011" width="15.44140625" style="169" customWidth="1"/>
    <col min="11012" max="11012" width="16.44140625" style="169" customWidth="1"/>
    <col min="11013" max="11013" width="16.109375" style="169" customWidth="1"/>
    <col min="11014" max="11014" width="13.6640625" style="169" customWidth="1"/>
    <col min="11015" max="11015" width="18.88671875" style="169" customWidth="1"/>
    <col min="11016" max="11016" width="15.6640625" style="169" customWidth="1"/>
    <col min="11017" max="11018" width="16.5546875" style="169" customWidth="1"/>
    <col min="11019" max="11019" width="13.109375" style="169" customWidth="1"/>
    <col min="11020" max="11020" width="13.44140625" style="169" customWidth="1"/>
    <col min="11021" max="11022" width="14.6640625" style="169" customWidth="1"/>
    <col min="11023" max="11027" width="14.44140625" style="169" customWidth="1"/>
    <col min="11028" max="11028" width="14.88671875" style="169" customWidth="1"/>
    <col min="11029" max="11029" width="10.88671875" style="169" customWidth="1"/>
    <col min="11030" max="11264" width="9.109375" style="169"/>
    <col min="11265" max="11265" width="8.44140625" style="169" customWidth="1"/>
    <col min="11266" max="11266" width="14.44140625" style="169" customWidth="1"/>
    <col min="11267" max="11267" width="15.44140625" style="169" customWidth="1"/>
    <col min="11268" max="11268" width="16.44140625" style="169" customWidth="1"/>
    <col min="11269" max="11269" width="16.109375" style="169" customWidth="1"/>
    <col min="11270" max="11270" width="13.6640625" style="169" customWidth="1"/>
    <col min="11271" max="11271" width="18.88671875" style="169" customWidth="1"/>
    <col min="11272" max="11272" width="15.6640625" style="169" customWidth="1"/>
    <col min="11273" max="11274" width="16.5546875" style="169" customWidth="1"/>
    <col min="11275" max="11275" width="13.109375" style="169" customWidth="1"/>
    <col min="11276" max="11276" width="13.44140625" style="169" customWidth="1"/>
    <col min="11277" max="11278" width="14.6640625" style="169" customWidth="1"/>
    <col min="11279" max="11283" width="14.44140625" style="169" customWidth="1"/>
    <col min="11284" max="11284" width="14.88671875" style="169" customWidth="1"/>
    <col min="11285" max="11285" width="10.88671875" style="169" customWidth="1"/>
    <col min="11286" max="11520" width="9.109375" style="169"/>
    <col min="11521" max="11521" width="8.44140625" style="169" customWidth="1"/>
    <col min="11522" max="11522" width="14.44140625" style="169" customWidth="1"/>
    <col min="11523" max="11523" width="15.44140625" style="169" customWidth="1"/>
    <col min="11524" max="11524" width="16.44140625" style="169" customWidth="1"/>
    <col min="11525" max="11525" width="16.109375" style="169" customWidth="1"/>
    <col min="11526" max="11526" width="13.6640625" style="169" customWidth="1"/>
    <col min="11527" max="11527" width="18.88671875" style="169" customWidth="1"/>
    <col min="11528" max="11528" width="15.6640625" style="169" customWidth="1"/>
    <col min="11529" max="11530" width="16.5546875" style="169" customWidth="1"/>
    <col min="11531" max="11531" width="13.109375" style="169" customWidth="1"/>
    <col min="11532" max="11532" width="13.44140625" style="169" customWidth="1"/>
    <col min="11533" max="11534" width="14.6640625" style="169" customWidth="1"/>
    <col min="11535" max="11539" width="14.44140625" style="169" customWidth="1"/>
    <col min="11540" max="11540" width="14.88671875" style="169" customWidth="1"/>
    <col min="11541" max="11541" width="10.88671875" style="169" customWidth="1"/>
    <col min="11542" max="11776" width="9.109375" style="169"/>
    <col min="11777" max="11777" width="8.44140625" style="169" customWidth="1"/>
    <col min="11778" max="11778" width="14.44140625" style="169" customWidth="1"/>
    <col min="11779" max="11779" width="15.44140625" style="169" customWidth="1"/>
    <col min="11780" max="11780" width="16.44140625" style="169" customWidth="1"/>
    <col min="11781" max="11781" width="16.109375" style="169" customWidth="1"/>
    <col min="11782" max="11782" width="13.6640625" style="169" customWidth="1"/>
    <col min="11783" max="11783" width="18.88671875" style="169" customWidth="1"/>
    <col min="11784" max="11784" width="15.6640625" style="169" customWidth="1"/>
    <col min="11785" max="11786" width="16.5546875" style="169" customWidth="1"/>
    <col min="11787" max="11787" width="13.109375" style="169" customWidth="1"/>
    <col min="11788" max="11788" width="13.44140625" style="169" customWidth="1"/>
    <col min="11789" max="11790" width="14.6640625" style="169" customWidth="1"/>
    <col min="11791" max="11795" width="14.44140625" style="169" customWidth="1"/>
    <col min="11796" max="11796" width="14.88671875" style="169" customWidth="1"/>
    <col min="11797" max="11797" width="10.88671875" style="169" customWidth="1"/>
    <col min="11798" max="12032" width="9.109375" style="169"/>
    <col min="12033" max="12033" width="8.44140625" style="169" customWidth="1"/>
    <col min="12034" max="12034" width="14.44140625" style="169" customWidth="1"/>
    <col min="12035" max="12035" width="15.44140625" style="169" customWidth="1"/>
    <col min="12036" max="12036" width="16.44140625" style="169" customWidth="1"/>
    <col min="12037" max="12037" width="16.109375" style="169" customWidth="1"/>
    <col min="12038" max="12038" width="13.6640625" style="169" customWidth="1"/>
    <col min="12039" max="12039" width="18.88671875" style="169" customWidth="1"/>
    <col min="12040" max="12040" width="15.6640625" style="169" customWidth="1"/>
    <col min="12041" max="12042" width="16.5546875" style="169" customWidth="1"/>
    <col min="12043" max="12043" width="13.109375" style="169" customWidth="1"/>
    <col min="12044" max="12044" width="13.44140625" style="169" customWidth="1"/>
    <col min="12045" max="12046" width="14.6640625" style="169" customWidth="1"/>
    <col min="12047" max="12051" width="14.44140625" style="169" customWidth="1"/>
    <col min="12052" max="12052" width="14.88671875" style="169" customWidth="1"/>
    <col min="12053" max="12053" width="10.88671875" style="169" customWidth="1"/>
    <col min="12054" max="12288" width="9.109375" style="169"/>
    <col min="12289" max="12289" width="8.44140625" style="169" customWidth="1"/>
    <col min="12290" max="12290" width="14.44140625" style="169" customWidth="1"/>
    <col min="12291" max="12291" width="15.44140625" style="169" customWidth="1"/>
    <col min="12292" max="12292" width="16.44140625" style="169" customWidth="1"/>
    <col min="12293" max="12293" width="16.109375" style="169" customWidth="1"/>
    <col min="12294" max="12294" width="13.6640625" style="169" customWidth="1"/>
    <col min="12295" max="12295" width="18.88671875" style="169" customWidth="1"/>
    <col min="12296" max="12296" width="15.6640625" style="169" customWidth="1"/>
    <col min="12297" max="12298" width="16.5546875" style="169" customWidth="1"/>
    <col min="12299" max="12299" width="13.109375" style="169" customWidth="1"/>
    <col min="12300" max="12300" width="13.44140625" style="169" customWidth="1"/>
    <col min="12301" max="12302" width="14.6640625" style="169" customWidth="1"/>
    <col min="12303" max="12307" width="14.44140625" style="169" customWidth="1"/>
    <col min="12308" max="12308" width="14.88671875" style="169" customWidth="1"/>
    <col min="12309" max="12309" width="10.88671875" style="169" customWidth="1"/>
    <col min="12310" max="12544" width="9.109375" style="169"/>
    <col min="12545" max="12545" width="8.44140625" style="169" customWidth="1"/>
    <col min="12546" max="12546" width="14.44140625" style="169" customWidth="1"/>
    <col min="12547" max="12547" width="15.44140625" style="169" customWidth="1"/>
    <col min="12548" max="12548" width="16.44140625" style="169" customWidth="1"/>
    <col min="12549" max="12549" width="16.109375" style="169" customWidth="1"/>
    <col min="12550" max="12550" width="13.6640625" style="169" customWidth="1"/>
    <col min="12551" max="12551" width="18.88671875" style="169" customWidth="1"/>
    <col min="12552" max="12552" width="15.6640625" style="169" customWidth="1"/>
    <col min="12553" max="12554" width="16.5546875" style="169" customWidth="1"/>
    <col min="12555" max="12555" width="13.109375" style="169" customWidth="1"/>
    <col min="12556" max="12556" width="13.44140625" style="169" customWidth="1"/>
    <col min="12557" max="12558" width="14.6640625" style="169" customWidth="1"/>
    <col min="12559" max="12563" width="14.44140625" style="169" customWidth="1"/>
    <col min="12564" max="12564" width="14.88671875" style="169" customWidth="1"/>
    <col min="12565" max="12565" width="10.88671875" style="169" customWidth="1"/>
    <col min="12566" max="12800" width="9.109375" style="169"/>
    <col min="12801" max="12801" width="8.44140625" style="169" customWidth="1"/>
    <col min="12802" max="12802" width="14.44140625" style="169" customWidth="1"/>
    <col min="12803" max="12803" width="15.44140625" style="169" customWidth="1"/>
    <col min="12804" max="12804" width="16.44140625" style="169" customWidth="1"/>
    <col min="12805" max="12805" width="16.109375" style="169" customWidth="1"/>
    <col min="12806" max="12806" width="13.6640625" style="169" customWidth="1"/>
    <col min="12807" max="12807" width="18.88671875" style="169" customWidth="1"/>
    <col min="12808" max="12808" width="15.6640625" style="169" customWidth="1"/>
    <col min="12809" max="12810" width="16.5546875" style="169" customWidth="1"/>
    <col min="12811" max="12811" width="13.109375" style="169" customWidth="1"/>
    <col min="12812" max="12812" width="13.44140625" style="169" customWidth="1"/>
    <col min="12813" max="12814" width="14.6640625" style="169" customWidth="1"/>
    <col min="12815" max="12819" width="14.44140625" style="169" customWidth="1"/>
    <col min="12820" max="12820" width="14.88671875" style="169" customWidth="1"/>
    <col min="12821" max="12821" width="10.88671875" style="169" customWidth="1"/>
    <col min="12822" max="13056" width="9.109375" style="169"/>
    <col min="13057" max="13057" width="8.44140625" style="169" customWidth="1"/>
    <col min="13058" max="13058" width="14.44140625" style="169" customWidth="1"/>
    <col min="13059" max="13059" width="15.44140625" style="169" customWidth="1"/>
    <col min="13060" max="13060" width="16.44140625" style="169" customWidth="1"/>
    <col min="13061" max="13061" width="16.109375" style="169" customWidth="1"/>
    <col min="13062" max="13062" width="13.6640625" style="169" customWidth="1"/>
    <col min="13063" max="13063" width="18.88671875" style="169" customWidth="1"/>
    <col min="13064" max="13064" width="15.6640625" style="169" customWidth="1"/>
    <col min="13065" max="13066" width="16.5546875" style="169" customWidth="1"/>
    <col min="13067" max="13067" width="13.109375" style="169" customWidth="1"/>
    <col min="13068" max="13068" width="13.44140625" style="169" customWidth="1"/>
    <col min="13069" max="13070" width="14.6640625" style="169" customWidth="1"/>
    <col min="13071" max="13075" width="14.44140625" style="169" customWidth="1"/>
    <col min="13076" max="13076" width="14.88671875" style="169" customWidth="1"/>
    <col min="13077" max="13077" width="10.88671875" style="169" customWidth="1"/>
    <col min="13078" max="13312" width="9.109375" style="169"/>
    <col min="13313" max="13313" width="8.44140625" style="169" customWidth="1"/>
    <col min="13314" max="13314" width="14.44140625" style="169" customWidth="1"/>
    <col min="13315" max="13315" width="15.44140625" style="169" customWidth="1"/>
    <col min="13316" max="13316" width="16.44140625" style="169" customWidth="1"/>
    <col min="13317" max="13317" width="16.109375" style="169" customWidth="1"/>
    <col min="13318" max="13318" width="13.6640625" style="169" customWidth="1"/>
    <col min="13319" max="13319" width="18.88671875" style="169" customWidth="1"/>
    <col min="13320" max="13320" width="15.6640625" style="169" customWidth="1"/>
    <col min="13321" max="13322" width="16.5546875" style="169" customWidth="1"/>
    <col min="13323" max="13323" width="13.109375" style="169" customWidth="1"/>
    <col min="13324" max="13324" width="13.44140625" style="169" customWidth="1"/>
    <col min="13325" max="13326" width="14.6640625" style="169" customWidth="1"/>
    <col min="13327" max="13331" width="14.44140625" style="169" customWidth="1"/>
    <col min="13332" max="13332" width="14.88671875" style="169" customWidth="1"/>
    <col min="13333" max="13333" width="10.88671875" style="169" customWidth="1"/>
    <col min="13334" max="13568" width="9.109375" style="169"/>
    <col min="13569" max="13569" width="8.44140625" style="169" customWidth="1"/>
    <col min="13570" max="13570" width="14.44140625" style="169" customWidth="1"/>
    <col min="13571" max="13571" width="15.44140625" style="169" customWidth="1"/>
    <col min="13572" max="13572" width="16.44140625" style="169" customWidth="1"/>
    <col min="13573" max="13573" width="16.109375" style="169" customWidth="1"/>
    <col min="13574" max="13574" width="13.6640625" style="169" customWidth="1"/>
    <col min="13575" max="13575" width="18.88671875" style="169" customWidth="1"/>
    <col min="13576" max="13576" width="15.6640625" style="169" customWidth="1"/>
    <col min="13577" max="13578" width="16.5546875" style="169" customWidth="1"/>
    <col min="13579" max="13579" width="13.109375" style="169" customWidth="1"/>
    <col min="13580" max="13580" width="13.44140625" style="169" customWidth="1"/>
    <col min="13581" max="13582" width="14.6640625" style="169" customWidth="1"/>
    <col min="13583" max="13587" width="14.44140625" style="169" customWidth="1"/>
    <col min="13588" max="13588" width="14.88671875" style="169" customWidth="1"/>
    <col min="13589" max="13589" width="10.88671875" style="169" customWidth="1"/>
    <col min="13590" max="13824" width="9.109375" style="169"/>
    <col min="13825" max="13825" width="8.44140625" style="169" customWidth="1"/>
    <col min="13826" max="13826" width="14.44140625" style="169" customWidth="1"/>
    <col min="13827" max="13827" width="15.44140625" style="169" customWidth="1"/>
    <col min="13828" max="13828" width="16.44140625" style="169" customWidth="1"/>
    <col min="13829" max="13829" width="16.109375" style="169" customWidth="1"/>
    <col min="13830" max="13830" width="13.6640625" style="169" customWidth="1"/>
    <col min="13831" max="13831" width="18.88671875" style="169" customWidth="1"/>
    <col min="13832" max="13832" width="15.6640625" style="169" customWidth="1"/>
    <col min="13833" max="13834" width="16.5546875" style="169" customWidth="1"/>
    <col min="13835" max="13835" width="13.109375" style="169" customWidth="1"/>
    <col min="13836" max="13836" width="13.44140625" style="169" customWidth="1"/>
    <col min="13837" max="13838" width="14.6640625" style="169" customWidth="1"/>
    <col min="13839" max="13843" width="14.44140625" style="169" customWidth="1"/>
    <col min="13844" max="13844" width="14.88671875" style="169" customWidth="1"/>
    <col min="13845" max="13845" width="10.88671875" style="169" customWidth="1"/>
    <col min="13846" max="14080" width="9.109375" style="169"/>
    <col min="14081" max="14081" width="8.44140625" style="169" customWidth="1"/>
    <col min="14082" max="14082" width="14.44140625" style="169" customWidth="1"/>
    <col min="14083" max="14083" width="15.44140625" style="169" customWidth="1"/>
    <col min="14084" max="14084" width="16.44140625" style="169" customWidth="1"/>
    <col min="14085" max="14085" width="16.109375" style="169" customWidth="1"/>
    <col min="14086" max="14086" width="13.6640625" style="169" customWidth="1"/>
    <col min="14087" max="14087" width="18.88671875" style="169" customWidth="1"/>
    <col min="14088" max="14088" width="15.6640625" style="169" customWidth="1"/>
    <col min="14089" max="14090" width="16.5546875" style="169" customWidth="1"/>
    <col min="14091" max="14091" width="13.109375" style="169" customWidth="1"/>
    <col min="14092" max="14092" width="13.44140625" style="169" customWidth="1"/>
    <col min="14093" max="14094" width="14.6640625" style="169" customWidth="1"/>
    <col min="14095" max="14099" width="14.44140625" style="169" customWidth="1"/>
    <col min="14100" max="14100" width="14.88671875" style="169" customWidth="1"/>
    <col min="14101" max="14101" width="10.88671875" style="169" customWidth="1"/>
    <col min="14102" max="14336" width="9.109375" style="169"/>
    <col min="14337" max="14337" width="8.44140625" style="169" customWidth="1"/>
    <col min="14338" max="14338" width="14.44140625" style="169" customWidth="1"/>
    <col min="14339" max="14339" width="15.44140625" style="169" customWidth="1"/>
    <col min="14340" max="14340" width="16.44140625" style="169" customWidth="1"/>
    <col min="14341" max="14341" width="16.109375" style="169" customWidth="1"/>
    <col min="14342" max="14342" width="13.6640625" style="169" customWidth="1"/>
    <col min="14343" max="14343" width="18.88671875" style="169" customWidth="1"/>
    <col min="14344" max="14344" width="15.6640625" style="169" customWidth="1"/>
    <col min="14345" max="14346" width="16.5546875" style="169" customWidth="1"/>
    <col min="14347" max="14347" width="13.109375" style="169" customWidth="1"/>
    <col min="14348" max="14348" width="13.44140625" style="169" customWidth="1"/>
    <col min="14349" max="14350" width="14.6640625" style="169" customWidth="1"/>
    <col min="14351" max="14355" width="14.44140625" style="169" customWidth="1"/>
    <col min="14356" max="14356" width="14.88671875" style="169" customWidth="1"/>
    <col min="14357" max="14357" width="10.88671875" style="169" customWidth="1"/>
    <col min="14358" max="14592" width="9.109375" style="169"/>
    <col min="14593" max="14593" width="8.44140625" style="169" customWidth="1"/>
    <col min="14594" max="14594" width="14.44140625" style="169" customWidth="1"/>
    <col min="14595" max="14595" width="15.44140625" style="169" customWidth="1"/>
    <col min="14596" max="14596" width="16.44140625" style="169" customWidth="1"/>
    <col min="14597" max="14597" width="16.109375" style="169" customWidth="1"/>
    <col min="14598" max="14598" width="13.6640625" style="169" customWidth="1"/>
    <col min="14599" max="14599" width="18.88671875" style="169" customWidth="1"/>
    <col min="14600" max="14600" width="15.6640625" style="169" customWidth="1"/>
    <col min="14601" max="14602" width="16.5546875" style="169" customWidth="1"/>
    <col min="14603" max="14603" width="13.109375" style="169" customWidth="1"/>
    <col min="14604" max="14604" width="13.44140625" style="169" customWidth="1"/>
    <col min="14605" max="14606" width="14.6640625" style="169" customWidth="1"/>
    <col min="14607" max="14611" width="14.44140625" style="169" customWidth="1"/>
    <col min="14612" max="14612" width="14.88671875" style="169" customWidth="1"/>
    <col min="14613" max="14613" width="10.88671875" style="169" customWidth="1"/>
    <col min="14614" max="14848" width="9.109375" style="169"/>
    <col min="14849" max="14849" width="8.44140625" style="169" customWidth="1"/>
    <col min="14850" max="14850" width="14.44140625" style="169" customWidth="1"/>
    <col min="14851" max="14851" width="15.44140625" style="169" customWidth="1"/>
    <col min="14852" max="14852" width="16.44140625" style="169" customWidth="1"/>
    <col min="14853" max="14853" width="16.109375" style="169" customWidth="1"/>
    <col min="14854" max="14854" width="13.6640625" style="169" customWidth="1"/>
    <col min="14855" max="14855" width="18.88671875" style="169" customWidth="1"/>
    <col min="14856" max="14856" width="15.6640625" style="169" customWidth="1"/>
    <col min="14857" max="14858" width="16.5546875" style="169" customWidth="1"/>
    <col min="14859" max="14859" width="13.109375" style="169" customWidth="1"/>
    <col min="14860" max="14860" width="13.44140625" style="169" customWidth="1"/>
    <col min="14861" max="14862" width="14.6640625" style="169" customWidth="1"/>
    <col min="14863" max="14867" width="14.44140625" style="169" customWidth="1"/>
    <col min="14868" max="14868" width="14.88671875" style="169" customWidth="1"/>
    <col min="14869" max="14869" width="10.88671875" style="169" customWidth="1"/>
    <col min="14870" max="15104" width="9.109375" style="169"/>
    <col min="15105" max="15105" width="8.44140625" style="169" customWidth="1"/>
    <col min="15106" max="15106" width="14.44140625" style="169" customWidth="1"/>
    <col min="15107" max="15107" width="15.44140625" style="169" customWidth="1"/>
    <col min="15108" max="15108" width="16.44140625" style="169" customWidth="1"/>
    <col min="15109" max="15109" width="16.109375" style="169" customWidth="1"/>
    <col min="15110" max="15110" width="13.6640625" style="169" customWidth="1"/>
    <col min="15111" max="15111" width="18.88671875" style="169" customWidth="1"/>
    <col min="15112" max="15112" width="15.6640625" style="169" customWidth="1"/>
    <col min="15113" max="15114" width="16.5546875" style="169" customWidth="1"/>
    <col min="15115" max="15115" width="13.109375" style="169" customWidth="1"/>
    <col min="15116" max="15116" width="13.44140625" style="169" customWidth="1"/>
    <col min="15117" max="15118" width="14.6640625" style="169" customWidth="1"/>
    <col min="15119" max="15123" width="14.44140625" style="169" customWidth="1"/>
    <col min="15124" max="15124" width="14.88671875" style="169" customWidth="1"/>
    <col min="15125" max="15125" width="10.88671875" style="169" customWidth="1"/>
    <col min="15126" max="15360" width="9.109375" style="169"/>
    <col min="15361" max="15361" width="8.44140625" style="169" customWidth="1"/>
    <col min="15362" max="15362" width="14.44140625" style="169" customWidth="1"/>
    <col min="15363" max="15363" width="15.44140625" style="169" customWidth="1"/>
    <col min="15364" max="15364" width="16.44140625" style="169" customWidth="1"/>
    <col min="15365" max="15365" width="16.109375" style="169" customWidth="1"/>
    <col min="15366" max="15366" width="13.6640625" style="169" customWidth="1"/>
    <col min="15367" max="15367" width="18.88671875" style="169" customWidth="1"/>
    <col min="15368" max="15368" width="15.6640625" style="169" customWidth="1"/>
    <col min="15369" max="15370" width="16.5546875" style="169" customWidth="1"/>
    <col min="15371" max="15371" width="13.109375" style="169" customWidth="1"/>
    <col min="15372" max="15372" width="13.44140625" style="169" customWidth="1"/>
    <col min="15373" max="15374" width="14.6640625" style="169" customWidth="1"/>
    <col min="15375" max="15379" width="14.44140625" style="169" customWidth="1"/>
    <col min="15380" max="15380" width="14.88671875" style="169" customWidth="1"/>
    <col min="15381" max="15381" width="10.88671875" style="169" customWidth="1"/>
    <col min="15382" max="15616" width="9.109375" style="169"/>
    <col min="15617" max="15617" width="8.44140625" style="169" customWidth="1"/>
    <col min="15618" max="15618" width="14.44140625" style="169" customWidth="1"/>
    <col min="15619" max="15619" width="15.44140625" style="169" customWidth="1"/>
    <col min="15620" max="15620" width="16.44140625" style="169" customWidth="1"/>
    <col min="15621" max="15621" width="16.109375" style="169" customWidth="1"/>
    <col min="15622" max="15622" width="13.6640625" style="169" customWidth="1"/>
    <col min="15623" max="15623" width="18.88671875" style="169" customWidth="1"/>
    <col min="15624" max="15624" width="15.6640625" style="169" customWidth="1"/>
    <col min="15625" max="15626" width="16.5546875" style="169" customWidth="1"/>
    <col min="15627" max="15627" width="13.109375" style="169" customWidth="1"/>
    <col min="15628" max="15628" width="13.44140625" style="169" customWidth="1"/>
    <col min="15629" max="15630" width="14.6640625" style="169" customWidth="1"/>
    <col min="15631" max="15635" width="14.44140625" style="169" customWidth="1"/>
    <col min="15636" max="15636" width="14.88671875" style="169" customWidth="1"/>
    <col min="15637" max="15637" width="10.88671875" style="169" customWidth="1"/>
    <col min="15638" max="15872" width="9.109375" style="169"/>
    <col min="15873" max="15873" width="8.44140625" style="169" customWidth="1"/>
    <col min="15874" max="15874" width="14.44140625" style="169" customWidth="1"/>
    <col min="15875" max="15875" width="15.44140625" style="169" customWidth="1"/>
    <col min="15876" max="15876" width="16.44140625" style="169" customWidth="1"/>
    <col min="15877" max="15877" width="16.109375" style="169" customWidth="1"/>
    <col min="15878" max="15878" width="13.6640625" style="169" customWidth="1"/>
    <col min="15879" max="15879" width="18.88671875" style="169" customWidth="1"/>
    <col min="15880" max="15880" width="15.6640625" style="169" customWidth="1"/>
    <col min="15881" max="15882" width="16.5546875" style="169" customWidth="1"/>
    <col min="15883" max="15883" width="13.109375" style="169" customWidth="1"/>
    <col min="15884" max="15884" width="13.44140625" style="169" customWidth="1"/>
    <col min="15885" max="15886" width="14.6640625" style="169" customWidth="1"/>
    <col min="15887" max="15891" width="14.44140625" style="169" customWidth="1"/>
    <col min="15892" max="15892" width="14.88671875" style="169" customWidth="1"/>
    <col min="15893" max="15893" width="10.88671875" style="169" customWidth="1"/>
    <col min="15894" max="16128" width="9.109375" style="169"/>
    <col min="16129" max="16129" width="8.44140625" style="169" customWidth="1"/>
    <col min="16130" max="16130" width="14.44140625" style="169" customWidth="1"/>
    <col min="16131" max="16131" width="15.44140625" style="169" customWidth="1"/>
    <col min="16132" max="16132" width="16.44140625" style="169" customWidth="1"/>
    <col min="16133" max="16133" width="16.109375" style="169" customWidth="1"/>
    <col min="16134" max="16134" width="13.6640625" style="169" customWidth="1"/>
    <col min="16135" max="16135" width="18.88671875" style="169" customWidth="1"/>
    <col min="16136" max="16136" width="15.6640625" style="169" customWidth="1"/>
    <col min="16137" max="16138" width="16.5546875" style="169" customWidth="1"/>
    <col min="16139" max="16139" width="13.109375" style="169" customWidth="1"/>
    <col min="16140" max="16140" width="13.44140625" style="169" customWidth="1"/>
    <col min="16141" max="16142" width="14.6640625" style="169" customWidth="1"/>
    <col min="16143" max="16147" width="14.44140625" style="169" customWidth="1"/>
    <col min="16148" max="16148" width="14.88671875" style="169" customWidth="1"/>
    <col min="16149" max="16149" width="10.88671875" style="169" customWidth="1"/>
    <col min="16150" max="16384" width="9.109375" style="169"/>
  </cols>
  <sheetData>
    <row r="1" spans="1:10" ht="18" customHeight="1" x14ac:dyDescent="0.25">
      <c r="A1" s="538" t="s">
        <v>364</v>
      </c>
      <c r="B1" s="538"/>
      <c r="C1" s="538"/>
      <c r="D1" s="538"/>
      <c r="E1" s="538"/>
      <c r="F1" s="538"/>
      <c r="G1" s="538"/>
      <c r="H1" s="538"/>
      <c r="I1" s="538"/>
      <c r="J1" s="538"/>
    </row>
    <row r="2" spans="1:10" x14ac:dyDescent="0.25">
      <c r="A2" s="170"/>
      <c r="B2" s="171"/>
      <c r="C2" s="172"/>
      <c r="D2" s="172"/>
      <c r="E2" s="173"/>
      <c r="F2" s="173"/>
    </row>
    <row r="3" spans="1:10" x14ac:dyDescent="0.25">
      <c r="A3" s="170" t="s">
        <v>365</v>
      </c>
      <c r="B3" s="539" t="str">
        <f>+'Cuadro de Costos'!B12</f>
        <v>Tramo 3: km 326 - km 450</v>
      </c>
      <c r="C3" s="539"/>
      <c r="D3" s="539"/>
      <c r="E3" s="539"/>
      <c r="F3" s="539"/>
      <c r="G3" s="539"/>
      <c r="H3" s="539"/>
      <c r="I3" s="539"/>
      <c r="J3" s="175"/>
    </row>
    <row r="4" spans="1:10" x14ac:dyDescent="0.25">
      <c r="A4" s="176"/>
      <c r="B4" s="539"/>
      <c r="C4" s="539"/>
      <c r="D4" s="539"/>
      <c r="E4" s="539"/>
      <c r="F4" s="539"/>
      <c r="G4" s="539"/>
      <c r="H4" s="539"/>
      <c r="I4" s="539"/>
      <c r="J4" s="175"/>
    </row>
    <row r="5" spans="1:10" ht="15" customHeight="1" x14ac:dyDescent="0.25">
      <c r="A5" s="540" t="str">
        <f>CONCATENATE("PLAZO: ",A42," MESES (",A43,")")</f>
        <v>PLAZO: 24 MESES (720 dias)</v>
      </c>
      <c r="B5" s="540"/>
      <c r="C5" s="540"/>
      <c r="E5" s="178" t="s">
        <v>366</v>
      </c>
    </row>
    <row r="7" spans="1:10" x14ac:dyDescent="0.25">
      <c r="C7" s="180" t="s">
        <v>367</v>
      </c>
      <c r="D7" s="541"/>
      <c r="E7" s="541"/>
      <c r="F7" s="541"/>
      <c r="H7" s="180" t="s">
        <v>368</v>
      </c>
      <c r="I7" s="181">
        <f ca="1">NOW()</f>
        <v>43033.716626388887</v>
      </c>
    </row>
    <row r="8" spans="1:10" x14ac:dyDescent="0.25">
      <c r="C8" s="180" t="str">
        <f>IF(D7=0,"MONTO ESTIMADO CON IVA:","MONTO DE CONTRATO CON IVA:")</f>
        <v>MONTO ESTIMADO CON IVA:</v>
      </c>
      <c r="D8" s="182">
        <f>+'Cuadro de Costos'!E12</f>
        <v>126400000</v>
      </c>
      <c r="E8" s="183" t="s">
        <v>369</v>
      </c>
      <c r="F8" s="169" t="s">
        <v>370</v>
      </c>
      <c r="H8" s="174" t="s">
        <v>371</v>
      </c>
      <c r="I8" s="184">
        <v>1</v>
      </c>
    </row>
    <row r="9" spans="1:10" hidden="1" x14ac:dyDescent="0.25">
      <c r="C9" s="180"/>
      <c r="D9" s="182"/>
      <c r="E9" s="177" t="s">
        <v>372</v>
      </c>
      <c r="I9" s="185"/>
    </row>
    <row r="10" spans="1:10" hidden="1" x14ac:dyDescent="0.25">
      <c r="C10" s="180"/>
      <c r="D10" s="182"/>
      <c r="E10" s="177" t="s">
        <v>369</v>
      </c>
      <c r="I10" s="185"/>
    </row>
    <row r="11" spans="1:10" x14ac:dyDescent="0.25">
      <c r="B11" s="169"/>
      <c r="C11" s="180" t="str">
        <f>IF(D7=0,"MONTO ESTIMADO SIN IVA:","MONTO DE CONTRATO SIN IVA:")</f>
        <v>MONTO ESTIMADO SIN IVA:</v>
      </c>
      <c r="D11" s="186">
        <f>D8</f>
        <v>126400000</v>
      </c>
      <c r="E11" s="187" t="s">
        <v>372</v>
      </c>
      <c r="F11" s="177"/>
    </row>
    <row r="12" spans="1:10" x14ac:dyDescent="0.25">
      <c r="B12" s="169"/>
      <c r="C12" s="180" t="s">
        <v>373</v>
      </c>
      <c r="D12" s="184">
        <v>100</v>
      </c>
      <c r="F12" s="177" t="s">
        <v>374</v>
      </c>
    </row>
    <row r="13" spans="1:10" x14ac:dyDescent="0.25">
      <c r="B13" s="169"/>
      <c r="C13" s="180" t="s">
        <v>375</v>
      </c>
      <c r="D13" s="188">
        <f>100-D12</f>
        <v>0</v>
      </c>
      <c r="F13" s="177"/>
    </row>
    <row r="14" spans="1:10" x14ac:dyDescent="0.25">
      <c r="B14" s="169"/>
      <c r="C14" s="180" t="s">
        <v>376</v>
      </c>
      <c r="D14" s="185">
        <v>20</v>
      </c>
      <c r="F14" s="177"/>
    </row>
    <row r="15" spans="1:10" x14ac:dyDescent="0.25">
      <c r="B15" s="180" t="s">
        <v>377</v>
      </c>
      <c r="C15" s="542"/>
      <c r="D15" s="542"/>
      <c r="E15" s="442" t="s">
        <v>378</v>
      </c>
      <c r="F15" s="443"/>
      <c r="H15" s="189" t="s">
        <v>379</v>
      </c>
      <c r="I15" s="184">
        <v>10</v>
      </c>
    </row>
    <row r="16" spans="1:10" ht="12.6" thickBot="1" x14ac:dyDescent="0.3">
      <c r="F16" s="190"/>
    </row>
    <row r="17" spans="1:11" ht="42" customHeight="1" thickBot="1" x14ac:dyDescent="0.3">
      <c r="A17" s="191" t="s">
        <v>380</v>
      </c>
      <c r="B17" s="192" t="s">
        <v>381</v>
      </c>
      <c r="C17" s="192" t="s">
        <v>382</v>
      </c>
      <c r="D17" s="193" t="str">
        <f>CONCATENATE("MONTO MENSUAL DESCONTADO ",ROUND(D14,0),"% ANTICIPO")</f>
        <v>MONTO MENSUAL DESCONTADO 20% ANTICIPO</v>
      </c>
      <c r="E17" s="194" t="s">
        <v>383</v>
      </c>
      <c r="F17" s="195" t="s">
        <v>384</v>
      </c>
      <c r="G17" s="196" t="s">
        <v>385</v>
      </c>
      <c r="H17" s="197" t="s">
        <v>386</v>
      </c>
      <c r="I17" s="198" t="str">
        <f>CONCATENATE("DESEMBOLSOS FONDO LOCAL (",ROUND(D13,0),"%) + IVA")</f>
        <v>DESEMBOLSOS FONDO LOCAL (0%) + IVA</v>
      </c>
      <c r="J17" s="198" t="str">
        <f>CONCATENATE("DESEMBOLSOS FONDO EXTERNO (",ROUND(D12,0),"%)")</f>
        <v>DESEMBOLSOS FONDO EXTERNO (100%)</v>
      </c>
      <c r="K17" s="398"/>
    </row>
    <row r="18" spans="1:11" ht="12.75" customHeight="1" x14ac:dyDescent="0.25">
      <c r="A18" s="199">
        <v>0</v>
      </c>
      <c r="B18" s="200">
        <f>D14/100</f>
        <v>0.2</v>
      </c>
      <c r="C18" s="200">
        <v>0</v>
      </c>
      <c r="D18" s="201">
        <f>ROUND(B18*D11,0)</f>
        <v>25280000</v>
      </c>
      <c r="E18" s="202">
        <f>D18</f>
        <v>25280000</v>
      </c>
      <c r="F18" s="203">
        <f>E18/$E$42</f>
        <v>0.2</v>
      </c>
      <c r="G18" s="204" t="s">
        <v>387</v>
      </c>
      <c r="H18" s="205">
        <f t="shared" ref="H18:H33" si="0">ROUND(D18*0.1,0)</f>
        <v>2528000</v>
      </c>
      <c r="I18" s="206">
        <f t="shared" ref="I18:I42" si="1">ROUNDUP((D18+H18-J18),-(LEN(D18)-$I$15))</f>
        <v>2528000</v>
      </c>
      <c r="J18" s="206">
        <f t="shared" ref="J18:J33" si="2">ROUNDUP(D18*$D$12/100,-(LEN(D18)-$I$15))</f>
        <v>25280000</v>
      </c>
      <c r="K18" s="398"/>
    </row>
    <row r="19" spans="1:11" ht="12.6" thickBot="1" x14ac:dyDescent="0.3">
      <c r="A19" s="207">
        <v>1</v>
      </c>
      <c r="B19" s="208">
        <v>2.5000000000000001E-2</v>
      </c>
      <c r="C19" s="208">
        <f t="shared" ref="C19:C42" si="3">B19+C18</f>
        <v>2.5000000000000001E-2</v>
      </c>
      <c r="D19" s="209">
        <f>ROUND(B19*$D$11*(100-$D$14)/100,0)</f>
        <v>2528000</v>
      </c>
      <c r="E19" s="210">
        <f t="shared" ref="E19:E33" si="4">E18+D19</f>
        <v>27808000</v>
      </c>
      <c r="F19" s="211">
        <f>E19/$E$42</f>
        <v>0.22</v>
      </c>
      <c r="G19" s="212" t="s">
        <v>196</v>
      </c>
      <c r="H19" s="213">
        <f t="shared" si="0"/>
        <v>252800</v>
      </c>
      <c r="I19" s="214">
        <f t="shared" si="1"/>
        <v>252800</v>
      </c>
      <c r="J19" s="214">
        <f t="shared" si="2"/>
        <v>2528000</v>
      </c>
      <c r="K19" s="398"/>
    </row>
    <row r="20" spans="1:11" x14ac:dyDescent="0.25">
      <c r="A20" s="207">
        <v>2</v>
      </c>
      <c r="B20" s="208">
        <v>0.03</v>
      </c>
      <c r="C20" s="208">
        <f t="shared" si="3"/>
        <v>5.5E-2</v>
      </c>
      <c r="D20" s="209">
        <f t="shared" ref="D20:D42" si="5">ROUND(B20*$D$11*(100-$D$14)/100,0)</f>
        <v>3033600</v>
      </c>
      <c r="E20" s="210">
        <f t="shared" si="4"/>
        <v>30841600</v>
      </c>
      <c r="F20" s="203">
        <f t="shared" ref="F20:F42" si="6">E20/$E$42</f>
        <v>0.24399999999999999</v>
      </c>
      <c r="G20" s="212" t="s">
        <v>197</v>
      </c>
      <c r="H20" s="213">
        <f t="shared" si="0"/>
        <v>303360</v>
      </c>
      <c r="I20" s="214">
        <f t="shared" si="1"/>
        <v>303360</v>
      </c>
      <c r="J20" s="214">
        <f t="shared" si="2"/>
        <v>3033600</v>
      </c>
      <c r="K20" s="399"/>
    </row>
    <row r="21" spans="1:11" ht="12.6" thickBot="1" x14ac:dyDescent="0.3">
      <c r="A21" s="207">
        <v>3</v>
      </c>
      <c r="B21" s="208">
        <v>3.5000000000000003E-2</v>
      </c>
      <c r="C21" s="208">
        <f>B21+C20</f>
        <v>0.09</v>
      </c>
      <c r="D21" s="209">
        <f t="shared" si="5"/>
        <v>3539200</v>
      </c>
      <c r="E21" s="210">
        <f t="shared" si="4"/>
        <v>34380800</v>
      </c>
      <c r="F21" s="211">
        <f t="shared" si="6"/>
        <v>0.27200000000000002</v>
      </c>
      <c r="G21" s="212" t="s">
        <v>198</v>
      </c>
      <c r="H21" s="213">
        <f t="shared" si="0"/>
        <v>353920</v>
      </c>
      <c r="I21" s="214">
        <f t="shared" si="1"/>
        <v>353920</v>
      </c>
      <c r="J21" s="214">
        <f t="shared" si="2"/>
        <v>3539200</v>
      </c>
      <c r="K21" s="398"/>
    </row>
    <row r="22" spans="1:11" x14ac:dyDescent="0.25">
      <c r="A22" s="207">
        <v>4</v>
      </c>
      <c r="B22" s="208">
        <v>3.5000000000000003E-2</v>
      </c>
      <c r="C22" s="208">
        <f t="shared" si="3"/>
        <v>0.125</v>
      </c>
      <c r="D22" s="209">
        <f t="shared" si="5"/>
        <v>3539200</v>
      </c>
      <c r="E22" s="210">
        <f t="shared" si="4"/>
        <v>37920000</v>
      </c>
      <c r="F22" s="203">
        <f t="shared" si="6"/>
        <v>0.3</v>
      </c>
      <c r="G22" s="212" t="s">
        <v>199</v>
      </c>
      <c r="H22" s="213">
        <f t="shared" si="0"/>
        <v>353920</v>
      </c>
      <c r="I22" s="214">
        <f t="shared" si="1"/>
        <v>353920</v>
      </c>
      <c r="J22" s="214">
        <f t="shared" si="2"/>
        <v>3539200</v>
      </c>
      <c r="K22" s="400"/>
    </row>
    <row r="23" spans="1:11" ht="12.6" thickBot="1" x14ac:dyDescent="0.3">
      <c r="A23" s="207">
        <v>5</v>
      </c>
      <c r="B23" s="208">
        <v>0.04</v>
      </c>
      <c r="C23" s="208">
        <f t="shared" si="3"/>
        <v>0.16500000000000001</v>
      </c>
      <c r="D23" s="209">
        <f t="shared" si="5"/>
        <v>4044800</v>
      </c>
      <c r="E23" s="210">
        <f t="shared" si="4"/>
        <v>41964800</v>
      </c>
      <c r="F23" s="211">
        <f t="shared" si="6"/>
        <v>0.33200000000000002</v>
      </c>
      <c r="G23" s="212" t="s">
        <v>200</v>
      </c>
      <c r="H23" s="213">
        <f t="shared" si="0"/>
        <v>404480</v>
      </c>
      <c r="I23" s="214">
        <f t="shared" si="1"/>
        <v>404480</v>
      </c>
      <c r="J23" s="214">
        <f t="shared" si="2"/>
        <v>4044800</v>
      </c>
      <c r="K23" s="400"/>
    </row>
    <row r="24" spans="1:11" x14ac:dyDescent="0.25">
      <c r="A24" s="207">
        <v>6</v>
      </c>
      <c r="B24" s="208">
        <v>4.4999999999999998E-2</v>
      </c>
      <c r="C24" s="208">
        <f t="shared" si="3"/>
        <v>0.21000000000000002</v>
      </c>
      <c r="D24" s="209">
        <f t="shared" si="5"/>
        <v>4550400</v>
      </c>
      <c r="E24" s="210">
        <f t="shared" si="4"/>
        <v>46515200</v>
      </c>
      <c r="F24" s="203">
        <f t="shared" si="6"/>
        <v>0.36799999999999999</v>
      </c>
      <c r="G24" s="212" t="s">
        <v>201</v>
      </c>
      <c r="H24" s="213">
        <f t="shared" si="0"/>
        <v>455040</v>
      </c>
      <c r="I24" s="214">
        <f t="shared" si="1"/>
        <v>455040</v>
      </c>
      <c r="J24" s="214">
        <f t="shared" si="2"/>
        <v>4550400</v>
      </c>
      <c r="K24" s="400"/>
    </row>
    <row r="25" spans="1:11" ht="12.6" thickBot="1" x14ac:dyDescent="0.3">
      <c r="A25" s="207">
        <v>7</v>
      </c>
      <c r="B25" s="208">
        <v>4.4999999999999998E-2</v>
      </c>
      <c r="C25" s="208">
        <f t="shared" si="3"/>
        <v>0.255</v>
      </c>
      <c r="D25" s="209">
        <f t="shared" si="5"/>
        <v>4550400</v>
      </c>
      <c r="E25" s="210">
        <f t="shared" si="4"/>
        <v>51065600</v>
      </c>
      <c r="F25" s="211">
        <f t="shared" si="6"/>
        <v>0.40400000000000003</v>
      </c>
      <c r="G25" s="212" t="s">
        <v>202</v>
      </c>
      <c r="H25" s="213">
        <f t="shared" si="0"/>
        <v>455040</v>
      </c>
      <c r="I25" s="214">
        <f t="shared" si="1"/>
        <v>455040</v>
      </c>
      <c r="J25" s="214">
        <f t="shared" si="2"/>
        <v>4550400</v>
      </c>
      <c r="K25" s="401"/>
    </row>
    <row r="26" spans="1:11" x14ac:dyDescent="0.25">
      <c r="A26" s="207">
        <v>8</v>
      </c>
      <c r="B26" s="208">
        <v>0.05</v>
      </c>
      <c r="C26" s="208">
        <f t="shared" si="3"/>
        <v>0.30499999999999999</v>
      </c>
      <c r="D26" s="209">
        <f t="shared" si="5"/>
        <v>5056000</v>
      </c>
      <c r="E26" s="210">
        <f t="shared" si="4"/>
        <v>56121600</v>
      </c>
      <c r="F26" s="203">
        <f t="shared" si="6"/>
        <v>0.44400000000000001</v>
      </c>
      <c r="G26" s="212" t="s">
        <v>203</v>
      </c>
      <c r="H26" s="213">
        <f t="shared" si="0"/>
        <v>505600</v>
      </c>
      <c r="I26" s="214">
        <f t="shared" si="1"/>
        <v>505600</v>
      </c>
      <c r="J26" s="214">
        <f t="shared" si="2"/>
        <v>5056000</v>
      </c>
      <c r="K26" s="400"/>
    </row>
    <row r="27" spans="1:11" ht="12.6" thickBot="1" x14ac:dyDescent="0.3">
      <c r="A27" s="207">
        <v>9</v>
      </c>
      <c r="B27" s="208">
        <v>5.5E-2</v>
      </c>
      <c r="C27" s="208">
        <f t="shared" si="3"/>
        <v>0.36</v>
      </c>
      <c r="D27" s="209">
        <f t="shared" si="5"/>
        <v>5561600</v>
      </c>
      <c r="E27" s="210">
        <f t="shared" si="4"/>
        <v>61683200</v>
      </c>
      <c r="F27" s="211">
        <f t="shared" si="6"/>
        <v>0.48799999999999999</v>
      </c>
      <c r="G27" s="212" t="s">
        <v>204</v>
      </c>
      <c r="H27" s="213">
        <f t="shared" si="0"/>
        <v>556160</v>
      </c>
      <c r="I27" s="214">
        <f t="shared" si="1"/>
        <v>556160</v>
      </c>
      <c r="J27" s="214">
        <f t="shared" si="2"/>
        <v>5561600</v>
      </c>
      <c r="K27" s="400"/>
    </row>
    <row r="28" spans="1:11" x14ac:dyDescent="0.25">
      <c r="A28" s="207">
        <v>10</v>
      </c>
      <c r="B28" s="208">
        <v>5.5E-2</v>
      </c>
      <c r="C28" s="208">
        <f t="shared" si="3"/>
        <v>0.41499999999999998</v>
      </c>
      <c r="D28" s="209">
        <f t="shared" si="5"/>
        <v>5561600</v>
      </c>
      <c r="E28" s="210">
        <f t="shared" si="4"/>
        <v>67244800</v>
      </c>
      <c r="F28" s="203">
        <f t="shared" si="6"/>
        <v>0.53200000000000003</v>
      </c>
      <c r="G28" s="212" t="s">
        <v>205</v>
      </c>
      <c r="H28" s="213">
        <f t="shared" si="0"/>
        <v>556160</v>
      </c>
      <c r="I28" s="214">
        <f t="shared" si="1"/>
        <v>556160</v>
      </c>
      <c r="J28" s="214">
        <f t="shared" si="2"/>
        <v>5561600</v>
      </c>
      <c r="K28" s="400"/>
    </row>
    <row r="29" spans="1:11" ht="12.6" thickBot="1" x14ac:dyDescent="0.3">
      <c r="A29" s="207">
        <v>11</v>
      </c>
      <c r="B29" s="208">
        <v>5.5E-2</v>
      </c>
      <c r="C29" s="208">
        <f t="shared" si="3"/>
        <v>0.47</v>
      </c>
      <c r="D29" s="209">
        <f t="shared" si="5"/>
        <v>5561600</v>
      </c>
      <c r="E29" s="210">
        <f t="shared" si="4"/>
        <v>72806400</v>
      </c>
      <c r="F29" s="211">
        <f t="shared" si="6"/>
        <v>0.57599999999999996</v>
      </c>
      <c r="G29" s="212" t="s">
        <v>206</v>
      </c>
      <c r="H29" s="213">
        <f t="shared" si="0"/>
        <v>556160</v>
      </c>
      <c r="I29" s="214">
        <f t="shared" si="1"/>
        <v>556160</v>
      </c>
      <c r="J29" s="214">
        <f t="shared" si="2"/>
        <v>5561600</v>
      </c>
      <c r="K29" s="400"/>
    </row>
    <row r="30" spans="1:11" x14ac:dyDescent="0.25">
      <c r="A30" s="207">
        <v>12</v>
      </c>
      <c r="B30" s="208">
        <v>0.06</v>
      </c>
      <c r="C30" s="208">
        <f t="shared" si="3"/>
        <v>0.53</v>
      </c>
      <c r="D30" s="209">
        <f t="shared" si="5"/>
        <v>6067200</v>
      </c>
      <c r="E30" s="210">
        <f t="shared" si="4"/>
        <v>78873600</v>
      </c>
      <c r="F30" s="203">
        <f t="shared" si="6"/>
        <v>0.624</v>
      </c>
      <c r="G30" s="212" t="s">
        <v>207</v>
      </c>
      <c r="H30" s="213">
        <f t="shared" si="0"/>
        <v>606720</v>
      </c>
      <c r="I30" s="214">
        <f t="shared" si="1"/>
        <v>606720</v>
      </c>
      <c r="J30" s="214">
        <f t="shared" si="2"/>
        <v>6067200</v>
      </c>
      <c r="K30" s="400"/>
    </row>
    <row r="31" spans="1:11" ht="12.6" thickBot="1" x14ac:dyDescent="0.3">
      <c r="A31" s="207">
        <v>13</v>
      </c>
      <c r="B31" s="208">
        <v>7.0000000000000007E-2</v>
      </c>
      <c r="C31" s="208">
        <f t="shared" si="3"/>
        <v>0.60000000000000009</v>
      </c>
      <c r="D31" s="209">
        <f t="shared" si="5"/>
        <v>7078400</v>
      </c>
      <c r="E31" s="210">
        <f t="shared" si="4"/>
        <v>85952000</v>
      </c>
      <c r="F31" s="211">
        <f t="shared" si="6"/>
        <v>0.68</v>
      </c>
      <c r="G31" s="212" t="s">
        <v>208</v>
      </c>
      <c r="H31" s="213">
        <f t="shared" si="0"/>
        <v>707840</v>
      </c>
      <c r="I31" s="214">
        <f t="shared" si="1"/>
        <v>707840</v>
      </c>
      <c r="J31" s="214">
        <f t="shared" si="2"/>
        <v>7078400</v>
      </c>
      <c r="K31" s="400"/>
    </row>
    <row r="32" spans="1:11" x14ac:dyDescent="0.25">
      <c r="A32" s="207">
        <v>14</v>
      </c>
      <c r="B32" s="208">
        <v>7.0000000000000007E-2</v>
      </c>
      <c r="C32" s="208">
        <f t="shared" si="3"/>
        <v>0.67000000000000015</v>
      </c>
      <c r="D32" s="209">
        <f t="shared" si="5"/>
        <v>7078400</v>
      </c>
      <c r="E32" s="210">
        <f t="shared" si="4"/>
        <v>93030400</v>
      </c>
      <c r="F32" s="203">
        <f t="shared" si="6"/>
        <v>0.73599999999999999</v>
      </c>
      <c r="G32" s="212" t="s">
        <v>209</v>
      </c>
      <c r="H32" s="213">
        <f t="shared" si="0"/>
        <v>707840</v>
      </c>
      <c r="I32" s="214">
        <f t="shared" si="1"/>
        <v>707840</v>
      </c>
      <c r="J32" s="214">
        <f t="shared" si="2"/>
        <v>7078400</v>
      </c>
      <c r="K32" s="402"/>
    </row>
    <row r="33" spans="1:11" ht="12.6" thickBot="1" x14ac:dyDescent="0.3">
      <c r="A33" s="207">
        <v>15</v>
      </c>
      <c r="B33" s="208">
        <v>6.5000000000000002E-2</v>
      </c>
      <c r="C33" s="208">
        <f t="shared" si="3"/>
        <v>0.7350000000000001</v>
      </c>
      <c r="D33" s="209">
        <f t="shared" si="5"/>
        <v>6572800</v>
      </c>
      <c r="E33" s="210">
        <f t="shared" si="4"/>
        <v>99603200</v>
      </c>
      <c r="F33" s="211">
        <f t="shared" si="6"/>
        <v>0.78800000000000003</v>
      </c>
      <c r="G33" s="212" t="s">
        <v>210</v>
      </c>
      <c r="H33" s="213">
        <f t="shared" si="0"/>
        <v>657280</v>
      </c>
      <c r="I33" s="214">
        <f t="shared" si="1"/>
        <v>657280</v>
      </c>
      <c r="J33" s="214">
        <f t="shared" si="2"/>
        <v>6572800</v>
      </c>
      <c r="K33" s="400"/>
    </row>
    <row r="34" spans="1:11" x14ac:dyDescent="0.25">
      <c r="A34" s="207">
        <v>16</v>
      </c>
      <c r="B34" s="208">
        <v>6.5000000000000002E-2</v>
      </c>
      <c r="C34" s="208">
        <f t="shared" si="3"/>
        <v>0.8</v>
      </c>
      <c r="D34" s="209">
        <f t="shared" si="5"/>
        <v>6572800</v>
      </c>
      <c r="E34" s="210">
        <f>E33+D34</f>
        <v>106176000</v>
      </c>
      <c r="F34" s="203">
        <f t="shared" si="6"/>
        <v>0.84</v>
      </c>
      <c r="G34" s="212" t="s">
        <v>211</v>
      </c>
      <c r="H34" s="213">
        <f>ROUND(D34*0.1,0)</f>
        <v>657280</v>
      </c>
      <c r="I34" s="214">
        <f t="shared" si="1"/>
        <v>657280</v>
      </c>
      <c r="J34" s="214">
        <f>ROUNDUP(D34*$D$12/100,-(LEN(D34)-$I$15))</f>
        <v>6572800</v>
      </c>
      <c r="K34" s="400"/>
    </row>
    <row r="35" spans="1:11" ht="12.6" thickBot="1" x14ac:dyDescent="0.3">
      <c r="A35" s="207">
        <v>17</v>
      </c>
      <c r="B35" s="208">
        <v>0.05</v>
      </c>
      <c r="C35" s="208">
        <f t="shared" si="3"/>
        <v>0.85000000000000009</v>
      </c>
      <c r="D35" s="209">
        <f t="shared" si="5"/>
        <v>5056000</v>
      </c>
      <c r="E35" s="210">
        <f>E34+D35</f>
        <v>111232000</v>
      </c>
      <c r="F35" s="211">
        <f t="shared" si="6"/>
        <v>0.88</v>
      </c>
      <c r="G35" s="212" t="s">
        <v>212</v>
      </c>
      <c r="H35" s="213">
        <f>ROUND(D35*0.1,0)</f>
        <v>505600</v>
      </c>
      <c r="I35" s="214">
        <f t="shared" si="1"/>
        <v>505600</v>
      </c>
      <c r="J35" s="214">
        <f>ROUNDUP(D35*$D$12/100,-(LEN(D35)-$I$15))</f>
        <v>5056000</v>
      </c>
      <c r="K35" s="400"/>
    </row>
    <row r="36" spans="1:11" ht="12.6" thickBot="1" x14ac:dyDescent="0.3">
      <c r="A36" s="219">
        <v>18</v>
      </c>
      <c r="B36" s="208">
        <v>0.05</v>
      </c>
      <c r="C36" s="208">
        <f t="shared" si="3"/>
        <v>0.90000000000000013</v>
      </c>
      <c r="D36" s="209">
        <f t="shared" si="5"/>
        <v>5056000</v>
      </c>
      <c r="E36" s="222">
        <f>E35+D36</f>
        <v>116288000</v>
      </c>
      <c r="F36" s="203">
        <f t="shared" si="6"/>
        <v>0.92</v>
      </c>
      <c r="G36" s="224" t="s">
        <v>213</v>
      </c>
      <c r="H36" s="225">
        <f>ROUND(D36*0.1,0)</f>
        <v>505600</v>
      </c>
      <c r="I36" s="214">
        <f t="shared" si="1"/>
        <v>505600</v>
      </c>
      <c r="J36" s="226">
        <f>ROUNDUP(D36*$D$12/100,-(LEN(D36)-$I$15))</f>
        <v>5056000</v>
      </c>
      <c r="K36" s="402"/>
    </row>
    <row r="37" spans="1:11" ht="12.6" thickBot="1" x14ac:dyDescent="0.3">
      <c r="A37" s="207">
        <v>19</v>
      </c>
      <c r="B37" s="208">
        <v>0.04</v>
      </c>
      <c r="C37" s="208">
        <f t="shared" si="3"/>
        <v>0.94000000000000017</v>
      </c>
      <c r="D37" s="209">
        <f t="shared" si="5"/>
        <v>4044800</v>
      </c>
      <c r="E37" s="210">
        <f t="shared" ref="E37:E42" si="7">E36+D37</f>
        <v>120332800</v>
      </c>
      <c r="F37" s="211">
        <f t="shared" si="6"/>
        <v>0.95199999999999996</v>
      </c>
      <c r="G37" s="212" t="s">
        <v>214</v>
      </c>
      <c r="H37" s="213">
        <f t="shared" ref="H37:H42" si="8">ROUND(D37*0.1,0)</f>
        <v>404480</v>
      </c>
      <c r="I37" s="214">
        <f t="shared" si="1"/>
        <v>404480</v>
      </c>
      <c r="J37" s="226">
        <f t="shared" ref="J37:J42" si="9">ROUNDUP(D37*$D$12/100,-(LEN(D37)-$I$15))</f>
        <v>4044800</v>
      </c>
      <c r="K37" s="402"/>
    </row>
    <row r="38" spans="1:11" ht="12.6" thickBot="1" x14ac:dyDescent="0.3">
      <c r="A38" s="219">
        <v>20</v>
      </c>
      <c r="B38" s="208">
        <v>0.02</v>
      </c>
      <c r="C38" s="208">
        <f t="shared" si="3"/>
        <v>0.96000000000000019</v>
      </c>
      <c r="D38" s="209">
        <f t="shared" si="5"/>
        <v>2022400</v>
      </c>
      <c r="E38" s="222">
        <f t="shared" si="7"/>
        <v>122355200</v>
      </c>
      <c r="F38" s="203">
        <f t="shared" si="6"/>
        <v>0.96799999999999997</v>
      </c>
      <c r="G38" s="224" t="s">
        <v>215</v>
      </c>
      <c r="H38" s="225">
        <f t="shared" si="8"/>
        <v>202240</v>
      </c>
      <c r="I38" s="214">
        <f t="shared" si="1"/>
        <v>202240</v>
      </c>
      <c r="J38" s="226">
        <f t="shared" si="9"/>
        <v>2022400</v>
      </c>
      <c r="K38" s="402"/>
    </row>
    <row r="39" spans="1:11" ht="12.6" thickBot="1" x14ac:dyDescent="0.3">
      <c r="A39" s="207">
        <v>21</v>
      </c>
      <c r="B39" s="238">
        <v>0.01</v>
      </c>
      <c r="C39" s="208">
        <f t="shared" si="3"/>
        <v>0.9700000000000002</v>
      </c>
      <c r="D39" s="209">
        <f t="shared" si="5"/>
        <v>1011200</v>
      </c>
      <c r="E39" s="210">
        <f t="shared" si="7"/>
        <v>123366400</v>
      </c>
      <c r="F39" s="211">
        <f t="shared" si="6"/>
        <v>0.97599999999999998</v>
      </c>
      <c r="G39" s="212" t="s">
        <v>216</v>
      </c>
      <c r="H39" s="213">
        <f t="shared" si="8"/>
        <v>101120</v>
      </c>
      <c r="I39" s="226">
        <f>ROUNDUP((D39+H39-J39),-(LEN(D39)-$I$15))</f>
        <v>101120</v>
      </c>
      <c r="J39" s="226">
        <f t="shared" si="9"/>
        <v>1011200</v>
      </c>
      <c r="K39" s="402"/>
    </row>
    <row r="40" spans="1:11" ht="12.6" thickBot="1" x14ac:dyDescent="0.3">
      <c r="A40" s="219">
        <v>22</v>
      </c>
      <c r="B40" s="208">
        <v>0.01</v>
      </c>
      <c r="C40" s="208">
        <f t="shared" si="3"/>
        <v>0.9800000000000002</v>
      </c>
      <c r="D40" s="209">
        <f t="shared" si="5"/>
        <v>1011200</v>
      </c>
      <c r="E40" s="222">
        <f t="shared" si="7"/>
        <v>124377600</v>
      </c>
      <c r="F40" s="203">
        <f t="shared" si="6"/>
        <v>0.98399999999999999</v>
      </c>
      <c r="G40" s="224" t="s">
        <v>217</v>
      </c>
      <c r="H40" s="225">
        <f t="shared" si="8"/>
        <v>101120</v>
      </c>
      <c r="I40" s="214">
        <f t="shared" si="1"/>
        <v>101120</v>
      </c>
      <c r="J40" s="226">
        <f t="shared" si="9"/>
        <v>1011200</v>
      </c>
      <c r="K40" s="402"/>
    </row>
    <row r="41" spans="1:11" ht="12.6" thickBot="1" x14ac:dyDescent="0.3">
      <c r="A41" s="207">
        <v>23</v>
      </c>
      <c r="B41" s="208">
        <v>0.01</v>
      </c>
      <c r="C41" s="208">
        <f t="shared" si="3"/>
        <v>0.99000000000000021</v>
      </c>
      <c r="D41" s="209">
        <f t="shared" si="5"/>
        <v>1011200</v>
      </c>
      <c r="E41" s="210">
        <f t="shared" si="7"/>
        <v>125388800</v>
      </c>
      <c r="F41" s="211">
        <f t="shared" si="6"/>
        <v>0.99199999999999999</v>
      </c>
      <c r="G41" s="212" t="s">
        <v>218</v>
      </c>
      <c r="H41" s="213">
        <f t="shared" si="8"/>
        <v>101120</v>
      </c>
      <c r="I41" s="214">
        <f t="shared" si="1"/>
        <v>101120</v>
      </c>
      <c r="J41" s="226">
        <f t="shared" si="9"/>
        <v>1011200</v>
      </c>
      <c r="K41" s="402"/>
    </row>
    <row r="42" spans="1:11" ht="12.6" thickBot="1" x14ac:dyDescent="0.3">
      <c r="A42" s="219">
        <v>24</v>
      </c>
      <c r="B42" s="220">
        <v>0.01</v>
      </c>
      <c r="C42" s="208">
        <f t="shared" si="3"/>
        <v>1.0000000000000002</v>
      </c>
      <c r="D42" s="209">
        <f t="shared" si="5"/>
        <v>1011200</v>
      </c>
      <c r="E42" s="222">
        <f t="shared" si="7"/>
        <v>126400000</v>
      </c>
      <c r="F42" s="203">
        <f t="shared" si="6"/>
        <v>1</v>
      </c>
      <c r="G42" s="224" t="s">
        <v>219</v>
      </c>
      <c r="H42" s="225">
        <f t="shared" si="8"/>
        <v>101120</v>
      </c>
      <c r="I42" s="226">
        <f t="shared" si="1"/>
        <v>101120</v>
      </c>
      <c r="J42" s="226">
        <f t="shared" si="9"/>
        <v>1011200</v>
      </c>
      <c r="K42" s="402"/>
    </row>
    <row r="43" spans="1:11" ht="20.25" customHeight="1" thickBot="1" x14ac:dyDescent="0.3">
      <c r="A43" s="227" t="str">
        <f>A42*30 &amp; " dias"</f>
        <v>720 dias</v>
      </c>
      <c r="B43" s="228">
        <f>SUM(B19:B42)</f>
        <v>1.0000000000000002</v>
      </c>
      <c r="C43" s="229"/>
      <c r="D43" s="230">
        <f>SUM(D18:D42)</f>
        <v>126400000</v>
      </c>
      <c r="E43" s="169"/>
      <c r="H43" s="169"/>
      <c r="I43" s="231">
        <f>SUM(I18:I42)</f>
        <v>12640000</v>
      </c>
      <c r="J43" s="231">
        <f>SUM(J18:J42)</f>
        <v>126400000</v>
      </c>
      <c r="K43" s="400"/>
    </row>
    <row r="44" spans="1:11" ht="15" customHeight="1" x14ac:dyDescent="0.25">
      <c r="A44" s="174"/>
      <c r="F44" s="177"/>
      <c r="G44" s="177"/>
      <c r="H44" s="180" t="s">
        <v>388</v>
      </c>
      <c r="I44" s="536">
        <f>I43+J43</f>
        <v>139040000</v>
      </c>
      <c r="J44" s="537"/>
    </row>
    <row r="45" spans="1:11" x14ac:dyDescent="0.25">
      <c r="A45" s="173" t="s">
        <v>389</v>
      </c>
      <c r="B45" s="173"/>
      <c r="C45" s="173"/>
      <c r="H45" s="180" t="s">
        <v>390</v>
      </c>
      <c r="I45" s="189">
        <f>I44/1.1-D11</f>
        <v>0</v>
      </c>
    </row>
    <row r="46" spans="1:11" x14ac:dyDescent="0.25">
      <c r="B46" s="232"/>
    </row>
    <row r="47" spans="1:11" x14ac:dyDescent="0.25">
      <c r="B47" s="232"/>
    </row>
    <row r="49" spans="1:27" s="235" customFormat="1" ht="12.75" customHeight="1" x14ac:dyDescent="0.25">
      <c r="A49" s="233"/>
      <c r="B49" s="234" t="s">
        <v>391</v>
      </c>
      <c r="C49" s="234" t="s">
        <v>196</v>
      </c>
      <c r="D49" s="234" t="s">
        <v>197</v>
      </c>
      <c r="E49" s="234" t="s">
        <v>198</v>
      </c>
      <c r="F49" s="234" t="s">
        <v>199</v>
      </c>
      <c r="G49" s="234" t="s">
        <v>200</v>
      </c>
      <c r="H49" s="234" t="s">
        <v>201</v>
      </c>
      <c r="I49" s="234" t="s">
        <v>202</v>
      </c>
      <c r="J49" s="234" t="s">
        <v>203</v>
      </c>
      <c r="K49" s="234" t="s">
        <v>204</v>
      </c>
      <c r="L49" s="234" t="s">
        <v>205</v>
      </c>
      <c r="M49" s="234" t="s">
        <v>206</v>
      </c>
      <c r="N49" s="234" t="s">
        <v>207</v>
      </c>
      <c r="O49" s="234" t="s">
        <v>208</v>
      </c>
      <c r="P49" s="234" t="s">
        <v>209</v>
      </c>
      <c r="Q49" s="234" t="s">
        <v>210</v>
      </c>
      <c r="R49" s="234" t="s">
        <v>211</v>
      </c>
      <c r="S49" s="234" t="s">
        <v>212</v>
      </c>
      <c r="T49" s="234" t="s">
        <v>213</v>
      </c>
      <c r="U49" s="234" t="s">
        <v>214</v>
      </c>
      <c r="V49" s="234" t="s">
        <v>215</v>
      </c>
      <c r="W49" s="234" t="s">
        <v>216</v>
      </c>
      <c r="X49" s="234" t="s">
        <v>217</v>
      </c>
      <c r="Y49" s="234" t="s">
        <v>218</v>
      </c>
      <c r="Z49" s="234" t="s">
        <v>219</v>
      </c>
    </row>
    <row r="50" spans="1:27" x14ac:dyDescent="0.25">
      <c r="A50" s="236" t="s">
        <v>392</v>
      </c>
      <c r="B50" s="209">
        <v>0</v>
      </c>
      <c r="C50" s="209">
        <v>0</v>
      </c>
      <c r="D50" s="209">
        <v>0</v>
      </c>
      <c r="E50" s="209">
        <v>0</v>
      </c>
      <c r="F50" s="209">
        <v>0</v>
      </c>
      <c r="G50" s="209">
        <v>0</v>
      </c>
      <c r="H50" s="209">
        <v>0</v>
      </c>
      <c r="I50" s="209">
        <v>0</v>
      </c>
      <c r="J50" s="209">
        <v>0</v>
      </c>
      <c r="K50" s="209">
        <v>0</v>
      </c>
      <c r="L50" s="209">
        <v>0</v>
      </c>
      <c r="M50" s="209">
        <v>0</v>
      </c>
      <c r="N50" s="209">
        <v>0</v>
      </c>
      <c r="O50" s="209">
        <v>0</v>
      </c>
      <c r="P50" s="209">
        <v>0</v>
      </c>
      <c r="Q50" s="209">
        <v>0</v>
      </c>
      <c r="R50" s="209">
        <v>0</v>
      </c>
      <c r="S50" s="209">
        <v>0</v>
      </c>
      <c r="T50" s="209">
        <v>0</v>
      </c>
      <c r="U50" s="177">
        <f>SUM(B50:T50)</f>
        <v>0</v>
      </c>
      <c r="V50" s="177">
        <f t="shared" ref="V50:AA50" si="10">SUM(C50:U50)</f>
        <v>0</v>
      </c>
      <c r="W50" s="177">
        <f t="shared" si="10"/>
        <v>0</v>
      </c>
      <c r="X50" s="177">
        <f t="shared" si="10"/>
        <v>0</v>
      </c>
      <c r="Y50" s="177">
        <f t="shared" si="10"/>
        <v>0</v>
      </c>
      <c r="Z50" s="177">
        <f t="shared" si="10"/>
        <v>0</v>
      </c>
      <c r="AA50" s="177">
        <f t="shared" si="10"/>
        <v>0</v>
      </c>
    </row>
    <row r="51" spans="1:27" x14ac:dyDescent="0.25">
      <c r="A51" s="236" t="s">
        <v>393</v>
      </c>
      <c r="B51" s="209">
        <f>$J18</f>
        <v>25280000</v>
      </c>
      <c r="C51" s="209">
        <f>$J19</f>
        <v>2528000</v>
      </c>
      <c r="D51" s="209">
        <f>$J20</f>
        <v>3033600</v>
      </c>
      <c r="E51" s="209">
        <f>$J21</f>
        <v>3539200</v>
      </c>
      <c r="F51" s="209">
        <f>$J22</f>
        <v>3539200</v>
      </c>
      <c r="G51" s="209">
        <f>$J23</f>
        <v>4044800</v>
      </c>
      <c r="H51" s="209">
        <f>$J24</f>
        <v>4550400</v>
      </c>
      <c r="I51" s="209">
        <f>$J25</f>
        <v>4550400</v>
      </c>
      <c r="J51" s="209">
        <f>$J26</f>
        <v>5056000</v>
      </c>
      <c r="K51" s="209">
        <f>$J27</f>
        <v>5561600</v>
      </c>
      <c r="L51" s="209">
        <f>$J28</f>
        <v>5561600</v>
      </c>
      <c r="M51" s="209">
        <f>$J29</f>
        <v>5561600</v>
      </c>
      <c r="N51" s="209">
        <f>$J30</f>
        <v>6067200</v>
      </c>
      <c r="O51" s="209">
        <f>$J31</f>
        <v>7078400</v>
      </c>
      <c r="P51" s="209">
        <f>$J32</f>
        <v>7078400</v>
      </c>
      <c r="Q51" s="209">
        <f>$J33</f>
        <v>6572800</v>
      </c>
      <c r="R51" s="209">
        <f>$J34</f>
        <v>6572800</v>
      </c>
      <c r="S51" s="209">
        <f>$J35</f>
        <v>5056000</v>
      </c>
      <c r="T51" s="209">
        <f>$J36</f>
        <v>5056000</v>
      </c>
      <c r="U51" s="209">
        <f>$J37</f>
        <v>4044800</v>
      </c>
      <c r="V51" s="209">
        <f>$J38</f>
        <v>2022400</v>
      </c>
      <c r="W51" s="209">
        <f>$J39</f>
        <v>1011200</v>
      </c>
      <c r="X51" s="209">
        <f>$J40</f>
        <v>1011200</v>
      </c>
      <c r="Y51" s="209">
        <f>$J41</f>
        <v>1011200</v>
      </c>
      <c r="Z51" s="209">
        <f>$J42</f>
        <v>1011200</v>
      </c>
      <c r="AA51" s="177">
        <f>SUM(B51:Z51)</f>
        <v>126400000</v>
      </c>
    </row>
    <row r="52" spans="1:27" x14ac:dyDescent="0.25">
      <c r="B52" s="209">
        <f>B50+B51</f>
        <v>25280000</v>
      </c>
      <c r="C52" s="209">
        <f t="shared" ref="C52:Z52" si="11">C50+C51</f>
        <v>2528000</v>
      </c>
      <c r="D52" s="209">
        <f t="shared" si="11"/>
        <v>3033600</v>
      </c>
      <c r="E52" s="209">
        <f t="shared" si="11"/>
        <v>3539200</v>
      </c>
      <c r="F52" s="209">
        <f t="shared" si="11"/>
        <v>3539200</v>
      </c>
      <c r="G52" s="209">
        <f t="shared" si="11"/>
        <v>4044800</v>
      </c>
      <c r="H52" s="209">
        <f t="shared" si="11"/>
        <v>4550400</v>
      </c>
      <c r="I52" s="209">
        <f t="shared" si="11"/>
        <v>4550400</v>
      </c>
      <c r="J52" s="209">
        <f t="shared" si="11"/>
        <v>5056000</v>
      </c>
      <c r="K52" s="209">
        <f t="shared" si="11"/>
        <v>5561600</v>
      </c>
      <c r="L52" s="209">
        <f t="shared" si="11"/>
        <v>5561600</v>
      </c>
      <c r="M52" s="209">
        <f t="shared" si="11"/>
        <v>5561600</v>
      </c>
      <c r="N52" s="209">
        <f t="shared" si="11"/>
        <v>6067200</v>
      </c>
      <c r="O52" s="209">
        <f t="shared" si="11"/>
        <v>7078400</v>
      </c>
      <c r="P52" s="209">
        <f t="shared" si="11"/>
        <v>7078400</v>
      </c>
      <c r="Q52" s="209">
        <f t="shared" si="11"/>
        <v>6572800</v>
      </c>
      <c r="R52" s="209">
        <f t="shared" si="11"/>
        <v>6572800</v>
      </c>
      <c r="S52" s="209">
        <f t="shared" si="11"/>
        <v>5056000</v>
      </c>
      <c r="T52" s="209">
        <f t="shared" si="11"/>
        <v>5056000</v>
      </c>
      <c r="U52" s="209">
        <f t="shared" si="11"/>
        <v>4044800</v>
      </c>
      <c r="V52" s="209">
        <f t="shared" si="11"/>
        <v>2022400</v>
      </c>
      <c r="W52" s="209">
        <f t="shared" si="11"/>
        <v>1011200</v>
      </c>
      <c r="X52" s="209">
        <f t="shared" si="11"/>
        <v>1011200</v>
      </c>
      <c r="Y52" s="209">
        <f t="shared" si="11"/>
        <v>1011200</v>
      </c>
      <c r="Z52" s="209">
        <f t="shared" si="11"/>
        <v>1011200</v>
      </c>
      <c r="AA52" s="209">
        <f>U50+AA51</f>
        <v>126400000</v>
      </c>
    </row>
    <row r="53" spans="1:27" x14ac:dyDescent="0.25">
      <c r="B53" s="237">
        <f>SUM(B52:Z52)</f>
        <v>126400000</v>
      </c>
    </row>
  </sheetData>
  <mergeCells count="6">
    <mergeCell ref="I44:J44"/>
    <mergeCell ref="A1:J1"/>
    <mergeCell ref="B3:I4"/>
    <mergeCell ref="A5:C5"/>
    <mergeCell ref="D7:F7"/>
    <mergeCell ref="C15:D15"/>
  </mergeCells>
  <printOptions horizontalCentered="1"/>
  <pageMargins left="0.39370078740157483" right="0.39370078740157483" top="1.0236220472440944" bottom="0.78740157480314965" header="0.39370078740157483" footer="0.59055118110236227"/>
  <pageSetup scale="58" orientation="landscape" blackAndWhite="1" r:id="rId1"/>
  <headerFooter alignWithMargins="0">
    <oddHeader>&amp;C&amp;14Ministerio de Obras Públicas y Comunicaciones
Dirección de Caminos Vecinales
Departamento de Planificación y Proyectos</oddHeader>
    <oddFooter>&amp;L&amp;A&amp;C&amp;N&amp;R&amp;D</oddFoot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53"/>
  <sheetViews>
    <sheetView showGridLines="0" topLeftCell="A14" zoomScale="70" zoomScaleNormal="70" workbookViewId="0">
      <selection activeCell="D11" sqref="D11"/>
    </sheetView>
  </sheetViews>
  <sheetFormatPr defaultColWidth="9.109375" defaultRowHeight="12" x14ac:dyDescent="0.25"/>
  <cols>
    <col min="1" max="1" width="8.44140625" style="169" customWidth="1"/>
    <col min="2" max="2" width="14.44140625" style="179" customWidth="1"/>
    <col min="3" max="3" width="15.44140625" style="177" customWidth="1"/>
    <col min="4" max="4" width="16.44140625" style="177" customWidth="1"/>
    <col min="5" max="5" width="16.109375" style="177" customWidth="1"/>
    <col min="6" max="6" width="13.6640625" style="169" customWidth="1"/>
    <col min="7" max="7" width="18.88671875" style="169" customWidth="1"/>
    <col min="8" max="8" width="15.6640625" style="174" customWidth="1"/>
    <col min="9" max="10" width="16.5546875" style="169" customWidth="1"/>
    <col min="11" max="11" width="13.109375" style="169" customWidth="1"/>
    <col min="12" max="12" width="13.44140625" style="169" customWidth="1"/>
    <col min="13" max="14" width="14.6640625" style="169" customWidth="1"/>
    <col min="15" max="19" width="14.44140625" style="169" customWidth="1"/>
    <col min="20" max="20" width="14.88671875" style="169" customWidth="1"/>
    <col min="21" max="21" width="10.88671875" style="169" customWidth="1"/>
    <col min="22" max="22" width="9.109375" style="169"/>
    <col min="23" max="23" width="10.33203125" style="169" customWidth="1"/>
    <col min="24" max="26" width="9.109375" style="169"/>
    <col min="27" max="27" width="10" style="169" customWidth="1"/>
    <col min="28" max="256" width="9.109375" style="169"/>
    <col min="257" max="257" width="8.44140625" style="169" customWidth="1"/>
    <col min="258" max="258" width="14.44140625" style="169" customWidth="1"/>
    <col min="259" max="259" width="15.44140625" style="169" customWidth="1"/>
    <col min="260" max="260" width="16.44140625" style="169" customWidth="1"/>
    <col min="261" max="261" width="16.109375" style="169" customWidth="1"/>
    <col min="262" max="262" width="13.6640625" style="169" customWidth="1"/>
    <col min="263" max="263" width="18.88671875" style="169" customWidth="1"/>
    <col min="264" max="264" width="15.6640625" style="169" customWidth="1"/>
    <col min="265" max="266" width="16.5546875" style="169" customWidth="1"/>
    <col min="267" max="267" width="13.109375" style="169" customWidth="1"/>
    <col min="268" max="268" width="13.44140625" style="169" customWidth="1"/>
    <col min="269" max="270" width="14.6640625" style="169" customWidth="1"/>
    <col min="271" max="275" width="14.44140625" style="169" customWidth="1"/>
    <col min="276" max="276" width="14.88671875" style="169" customWidth="1"/>
    <col min="277" max="277" width="10.88671875" style="169" customWidth="1"/>
    <col min="278" max="512" width="9.109375" style="169"/>
    <col min="513" max="513" width="8.44140625" style="169" customWidth="1"/>
    <col min="514" max="514" width="14.44140625" style="169" customWidth="1"/>
    <col min="515" max="515" width="15.44140625" style="169" customWidth="1"/>
    <col min="516" max="516" width="16.44140625" style="169" customWidth="1"/>
    <col min="517" max="517" width="16.109375" style="169" customWidth="1"/>
    <col min="518" max="518" width="13.6640625" style="169" customWidth="1"/>
    <col min="519" max="519" width="18.88671875" style="169" customWidth="1"/>
    <col min="520" max="520" width="15.6640625" style="169" customWidth="1"/>
    <col min="521" max="522" width="16.5546875" style="169" customWidth="1"/>
    <col min="523" max="523" width="13.109375" style="169" customWidth="1"/>
    <col min="524" max="524" width="13.44140625" style="169" customWidth="1"/>
    <col min="525" max="526" width="14.6640625" style="169" customWidth="1"/>
    <col min="527" max="531" width="14.44140625" style="169" customWidth="1"/>
    <col min="532" max="532" width="14.88671875" style="169" customWidth="1"/>
    <col min="533" max="533" width="10.88671875" style="169" customWidth="1"/>
    <col min="534" max="768" width="9.109375" style="169"/>
    <col min="769" max="769" width="8.44140625" style="169" customWidth="1"/>
    <col min="770" max="770" width="14.44140625" style="169" customWidth="1"/>
    <col min="771" max="771" width="15.44140625" style="169" customWidth="1"/>
    <col min="772" max="772" width="16.44140625" style="169" customWidth="1"/>
    <col min="773" max="773" width="16.109375" style="169" customWidth="1"/>
    <col min="774" max="774" width="13.6640625" style="169" customWidth="1"/>
    <col min="775" max="775" width="18.88671875" style="169" customWidth="1"/>
    <col min="776" max="776" width="15.6640625" style="169" customWidth="1"/>
    <col min="777" max="778" width="16.5546875" style="169" customWidth="1"/>
    <col min="779" max="779" width="13.109375" style="169" customWidth="1"/>
    <col min="780" max="780" width="13.44140625" style="169" customWidth="1"/>
    <col min="781" max="782" width="14.6640625" style="169" customWidth="1"/>
    <col min="783" max="787" width="14.44140625" style="169" customWidth="1"/>
    <col min="788" max="788" width="14.88671875" style="169" customWidth="1"/>
    <col min="789" max="789" width="10.88671875" style="169" customWidth="1"/>
    <col min="790" max="1024" width="9.109375" style="169"/>
    <col min="1025" max="1025" width="8.44140625" style="169" customWidth="1"/>
    <col min="1026" max="1026" width="14.44140625" style="169" customWidth="1"/>
    <col min="1027" max="1027" width="15.44140625" style="169" customWidth="1"/>
    <col min="1028" max="1028" width="16.44140625" style="169" customWidth="1"/>
    <col min="1029" max="1029" width="16.109375" style="169" customWidth="1"/>
    <col min="1030" max="1030" width="13.6640625" style="169" customWidth="1"/>
    <col min="1031" max="1031" width="18.88671875" style="169" customWidth="1"/>
    <col min="1032" max="1032" width="15.6640625" style="169" customWidth="1"/>
    <col min="1033" max="1034" width="16.5546875" style="169" customWidth="1"/>
    <col min="1035" max="1035" width="13.109375" style="169" customWidth="1"/>
    <col min="1036" max="1036" width="13.44140625" style="169" customWidth="1"/>
    <col min="1037" max="1038" width="14.6640625" style="169" customWidth="1"/>
    <col min="1039" max="1043" width="14.44140625" style="169" customWidth="1"/>
    <col min="1044" max="1044" width="14.88671875" style="169" customWidth="1"/>
    <col min="1045" max="1045" width="10.88671875" style="169" customWidth="1"/>
    <col min="1046" max="1280" width="9.109375" style="169"/>
    <col min="1281" max="1281" width="8.44140625" style="169" customWidth="1"/>
    <col min="1282" max="1282" width="14.44140625" style="169" customWidth="1"/>
    <col min="1283" max="1283" width="15.44140625" style="169" customWidth="1"/>
    <col min="1284" max="1284" width="16.44140625" style="169" customWidth="1"/>
    <col min="1285" max="1285" width="16.109375" style="169" customWidth="1"/>
    <col min="1286" max="1286" width="13.6640625" style="169" customWidth="1"/>
    <col min="1287" max="1287" width="18.88671875" style="169" customWidth="1"/>
    <col min="1288" max="1288" width="15.6640625" style="169" customWidth="1"/>
    <col min="1289" max="1290" width="16.5546875" style="169" customWidth="1"/>
    <col min="1291" max="1291" width="13.109375" style="169" customWidth="1"/>
    <col min="1292" max="1292" width="13.44140625" style="169" customWidth="1"/>
    <col min="1293" max="1294" width="14.6640625" style="169" customWidth="1"/>
    <col min="1295" max="1299" width="14.44140625" style="169" customWidth="1"/>
    <col min="1300" max="1300" width="14.88671875" style="169" customWidth="1"/>
    <col min="1301" max="1301" width="10.88671875" style="169" customWidth="1"/>
    <col min="1302" max="1536" width="9.109375" style="169"/>
    <col min="1537" max="1537" width="8.44140625" style="169" customWidth="1"/>
    <col min="1538" max="1538" width="14.44140625" style="169" customWidth="1"/>
    <col min="1539" max="1539" width="15.44140625" style="169" customWidth="1"/>
    <col min="1540" max="1540" width="16.44140625" style="169" customWidth="1"/>
    <col min="1541" max="1541" width="16.109375" style="169" customWidth="1"/>
    <col min="1542" max="1542" width="13.6640625" style="169" customWidth="1"/>
    <col min="1543" max="1543" width="18.88671875" style="169" customWidth="1"/>
    <col min="1544" max="1544" width="15.6640625" style="169" customWidth="1"/>
    <col min="1545" max="1546" width="16.5546875" style="169" customWidth="1"/>
    <col min="1547" max="1547" width="13.109375" style="169" customWidth="1"/>
    <col min="1548" max="1548" width="13.44140625" style="169" customWidth="1"/>
    <col min="1549" max="1550" width="14.6640625" style="169" customWidth="1"/>
    <col min="1551" max="1555" width="14.44140625" style="169" customWidth="1"/>
    <col min="1556" max="1556" width="14.88671875" style="169" customWidth="1"/>
    <col min="1557" max="1557" width="10.88671875" style="169" customWidth="1"/>
    <col min="1558" max="1792" width="9.109375" style="169"/>
    <col min="1793" max="1793" width="8.44140625" style="169" customWidth="1"/>
    <col min="1794" max="1794" width="14.44140625" style="169" customWidth="1"/>
    <col min="1795" max="1795" width="15.44140625" style="169" customWidth="1"/>
    <col min="1796" max="1796" width="16.44140625" style="169" customWidth="1"/>
    <col min="1797" max="1797" width="16.109375" style="169" customWidth="1"/>
    <col min="1798" max="1798" width="13.6640625" style="169" customWidth="1"/>
    <col min="1799" max="1799" width="18.88671875" style="169" customWidth="1"/>
    <col min="1800" max="1800" width="15.6640625" style="169" customWidth="1"/>
    <col min="1801" max="1802" width="16.5546875" style="169" customWidth="1"/>
    <col min="1803" max="1803" width="13.109375" style="169" customWidth="1"/>
    <col min="1804" max="1804" width="13.44140625" style="169" customWidth="1"/>
    <col min="1805" max="1806" width="14.6640625" style="169" customWidth="1"/>
    <col min="1807" max="1811" width="14.44140625" style="169" customWidth="1"/>
    <col min="1812" max="1812" width="14.88671875" style="169" customWidth="1"/>
    <col min="1813" max="1813" width="10.88671875" style="169" customWidth="1"/>
    <col min="1814" max="2048" width="9.109375" style="169"/>
    <col min="2049" max="2049" width="8.44140625" style="169" customWidth="1"/>
    <col min="2050" max="2050" width="14.44140625" style="169" customWidth="1"/>
    <col min="2051" max="2051" width="15.44140625" style="169" customWidth="1"/>
    <col min="2052" max="2052" width="16.44140625" style="169" customWidth="1"/>
    <col min="2053" max="2053" width="16.109375" style="169" customWidth="1"/>
    <col min="2054" max="2054" width="13.6640625" style="169" customWidth="1"/>
    <col min="2055" max="2055" width="18.88671875" style="169" customWidth="1"/>
    <col min="2056" max="2056" width="15.6640625" style="169" customWidth="1"/>
    <col min="2057" max="2058" width="16.5546875" style="169" customWidth="1"/>
    <col min="2059" max="2059" width="13.109375" style="169" customWidth="1"/>
    <col min="2060" max="2060" width="13.44140625" style="169" customWidth="1"/>
    <col min="2061" max="2062" width="14.6640625" style="169" customWidth="1"/>
    <col min="2063" max="2067" width="14.44140625" style="169" customWidth="1"/>
    <col min="2068" max="2068" width="14.88671875" style="169" customWidth="1"/>
    <col min="2069" max="2069" width="10.88671875" style="169" customWidth="1"/>
    <col min="2070" max="2304" width="9.109375" style="169"/>
    <col min="2305" max="2305" width="8.44140625" style="169" customWidth="1"/>
    <col min="2306" max="2306" width="14.44140625" style="169" customWidth="1"/>
    <col min="2307" max="2307" width="15.44140625" style="169" customWidth="1"/>
    <col min="2308" max="2308" width="16.44140625" style="169" customWidth="1"/>
    <col min="2309" max="2309" width="16.109375" style="169" customWidth="1"/>
    <col min="2310" max="2310" width="13.6640625" style="169" customWidth="1"/>
    <col min="2311" max="2311" width="18.88671875" style="169" customWidth="1"/>
    <col min="2312" max="2312" width="15.6640625" style="169" customWidth="1"/>
    <col min="2313" max="2314" width="16.5546875" style="169" customWidth="1"/>
    <col min="2315" max="2315" width="13.109375" style="169" customWidth="1"/>
    <col min="2316" max="2316" width="13.44140625" style="169" customWidth="1"/>
    <col min="2317" max="2318" width="14.6640625" style="169" customWidth="1"/>
    <col min="2319" max="2323" width="14.44140625" style="169" customWidth="1"/>
    <col min="2324" max="2324" width="14.88671875" style="169" customWidth="1"/>
    <col min="2325" max="2325" width="10.88671875" style="169" customWidth="1"/>
    <col min="2326" max="2560" width="9.109375" style="169"/>
    <col min="2561" max="2561" width="8.44140625" style="169" customWidth="1"/>
    <col min="2562" max="2562" width="14.44140625" style="169" customWidth="1"/>
    <col min="2563" max="2563" width="15.44140625" style="169" customWidth="1"/>
    <col min="2564" max="2564" width="16.44140625" style="169" customWidth="1"/>
    <col min="2565" max="2565" width="16.109375" style="169" customWidth="1"/>
    <col min="2566" max="2566" width="13.6640625" style="169" customWidth="1"/>
    <col min="2567" max="2567" width="18.88671875" style="169" customWidth="1"/>
    <col min="2568" max="2568" width="15.6640625" style="169" customWidth="1"/>
    <col min="2569" max="2570" width="16.5546875" style="169" customWidth="1"/>
    <col min="2571" max="2571" width="13.109375" style="169" customWidth="1"/>
    <col min="2572" max="2572" width="13.44140625" style="169" customWidth="1"/>
    <col min="2573" max="2574" width="14.6640625" style="169" customWidth="1"/>
    <col min="2575" max="2579" width="14.44140625" style="169" customWidth="1"/>
    <col min="2580" max="2580" width="14.88671875" style="169" customWidth="1"/>
    <col min="2581" max="2581" width="10.88671875" style="169" customWidth="1"/>
    <col min="2582" max="2816" width="9.109375" style="169"/>
    <col min="2817" max="2817" width="8.44140625" style="169" customWidth="1"/>
    <col min="2818" max="2818" width="14.44140625" style="169" customWidth="1"/>
    <col min="2819" max="2819" width="15.44140625" style="169" customWidth="1"/>
    <col min="2820" max="2820" width="16.44140625" style="169" customWidth="1"/>
    <col min="2821" max="2821" width="16.109375" style="169" customWidth="1"/>
    <col min="2822" max="2822" width="13.6640625" style="169" customWidth="1"/>
    <col min="2823" max="2823" width="18.88671875" style="169" customWidth="1"/>
    <col min="2824" max="2824" width="15.6640625" style="169" customWidth="1"/>
    <col min="2825" max="2826" width="16.5546875" style="169" customWidth="1"/>
    <col min="2827" max="2827" width="13.109375" style="169" customWidth="1"/>
    <col min="2828" max="2828" width="13.44140625" style="169" customWidth="1"/>
    <col min="2829" max="2830" width="14.6640625" style="169" customWidth="1"/>
    <col min="2831" max="2835" width="14.44140625" style="169" customWidth="1"/>
    <col min="2836" max="2836" width="14.88671875" style="169" customWidth="1"/>
    <col min="2837" max="2837" width="10.88671875" style="169" customWidth="1"/>
    <col min="2838" max="3072" width="9.109375" style="169"/>
    <col min="3073" max="3073" width="8.44140625" style="169" customWidth="1"/>
    <col min="3074" max="3074" width="14.44140625" style="169" customWidth="1"/>
    <col min="3075" max="3075" width="15.44140625" style="169" customWidth="1"/>
    <col min="3076" max="3076" width="16.44140625" style="169" customWidth="1"/>
    <col min="3077" max="3077" width="16.109375" style="169" customWidth="1"/>
    <col min="3078" max="3078" width="13.6640625" style="169" customWidth="1"/>
    <col min="3079" max="3079" width="18.88671875" style="169" customWidth="1"/>
    <col min="3080" max="3080" width="15.6640625" style="169" customWidth="1"/>
    <col min="3081" max="3082" width="16.5546875" style="169" customWidth="1"/>
    <col min="3083" max="3083" width="13.109375" style="169" customWidth="1"/>
    <col min="3084" max="3084" width="13.44140625" style="169" customWidth="1"/>
    <col min="3085" max="3086" width="14.6640625" style="169" customWidth="1"/>
    <col min="3087" max="3091" width="14.44140625" style="169" customWidth="1"/>
    <col min="3092" max="3092" width="14.88671875" style="169" customWidth="1"/>
    <col min="3093" max="3093" width="10.88671875" style="169" customWidth="1"/>
    <col min="3094" max="3328" width="9.109375" style="169"/>
    <col min="3329" max="3329" width="8.44140625" style="169" customWidth="1"/>
    <col min="3330" max="3330" width="14.44140625" style="169" customWidth="1"/>
    <col min="3331" max="3331" width="15.44140625" style="169" customWidth="1"/>
    <col min="3332" max="3332" width="16.44140625" style="169" customWidth="1"/>
    <col min="3333" max="3333" width="16.109375" style="169" customWidth="1"/>
    <col min="3334" max="3334" width="13.6640625" style="169" customWidth="1"/>
    <col min="3335" max="3335" width="18.88671875" style="169" customWidth="1"/>
    <col min="3336" max="3336" width="15.6640625" style="169" customWidth="1"/>
    <col min="3337" max="3338" width="16.5546875" style="169" customWidth="1"/>
    <col min="3339" max="3339" width="13.109375" style="169" customWidth="1"/>
    <col min="3340" max="3340" width="13.44140625" style="169" customWidth="1"/>
    <col min="3341" max="3342" width="14.6640625" style="169" customWidth="1"/>
    <col min="3343" max="3347" width="14.44140625" style="169" customWidth="1"/>
    <col min="3348" max="3348" width="14.88671875" style="169" customWidth="1"/>
    <col min="3349" max="3349" width="10.88671875" style="169" customWidth="1"/>
    <col min="3350" max="3584" width="9.109375" style="169"/>
    <col min="3585" max="3585" width="8.44140625" style="169" customWidth="1"/>
    <col min="3586" max="3586" width="14.44140625" style="169" customWidth="1"/>
    <col min="3587" max="3587" width="15.44140625" style="169" customWidth="1"/>
    <col min="3588" max="3588" width="16.44140625" style="169" customWidth="1"/>
    <col min="3589" max="3589" width="16.109375" style="169" customWidth="1"/>
    <col min="3590" max="3590" width="13.6640625" style="169" customWidth="1"/>
    <col min="3591" max="3591" width="18.88671875" style="169" customWidth="1"/>
    <col min="3592" max="3592" width="15.6640625" style="169" customWidth="1"/>
    <col min="3593" max="3594" width="16.5546875" style="169" customWidth="1"/>
    <col min="3595" max="3595" width="13.109375" style="169" customWidth="1"/>
    <col min="3596" max="3596" width="13.44140625" style="169" customWidth="1"/>
    <col min="3597" max="3598" width="14.6640625" style="169" customWidth="1"/>
    <col min="3599" max="3603" width="14.44140625" style="169" customWidth="1"/>
    <col min="3604" max="3604" width="14.88671875" style="169" customWidth="1"/>
    <col min="3605" max="3605" width="10.88671875" style="169" customWidth="1"/>
    <col min="3606" max="3840" width="9.109375" style="169"/>
    <col min="3841" max="3841" width="8.44140625" style="169" customWidth="1"/>
    <col min="3842" max="3842" width="14.44140625" style="169" customWidth="1"/>
    <col min="3843" max="3843" width="15.44140625" style="169" customWidth="1"/>
    <col min="3844" max="3844" width="16.44140625" style="169" customWidth="1"/>
    <col min="3845" max="3845" width="16.109375" style="169" customWidth="1"/>
    <col min="3846" max="3846" width="13.6640625" style="169" customWidth="1"/>
    <col min="3847" max="3847" width="18.88671875" style="169" customWidth="1"/>
    <col min="3848" max="3848" width="15.6640625" style="169" customWidth="1"/>
    <col min="3849" max="3850" width="16.5546875" style="169" customWidth="1"/>
    <col min="3851" max="3851" width="13.109375" style="169" customWidth="1"/>
    <col min="3852" max="3852" width="13.44140625" style="169" customWidth="1"/>
    <col min="3853" max="3854" width="14.6640625" style="169" customWidth="1"/>
    <col min="3855" max="3859" width="14.44140625" style="169" customWidth="1"/>
    <col min="3860" max="3860" width="14.88671875" style="169" customWidth="1"/>
    <col min="3861" max="3861" width="10.88671875" style="169" customWidth="1"/>
    <col min="3862" max="4096" width="9.109375" style="169"/>
    <col min="4097" max="4097" width="8.44140625" style="169" customWidth="1"/>
    <col min="4098" max="4098" width="14.44140625" style="169" customWidth="1"/>
    <col min="4099" max="4099" width="15.44140625" style="169" customWidth="1"/>
    <col min="4100" max="4100" width="16.44140625" style="169" customWidth="1"/>
    <col min="4101" max="4101" width="16.109375" style="169" customWidth="1"/>
    <col min="4102" max="4102" width="13.6640625" style="169" customWidth="1"/>
    <col min="4103" max="4103" width="18.88671875" style="169" customWidth="1"/>
    <col min="4104" max="4104" width="15.6640625" style="169" customWidth="1"/>
    <col min="4105" max="4106" width="16.5546875" style="169" customWidth="1"/>
    <col min="4107" max="4107" width="13.109375" style="169" customWidth="1"/>
    <col min="4108" max="4108" width="13.44140625" style="169" customWidth="1"/>
    <col min="4109" max="4110" width="14.6640625" style="169" customWidth="1"/>
    <col min="4111" max="4115" width="14.44140625" style="169" customWidth="1"/>
    <col min="4116" max="4116" width="14.88671875" style="169" customWidth="1"/>
    <col min="4117" max="4117" width="10.88671875" style="169" customWidth="1"/>
    <col min="4118" max="4352" width="9.109375" style="169"/>
    <col min="4353" max="4353" width="8.44140625" style="169" customWidth="1"/>
    <col min="4354" max="4354" width="14.44140625" style="169" customWidth="1"/>
    <col min="4355" max="4355" width="15.44140625" style="169" customWidth="1"/>
    <col min="4356" max="4356" width="16.44140625" style="169" customWidth="1"/>
    <col min="4357" max="4357" width="16.109375" style="169" customWidth="1"/>
    <col min="4358" max="4358" width="13.6640625" style="169" customWidth="1"/>
    <col min="4359" max="4359" width="18.88671875" style="169" customWidth="1"/>
    <col min="4360" max="4360" width="15.6640625" style="169" customWidth="1"/>
    <col min="4361" max="4362" width="16.5546875" style="169" customWidth="1"/>
    <col min="4363" max="4363" width="13.109375" style="169" customWidth="1"/>
    <col min="4364" max="4364" width="13.44140625" style="169" customWidth="1"/>
    <col min="4365" max="4366" width="14.6640625" style="169" customWidth="1"/>
    <col min="4367" max="4371" width="14.44140625" style="169" customWidth="1"/>
    <col min="4372" max="4372" width="14.88671875" style="169" customWidth="1"/>
    <col min="4373" max="4373" width="10.88671875" style="169" customWidth="1"/>
    <col min="4374" max="4608" width="9.109375" style="169"/>
    <col min="4609" max="4609" width="8.44140625" style="169" customWidth="1"/>
    <col min="4610" max="4610" width="14.44140625" style="169" customWidth="1"/>
    <col min="4611" max="4611" width="15.44140625" style="169" customWidth="1"/>
    <col min="4612" max="4612" width="16.44140625" style="169" customWidth="1"/>
    <col min="4613" max="4613" width="16.109375" style="169" customWidth="1"/>
    <col min="4614" max="4614" width="13.6640625" style="169" customWidth="1"/>
    <col min="4615" max="4615" width="18.88671875" style="169" customWidth="1"/>
    <col min="4616" max="4616" width="15.6640625" style="169" customWidth="1"/>
    <col min="4617" max="4618" width="16.5546875" style="169" customWidth="1"/>
    <col min="4619" max="4619" width="13.109375" style="169" customWidth="1"/>
    <col min="4620" max="4620" width="13.44140625" style="169" customWidth="1"/>
    <col min="4621" max="4622" width="14.6640625" style="169" customWidth="1"/>
    <col min="4623" max="4627" width="14.44140625" style="169" customWidth="1"/>
    <col min="4628" max="4628" width="14.88671875" style="169" customWidth="1"/>
    <col min="4629" max="4629" width="10.88671875" style="169" customWidth="1"/>
    <col min="4630" max="4864" width="9.109375" style="169"/>
    <col min="4865" max="4865" width="8.44140625" style="169" customWidth="1"/>
    <col min="4866" max="4866" width="14.44140625" style="169" customWidth="1"/>
    <col min="4867" max="4867" width="15.44140625" style="169" customWidth="1"/>
    <col min="4868" max="4868" width="16.44140625" style="169" customWidth="1"/>
    <col min="4869" max="4869" width="16.109375" style="169" customWidth="1"/>
    <col min="4870" max="4870" width="13.6640625" style="169" customWidth="1"/>
    <col min="4871" max="4871" width="18.88671875" style="169" customWidth="1"/>
    <col min="4872" max="4872" width="15.6640625" style="169" customWidth="1"/>
    <col min="4873" max="4874" width="16.5546875" style="169" customWidth="1"/>
    <col min="4875" max="4875" width="13.109375" style="169" customWidth="1"/>
    <col min="4876" max="4876" width="13.44140625" style="169" customWidth="1"/>
    <col min="4877" max="4878" width="14.6640625" style="169" customWidth="1"/>
    <col min="4879" max="4883" width="14.44140625" style="169" customWidth="1"/>
    <col min="4884" max="4884" width="14.88671875" style="169" customWidth="1"/>
    <col min="4885" max="4885" width="10.88671875" style="169" customWidth="1"/>
    <col min="4886" max="5120" width="9.109375" style="169"/>
    <col min="5121" max="5121" width="8.44140625" style="169" customWidth="1"/>
    <col min="5122" max="5122" width="14.44140625" style="169" customWidth="1"/>
    <col min="5123" max="5123" width="15.44140625" style="169" customWidth="1"/>
    <col min="5124" max="5124" width="16.44140625" style="169" customWidth="1"/>
    <col min="5125" max="5125" width="16.109375" style="169" customWidth="1"/>
    <col min="5126" max="5126" width="13.6640625" style="169" customWidth="1"/>
    <col min="5127" max="5127" width="18.88671875" style="169" customWidth="1"/>
    <col min="5128" max="5128" width="15.6640625" style="169" customWidth="1"/>
    <col min="5129" max="5130" width="16.5546875" style="169" customWidth="1"/>
    <col min="5131" max="5131" width="13.109375" style="169" customWidth="1"/>
    <col min="5132" max="5132" width="13.44140625" style="169" customWidth="1"/>
    <col min="5133" max="5134" width="14.6640625" style="169" customWidth="1"/>
    <col min="5135" max="5139" width="14.44140625" style="169" customWidth="1"/>
    <col min="5140" max="5140" width="14.88671875" style="169" customWidth="1"/>
    <col min="5141" max="5141" width="10.88671875" style="169" customWidth="1"/>
    <col min="5142" max="5376" width="9.109375" style="169"/>
    <col min="5377" max="5377" width="8.44140625" style="169" customWidth="1"/>
    <col min="5378" max="5378" width="14.44140625" style="169" customWidth="1"/>
    <col min="5379" max="5379" width="15.44140625" style="169" customWidth="1"/>
    <col min="5380" max="5380" width="16.44140625" style="169" customWidth="1"/>
    <col min="5381" max="5381" width="16.109375" style="169" customWidth="1"/>
    <col min="5382" max="5382" width="13.6640625" style="169" customWidth="1"/>
    <col min="5383" max="5383" width="18.88671875" style="169" customWidth="1"/>
    <col min="5384" max="5384" width="15.6640625" style="169" customWidth="1"/>
    <col min="5385" max="5386" width="16.5546875" style="169" customWidth="1"/>
    <col min="5387" max="5387" width="13.109375" style="169" customWidth="1"/>
    <col min="5388" max="5388" width="13.44140625" style="169" customWidth="1"/>
    <col min="5389" max="5390" width="14.6640625" style="169" customWidth="1"/>
    <col min="5391" max="5395" width="14.44140625" style="169" customWidth="1"/>
    <col min="5396" max="5396" width="14.88671875" style="169" customWidth="1"/>
    <col min="5397" max="5397" width="10.88671875" style="169" customWidth="1"/>
    <col min="5398" max="5632" width="9.109375" style="169"/>
    <col min="5633" max="5633" width="8.44140625" style="169" customWidth="1"/>
    <col min="5634" max="5634" width="14.44140625" style="169" customWidth="1"/>
    <col min="5635" max="5635" width="15.44140625" style="169" customWidth="1"/>
    <col min="5636" max="5636" width="16.44140625" style="169" customWidth="1"/>
    <col min="5637" max="5637" width="16.109375" style="169" customWidth="1"/>
    <col min="5638" max="5638" width="13.6640625" style="169" customWidth="1"/>
    <col min="5639" max="5639" width="18.88671875" style="169" customWidth="1"/>
    <col min="5640" max="5640" width="15.6640625" style="169" customWidth="1"/>
    <col min="5641" max="5642" width="16.5546875" style="169" customWidth="1"/>
    <col min="5643" max="5643" width="13.109375" style="169" customWidth="1"/>
    <col min="5644" max="5644" width="13.44140625" style="169" customWidth="1"/>
    <col min="5645" max="5646" width="14.6640625" style="169" customWidth="1"/>
    <col min="5647" max="5651" width="14.44140625" style="169" customWidth="1"/>
    <col min="5652" max="5652" width="14.88671875" style="169" customWidth="1"/>
    <col min="5653" max="5653" width="10.88671875" style="169" customWidth="1"/>
    <col min="5654" max="5888" width="9.109375" style="169"/>
    <col min="5889" max="5889" width="8.44140625" style="169" customWidth="1"/>
    <col min="5890" max="5890" width="14.44140625" style="169" customWidth="1"/>
    <col min="5891" max="5891" width="15.44140625" style="169" customWidth="1"/>
    <col min="5892" max="5892" width="16.44140625" style="169" customWidth="1"/>
    <col min="5893" max="5893" width="16.109375" style="169" customWidth="1"/>
    <col min="5894" max="5894" width="13.6640625" style="169" customWidth="1"/>
    <col min="5895" max="5895" width="18.88671875" style="169" customWidth="1"/>
    <col min="5896" max="5896" width="15.6640625" style="169" customWidth="1"/>
    <col min="5897" max="5898" width="16.5546875" style="169" customWidth="1"/>
    <col min="5899" max="5899" width="13.109375" style="169" customWidth="1"/>
    <col min="5900" max="5900" width="13.44140625" style="169" customWidth="1"/>
    <col min="5901" max="5902" width="14.6640625" style="169" customWidth="1"/>
    <col min="5903" max="5907" width="14.44140625" style="169" customWidth="1"/>
    <col min="5908" max="5908" width="14.88671875" style="169" customWidth="1"/>
    <col min="5909" max="5909" width="10.88671875" style="169" customWidth="1"/>
    <col min="5910" max="6144" width="9.109375" style="169"/>
    <col min="6145" max="6145" width="8.44140625" style="169" customWidth="1"/>
    <col min="6146" max="6146" width="14.44140625" style="169" customWidth="1"/>
    <col min="6147" max="6147" width="15.44140625" style="169" customWidth="1"/>
    <col min="6148" max="6148" width="16.44140625" style="169" customWidth="1"/>
    <col min="6149" max="6149" width="16.109375" style="169" customWidth="1"/>
    <col min="6150" max="6150" width="13.6640625" style="169" customWidth="1"/>
    <col min="6151" max="6151" width="18.88671875" style="169" customWidth="1"/>
    <col min="6152" max="6152" width="15.6640625" style="169" customWidth="1"/>
    <col min="6153" max="6154" width="16.5546875" style="169" customWidth="1"/>
    <col min="6155" max="6155" width="13.109375" style="169" customWidth="1"/>
    <col min="6156" max="6156" width="13.44140625" style="169" customWidth="1"/>
    <col min="6157" max="6158" width="14.6640625" style="169" customWidth="1"/>
    <col min="6159" max="6163" width="14.44140625" style="169" customWidth="1"/>
    <col min="6164" max="6164" width="14.88671875" style="169" customWidth="1"/>
    <col min="6165" max="6165" width="10.88671875" style="169" customWidth="1"/>
    <col min="6166" max="6400" width="9.109375" style="169"/>
    <col min="6401" max="6401" width="8.44140625" style="169" customWidth="1"/>
    <col min="6402" max="6402" width="14.44140625" style="169" customWidth="1"/>
    <col min="6403" max="6403" width="15.44140625" style="169" customWidth="1"/>
    <col min="6404" max="6404" width="16.44140625" style="169" customWidth="1"/>
    <col min="6405" max="6405" width="16.109375" style="169" customWidth="1"/>
    <col min="6406" max="6406" width="13.6640625" style="169" customWidth="1"/>
    <col min="6407" max="6407" width="18.88671875" style="169" customWidth="1"/>
    <col min="6408" max="6408" width="15.6640625" style="169" customWidth="1"/>
    <col min="6409" max="6410" width="16.5546875" style="169" customWidth="1"/>
    <col min="6411" max="6411" width="13.109375" style="169" customWidth="1"/>
    <col min="6412" max="6412" width="13.44140625" style="169" customWidth="1"/>
    <col min="6413" max="6414" width="14.6640625" style="169" customWidth="1"/>
    <col min="6415" max="6419" width="14.44140625" style="169" customWidth="1"/>
    <col min="6420" max="6420" width="14.88671875" style="169" customWidth="1"/>
    <col min="6421" max="6421" width="10.88671875" style="169" customWidth="1"/>
    <col min="6422" max="6656" width="9.109375" style="169"/>
    <col min="6657" max="6657" width="8.44140625" style="169" customWidth="1"/>
    <col min="6658" max="6658" width="14.44140625" style="169" customWidth="1"/>
    <col min="6659" max="6659" width="15.44140625" style="169" customWidth="1"/>
    <col min="6660" max="6660" width="16.44140625" style="169" customWidth="1"/>
    <col min="6661" max="6661" width="16.109375" style="169" customWidth="1"/>
    <col min="6662" max="6662" width="13.6640625" style="169" customWidth="1"/>
    <col min="6663" max="6663" width="18.88671875" style="169" customWidth="1"/>
    <col min="6664" max="6664" width="15.6640625" style="169" customWidth="1"/>
    <col min="6665" max="6666" width="16.5546875" style="169" customWidth="1"/>
    <col min="6667" max="6667" width="13.109375" style="169" customWidth="1"/>
    <col min="6668" max="6668" width="13.44140625" style="169" customWidth="1"/>
    <col min="6669" max="6670" width="14.6640625" style="169" customWidth="1"/>
    <col min="6671" max="6675" width="14.44140625" style="169" customWidth="1"/>
    <col min="6676" max="6676" width="14.88671875" style="169" customWidth="1"/>
    <col min="6677" max="6677" width="10.88671875" style="169" customWidth="1"/>
    <col min="6678" max="6912" width="9.109375" style="169"/>
    <col min="6913" max="6913" width="8.44140625" style="169" customWidth="1"/>
    <col min="6914" max="6914" width="14.44140625" style="169" customWidth="1"/>
    <col min="6915" max="6915" width="15.44140625" style="169" customWidth="1"/>
    <col min="6916" max="6916" width="16.44140625" style="169" customWidth="1"/>
    <col min="6917" max="6917" width="16.109375" style="169" customWidth="1"/>
    <col min="6918" max="6918" width="13.6640625" style="169" customWidth="1"/>
    <col min="6919" max="6919" width="18.88671875" style="169" customWidth="1"/>
    <col min="6920" max="6920" width="15.6640625" style="169" customWidth="1"/>
    <col min="6921" max="6922" width="16.5546875" style="169" customWidth="1"/>
    <col min="6923" max="6923" width="13.109375" style="169" customWidth="1"/>
    <col min="6924" max="6924" width="13.44140625" style="169" customWidth="1"/>
    <col min="6925" max="6926" width="14.6640625" style="169" customWidth="1"/>
    <col min="6927" max="6931" width="14.44140625" style="169" customWidth="1"/>
    <col min="6932" max="6932" width="14.88671875" style="169" customWidth="1"/>
    <col min="6933" max="6933" width="10.88671875" style="169" customWidth="1"/>
    <col min="6934" max="7168" width="9.109375" style="169"/>
    <col min="7169" max="7169" width="8.44140625" style="169" customWidth="1"/>
    <col min="7170" max="7170" width="14.44140625" style="169" customWidth="1"/>
    <col min="7171" max="7171" width="15.44140625" style="169" customWidth="1"/>
    <col min="7172" max="7172" width="16.44140625" style="169" customWidth="1"/>
    <col min="7173" max="7173" width="16.109375" style="169" customWidth="1"/>
    <col min="7174" max="7174" width="13.6640625" style="169" customWidth="1"/>
    <col min="7175" max="7175" width="18.88671875" style="169" customWidth="1"/>
    <col min="7176" max="7176" width="15.6640625" style="169" customWidth="1"/>
    <col min="7177" max="7178" width="16.5546875" style="169" customWidth="1"/>
    <col min="7179" max="7179" width="13.109375" style="169" customWidth="1"/>
    <col min="7180" max="7180" width="13.44140625" style="169" customWidth="1"/>
    <col min="7181" max="7182" width="14.6640625" style="169" customWidth="1"/>
    <col min="7183" max="7187" width="14.44140625" style="169" customWidth="1"/>
    <col min="7188" max="7188" width="14.88671875" style="169" customWidth="1"/>
    <col min="7189" max="7189" width="10.88671875" style="169" customWidth="1"/>
    <col min="7190" max="7424" width="9.109375" style="169"/>
    <col min="7425" max="7425" width="8.44140625" style="169" customWidth="1"/>
    <col min="7426" max="7426" width="14.44140625" style="169" customWidth="1"/>
    <col min="7427" max="7427" width="15.44140625" style="169" customWidth="1"/>
    <col min="7428" max="7428" width="16.44140625" style="169" customWidth="1"/>
    <col min="7429" max="7429" width="16.109375" style="169" customWidth="1"/>
    <col min="7430" max="7430" width="13.6640625" style="169" customWidth="1"/>
    <col min="7431" max="7431" width="18.88671875" style="169" customWidth="1"/>
    <col min="7432" max="7432" width="15.6640625" style="169" customWidth="1"/>
    <col min="7433" max="7434" width="16.5546875" style="169" customWidth="1"/>
    <col min="7435" max="7435" width="13.109375" style="169" customWidth="1"/>
    <col min="7436" max="7436" width="13.44140625" style="169" customWidth="1"/>
    <col min="7437" max="7438" width="14.6640625" style="169" customWidth="1"/>
    <col min="7439" max="7443" width="14.44140625" style="169" customWidth="1"/>
    <col min="7444" max="7444" width="14.88671875" style="169" customWidth="1"/>
    <col min="7445" max="7445" width="10.88671875" style="169" customWidth="1"/>
    <col min="7446" max="7680" width="9.109375" style="169"/>
    <col min="7681" max="7681" width="8.44140625" style="169" customWidth="1"/>
    <col min="7682" max="7682" width="14.44140625" style="169" customWidth="1"/>
    <col min="7683" max="7683" width="15.44140625" style="169" customWidth="1"/>
    <col min="7684" max="7684" width="16.44140625" style="169" customWidth="1"/>
    <col min="7685" max="7685" width="16.109375" style="169" customWidth="1"/>
    <col min="7686" max="7686" width="13.6640625" style="169" customWidth="1"/>
    <col min="7687" max="7687" width="18.88671875" style="169" customWidth="1"/>
    <col min="7688" max="7688" width="15.6640625" style="169" customWidth="1"/>
    <col min="7689" max="7690" width="16.5546875" style="169" customWidth="1"/>
    <col min="7691" max="7691" width="13.109375" style="169" customWidth="1"/>
    <col min="7692" max="7692" width="13.44140625" style="169" customWidth="1"/>
    <col min="7693" max="7694" width="14.6640625" style="169" customWidth="1"/>
    <col min="7695" max="7699" width="14.44140625" style="169" customWidth="1"/>
    <col min="7700" max="7700" width="14.88671875" style="169" customWidth="1"/>
    <col min="7701" max="7701" width="10.88671875" style="169" customWidth="1"/>
    <col min="7702" max="7936" width="9.109375" style="169"/>
    <col min="7937" max="7937" width="8.44140625" style="169" customWidth="1"/>
    <col min="7938" max="7938" width="14.44140625" style="169" customWidth="1"/>
    <col min="7939" max="7939" width="15.44140625" style="169" customWidth="1"/>
    <col min="7940" max="7940" width="16.44140625" style="169" customWidth="1"/>
    <col min="7941" max="7941" width="16.109375" style="169" customWidth="1"/>
    <col min="7942" max="7942" width="13.6640625" style="169" customWidth="1"/>
    <col min="7943" max="7943" width="18.88671875" style="169" customWidth="1"/>
    <col min="7944" max="7944" width="15.6640625" style="169" customWidth="1"/>
    <col min="7945" max="7946" width="16.5546875" style="169" customWidth="1"/>
    <col min="7947" max="7947" width="13.109375" style="169" customWidth="1"/>
    <col min="7948" max="7948" width="13.44140625" style="169" customWidth="1"/>
    <col min="7949" max="7950" width="14.6640625" style="169" customWidth="1"/>
    <col min="7951" max="7955" width="14.44140625" style="169" customWidth="1"/>
    <col min="7956" max="7956" width="14.88671875" style="169" customWidth="1"/>
    <col min="7957" max="7957" width="10.88671875" style="169" customWidth="1"/>
    <col min="7958" max="8192" width="9.109375" style="169"/>
    <col min="8193" max="8193" width="8.44140625" style="169" customWidth="1"/>
    <col min="8194" max="8194" width="14.44140625" style="169" customWidth="1"/>
    <col min="8195" max="8195" width="15.44140625" style="169" customWidth="1"/>
    <col min="8196" max="8196" width="16.44140625" style="169" customWidth="1"/>
    <col min="8197" max="8197" width="16.109375" style="169" customWidth="1"/>
    <col min="8198" max="8198" width="13.6640625" style="169" customWidth="1"/>
    <col min="8199" max="8199" width="18.88671875" style="169" customWidth="1"/>
    <col min="8200" max="8200" width="15.6640625" style="169" customWidth="1"/>
    <col min="8201" max="8202" width="16.5546875" style="169" customWidth="1"/>
    <col min="8203" max="8203" width="13.109375" style="169" customWidth="1"/>
    <col min="8204" max="8204" width="13.44140625" style="169" customWidth="1"/>
    <col min="8205" max="8206" width="14.6640625" style="169" customWidth="1"/>
    <col min="8207" max="8211" width="14.44140625" style="169" customWidth="1"/>
    <col min="8212" max="8212" width="14.88671875" style="169" customWidth="1"/>
    <col min="8213" max="8213" width="10.88671875" style="169" customWidth="1"/>
    <col min="8214" max="8448" width="9.109375" style="169"/>
    <col min="8449" max="8449" width="8.44140625" style="169" customWidth="1"/>
    <col min="8450" max="8450" width="14.44140625" style="169" customWidth="1"/>
    <col min="8451" max="8451" width="15.44140625" style="169" customWidth="1"/>
    <col min="8452" max="8452" width="16.44140625" style="169" customWidth="1"/>
    <col min="8453" max="8453" width="16.109375" style="169" customWidth="1"/>
    <col min="8454" max="8454" width="13.6640625" style="169" customWidth="1"/>
    <col min="8455" max="8455" width="18.88671875" style="169" customWidth="1"/>
    <col min="8456" max="8456" width="15.6640625" style="169" customWidth="1"/>
    <col min="8457" max="8458" width="16.5546875" style="169" customWidth="1"/>
    <col min="8459" max="8459" width="13.109375" style="169" customWidth="1"/>
    <col min="8460" max="8460" width="13.44140625" style="169" customWidth="1"/>
    <col min="8461" max="8462" width="14.6640625" style="169" customWidth="1"/>
    <col min="8463" max="8467" width="14.44140625" style="169" customWidth="1"/>
    <col min="8468" max="8468" width="14.88671875" style="169" customWidth="1"/>
    <col min="8469" max="8469" width="10.88671875" style="169" customWidth="1"/>
    <col min="8470" max="8704" width="9.109375" style="169"/>
    <col min="8705" max="8705" width="8.44140625" style="169" customWidth="1"/>
    <col min="8706" max="8706" width="14.44140625" style="169" customWidth="1"/>
    <col min="8707" max="8707" width="15.44140625" style="169" customWidth="1"/>
    <col min="8708" max="8708" width="16.44140625" style="169" customWidth="1"/>
    <col min="8709" max="8709" width="16.109375" style="169" customWidth="1"/>
    <col min="8710" max="8710" width="13.6640625" style="169" customWidth="1"/>
    <col min="8711" max="8711" width="18.88671875" style="169" customWidth="1"/>
    <col min="8712" max="8712" width="15.6640625" style="169" customWidth="1"/>
    <col min="8713" max="8714" width="16.5546875" style="169" customWidth="1"/>
    <col min="8715" max="8715" width="13.109375" style="169" customWidth="1"/>
    <col min="8716" max="8716" width="13.44140625" style="169" customWidth="1"/>
    <col min="8717" max="8718" width="14.6640625" style="169" customWidth="1"/>
    <col min="8719" max="8723" width="14.44140625" style="169" customWidth="1"/>
    <col min="8724" max="8724" width="14.88671875" style="169" customWidth="1"/>
    <col min="8725" max="8725" width="10.88671875" style="169" customWidth="1"/>
    <col min="8726" max="8960" width="9.109375" style="169"/>
    <col min="8961" max="8961" width="8.44140625" style="169" customWidth="1"/>
    <col min="8962" max="8962" width="14.44140625" style="169" customWidth="1"/>
    <col min="8963" max="8963" width="15.44140625" style="169" customWidth="1"/>
    <col min="8964" max="8964" width="16.44140625" style="169" customWidth="1"/>
    <col min="8965" max="8965" width="16.109375" style="169" customWidth="1"/>
    <col min="8966" max="8966" width="13.6640625" style="169" customWidth="1"/>
    <col min="8967" max="8967" width="18.88671875" style="169" customWidth="1"/>
    <col min="8968" max="8968" width="15.6640625" style="169" customWidth="1"/>
    <col min="8969" max="8970" width="16.5546875" style="169" customWidth="1"/>
    <col min="8971" max="8971" width="13.109375" style="169" customWidth="1"/>
    <col min="8972" max="8972" width="13.44140625" style="169" customWidth="1"/>
    <col min="8973" max="8974" width="14.6640625" style="169" customWidth="1"/>
    <col min="8975" max="8979" width="14.44140625" style="169" customWidth="1"/>
    <col min="8980" max="8980" width="14.88671875" style="169" customWidth="1"/>
    <col min="8981" max="8981" width="10.88671875" style="169" customWidth="1"/>
    <col min="8982" max="9216" width="9.109375" style="169"/>
    <col min="9217" max="9217" width="8.44140625" style="169" customWidth="1"/>
    <col min="9218" max="9218" width="14.44140625" style="169" customWidth="1"/>
    <col min="9219" max="9219" width="15.44140625" style="169" customWidth="1"/>
    <col min="9220" max="9220" width="16.44140625" style="169" customWidth="1"/>
    <col min="9221" max="9221" width="16.109375" style="169" customWidth="1"/>
    <col min="9222" max="9222" width="13.6640625" style="169" customWidth="1"/>
    <col min="9223" max="9223" width="18.88671875" style="169" customWidth="1"/>
    <col min="9224" max="9224" width="15.6640625" style="169" customWidth="1"/>
    <col min="9225" max="9226" width="16.5546875" style="169" customWidth="1"/>
    <col min="9227" max="9227" width="13.109375" style="169" customWidth="1"/>
    <col min="9228" max="9228" width="13.44140625" style="169" customWidth="1"/>
    <col min="9229" max="9230" width="14.6640625" style="169" customWidth="1"/>
    <col min="9231" max="9235" width="14.44140625" style="169" customWidth="1"/>
    <col min="9236" max="9236" width="14.88671875" style="169" customWidth="1"/>
    <col min="9237" max="9237" width="10.88671875" style="169" customWidth="1"/>
    <col min="9238" max="9472" width="9.109375" style="169"/>
    <col min="9473" max="9473" width="8.44140625" style="169" customWidth="1"/>
    <col min="9474" max="9474" width="14.44140625" style="169" customWidth="1"/>
    <col min="9475" max="9475" width="15.44140625" style="169" customWidth="1"/>
    <col min="9476" max="9476" width="16.44140625" style="169" customWidth="1"/>
    <col min="9477" max="9477" width="16.109375" style="169" customWidth="1"/>
    <col min="9478" max="9478" width="13.6640625" style="169" customWidth="1"/>
    <col min="9479" max="9479" width="18.88671875" style="169" customWidth="1"/>
    <col min="9480" max="9480" width="15.6640625" style="169" customWidth="1"/>
    <col min="9481" max="9482" width="16.5546875" style="169" customWidth="1"/>
    <col min="9483" max="9483" width="13.109375" style="169" customWidth="1"/>
    <col min="9484" max="9484" width="13.44140625" style="169" customWidth="1"/>
    <col min="9485" max="9486" width="14.6640625" style="169" customWidth="1"/>
    <col min="9487" max="9491" width="14.44140625" style="169" customWidth="1"/>
    <col min="9492" max="9492" width="14.88671875" style="169" customWidth="1"/>
    <col min="9493" max="9493" width="10.88671875" style="169" customWidth="1"/>
    <col min="9494" max="9728" width="9.109375" style="169"/>
    <col min="9729" max="9729" width="8.44140625" style="169" customWidth="1"/>
    <col min="9730" max="9730" width="14.44140625" style="169" customWidth="1"/>
    <col min="9731" max="9731" width="15.44140625" style="169" customWidth="1"/>
    <col min="9732" max="9732" width="16.44140625" style="169" customWidth="1"/>
    <col min="9733" max="9733" width="16.109375" style="169" customWidth="1"/>
    <col min="9734" max="9734" width="13.6640625" style="169" customWidth="1"/>
    <col min="9735" max="9735" width="18.88671875" style="169" customWidth="1"/>
    <col min="9736" max="9736" width="15.6640625" style="169" customWidth="1"/>
    <col min="9737" max="9738" width="16.5546875" style="169" customWidth="1"/>
    <col min="9739" max="9739" width="13.109375" style="169" customWidth="1"/>
    <col min="9740" max="9740" width="13.44140625" style="169" customWidth="1"/>
    <col min="9741" max="9742" width="14.6640625" style="169" customWidth="1"/>
    <col min="9743" max="9747" width="14.44140625" style="169" customWidth="1"/>
    <col min="9748" max="9748" width="14.88671875" style="169" customWidth="1"/>
    <col min="9749" max="9749" width="10.88671875" style="169" customWidth="1"/>
    <col min="9750" max="9984" width="9.109375" style="169"/>
    <col min="9985" max="9985" width="8.44140625" style="169" customWidth="1"/>
    <col min="9986" max="9986" width="14.44140625" style="169" customWidth="1"/>
    <col min="9987" max="9987" width="15.44140625" style="169" customWidth="1"/>
    <col min="9988" max="9988" width="16.44140625" style="169" customWidth="1"/>
    <col min="9989" max="9989" width="16.109375" style="169" customWidth="1"/>
    <col min="9990" max="9990" width="13.6640625" style="169" customWidth="1"/>
    <col min="9991" max="9991" width="18.88671875" style="169" customWidth="1"/>
    <col min="9992" max="9992" width="15.6640625" style="169" customWidth="1"/>
    <col min="9993" max="9994" width="16.5546875" style="169" customWidth="1"/>
    <col min="9995" max="9995" width="13.109375" style="169" customWidth="1"/>
    <col min="9996" max="9996" width="13.44140625" style="169" customWidth="1"/>
    <col min="9997" max="9998" width="14.6640625" style="169" customWidth="1"/>
    <col min="9999" max="10003" width="14.44140625" style="169" customWidth="1"/>
    <col min="10004" max="10004" width="14.88671875" style="169" customWidth="1"/>
    <col min="10005" max="10005" width="10.88671875" style="169" customWidth="1"/>
    <col min="10006" max="10240" width="9.109375" style="169"/>
    <col min="10241" max="10241" width="8.44140625" style="169" customWidth="1"/>
    <col min="10242" max="10242" width="14.44140625" style="169" customWidth="1"/>
    <col min="10243" max="10243" width="15.44140625" style="169" customWidth="1"/>
    <col min="10244" max="10244" width="16.44140625" style="169" customWidth="1"/>
    <col min="10245" max="10245" width="16.109375" style="169" customWidth="1"/>
    <col min="10246" max="10246" width="13.6640625" style="169" customWidth="1"/>
    <col min="10247" max="10247" width="18.88671875" style="169" customWidth="1"/>
    <col min="10248" max="10248" width="15.6640625" style="169" customWidth="1"/>
    <col min="10249" max="10250" width="16.5546875" style="169" customWidth="1"/>
    <col min="10251" max="10251" width="13.109375" style="169" customWidth="1"/>
    <col min="10252" max="10252" width="13.44140625" style="169" customWidth="1"/>
    <col min="10253" max="10254" width="14.6640625" style="169" customWidth="1"/>
    <col min="10255" max="10259" width="14.44140625" style="169" customWidth="1"/>
    <col min="10260" max="10260" width="14.88671875" style="169" customWidth="1"/>
    <col min="10261" max="10261" width="10.88671875" style="169" customWidth="1"/>
    <col min="10262" max="10496" width="9.109375" style="169"/>
    <col min="10497" max="10497" width="8.44140625" style="169" customWidth="1"/>
    <col min="10498" max="10498" width="14.44140625" style="169" customWidth="1"/>
    <col min="10499" max="10499" width="15.44140625" style="169" customWidth="1"/>
    <col min="10500" max="10500" width="16.44140625" style="169" customWidth="1"/>
    <col min="10501" max="10501" width="16.109375" style="169" customWidth="1"/>
    <col min="10502" max="10502" width="13.6640625" style="169" customWidth="1"/>
    <col min="10503" max="10503" width="18.88671875" style="169" customWidth="1"/>
    <col min="10504" max="10504" width="15.6640625" style="169" customWidth="1"/>
    <col min="10505" max="10506" width="16.5546875" style="169" customWidth="1"/>
    <col min="10507" max="10507" width="13.109375" style="169" customWidth="1"/>
    <col min="10508" max="10508" width="13.44140625" style="169" customWidth="1"/>
    <col min="10509" max="10510" width="14.6640625" style="169" customWidth="1"/>
    <col min="10511" max="10515" width="14.44140625" style="169" customWidth="1"/>
    <col min="10516" max="10516" width="14.88671875" style="169" customWidth="1"/>
    <col min="10517" max="10517" width="10.88671875" style="169" customWidth="1"/>
    <col min="10518" max="10752" width="9.109375" style="169"/>
    <col min="10753" max="10753" width="8.44140625" style="169" customWidth="1"/>
    <col min="10754" max="10754" width="14.44140625" style="169" customWidth="1"/>
    <col min="10755" max="10755" width="15.44140625" style="169" customWidth="1"/>
    <col min="10756" max="10756" width="16.44140625" style="169" customWidth="1"/>
    <col min="10757" max="10757" width="16.109375" style="169" customWidth="1"/>
    <col min="10758" max="10758" width="13.6640625" style="169" customWidth="1"/>
    <col min="10759" max="10759" width="18.88671875" style="169" customWidth="1"/>
    <col min="10760" max="10760" width="15.6640625" style="169" customWidth="1"/>
    <col min="10761" max="10762" width="16.5546875" style="169" customWidth="1"/>
    <col min="10763" max="10763" width="13.109375" style="169" customWidth="1"/>
    <col min="10764" max="10764" width="13.44140625" style="169" customWidth="1"/>
    <col min="10765" max="10766" width="14.6640625" style="169" customWidth="1"/>
    <col min="10767" max="10771" width="14.44140625" style="169" customWidth="1"/>
    <col min="10772" max="10772" width="14.88671875" style="169" customWidth="1"/>
    <col min="10773" max="10773" width="10.88671875" style="169" customWidth="1"/>
    <col min="10774" max="11008" width="9.109375" style="169"/>
    <col min="11009" max="11009" width="8.44140625" style="169" customWidth="1"/>
    <col min="11010" max="11010" width="14.44140625" style="169" customWidth="1"/>
    <col min="11011" max="11011" width="15.44140625" style="169" customWidth="1"/>
    <col min="11012" max="11012" width="16.44140625" style="169" customWidth="1"/>
    <col min="11013" max="11013" width="16.109375" style="169" customWidth="1"/>
    <col min="11014" max="11014" width="13.6640625" style="169" customWidth="1"/>
    <col min="11015" max="11015" width="18.88671875" style="169" customWidth="1"/>
    <col min="11016" max="11016" width="15.6640625" style="169" customWidth="1"/>
    <col min="11017" max="11018" width="16.5546875" style="169" customWidth="1"/>
    <col min="11019" max="11019" width="13.109375" style="169" customWidth="1"/>
    <col min="11020" max="11020" width="13.44140625" style="169" customWidth="1"/>
    <col min="11021" max="11022" width="14.6640625" style="169" customWidth="1"/>
    <col min="11023" max="11027" width="14.44140625" style="169" customWidth="1"/>
    <col min="11028" max="11028" width="14.88671875" style="169" customWidth="1"/>
    <col min="11029" max="11029" width="10.88671875" style="169" customWidth="1"/>
    <col min="11030" max="11264" width="9.109375" style="169"/>
    <col min="11265" max="11265" width="8.44140625" style="169" customWidth="1"/>
    <col min="11266" max="11266" width="14.44140625" style="169" customWidth="1"/>
    <col min="11267" max="11267" width="15.44140625" style="169" customWidth="1"/>
    <col min="11268" max="11268" width="16.44140625" style="169" customWidth="1"/>
    <col min="11269" max="11269" width="16.109375" style="169" customWidth="1"/>
    <col min="11270" max="11270" width="13.6640625" style="169" customWidth="1"/>
    <col min="11271" max="11271" width="18.88671875" style="169" customWidth="1"/>
    <col min="11272" max="11272" width="15.6640625" style="169" customWidth="1"/>
    <col min="11273" max="11274" width="16.5546875" style="169" customWidth="1"/>
    <col min="11275" max="11275" width="13.109375" style="169" customWidth="1"/>
    <col min="11276" max="11276" width="13.44140625" style="169" customWidth="1"/>
    <col min="11277" max="11278" width="14.6640625" style="169" customWidth="1"/>
    <col min="11279" max="11283" width="14.44140625" style="169" customWidth="1"/>
    <col min="11284" max="11284" width="14.88671875" style="169" customWidth="1"/>
    <col min="11285" max="11285" width="10.88671875" style="169" customWidth="1"/>
    <col min="11286" max="11520" width="9.109375" style="169"/>
    <col min="11521" max="11521" width="8.44140625" style="169" customWidth="1"/>
    <col min="11522" max="11522" width="14.44140625" style="169" customWidth="1"/>
    <col min="11523" max="11523" width="15.44140625" style="169" customWidth="1"/>
    <col min="11524" max="11524" width="16.44140625" style="169" customWidth="1"/>
    <col min="11525" max="11525" width="16.109375" style="169" customWidth="1"/>
    <col min="11526" max="11526" width="13.6640625" style="169" customWidth="1"/>
    <col min="11527" max="11527" width="18.88671875" style="169" customWidth="1"/>
    <col min="11528" max="11528" width="15.6640625" style="169" customWidth="1"/>
    <col min="11529" max="11530" width="16.5546875" style="169" customWidth="1"/>
    <col min="11531" max="11531" width="13.109375" style="169" customWidth="1"/>
    <col min="11532" max="11532" width="13.44140625" style="169" customWidth="1"/>
    <col min="11533" max="11534" width="14.6640625" style="169" customWidth="1"/>
    <col min="11535" max="11539" width="14.44140625" style="169" customWidth="1"/>
    <col min="11540" max="11540" width="14.88671875" style="169" customWidth="1"/>
    <col min="11541" max="11541" width="10.88671875" style="169" customWidth="1"/>
    <col min="11542" max="11776" width="9.109375" style="169"/>
    <col min="11777" max="11777" width="8.44140625" style="169" customWidth="1"/>
    <col min="11778" max="11778" width="14.44140625" style="169" customWidth="1"/>
    <col min="11779" max="11779" width="15.44140625" style="169" customWidth="1"/>
    <col min="11780" max="11780" width="16.44140625" style="169" customWidth="1"/>
    <col min="11781" max="11781" width="16.109375" style="169" customWidth="1"/>
    <col min="11782" max="11782" width="13.6640625" style="169" customWidth="1"/>
    <col min="11783" max="11783" width="18.88671875" style="169" customWidth="1"/>
    <col min="11784" max="11784" width="15.6640625" style="169" customWidth="1"/>
    <col min="11785" max="11786" width="16.5546875" style="169" customWidth="1"/>
    <col min="11787" max="11787" width="13.109375" style="169" customWidth="1"/>
    <col min="11788" max="11788" width="13.44140625" style="169" customWidth="1"/>
    <col min="11789" max="11790" width="14.6640625" style="169" customWidth="1"/>
    <col min="11791" max="11795" width="14.44140625" style="169" customWidth="1"/>
    <col min="11796" max="11796" width="14.88671875" style="169" customWidth="1"/>
    <col min="11797" max="11797" width="10.88671875" style="169" customWidth="1"/>
    <col min="11798" max="12032" width="9.109375" style="169"/>
    <col min="12033" max="12033" width="8.44140625" style="169" customWidth="1"/>
    <col min="12034" max="12034" width="14.44140625" style="169" customWidth="1"/>
    <col min="12035" max="12035" width="15.44140625" style="169" customWidth="1"/>
    <col min="12036" max="12036" width="16.44140625" style="169" customWidth="1"/>
    <col min="12037" max="12037" width="16.109375" style="169" customWidth="1"/>
    <col min="12038" max="12038" width="13.6640625" style="169" customWidth="1"/>
    <col min="12039" max="12039" width="18.88671875" style="169" customWidth="1"/>
    <col min="12040" max="12040" width="15.6640625" style="169" customWidth="1"/>
    <col min="12041" max="12042" width="16.5546875" style="169" customWidth="1"/>
    <col min="12043" max="12043" width="13.109375" style="169" customWidth="1"/>
    <col min="12044" max="12044" width="13.44140625" style="169" customWidth="1"/>
    <col min="12045" max="12046" width="14.6640625" style="169" customWidth="1"/>
    <col min="12047" max="12051" width="14.44140625" style="169" customWidth="1"/>
    <col min="12052" max="12052" width="14.88671875" style="169" customWidth="1"/>
    <col min="12053" max="12053" width="10.88671875" style="169" customWidth="1"/>
    <col min="12054" max="12288" width="9.109375" style="169"/>
    <col min="12289" max="12289" width="8.44140625" style="169" customWidth="1"/>
    <col min="12290" max="12290" width="14.44140625" style="169" customWidth="1"/>
    <col min="12291" max="12291" width="15.44140625" style="169" customWidth="1"/>
    <col min="12292" max="12292" width="16.44140625" style="169" customWidth="1"/>
    <col min="12293" max="12293" width="16.109375" style="169" customWidth="1"/>
    <col min="12294" max="12294" width="13.6640625" style="169" customWidth="1"/>
    <col min="12295" max="12295" width="18.88671875" style="169" customWidth="1"/>
    <col min="12296" max="12296" width="15.6640625" style="169" customWidth="1"/>
    <col min="12297" max="12298" width="16.5546875" style="169" customWidth="1"/>
    <col min="12299" max="12299" width="13.109375" style="169" customWidth="1"/>
    <col min="12300" max="12300" width="13.44140625" style="169" customWidth="1"/>
    <col min="12301" max="12302" width="14.6640625" style="169" customWidth="1"/>
    <col min="12303" max="12307" width="14.44140625" style="169" customWidth="1"/>
    <col min="12308" max="12308" width="14.88671875" style="169" customWidth="1"/>
    <col min="12309" max="12309" width="10.88671875" style="169" customWidth="1"/>
    <col min="12310" max="12544" width="9.109375" style="169"/>
    <col min="12545" max="12545" width="8.44140625" style="169" customWidth="1"/>
    <col min="12546" max="12546" width="14.44140625" style="169" customWidth="1"/>
    <col min="12547" max="12547" width="15.44140625" style="169" customWidth="1"/>
    <col min="12548" max="12548" width="16.44140625" style="169" customWidth="1"/>
    <col min="12549" max="12549" width="16.109375" style="169" customWidth="1"/>
    <col min="12550" max="12550" width="13.6640625" style="169" customWidth="1"/>
    <col min="12551" max="12551" width="18.88671875" style="169" customWidth="1"/>
    <col min="12552" max="12552" width="15.6640625" style="169" customWidth="1"/>
    <col min="12553" max="12554" width="16.5546875" style="169" customWidth="1"/>
    <col min="12555" max="12555" width="13.109375" style="169" customWidth="1"/>
    <col min="12556" max="12556" width="13.44140625" style="169" customWidth="1"/>
    <col min="12557" max="12558" width="14.6640625" style="169" customWidth="1"/>
    <col min="12559" max="12563" width="14.44140625" style="169" customWidth="1"/>
    <col min="12564" max="12564" width="14.88671875" style="169" customWidth="1"/>
    <col min="12565" max="12565" width="10.88671875" style="169" customWidth="1"/>
    <col min="12566" max="12800" width="9.109375" style="169"/>
    <col min="12801" max="12801" width="8.44140625" style="169" customWidth="1"/>
    <col min="12802" max="12802" width="14.44140625" style="169" customWidth="1"/>
    <col min="12803" max="12803" width="15.44140625" style="169" customWidth="1"/>
    <col min="12804" max="12804" width="16.44140625" style="169" customWidth="1"/>
    <col min="12805" max="12805" width="16.109375" style="169" customWidth="1"/>
    <col min="12806" max="12806" width="13.6640625" style="169" customWidth="1"/>
    <col min="12807" max="12807" width="18.88671875" style="169" customWidth="1"/>
    <col min="12808" max="12808" width="15.6640625" style="169" customWidth="1"/>
    <col min="12809" max="12810" width="16.5546875" style="169" customWidth="1"/>
    <col min="12811" max="12811" width="13.109375" style="169" customWidth="1"/>
    <col min="12812" max="12812" width="13.44140625" style="169" customWidth="1"/>
    <col min="12813" max="12814" width="14.6640625" style="169" customWidth="1"/>
    <col min="12815" max="12819" width="14.44140625" style="169" customWidth="1"/>
    <col min="12820" max="12820" width="14.88671875" style="169" customWidth="1"/>
    <col min="12821" max="12821" width="10.88671875" style="169" customWidth="1"/>
    <col min="12822" max="13056" width="9.109375" style="169"/>
    <col min="13057" max="13057" width="8.44140625" style="169" customWidth="1"/>
    <col min="13058" max="13058" width="14.44140625" style="169" customWidth="1"/>
    <col min="13059" max="13059" width="15.44140625" style="169" customWidth="1"/>
    <col min="13060" max="13060" width="16.44140625" style="169" customWidth="1"/>
    <col min="13061" max="13061" width="16.109375" style="169" customWidth="1"/>
    <col min="13062" max="13062" width="13.6640625" style="169" customWidth="1"/>
    <col min="13063" max="13063" width="18.88671875" style="169" customWidth="1"/>
    <col min="13064" max="13064" width="15.6640625" style="169" customWidth="1"/>
    <col min="13065" max="13066" width="16.5546875" style="169" customWidth="1"/>
    <col min="13067" max="13067" width="13.109375" style="169" customWidth="1"/>
    <col min="13068" max="13068" width="13.44140625" style="169" customWidth="1"/>
    <col min="13069" max="13070" width="14.6640625" style="169" customWidth="1"/>
    <col min="13071" max="13075" width="14.44140625" style="169" customWidth="1"/>
    <col min="13076" max="13076" width="14.88671875" style="169" customWidth="1"/>
    <col min="13077" max="13077" width="10.88671875" style="169" customWidth="1"/>
    <col min="13078" max="13312" width="9.109375" style="169"/>
    <col min="13313" max="13313" width="8.44140625" style="169" customWidth="1"/>
    <col min="13314" max="13314" width="14.44140625" style="169" customWidth="1"/>
    <col min="13315" max="13315" width="15.44140625" style="169" customWidth="1"/>
    <col min="13316" max="13316" width="16.44140625" style="169" customWidth="1"/>
    <col min="13317" max="13317" width="16.109375" style="169" customWidth="1"/>
    <col min="13318" max="13318" width="13.6640625" style="169" customWidth="1"/>
    <col min="13319" max="13319" width="18.88671875" style="169" customWidth="1"/>
    <col min="13320" max="13320" width="15.6640625" style="169" customWidth="1"/>
    <col min="13321" max="13322" width="16.5546875" style="169" customWidth="1"/>
    <col min="13323" max="13323" width="13.109375" style="169" customWidth="1"/>
    <col min="13324" max="13324" width="13.44140625" style="169" customWidth="1"/>
    <col min="13325" max="13326" width="14.6640625" style="169" customWidth="1"/>
    <col min="13327" max="13331" width="14.44140625" style="169" customWidth="1"/>
    <col min="13332" max="13332" width="14.88671875" style="169" customWidth="1"/>
    <col min="13333" max="13333" width="10.88671875" style="169" customWidth="1"/>
    <col min="13334" max="13568" width="9.109375" style="169"/>
    <col min="13569" max="13569" width="8.44140625" style="169" customWidth="1"/>
    <col min="13570" max="13570" width="14.44140625" style="169" customWidth="1"/>
    <col min="13571" max="13571" width="15.44140625" style="169" customWidth="1"/>
    <col min="13572" max="13572" width="16.44140625" style="169" customWidth="1"/>
    <col min="13573" max="13573" width="16.109375" style="169" customWidth="1"/>
    <col min="13574" max="13574" width="13.6640625" style="169" customWidth="1"/>
    <col min="13575" max="13575" width="18.88671875" style="169" customWidth="1"/>
    <col min="13576" max="13576" width="15.6640625" style="169" customWidth="1"/>
    <col min="13577" max="13578" width="16.5546875" style="169" customWidth="1"/>
    <col min="13579" max="13579" width="13.109375" style="169" customWidth="1"/>
    <col min="13580" max="13580" width="13.44140625" style="169" customWidth="1"/>
    <col min="13581" max="13582" width="14.6640625" style="169" customWidth="1"/>
    <col min="13583" max="13587" width="14.44140625" style="169" customWidth="1"/>
    <col min="13588" max="13588" width="14.88671875" style="169" customWidth="1"/>
    <col min="13589" max="13589" width="10.88671875" style="169" customWidth="1"/>
    <col min="13590" max="13824" width="9.109375" style="169"/>
    <col min="13825" max="13825" width="8.44140625" style="169" customWidth="1"/>
    <col min="13826" max="13826" width="14.44140625" style="169" customWidth="1"/>
    <col min="13827" max="13827" width="15.44140625" style="169" customWidth="1"/>
    <col min="13828" max="13828" width="16.44140625" style="169" customWidth="1"/>
    <col min="13829" max="13829" width="16.109375" style="169" customWidth="1"/>
    <col min="13830" max="13830" width="13.6640625" style="169" customWidth="1"/>
    <col min="13831" max="13831" width="18.88671875" style="169" customWidth="1"/>
    <col min="13832" max="13832" width="15.6640625" style="169" customWidth="1"/>
    <col min="13833" max="13834" width="16.5546875" style="169" customWidth="1"/>
    <col min="13835" max="13835" width="13.109375" style="169" customWidth="1"/>
    <col min="13836" max="13836" width="13.44140625" style="169" customWidth="1"/>
    <col min="13837" max="13838" width="14.6640625" style="169" customWidth="1"/>
    <col min="13839" max="13843" width="14.44140625" style="169" customWidth="1"/>
    <col min="13844" max="13844" width="14.88671875" style="169" customWidth="1"/>
    <col min="13845" max="13845" width="10.88671875" style="169" customWidth="1"/>
    <col min="13846" max="14080" width="9.109375" style="169"/>
    <col min="14081" max="14081" width="8.44140625" style="169" customWidth="1"/>
    <col min="14082" max="14082" width="14.44140625" style="169" customWidth="1"/>
    <col min="14083" max="14083" width="15.44140625" style="169" customWidth="1"/>
    <col min="14084" max="14084" width="16.44140625" style="169" customWidth="1"/>
    <col min="14085" max="14085" width="16.109375" style="169" customWidth="1"/>
    <col min="14086" max="14086" width="13.6640625" style="169" customWidth="1"/>
    <col min="14087" max="14087" width="18.88671875" style="169" customWidth="1"/>
    <col min="14088" max="14088" width="15.6640625" style="169" customWidth="1"/>
    <col min="14089" max="14090" width="16.5546875" style="169" customWidth="1"/>
    <col min="14091" max="14091" width="13.109375" style="169" customWidth="1"/>
    <col min="14092" max="14092" width="13.44140625" style="169" customWidth="1"/>
    <col min="14093" max="14094" width="14.6640625" style="169" customWidth="1"/>
    <col min="14095" max="14099" width="14.44140625" style="169" customWidth="1"/>
    <col min="14100" max="14100" width="14.88671875" style="169" customWidth="1"/>
    <col min="14101" max="14101" width="10.88671875" style="169" customWidth="1"/>
    <col min="14102" max="14336" width="9.109375" style="169"/>
    <col min="14337" max="14337" width="8.44140625" style="169" customWidth="1"/>
    <col min="14338" max="14338" width="14.44140625" style="169" customWidth="1"/>
    <col min="14339" max="14339" width="15.44140625" style="169" customWidth="1"/>
    <col min="14340" max="14340" width="16.44140625" style="169" customWidth="1"/>
    <col min="14341" max="14341" width="16.109375" style="169" customWidth="1"/>
    <col min="14342" max="14342" width="13.6640625" style="169" customWidth="1"/>
    <col min="14343" max="14343" width="18.88671875" style="169" customWidth="1"/>
    <col min="14344" max="14344" width="15.6640625" style="169" customWidth="1"/>
    <col min="14345" max="14346" width="16.5546875" style="169" customWidth="1"/>
    <col min="14347" max="14347" width="13.109375" style="169" customWidth="1"/>
    <col min="14348" max="14348" width="13.44140625" style="169" customWidth="1"/>
    <col min="14349" max="14350" width="14.6640625" style="169" customWidth="1"/>
    <col min="14351" max="14355" width="14.44140625" style="169" customWidth="1"/>
    <col min="14356" max="14356" width="14.88671875" style="169" customWidth="1"/>
    <col min="14357" max="14357" width="10.88671875" style="169" customWidth="1"/>
    <col min="14358" max="14592" width="9.109375" style="169"/>
    <col min="14593" max="14593" width="8.44140625" style="169" customWidth="1"/>
    <col min="14594" max="14594" width="14.44140625" style="169" customWidth="1"/>
    <col min="14595" max="14595" width="15.44140625" style="169" customWidth="1"/>
    <col min="14596" max="14596" width="16.44140625" style="169" customWidth="1"/>
    <col min="14597" max="14597" width="16.109375" style="169" customWidth="1"/>
    <col min="14598" max="14598" width="13.6640625" style="169" customWidth="1"/>
    <col min="14599" max="14599" width="18.88671875" style="169" customWidth="1"/>
    <col min="14600" max="14600" width="15.6640625" style="169" customWidth="1"/>
    <col min="14601" max="14602" width="16.5546875" style="169" customWidth="1"/>
    <col min="14603" max="14603" width="13.109375" style="169" customWidth="1"/>
    <col min="14604" max="14604" width="13.44140625" style="169" customWidth="1"/>
    <col min="14605" max="14606" width="14.6640625" style="169" customWidth="1"/>
    <col min="14607" max="14611" width="14.44140625" style="169" customWidth="1"/>
    <col min="14612" max="14612" width="14.88671875" style="169" customWidth="1"/>
    <col min="14613" max="14613" width="10.88671875" style="169" customWidth="1"/>
    <col min="14614" max="14848" width="9.109375" style="169"/>
    <col min="14849" max="14849" width="8.44140625" style="169" customWidth="1"/>
    <col min="14850" max="14850" width="14.44140625" style="169" customWidth="1"/>
    <col min="14851" max="14851" width="15.44140625" style="169" customWidth="1"/>
    <col min="14852" max="14852" width="16.44140625" style="169" customWidth="1"/>
    <col min="14853" max="14853" width="16.109375" style="169" customWidth="1"/>
    <col min="14854" max="14854" width="13.6640625" style="169" customWidth="1"/>
    <col min="14855" max="14855" width="18.88671875" style="169" customWidth="1"/>
    <col min="14856" max="14856" width="15.6640625" style="169" customWidth="1"/>
    <col min="14857" max="14858" width="16.5546875" style="169" customWidth="1"/>
    <col min="14859" max="14859" width="13.109375" style="169" customWidth="1"/>
    <col min="14860" max="14860" width="13.44140625" style="169" customWidth="1"/>
    <col min="14861" max="14862" width="14.6640625" style="169" customWidth="1"/>
    <col min="14863" max="14867" width="14.44140625" style="169" customWidth="1"/>
    <col min="14868" max="14868" width="14.88671875" style="169" customWidth="1"/>
    <col min="14869" max="14869" width="10.88671875" style="169" customWidth="1"/>
    <col min="14870" max="15104" width="9.109375" style="169"/>
    <col min="15105" max="15105" width="8.44140625" style="169" customWidth="1"/>
    <col min="15106" max="15106" width="14.44140625" style="169" customWidth="1"/>
    <col min="15107" max="15107" width="15.44140625" style="169" customWidth="1"/>
    <col min="15108" max="15108" width="16.44140625" style="169" customWidth="1"/>
    <col min="15109" max="15109" width="16.109375" style="169" customWidth="1"/>
    <col min="15110" max="15110" width="13.6640625" style="169" customWidth="1"/>
    <col min="15111" max="15111" width="18.88671875" style="169" customWidth="1"/>
    <col min="15112" max="15112" width="15.6640625" style="169" customWidth="1"/>
    <col min="15113" max="15114" width="16.5546875" style="169" customWidth="1"/>
    <col min="15115" max="15115" width="13.109375" style="169" customWidth="1"/>
    <col min="15116" max="15116" width="13.44140625" style="169" customWidth="1"/>
    <col min="15117" max="15118" width="14.6640625" style="169" customWidth="1"/>
    <col min="15119" max="15123" width="14.44140625" style="169" customWidth="1"/>
    <col min="15124" max="15124" width="14.88671875" style="169" customWidth="1"/>
    <col min="15125" max="15125" width="10.88671875" style="169" customWidth="1"/>
    <col min="15126" max="15360" width="9.109375" style="169"/>
    <col min="15361" max="15361" width="8.44140625" style="169" customWidth="1"/>
    <col min="15362" max="15362" width="14.44140625" style="169" customWidth="1"/>
    <col min="15363" max="15363" width="15.44140625" style="169" customWidth="1"/>
    <col min="15364" max="15364" width="16.44140625" style="169" customWidth="1"/>
    <col min="15365" max="15365" width="16.109375" style="169" customWidth="1"/>
    <col min="15366" max="15366" width="13.6640625" style="169" customWidth="1"/>
    <col min="15367" max="15367" width="18.88671875" style="169" customWidth="1"/>
    <col min="15368" max="15368" width="15.6640625" style="169" customWidth="1"/>
    <col min="15369" max="15370" width="16.5546875" style="169" customWidth="1"/>
    <col min="15371" max="15371" width="13.109375" style="169" customWidth="1"/>
    <col min="15372" max="15372" width="13.44140625" style="169" customWidth="1"/>
    <col min="15373" max="15374" width="14.6640625" style="169" customWidth="1"/>
    <col min="15375" max="15379" width="14.44140625" style="169" customWidth="1"/>
    <col min="15380" max="15380" width="14.88671875" style="169" customWidth="1"/>
    <col min="15381" max="15381" width="10.88671875" style="169" customWidth="1"/>
    <col min="15382" max="15616" width="9.109375" style="169"/>
    <col min="15617" max="15617" width="8.44140625" style="169" customWidth="1"/>
    <col min="15618" max="15618" width="14.44140625" style="169" customWidth="1"/>
    <col min="15619" max="15619" width="15.44140625" style="169" customWidth="1"/>
    <col min="15620" max="15620" width="16.44140625" style="169" customWidth="1"/>
    <col min="15621" max="15621" width="16.109375" style="169" customWidth="1"/>
    <col min="15622" max="15622" width="13.6640625" style="169" customWidth="1"/>
    <col min="15623" max="15623" width="18.88671875" style="169" customWidth="1"/>
    <col min="15624" max="15624" width="15.6640625" style="169" customWidth="1"/>
    <col min="15625" max="15626" width="16.5546875" style="169" customWidth="1"/>
    <col min="15627" max="15627" width="13.109375" style="169" customWidth="1"/>
    <col min="15628" max="15628" width="13.44140625" style="169" customWidth="1"/>
    <col min="15629" max="15630" width="14.6640625" style="169" customWidth="1"/>
    <col min="15631" max="15635" width="14.44140625" style="169" customWidth="1"/>
    <col min="15636" max="15636" width="14.88671875" style="169" customWidth="1"/>
    <col min="15637" max="15637" width="10.88671875" style="169" customWidth="1"/>
    <col min="15638" max="15872" width="9.109375" style="169"/>
    <col min="15873" max="15873" width="8.44140625" style="169" customWidth="1"/>
    <col min="15874" max="15874" width="14.44140625" style="169" customWidth="1"/>
    <col min="15875" max="15875" width="15.44140625" style="169" customWidth="1"/>
    <col min="15876" max="15876" width="16.44140625" style="169" customWidth="1"/>
    <col min="15877" max="15877" width="16.109375" style="169" customWidth="1"/>
    <col min="15878" max="15878" width="13.6640625" style="169" customWidth="1"/>
    <col min="15879" max="15879" width="18.88671875" style="169" customWidth="1"/>
    <col min="15880" max="15880" width="15.6640625" style="169" customWidth="1"/>
    <col min="15881" max="15882" width="16.5546875" style="169" customWidth="1"/>
    <col min="15883" max="15883" width="13.109375" style="169" customWidth="1"/>
    <col min="15884" max="15884" width="13.44140625" style="169" customWidth="1"/>
    <col min="15885" max="15886" width="14.6640625" style="169" customWidth="1"/>
    <col min="15887" max="15891" width="14.44140625" style="169" customWidth="1"/>
    <col min="15892" max="15892" width="14.88671875" style="169" customWidth="1"/>
    <col min="15893" max="15893" width="10.88671875" style="169" customWidth="1"/>
    <col min="15894" max="16128" width="9.109375" style="169"/>
    <col min="16129" max="16129" width="8.44140625" style="169" customWidth="1"/>
    <col min="16130" max="16130" width="14.44140625" style="169" customWidth="1"/>
    <col min="16131" max="16131" width="15.44140625" style="169" customWidth="1"/>
    <col min="16132" max="16132" width="16.44140625" style="169" customWidth="1"/>
    <col min="16133" max="16133" width="16.109375" style="169" customWidth="1"/>
    <col min="16134" max="16134" width="13.6640625" style="169" customWidth="1"/>
    <col min="16135" max="16135" width="18.88671875" style="169" customWidth="1"/>
    <col min="16136" max="16136" width="15.6640625" style="169" customWidth="1"/>
    <col min="16137" max="16138" width="16.5546875" style="169" customWidth="1"/>
    <col min="16139" max="16139" width="13.109375" style="169" customWidth="1"/>
    <col min="16140" max="16140" width="13.44140625" style="169" customWidth="1"/>
    <col min="16141" max="16142" width="14.6640625" style="169" customWidth="1"/>
    <col min="16143" max="16147" width="14.44140625" style="169" customWidth="1"/>
    <col min="16148" max="16148" width="14.88671875" style="169" customWidth="1"/>
    <col min="16149" max="16149" width="10.88671875" style="169" customWidth="1"/>
    <col min="16150" max="16384" width="9.109375" style="169"/>
  </cols>
  <sheetData>
    <row r="1" spans="1:10" ht="18" customHeight="1" x14ac:dyDescent="0.25">
      <c r="A1" s="538" t="s">
        <v>364</v>
      </c>
      <c r="B1" s="538"/>
      <c r="C1" s="538"/>
      <c r="D1" s="538"/>
      <c r="E1" s="538"/>
      <c r="F1" s="538"/>
      <c r="G1" s="538"/>
      <c r="H1" s="538"/>
      <c r="I1" s="538"/>
      <c r="J1" s="538"/>
    </row>
    <row r="2" spans="1:10" x14ac:dyDescent="0.25">
      <c r="A2" s="170"/>
      <c r="B2" s="171"/>
      <c r="C2" s="172"/>
      <c r="D2" s="172"/>
      <c r="E2" s="173"/>
      <c r="F2" s="173"/>
    </row>
    <row r="3" spans="1:10" x14ac:dyDescent="0.25">
      <c r="A3" s="170" t="s">
        <v>365</v>
      </c>
      <c r="B3" s="539" t="str">
        <f>+'Cuadro de Costos'!B13</f>
        <v>Tramo 4: km 450 - km 525, Accesos y Linea 1</v>
      </c>
      <c r="C3" s="539"/>
      <c r="D3" s="539"/>
      <c r="E3" s="539"/>
      <c r="F3" s="539"/>
      <c r="G3" s="539"/>
      <c r="H3" s="539"/>
      <c r="I3" s="539"/>
      <c r="J3" s="175"/>
    </row>
    <row r="4" spans="1:10" x14ac:dyDescent="0.25">
      <c r="A4" s="176"/>
      <c r="B4" s="539"/>
      <c r="C4" s="539"/>
      <c r="D4" s="539"/>
      <c r="E4" s="539"/>
      <c r="F4" s="539"/>
      <c r="G4" s="539"/>
      <c r="H4" s="539"/>
      <c r="I4" s="539"/>
      <c r="J4" s="175"/>
    </row>
    <row r="5" spans="1:10" ht="15" customHeight="1" x14ac:dyDescent="0.25">
      <c r="A5" s="540" t="str">
        <f>CONCATENATE("PLAZO: ",A42," MESES (",A43,")")</f>
        <v>PLAZO: 24 MESES (720 dias)</v>
      </c>
      <c r="B5" s="540"/>
      <c r="C5" s="540"/>
      <c r="E5" s="178" t="s">
        <v>366</v>
      </c>
    </row>
    <row r="7" spans="1:10" x14ac:dyDescent="0.25">
      <c r="C7" s="180" t="s">
        <v>367</v>
      </c>
      <c r="D7" s="541"/>
      <c r="E7" s="541"/>
      <c r="F7" s="541"/>
      <c r="H7" s="180" t="s">
        <v>368</v>
      </c>
      <c r="I7" s="181">
        <f ca="1">NOW()</f>
        <v>43033.716626388887</v>
      </c>
    </row>
    <row r="8" spans="1:10" x14ac:dyDescent="0.25">
      <c r="C8" s="180" t="str">
        <f>IF(D7=0,"MONTO ESTIMADO CON IVA:","MONTO DE CONTRATO CON IVA:")</f>
        <v>MONTO ESTIMADO CON IVA:</v>
      </c>
      <c r="D8" s="182">
        <f>+'Cuadro de Costos'!E13</f>
        <v>110200000</v>
      </c>
      <c r="E8" s="183" t="s">
        <v>369</v>
      </c>
      <c r="F8" s="169" t="s">
        <v>370</v>
      </c>
      <c r="H8" s="174" t="s">
        <v>371</v>
      </c>
      <c r="I8" s="184">
        <v>1</v>
      </c>
    </row>
    <row r="9" spans="1:10" hidden="1" x14ac:dyDescent="0.25">
      <c r="C9" s="180"/>
      <c r="D9" s="182"/>
      <c r="E9" s="177" t="s">
        <v>372</v>
      </c>
      <c r="I9" s="185"/>
    </row>
    <row r="10" spans="1:10" hidden="1" x14ac:dyDescent="0.25">
      <c r="C10" s="180"/>
      <c r="D10" s="182"/>
      <c r="E10" s="177" t="s">
        <v>369</v>
      </c>
      <c r="I10" s="185"/>
    </row>
    <row r="11" spans="1:10" x14ac:dyDescent="0.25">
      <c r="B11" s="169"/>
      <c r="C11" s="180" t="str">
        <f>IF(D7=0,"MONTO ESTIMADO SIN IVA:","MONTO DE CONTRATO SIN IVA:")</f>
        <v>MONTO ESTIMADO SIN IVA:</v>
      </c>
      <c r="D11" s="186">
        <f>D8</f>
        <v>110200000</v>
      </c>
      <c r="E11" s="187" t="s">
        <v>372</v>
      </c>
      <c r="F11" s="177"/>
    </row>
    <row r="12" spans="1:10" x14ac:dyDescent="0.25">
      <c r="B12" s="169"/>
      <c r="C12" s="180" t="s">
        <v>373</v>
      </c>
      <c r="D12" s="184">
        <v>100</v>
      </c>
      <c r="F12" s="177" t="s">
        <v>374</v>
      </c>
    </row>
    <row r="13" spans="1:10" x14ac:dyDescent="0.25">
      <c r="B13" s="169"/>
      <c r="C13" s="180" t="s">
        <v>375</v>
      </c>
      <c r="D13" s="188">
        <f>100-D12</f>
        <v>0</v>
      </c>
      <c r="F13" s="177"/>
    </row>
    <row r="14" spans="1:10" x14ac:dyDescent="0.25">
      <c r="B14" s="169"/>
      <c r="C14" s="180" t="s">
        <v>376</v>
      </c>
      <c r="D14" s="185">
        <v>20</v>
      </c>
      <c r="F14" s="177"/>
    </row>
    <row r="15" spans="1:10" x14ac:dyDescent="0.25">
      <c r="B15" s="180" t="s">
        <v>377</v>
      </c>
      <c r="C15" s="542"/>
      <c r="D15" s="542"/>
      <c r="E15" s="442" t="s">
        <v>378</v>
      </c>
      <c r="F15" s="443"/>
      <c r="H15" s="189" t="s">
        <v>379</v>
      </c>
      <c r="I15" s="184">
        <v>10</v>
      </c>
    </row>
    <row r="16" spans="1:10" ht="12.6" thickBot="1" x14ac:dyDescent="0.3">
      <c r="F16" s="190"/>
    </row>
    <row r="17" spans="1:11" ht="36.6" thickBot="1" x14ac:dyDescent="0.3">
      <c r="A17" s="191" t="s">
        <v>380</v>
      </c>
      <c r="B17" s="192" t="s">
        <v>381</v>
      </c>
      <c r="C17" s="192" t="s">
        <v>382</v>
      </c>
      <c r="D17" s="193" t="str">
        <f>CONCATENATE("MONTO MENSUAL DESCONTADO ",ROUND(D14,0),"% ANTICIPO")</f>
        <v>MONTO MENSUAL DESCONTADO 20% ANTICIPO</v>
      </c>
      <c r="E17" s="194" t="s">
        <v>383</v>
      </c>
      <c r="F17" s="195" t="s">
        <v>384</v>
      </c>
      <c r="G17" s="196" t="s">
        <v>385</v>
      </c>
      <c r="H17" s="197" t="s">
        <v>386</v>
      </c>
      <c r="I17" s="198" t="str">
        <f>CONCATENATE("DESEMBOLSOS FONDO LOCAL (",ROUND(D13,0),"%) + IVA")</f>
        <v>DESEMBOLSOS FONDO LOCAL (0%) + IVA</v>
      </c>
      <c r="J17" s="198" t="str">
        <f>CONCATENATE("DESEMBOLSOS FONDO EXTERNO (",ROUND(D12,0),"%)")</f>
        <v>DESEMBOLSOS FONDO EXTERNO (100%)</v>
      </c>
      <c r="K17" s="398"/>
    </row>
    <row r="18" spans="1:11" ht="12.75" customHeight="1" x14ac:dyDescent="0.25">
      <c r="A18" s="199">
        <v>0</v>
      </c>
      <c r="B18" s="200">
        <f>D14/100</f>
        <v>0.2</v>
      </c>
      <c r="C18" s="200">
        <v>0</v>
      </c>
      <c r="D18" s="201">
        <f>ROUND(B18*D11,0)</f>
        <v>22040000</v>
      </c>
      <c r="E18" s="202">
        <f>D18</f>
        <v>22040000</v>
      </c>
      <c r="F18" s="203">
        <f>E18/$E$42</f>
        <v>0.2</v>
      </c>
      <c r="G18" s="204" t="s">
        <v>387</v>
      </c>
      <c r="H18" s="205">
        <f t="shared" ref="H18:H33" si="0">ROUND(D18*0.1,0)</f>
        <v>2204000</v>
      </c>
      <c r="I18" s="206">
        <f t="shared" ref="I18:I42" si="1">ROUNDUP((D18+H18-J18),-(LEN(D18)-$I$15))</f>
        <v>2204000</v>
      </c>
      <c r="J18" s="206">
        <f t="shared" ref="J18:J33" si="2">ROUNDUP(D18*$D$12/100,-(LEN(D18)-$I$15))</f>
        <v>22040000</v>
      </c>
      <c r="K18" s="398"/>
    </row>
    <row r="19" spans="1:11" ht="12.6" thickBot="1" x14ac:dyDescent="0.3">
      <c r="A19" s="207">
        <v>1</v>
      </c>
      <c r="B19" s="208">
        <v>2.5000000000000001E-2</v>
      </c>
      <c r="C19" s="208">
        <f t="shared" ref="C19:C42" si="3">B19+C18</f>
        <v>2.5000000000000001E-2</v>
      </c>
      <c r="D19" s="209">
        <f>ROUND(B19*$D$11*(100-$D$14)/100,0)</f>
        <v>2204000</v>
      </c>
      <c r="E19" s="210">
        <f t="shared" ref="E19:E33" si="4">E18+D19</f>
        <v>24244000</v>
      </c>
      <c r="F19" s="211">
        <f>E19/$E$42</f>
        <v>0.22</v>
      </c>
      <c r="G19" s="212" t="s">
        <v>196</v>
      </c>
      <c r="H19" s="213">
        <f t="shared" si="0"/>
        <v>220400</v>
      </c>
      <c r="I19" s="214">
        <f t="shared" si="1"/>
        <v>220400</v>
      </c>
      <c r="J19" s="214">
        <f t="shared" si="2"/>
        <v>2204000</v>
      </c>
      <c r="K19" s="398"/>
    </row>
    <row r="20" spans="1:11" x14ac:dyDescent="0.25">
      <c r="A20" s="207">
        <v>2</v>
      </c>
      <c r="B20" s="208">
        <v>0.03</v>
      </c>
      <c r="C20" s="208">
        <f t="shared" si="3"/>
        <v>5.5E-2</v>
      </c>
      <c r="D20" s="209">
        <f t="shared" ref="D20:D42" si="5">ROUND(B20*$D$11*(100-$D$14)/100,0)</f>
        <v>2644800</v>
      </c>
      <c r="E20" s="210">
        <f t="shared" si="4"/>
        <v>26888800</v>
      </c>
      <c r="F20" s="203">
        <f t="shared" ref="F20:F42" si="6">E20/$E$42</f>
        <v>0.24399999999999999</v>
      </c>
      <c r="G20" s="212" t="s">
        <v>197</v>
      </c>
      <c r="H20" s="213">
        <f t="shared" si="0"/>
        <v>264480</v>
      </c>
      <c r="I20" s="214">
        <f t="shared" si="1"/>
        <v>264480</v>
      </c>
      <c r="J20" s="214">
        <f t="shared" si="2"/>
        <v>2644800</v>
      </c>
      <c r="K20" s="399"/>
    </row>
    <row r="21" spans="1:11" ht="12.6" thickBot="1" x14ac:dyDescent="0.3">
      <c r="A21" s="207">
        <v>3</v>
      </c>
      <c r="B21" s="208">
        <v>3.5000000000000003E-2</v>
      </c>
      <c r="C21" s="208">
        <f>B21+C20</f>
        <v>0.09</v>
      </c>
      <c r="D21" s="209">
        <f t="shared" si="5"/>
        <v>3085600</v>
      </c>
      <c r="E21" s="210">
        <f t="shared" si="4"/>
        <v>29974400</v>
      </c>
      <c r="F21" s="211">
        <f t="shared" si="6"/>
        <v>0.27200000000000002</v>
      </c>
      <c r="G21" s="212" t="s">
        <v>198</v>
      </c>
      <c r="H21" s="213">
        <f t="shared" si="0"/>
        <v>308560</v>
      </c>
      <c r="I21" s="214">
        <f t="shared" si="1"/>
        <v>308560</v>
      </c>
      <c r="J21" s="214">
        <f t="shared" si="2"/>
        <v>3085600</v>
      </c>
      <c r="K21" s="398"/>
    </row>
    <row r="22" spans="1:11" x14ac:dyDescent="0.25">
      <c r="A22" s="207">
        <v>4</v>
      </c>
      <c r="B22" s="208">
        <v>3.5000000000000003E-2</v>
      </c>
      <c r="C22" s="208">
        <f t="shared" si="3"/>
        <v>0.125</v>
      </c>
      <c r="D22" s="209">
        <f t="shared" si="5"/>
        <v>3085600</v>
      </c>
      <c r="E22" s="210">
        <f t="shared" si="4"/>
        <v>33060000</v>
      </c>
      <c r="F22" s="203">
        <f t="shared" si="6"/>
        <v>0.3</v>
      </c>
      <c r="G22" s="212" t="s">
        <v>199</v>
      </c>
      <c r="H22" s="213">
        <f t="shared" si="0"/>
        <v>308560</v>
      </c>
      <c r="I22" s="214">
        <f t="shared" si="1"/>
        <v>308560</v>
      </c>
      <c r="J22" s="214">
        <f t="shared" si="2"/>
        <v>3085600</v>
      </c>
      <c r="K22" s="400"/>
    </row>
    <row r="23" spans="1:11" ht="12.6" thickBot="1" x14ac:dyDescent="0.3">
      <c r="A23" s="207">
        <v>5</v>
      </c>
      <c r="B23" s="208">
        <v>0.04</v>
      </c>
      <c r="C23" s="208">
        <f t="shared" si="3"/>
        <v>0.16500000000000001</v>
      </c>
      <c r="D23" s="209">
        <f t="shared" si="5"/>
        <v>3526400</v>
      </c>
      <c r="E23" s="210">
        <f t="shared" si="4"/>
        <v>36586400</v>
      </c>
      <c r="F23" s="211">
        <f t="shared" si="6"/>
        <v>0.33200000000000002</v>
      </c>
      <c r="G23" s="212" t="s">
        <v>200</v>
      </c>
      <c r="H23" s="213">
        <f t="shared" si="0"/>
        <v>352640</v>
      </c>
      <c r="I23" s="214">
        <f t="shared" si="1"/>
        <v>352640</v>
      </c>
      <c r="J23" s="214">
        <f t="shared" si="2"/>
        <v>3526400</v>
      </c>
      <c r="K23" s="400"/>
    </row>
    <row r="24" spans="1:11" x14ac:dyDescent="0.25">
      <c r="A24" s="207">
        <v>6</v>
      </c>
      <c r="B24" s="208">
        <v>4.4999999999999998E-2</v>
      </c>
      <c r="C24" s="208">
        <f t="shared" si="3"/>
        <v>0.21000000000000002</v>
      </c>
      <c r="D24" s="209">
        <f t="shared" si="5"/>
        <v>3967200</v>
      </c>
      <c r="E24" s="210">
        <f t="shared" si="4"/>
        <v>40553600</v>
      </c>
      <c r="F24" s="203">
        <f t="shared" si="6"/>
        <v>0.36799999999999999</v>
      </c>
      <c r="G24" s="212" t="s">
        <v>201</v>
      </c>
      <c r="H24" s="213">
        <f t="shared" si="0"/>
        <v>396720</v>
      </c>
      <c r="I24" s="214">
        <f t="shared" si="1"/>
        <v>396720</v>
      </c>
      <c r="J24" s="214">
        <f t="shared" si="2"/>
        <v>3967200</v>
      </c>
      <c r="K24" s="400"/>
    </row>
    <row r="25" spans="1:11" ht="12.6" thickBot="1" x14ac:dyDescent="0.3">
      <c r="A25" s="207">
        <v>7</v>
      </c>
      <c r="B25" s="208">
        <v>4.4999999999999998E-2</v>
      </c>
      <c r="C25" s="208">
        <f t="shared" si="3"/>
        <v>0.255</v>
      </c>
      <c r="D25" s="209">
        <f t="shared" si="5"/>
        <v>3967200</v>
      </c>
      <c r="E25" s="210">
        <f t="shared" si="4"/>
        <v>44520800</v>
      </c>
      <c r="F25" s="211">
        <f t="shared" si="6"/>
        <v>0.40400000000000003</v>
      </c>
      <c r="G25" s="212" t="s">
        <v>202</v>
      </c>
      <c r="H25" s="213">
        <f t="shared" si="0"/>
        <v>396720</v>
      </c>
      <c r="I25" s="214">
        <f t="shared" si="1"/>
        <v>396720</v>
      </c>
      <c r="J25" s="214">
        <f t="shared" si="2"/>
        <v>3967200</v>
      </c>
      <c r="K25" s="401"/>
    </row>
    <row r="26" spans="1:11" x14ac:dyDescent="0.25">
      <c r="A26" s="207">
        <v>8</v>
      </c>
      <c r="B26" s="208">
        <v>0.05</v>
      </c>
      <c r="C26" s="208">
        <f t="shared" si="3"/>
        <v>0.30499999999999999</v>
      </c>
      <c r="D26" s="209">
        <f t="shared" si="5"/>
        <v>4408000</v>
      </c>
      <c r="E26" s="210">
        <f t="shared" si="4"/>
        <v>48928800</v>
      </c>
      <c r="F26" s="203">
        <f t="shared" si="6"/>
        <v>0.44400000000000001</v>
      </c>
      <c r="G26" s="212" t="s">
        <v>203</v>
      </c>
      <c r="H26" s="213">
        <f t="shared" si="0"/>
        <v>440800</v>
      </c>
      <c r="I26" s="214">
        <f t="shared" si="1"/>
        <v>440800</v>
      </c>
      <c r="J26" s="214">
        <f t="shared" si="2"/>
        <v>4408000</v>
      </c>
      <c r="K26" s="400"/>
    </row>
    <row r="27" spans="1:11" ht="12.6" thickBot="1" x14ac:dyDescent="0.3">
      <c r="A27" s="207">
        <v>9</v>
      </c>
      <c r="B27" s="208">
        <v>5.5E-2</v>
      </c>
      <c r="C27" s="208">
        <f t="shared" si="3"/>
        <v>0.36</v>
      </c>
      <c r="D27" s="209">
        <f t="shared" si="5"/>
        <v>4848800</v>
      </c>
      <c r="E27" s="210">
        <f t="shared" si="4"/>
        <v>53777600</v>
      </c>
      <c r="F27" s="211">
        <f t="shared" si="6"/>
        <v>0.48799999999999999</v>
      </c>
      <c r="G27" s="212" t="s">
        <v>204</v>
      </c>
      <c r="H27" s="213">
        <f t="shared" si="0"/>
        <v>484880</v>
      </c>
      <c r="I27" s="214">
        <f t="shared" si="1"/>
        <v>484880</v>
      </c>
      <c r="J27" s="214">
        <f t="shared" si="2"/>
        <v>4848800</v>
      </c>
      <c r="K27" s="400"/>
    </row>
    <row r="28" spans="1:11" x14ac:dyDescent="0.25">
      <c r="A28" s="207">
        <v>10</v>
      </c>
      <c r="B28" s="208">
        <v>5.5E-2</v>
      </c>
      <c r="C28" s="208">
        <f t="shared" si="3"/>
        <v>0.41499999999999998</v>
      </c>
      <c r="D28" s="209">
        <f t="shared" si="5"/>
        <v>4848800</v>
      </c>
      <c r="E28" s="210">
        <f t="shared" si="4"/>
        <v>58626400</v>
      </c>
      <c r="F28" s="203">
        <f t="shared" si="6"/>
        <v>0.53200000000000003</v>
      </c>
      <c r="G28" s="212" t="s">
        <v>205</v>
      </c>
      <c r="H28" s="213">
        <f t="shared" si="0"/>
        <v>484880</v>
      </c>
      <c r="I28" s="214">
        <f t="shared" si="1"/>
        <v>484880</v>
      </c>
      <c r="J28" s="214">
        <f t="shared" si="2"/>
        <v>4848800</v>
      </c>
      <c r="K28" s="400"/>
    </row>
    <row r="29" spans="1:11" ht="12.6" thickBot="1" x14ac:dyDescent="0.3">
      <c r="A29" s="207">
        <v>11</v>
      </c>
      <c r="B29" s="208">
        <v>5.5E-2</v>
      </c>
      <c r="C29" s="208">
        <f t="shared" si="3"/>
        <v>0.47</v>
      </c>
      <c r="D29" s="209">
        <f t="shared" si="5"/>
        <v>4848800</v>
      </c>
      <c r="E29" s="210">
        <f t="shared" si="4"/>
        <v>63475200</v>
      </c>
      <c r="F29" s="211">
        <f t="shared" si="6"/>
        <v>0.57599999999999996</v>
      </c>
      <c r="G29" s="212" t="s">
        <v>206</v>
      </c>
      <c r="H29" s="213">
        <f t="shared" si="0"/>
        <v>484880</v>
      </c>
      <c r="I29" s="214">
        <f t="shared" si="1"/>
        <v>484880</v>
      </c>
      <c r="J29" s="214">
        <f t="shared" si="2"/>
        <v>4848800</v>
      </c>
      <c r="K29" s="400"/>
    </row>
    <row r="30" spans="1:11" x14ac:dyDescent="0.25">
      <c r="A30" s="207">
        <v>12</v>
      </c>
      <c r="B30" s="208">
        <v>0.06</v>
      </c>
      <c r="C30" s="208">
        <f t="shared" si="3"/>
        <v>0.53</v>
      </c>
      <c r="D30" s="209">
        <f t="shared" si="5"/>
        <v>5289600</v>
      </c>
      <c r="E30" s="210">
        <f t="shared" si="4"/>
        <v>68764800</v>
      </c>
      <c r="F30" s="203">
        <f t="shared" si="6"/>
        <v>0.624</v>
      </c>
      <c r="G30" s="212" t="s">
        <v>207</v>
      </c>
      <c r="H30" s="213">
        <f t="shared" si="0"/>
        <v>528960</v>
      </c>
      <c r="I30" s="214">
        <f t="shared" si="1"/>
        <v>528960</v>
      </c>
      <c r="J30" s="214">
        <f t="shared" si="2"/>
        <v>5289600</v>
      </c>
      <c r="K30" s="400"/>
    </row>
    <row r="31" spans="1:11" ht="12.6" thickBot="1" x14ac:dyDescent="0.3">
      <c r="A31" s="207">
        <v>13</v>
      </c>
      <c r="B31" s="208">
        <v>7.0000000000000007E-2</v>
      </c>
      <c r="C31" s="208">
        <f t="shared" si="3"/>
        <v>0.60000000000000009</v>
      </c>
      <c r="D31" s="209">
        <f t="shared" si="5"/>
        <v>6171200</v>
      </c>
      <c r="E31" s="210">
        <f t="shared" si="4"/>
        <v>74936000</v>
      </c>
      <c r="F31" s="211">
        <f t="shared" si="6"/>
        <v>0.68</v>
      </c>
      <c r="G31" s="212" t="s">
        <v>208</v>
      </c>
      <c r="H31" s="213">
        <f t="shared" si="0"/>
        <v>617120</v>
      </c>
      <c r="I31" s="214">
        <f t="shared" si="1"/>
        <v>617120</v>
      </c>
      <c r="J31" s="214">
        <f t="shared" si="2"/>
        <v>6171200</v>
      </c>
      <c r="K31" s="400"/>
    </row>
    <row r="32" spans="1:11" x14ac:dyDescent="0.25">
      <c r="A32" s="207">
        <v>14</v>
      </c>
      <c r="B32" s="208">
        <v>7.0000000000000007E-2</v>
      </c>
      <c r="C32" s="208">
        <f t="shared" si="3"/>
        <v>0.67000000000000015</v>
      </c>
      <c r="D32" s="209">
        <f t="shared" si="5"/>
        <v>6171200</v>
      </c>
      <c r="E32" s="210">
        <f t="shared" si="4"/>
        <v>81107200</v>
      </c>
      <c r="F32" s="203">
        <f t="shared" si="6"/>
        <v>0.73599999999999999</v>
      </c>
      <c r="G32" s="212" t="s">
        <v>209</v>
      </c>
      <c r="H32" s="213">
        <f t="shared" si="0"/>
        <v>617120</v>
      </c>
      <c r="I32" s="214">
        <f t="shared" si="1"/>
        <v>617120</v>
      </c>
      <c r="J32" s="214">
        <f t="shared" si="2"/>
        <v>6171200</v>
      </c>
      <c r="K32" s="402"/>
    </row>
    <row r="33" spans="1:11" ht="12.6" thickBot="1" x14ac:dyDescent="0.3">
      <c r="A33" s="207">
        <v>15</v>
      </c>
      <c r="B33" s="208">
        <v>6.5000000000000002E-2</v>
      </c>
      <c r="C33" s="208">
        <f t="shared" si="3"/>
        <v>0.7350000000000001</v>
      </c>
      <c r="D33" s="209">
        <f t="shared" si="5"/>
        <v>5730400</v>
      </c>
      <c r="E33" s="210">
        <f t="shared" si="4"/>
        <v>86837600</v>
      </c>
      <c r="F33" s="211">
        <f t="shared" si="6"/>
        <v>0.78800000000000003</v>
      </c>
      <c r="G33" s="212" t="s">
        <v>210</v>
      </c>
      <c r="H33" s="213">
        <f t="shared" si="0"/>
        <v>573040</v>
      </c>
      <c r="I33" s="214">
        <f t="shared" si="1"/>
        <v>573040</v>
      </c>
      <c r="J33" s="214">
        <f t="shared" si="2"/>
        <v>5730400</v>
      </c>
      <c r="K33" s="400"/>
    </row>
    <row r="34" spans="1:11" x14ac:dyDescent="0.25">
      <c r="A34" s="207">
        <v>16</v>
      </c>
      <c r="B34" s="208">
        <v>6.5000000000000002E-2</v>
      </c>
      <c r="C34" s="208">
        <f t="shared" si="3"/>
        <v>0.8</v>
      </c>
      <c r="D34" s="209">
        <f t="shared" si="5"/>
        <v>5730400</v>
      </c>
      <c r="E34" s="210">
        <f>E33+D34</f>
        <v>92568000</v>
      </c>
      <c r="F34" s="203">
        <f t="shared" si="6"/>
        <v>0.84</v>
      </c>
      <c r="G34" s="212" t="s">
        <v>211</v>
      </c>
      <c r="H34" s="213">
        <f>ROUND(D34*0.1,0)</f>
        <v>573040</v>
      </c>
      <c r="I34" s="214">
        <f t="shared" si="1"/>
        <v>573040</v>
      </c>
      <c r="J34" s="214">
        <f>ROUNDUP(D34*$D$12/100,-(LEN(D34)-$I$15))</f>
        <v>5730400</v>
      </c>
      <c r="K34" s="400"/>
    </row>
    <row r="35" spans="1:11" ht="12.6" thickBot="1" x14ac:dyDescent="0.3">
      <c r="A35" s="207">
        <v>17</v>
      </c>
      <c r="B35" s="208">
        <v>0.05</v>
      </c>
      <c r="C35" s="208">
        <f t="shared" si="3"/>
        <v>0.85000000000000009</v>
      </c>
      <c r="D35" s="209">
        <f t="shared" si="5"/>
        <v>4408000</v>
      </c>
      <c r="E35" s="210">
        <f>E34+D35</f>
        <v>96976000</v>
      </c>
      <c r="F35" s="211">
        <f t="shared" si="6"/>
        <v>0.88</v>
      </c>
      <c r="G35" s="212" t="s">
        <v>212</v>
      </c>
      <c r="H35" s="213">
        <f>ROUND(D35*0.1,0)</f>
        <v>440800</v>
      </c>
      <c r="I35" s="214">
        <f t="shared" si="1"/>
        <v>440800</v>
      </c>
      <c r="J35" s="214">
        <f>ROUNDUP(D35*$D$12/100,-(LEN(D35)-$I$15))</f>
        <v>4408000</v>
      </c>
      <c r="K35" s="400"/>
    </row>
    <row r="36" spans="1:11" ht="12.6" thickBot="1" x14ac:dyDescent="0.3">
      <c r="A36" s="219">
        <v>18</v>
      </c>
      <c r="B36" s="208">
        <v>0.05</v>
      </c>
      <c r="C36" s="208">
        <f t="shared" si="3"/>
        <v>0.90000000000000013</v>
      </c>
      <c r="D36" s="209">
        <f t="shared" si="5"/>
        <v>4408000</v>
      </c>
      <c r="E36" s="222">
        <f>E35+D36</f>
        <v>101384000</v>
      </c>
      <c r="F36" s="203">
        <f t="shared" si="6"/>
        <v>0.92</v>
      </c>
      <c r="G36" s="224" t="s">
        <v>213</v>
      </c>
      <c r="H36" s="225">
        <f>ROUND(D36*0.1,0)</f>
        <v>440800</v>
      </c>
      <c r="I36" s="214">
        <f t="shared" si="1"/>
        <v>440800</v>
      </c>
      <c r="J36" s="226">
        <f>ROUNDUP(D36*$D$12/100,-(LEN(D36)-$I$15))</f>
        <v>4408000</v>
      </c>
      <c r="K36" s="402"/>
    </row>
    <row r="37" spans="1:11" ht="12.6" thickBot="1" x14ac:dyDescent="0.3">
      <c r="A37" s="207">
        <v>19</v>
      </c>
      <c r="B37" s="208">
        <v>0.04</v>
      </c>
      <c r="C37" s="208">
        <f t="shared" si="3"/>
        <v>0.94000000000000017</v>
      </c>
      <c r="D37" s="209">
        <f t="shared" si="5"/>
        <v>3526400</v>
      </c>
      <c r="E37" s="210">
        <f t="shared" ref="E37:E42" si="7">E36+D37</f>
        <v>104910400</v>
      </c>
      <c r="F37" s="211">
        <f t="shared" si="6"/>
        <v>0.95199999999999996</v>
      </c>
      <c r="G37" s="212" t="s">
        <v>214</v>
      </c>
      <c r="H37" s="213">
        <f t="shared" ref="H37:H42" si="8">ROUND(D37*0.1,0)</f>
        <v>352640</v>
      </c>
      <c r="I37" s="214">
        <f t="shared" si="1"/>
        <v>352640</v>
      </c>
      <c r="J37" s="226">
        <f t="shared" ref="J37:J42" si="9">ROUNDUP(D37*$D$12/100,-(LEN(D37)-$I$15))</f>
        <v>3526400</v>
      </c>
      <c r="K37" s="402"/>
    </row>
    <row r="38" spans="1:11" ht="12.6" thickBot="1" x14ac:dyDescent="0.3">
      <c r="A38" s="219">
        <v>20</v>
      </c>
      <c r="B38" s="208">
        <v>0.02</v>
      </c>
      <c r="C38" s="208">
        <f t="shared" si="3"/>
        <v>0.96000000000000019</v>
      </c>
      <c r="D38" s="209">
        <f t="shared" si="5"/>
        <v>1763200</v>
      </c>
      <c r="E38" s="222">
        <f t="shared" si="7"/>
        <v>106673600</v>
      </c>
      <c r="F38" s="203">
        <f t="shared" si="6"/>
        <v>0.96799999999999997</v>
      </c>
      <c r="G38" s="224" t="s">
        <v>215</v>
      </c>
      <c r="H38" s="225">
        <f t="shared" si="8"/>
        <v>176320</v>
      </c>
      <c r="I38" s="214">
        <f t="shared" si="1"/>
        <v>176320</v>
      </c>
      <c r="J38" s="226">
        <f t="shared" si="9"/>
        <v>1763200</v>
      </c>
      <c r="K38" s="402"/>
    </row>
    <row r="39" spans="1:11" ht="12.6" thickBot="1" x14ac:dyDescent="0.3">
      <c r="A39" s="207">
        <v>21</v>
      </c>
      <c r="B39" s="238">
        <v>0.01</v>
      </c>
      <c r="C39" s="208">
        <f t="shared" si="3"/>
        <v>0.9700000000000002</v>
      </c>
      <c r="D39" s="209">
        <f t="shared" si="5"/>
        <v>881600</v>
      </c>
      <c r="E39" s="210">
        <f t="shared" si="7"/>
        <v>107555200</v>
      </c>
      <c r="F39" s="211">
        <f t="shared" si="6"/>
        <v>0.97599999999999998</v>
      </c>
      <c r="G39" s="212" t="s">
        <v>216</v>
      </c>
      <c r="H39" s="213">
        <f t="shared" si="8"/>
        <v>88160</v>
      </c>
      <c r="I39" s="226">
        <f>ROUNDUP((D39+H39-J39),-(LEN(D39)-$I$15))</f>
        <v>88160</v>
      </c>
      <c r="J39" s="226">
        <f t="shared" si="9"/>
        <v>881600</v>
      </c>
      <c r="K39" s="402"/>
    </row>
    <row r="40" spans="1:11" ht="12.6" thickBot="1" x14ac:dyDescent="0.3">
      <c r="A40" s="219">
        <v>22</v>
      </c>
      <c r="B40" s="208">
        <v>0.01</v>
      </c>
      <c r="C40" s="208">
        <f t="shared" si="3"/>
        <v>0.9800000000000002</v>
      </c>
      <c r="D40" s="209">
        <f t="shared" si="5"/>
        <v>881600</v>
      </c>
      <c r="E40" s="222">
        <f t="shared" si="7"/>
        <v>108436800</v>
      </c>
      <c r="F40" s="203">
        <f t="shared" si="6"/>
        <v>0.98399999999999999</v>
      </c>
      <c r="G40" s="224" t="s">
        <v>217</v>
      </c>
      <c r="H40" s="225">
        <f t="shared" si="8"/>
        <v>88160</v>
      </c>
      <c r="I40" s="214">
        <f t="shared" si="1"/>
        <v>88160</v>
      </c>
      <c r="J40" s="226">
        <f t="shared" si="9"/>
        <v>881600</v>
      </c>
      <c r="K40" s="402"/>
    </row>
    <row r="41" spans="1:11" ht="12.6" thickBot="1" x14ac:dyDescent="0.3">
      <c r="A41" s="207">
        <v>23</v>
      </c>
      <c r="B41" s="208">
        <v>0.01</v>
      </c>
      <c r="C41" s="208">
        <f t="shared" si="3"/>
        <v>0.99000000000000021</v>
      </c>
      <c r="D41" s="209">
        <f t="shared" si="5"/>
        <v>881600</v>
      </c>
      <c r="E41" s="210">
        <f t="shared" si="7"/>
        <v>109318400</v>
      </c>
      <c r="F41" s="211">
        <f t="shared" si="6"/>
        <v>0.99199999999999999</v>
      </c>
      <c r="G41" s="212" t="s">
        <v>218</v>
      </c>
      <c r="H41" s="213">
        <f t="shared" si="8"/>
        <v>88160</v>
      </c>
      <c r="I41" s="214">
        <f t="shared" si="1"/>
        <v>88160</v>
      </c>
      <c r="J41" s="226">
        <f t="shared" si="9"/>
        <v>881600</v>
      </c>
      <c r="K41" s="402"/>
    </row>
    <row r="42" spans="1:11" ht="12.6" thickBot="1" x14ac:dyDescent="0.3">
      <c r="A42" s="219">
        <v>24</v>
      </c>
      <c r="B42" s="220">
        <v>0.01</v>
      </c>
      <c r="C42" s="208">
        <f t="shared" si="3"/>
        <v>1.0000000000000002</v>
      </c>
      <c r="D42" s="209">
        <f t="shared" si="5"/>
        <v>881600</v>
      </c>
      <c r="E42" s="222">
        <f t="shared" si="7"/>
        <v>110200000</v>
      </c>
      <c r="F42" s="203">
        <f t="shared" si="6"/>
        <v>1</v>
      </c>
      <c r="G42" s="224" t="s">
        <v>219</v>
      </c>
      <c r="H42" s="225">
        <f t="shared" si="8"/>
        <v>88160</v>
      </c>
      <c r="I42" s="226">
        <f t="shared" si="1"/>
        <v>88160</v>
      </c>
      <c r="J42" s="226">
        <f t="shared" si="9"/>
        <v>881600</v>
      </c>
      <c r="K42" s="402"/>
    </row>
    <row r="43" spans="1:11" ht="20.25" customHeight="1" thickBot="1" x14ac:dyDescent="0.3">
      <c r="A43" s="227" t="str">
        <f>A42*30 &amp; " dias"</f>
        <v>720 dias</v>
      </c>
      <c r="B43" s="228">
        <f>SUM(B19:B42)</f>
        <v>1.0000000000000002</v>
      </c>
      <c r="C43" s="229"/>
      <c r="D43" s="230">
        <f>SUM(D18:D42)</f>
        <v>110200000</v>
      </c>
      <c r="E43" s="169"/>
      <c r="H43" s="169"/>
      <c r="I43" s="231">
        <f>SUM(I18:I42)</f>
        <v>11020000</v>
      </c>
      <c r="J43" s="231">
        <f>SUM(J18:J42)</f>
        <v>110200000</v>
      </c>
      <c r="K43" s="400"/>
    </row>
    <row r="44" spans="1:11" ht="15" customHeight="1" x14ac:dyDescent="0.25">
      <c r="A44" s="174"/>
      <c r="F44" s="177"/>
      <c r="G44" s="177"/>
      <c r="H44" s="180" t="s">
        <v>388</v>
      </c>
      <c r="I44" s="536">
        <f>I43+J43</f>
        <v>121220000</v>
      </c>
      <c r="J44" s="537"/>
    </row>
    <row r="45" spans="1:11" x14ac:dyDescent="0.25">
      <c r="A45" s="173" t="s">
        <v>389</v>
      </c>
      <c r="B45" s="173"/>
      <c r="C45" s="173"/>
      <c r="H45" s="180" t="s">
        <v>390</v>
      </c>
      <c r="I45" s="189">
        <f>I44/1.1-D11</f>
        <v>0</v>
      </c>
    </row>
    <row r="46" spans="1:11" x14ac:dyDescent="0.25">
      <c r="B46" s="232"/>
    </row>
    <row r="47" spans="1:11" x14ac:dyDescent="0.25">
      <c r="B47" s="232"/>
    </row>
    <row r="49" spans="1:27" s="235" customFormat="1" ht="12.75" customHeight="1" x14ac:dyDescent="0.25">
      <c r="A49" s="233"/>
      <c r="B49" s="234" t="s">
        <v>391</v>
      </c>
      <c r="C49" s="234" t="s">
        <v>196</v>
      </c>
      <c r="D49" s="234" t="s">
        <v>197</v>
      </c>
      <c r="E49" s="234" t="s">
        <v>198</v>
      </c>
      <c r="F49" s="234" t="s">
        <v>199</v>
      </c>
      <c r="G49" s="234" t="s">
        <v>200</v>
      </c>
      <c r="H49" s="234" t="s">
        <v>201</v>
      </c>
      <c r="I49" s="234" t="s">
        <v>202</v>
      </c>
      <c r="J49" s="234" t="s">
        <v>203</v>
      </c>
      <c r="K49" s="234" t="s">
        <v>204</v>
      </c>
      <c r="L49" s="234" t="s">
        <v>205</v>
      </c>
      <c r="M49" s="234" t="s">
        <v>206</v>
      </c>
      <c r="N49" s="234" t="s">
        <v>207</v>
      </c>
      <c r="O49" s="234" t="s">
        <v>208</v>
      </c>
      <c r="P49" s="234" t="s">
        <v>209</v>
      </c>
      <c r="Q49" s="234" t="s">
        <v>210</v>
      </c>
      <c r="R49" s="234" t="s">
        <v>211</v>
      </c>
      <c r="S49" s="234" t="s">
        <v>212</v>
      </c>
      <c r="T49" s="234" t="s">
        <v>213</v>
      </c>
      <c r="U49" s="234" t="s">
        <v>214</v>
      </c>
      <c r="V49" s="234" t="s">
        <v>215</v>
      </c>
      <c r="W49" s="234" t="s">
        <v>216</v>
      </c>
      <c r="X49" s="234" t="s">
        <v>217</v>
      </c>
      <c r="Y49" s="234" t="s">
        <v>218</v>
      </c>
      <c r="Z49" s="234" t="s">
        <v>219</v>
      </c>
    </row>
    <row r="50" spans="1:27" x14ac:dyDescent="0.25">
      <c r="A50" s="236" t="s">
        <v>392</v>
      </c>
      <c r="B50" s="209">
        <v>0</v>
      </c>
      <c r="C50" s="209">
        <v>0</v>
      </c>
      <c r="D50" s="209">
        <v>0</v>
      </c>
      <c r="E50" s="209">
        <v>0</v>
      </c>
      <c r="F50" s="209">
        <v>0</v>
      </c>
      <c r="G50" s="209">
        <v>0</v>
      </c>
      <c r="H50" s="209">
        <v>0</v>
      </c>
      <c r="I50" s="209">
        <v>0</v>
      </c>
      <c r="J50" s="209">
        <v>0</v>
      </c>
      <c r="K50" s="209">
        <v>0</v>
      </c>
      <c r="L50" s="209">
        <v>0</v>
      </c>
      <c r="M50" s="209">
        <v>0</v>
      </c>
      <c r="N50" s="209">
        <v>0</v>
      </c>
      <c r="O50" s="209">
        <v>0</v>
      </c>
      <c r="P50" s="209">
        <v>0</v>
      </c>
      <c r="Q50" s="209">
        <v>0</v>
      </c>
      <c r="R50" s="209">
        <v>0</v>
      </c>
      <c r="S50" s="209">
        <v>0</v>
      </c>
      <c r="T50" s="209">
        <v>0</v>
      </c>
      <c r="U50" s="177">
        <f>SUM(B50:T50)</f>
        <v>0</v>
      </c>
      <c r="V50" s="177">
        <f t="shared" ref="V50:AA50" si="10">SUM(C50:U50)</f>
        <v>0</v>
      </c>
      <c r="W50" s="177">
        <f t="shared" si="10"/>
        <v>0</v>
      </c>
      <c r="X50" s="177">
        <f t="shared" si="10"/>
        <v>0</v>
      </c>
      <c r="Y50" s="177">
        <f t="shared" si="10"/>
        <v>0</v>
      </c>
      <c r="Z50" s="177">
        <f t="shared" si="10"/>
        <v>0</v>
      </c>
      <c r="AA50" s="177">
        <f t="shared" si="10"/>
        <v>0</v>
      </c>
    </row>
    <row r="51" spans="1:27" x14ac:dyDescent="0.25">
      <c r="A51" s="236" t="s">
        <v>393</v>
      </c>
      <c r="B51" s="209">
        <f>$J18</f>
        <v>22040000</v>
      </c>
      <c r="C51" s="209">
        <f>$J19</f>
        <v>2204000</v>
      </c>
      <c r="D51" s="209">
        <f>$J20</f>
        <v>2644800</v>
      </c>
      <c r="E51" s="209">
        <f>$J21</f>
        <v>3085600</v>
      </c>
      <c r="F51" s="209">
        <f>$J22</f>
        <v>3085600</v>
      </c>
      <c r="G51" s="209">
        <f>$J23</f>
        <v>3526400</v>
      </c>
      <c r="H51" s="209">
        <f>$J24</f>
        <v>3967200</v>
      </c>
      <c r="I51" s="209">
        <f>$J25</f>
        <v>3967200</v>
      </c>
      <c r="J51" s="209">
        <f>$J26</f>
        <v>4408000</v>
      </c>
      <c r="K51" s="209">
        <f>$J27</f>
        <v>4848800</v>
      </c>
      <c r="L51" s="209">
        <f>$J28</f>
        <v>4848800</v>
      </c>
      <c r="M51" s="209">
        <f>$J29</f>
        <v>4848800</v>
      </c>
      <c r="N51" s="209">
        <f>$J30</f>
        <v>5289600</v>
      </c>
      <c r="O51" s="209">
        <f>$J31</f>
        <v>6171200</v>
      </c>
      <c r="P51" s="209">
        <f>$J32</f>
        <v>6171200</v>
      </c>
      <c r="Q51" s="209">
        <f>$J33</f>
        <v>5730400</v>
      </c>
      <c r="R51" s="209">
        <f>$J34</f>
        <v>5730400</v>
      </c>
      <c r="S51" s="209">
        <f>$J35</f>
        <v>4408000</v>
      </c>
      <c r="T51" s="209">
        <f>$J36</f>
        <v>4408000</v>
      </c>
      <c r="U51" s="209">
        <f>$J37</f>
        <v>3526400</v>
      </c>
      <c r="V51" s="209">
        <f>$J38</f>
        <v>1763200</v>
      </c>
      <c r="W51" s="209">
        <f>$J39</f>
        <v>881600</v>
      </c>
      <c r="X51" s="209">
        <f>$J40</f>
        <v>881600</v>
      </c>
      <c r="Y51" s="209">
        <f>$J41</f>
        <v>881600</v>
      </c>
      <c r="Z51" s="209">
        <f>$J42</f>
        <v>881600</v>
      </c>
      <c r="AA51" s="177">
        <f>SUM(B51:Z51)</f>
        <v>110200000</v>
      </c>
    </row>
    <row r="52" spans="1:27" x14ac:dyDescent="0.25">
      <c r="B52" s="209">
        <f>B50+B51</f>
        <v>22040000</v>
      </c>
      <c r="C52" s="209">
        <f t="shared" ref="C52:Z52" si="11">C50+C51</f>
        <v>2204000</v>
      </c>
      <c r="D52" s="209">
        <f t="shared" si="11"/>
        <v>2644800</v>
      </c>
      <c r="E52" s="209">
        <f t="shared" si="11"/>
        <v>3085600</v>
      </c>
      <c r="F52" s="209">
        <f t="shared" si="11"/>
        <v>3085600</v>
      </c>
      <c r="G52" s="209">
        <f t="shared" si="11"/>
        <v>3526400</v>
      </c>
      <c r="H52" s="209">
        <f t="shared" si="11"/>
        <v>3967200</v>
      </c>
      <c r="I52" s="209">
        <f t="shared" si="11"/>
        <v>3967200</v>
      </c>
      <c r="J52" s="209">
        <f t="shared" si="11"/>
        <v>4408000</v>
      </c>
      <c r="K52" s="209">
        <f t="shared" si="11"/>
        <v>4848800</v>
      </c>
      <c r="L52" s="209">
        <f t="shared" si="11"/>
        <v>4848800</v>
      </c>
      <c r="M52" s="209">
        <f t="shared" si="11"/>
        <v>4848800</v>
      </c>
      <c r="N52" s="209">
        <f t="shared" si="11"/>
        <v>5289600</v>
      </c>
      <c r="O52" s="209">
        <f t="shared" si="11"/>
        <v>6171200</v>
      </c>
      <c r="P52" s="209">
        <f t="shared" si="11"/>
        <v>6171200</v>
      </c>
      <c r="Q52" s="209">
        <f t="shared" si="11"/>
        <v>5730400</v>
      </c>
      <c r="R52" s="209">
        <f t="shared" si="11"/>
        <v>5730400</v>
      </c>
      <c r="S52" s="209">
        <f t="shared" si="11"/>
        <v>4408000</v>
      </c>
      <c r="T52" s="209">
        <f t="shared" si="11"/>
        <v>4408000</v>
      </c>
      <c r="U52" s="209">
        <f t="shared" si="11"/>
        <v>3526400</v>
      </c>
      <c r="V52" s="209">
        <f t="shared" si="11"/>
        <v>1763200</v>
      </c>
      <c r="W52" s="209">
        <f t="shared" si="11"/>
        <v>881600</v>
      </c>
      <c r="X52" s="209">
        <f t="shared" si="11"/>
        <v>881600</v>
      </c>
      <c r="Y52" s="209">
        <f t="shared" si="11"/>
        <v>881600</v>
      </c>
      <c r="Z52" s="209">
        <f t="shared" si="11"/>
        <v>881600</v>
      </c>
      <c r="AA52" s="209">
        <f>U50+AA51</f>
        <v>110200000</v>
      </c>
    </row>
    <row r="53" spans="1:27" x14ac:dyDescent="0.25">
      <c r="B53" s="237">
        <f>SUM(B52:Z52)</f>
        <v>110200000</v>
      </c>
    </row>
  </sheetData>
  <mergeCells count="6">
    <mergeCell ref="I44:J44"/>
    <mergeCell ref="A1:J1"/>
    <mergeCell ref="B3:I4"/>
    <mergeCell ref="A5:C5"/>
    <mergeCell ref="D7:F7"/>
    <mergeCell ref="C15:D15"/>
  </mergeCells>
  <printOptions horizontalCentered="1"/>
  <pageMargins left="0.39370078740157483" right="0.39370078740157483" top="1.0236220472440944" bottom="0.78740157480314965" header="0.39370078740157483" footer="0.59055118110236227"/>
  <pageSetup scale="58" orientation="landscape" blackAndWhite="1" r:id="rId1"/>
  <headerFooter alignWithMargins="0">
    <oddHeader>&amp;C&amp;14Ministerio de Obras Públicas y Comunicaciones
Dirección de Caminos Vecinales
Departamento de Planificación y Proyectos</oddHeader>
    <oddFooter>&amp;L&amp;A&amp;C&amp;N&amp;R&amp;D</oddFooter>
  </headerFooter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64"/>
  <sheetViews>
    <sheetView showGridLines="0" topLeftCell="A3" zoomScale="80" zoomScaleNormal="80" workbookViewId="0">
      <selection activeCell="A62" sqref="A62"/>
    </sheetView>
  </sheetViews>
  <sheetFormatPr defaultColWidth="11.44140625" defaultRowHeight="12" x14ac:dyDescent="0.25"/>
  <cols>
    <col min="1" max="1" width="17.44140625" style="239" customWidth="1"/>
    <col min="2" max="2" width="14.33203125" style="239" customWidth="1"/>
    <col min="3" max="3" width="16.88671875" style="239" customWidth="1"/>
    <col min="4" max="4" width="13.6640625" style="239" bestFit="1" customWidth="1"/>
    <col min="5" max="5" width="13.5546875" style="239" customWidth="1"/>
    <col min="6" max="6" width="18.33203125" style="239" customWidth="1"/>
    <col min="7" max="7" width="17.5546875" style="239" bestFit="1" customWidth="1"/>
    <col min="8" max="8" width="17.44140625" style="239" bestFit="1" customWidth="1"/>
    <col min="9" max="9" width="13.88671875" style="239" bestFit="1" customWidth="1"/>
    <col min="10" max="10" width="16.44140625" style="239" bestFit="1" customWidth="1"/>
    <col min="11" max="11" width="13.6640625" style="239" bestFit="1" customWidth="1"/>
    <col min="12" max="12" width="15.6640625" style="239" bestFit="1" customWidth="1"/>
    <col min="13" max="13" width="15.33203125" style="239" bestFit="1" customWidth="1"/>
    <col min="14" max="20" width="13.6640625" style="239" bestFit="1" customWidth="1"/>
    <col min="21" max="21" width="14.6640625" style="239" bestFit="1" customWidth="1"/>
    <col min="22" max="16384" width="11.44140625" style="239"/>
  </cols>
  <sheetData>
    <row r="1" spans="1:21" ht="15.75" customHeight="1" x14ac:dyDescent="0.25">
      <c r="A1" s="538" t="s">
        <v>364</v>
      </c>
      <c r="B1" s="538"/>
      <c r="C1" s="538"/>
      <c r="D1" s="538"/>
      <c r="E1" s="538"/>
      <c r="F1" s="538"/>
      <c r="G1" s="538"/>
      <c r="H1" s="538"/>
      <c r="I1" s="538"/>
      <c r="J1" s="538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</row>
    <row r="2" spans="1:21" x14ac:dyDescent="0.25">
      <c r="A2" s="170"/>
      <c r="B2" s="171"/>
      <c r="C2" s="172"/>
      <c r="D2" s="172"/>
      <c r="E2" s="173"/>
      <c r="F2" s="173"/>
      <c r="G2" s="169"/>
      <c r="H2" s="174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</row>
    <row r="3" spans="1:21" x14ac:dyDescent="0.25">
      <c r="A3" s="170" t="s">
        <v>365</v>
      </c>
      <c r="B3" s="539" t="str">
        <f>+'CC D'!B16</f>
        <v>Contratación de Firma Consultora para la fiscalización de la rehabilitación y mantenimiento de lotes 1 y 2</v>
      </c>
      <c r="C3" s="539"/>
      <c r="D3" s="539"/>
      <c r="E3" s="539"/>
      <c r="F3" s="539"/>
      <c r="G3" s="539"/>
      <c r="H3" s="539"/>
      <c r="I3" s="539"/>
      <c r="J3" s="175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</row>
    <row r="4" spans="1:21" x14ac:dyDescent="0.25">
      <c r="A4" s="176"/>
      <c r="B4" s="539"/>
      <c r="C4" s="539"/>
      <c r="D4" s="539"/>
      <c r="E4" s="539"/>
      <c r="F4" s="539"/>
      <c r="G4" s="539"/>
      <c r="H4" s="539"/>
      <c r="I4" s="539"/>
      <c r="J4" s="175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</row>
    <row r="5" spans="1:21" x14ac:dyDescent="0.25">
      <c r="A5" s="540" t="str">
        <f>CONCATENATE("PLAZO: ",A36," MESES (",A43,")")</f>
        <v>PLAZO: 18 MESES (720 dias)</v>
      </c>
      <c r="B5" s="540"/>
      <c r="C5" s="540"/>
      <c r="D5" s="177"/>
      <c r="E5" s="178" t="s">
        <v>366</v>
      </c>
      <c r="F5" s="169"/>
      <c r="G5" s="169"/>
      <c r="H5" s="174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</row>
    <row r="6" spans="1:21" x14ac:dyDescent="0.25">
      <c r="A6" s="169"/>
      <c r="B6" s="179"/>
      <c r="C6" s="177"/>
      <c r="D6" s="177"/>
      <c r="E6" s="177"/>
      <c r="F6" s="169"/>
      <c r="G6" s="169"/>
      <c r="H6" s="174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</row>
    <row r="7" spans="1:21" x14ac:dyDescent="0.25">
      <c r="A7" s="169"/>
      <c r="B7" s="179"/>
      <c r="C7" s="180" t="s">
        <v>367</v>
      </c>
      <c r="D7" s="541"/>
      <c r="E7" s="541"/>
      <c r="F7" s="541"/>
      <c r="G7" s="169"/>
      <c r="H7" s="180" t="s">
        <v>368</v>
      </c>
      <c r="I7" s="181">
        <f ca="1">NOW()</f>
        <v>43033.716626388887</v>
      </c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</row>
    <row r="8" spans="1:21" x14ac:dyDescent="0.25">
      <c r="A8" s="169"/>
      <c r="B8" s="179"/>
      <c r="C8" s="180" t="str">
        <f>IF(D7=0,"MONTO ESTIMADO CON IVA:","MONTO DE CONTRATO CON IVA:")</f>
        <v>MONTO ESTIMADO CON IVA:</v>
      </c>
      <c r="D8" s="182">
        <v>8600000</v>
      </c>
      <c r="E8" s="183" t="s">
        <v>369</v>
      </c>
      <c r="F8" s="169" t="s">
        <v>370</v>
      </c>
      <c r="G8" s="169"/>
      <c r="H8" s="174" t="s">
        <v>371</v>
      </c>
      <c r="I8" s="184">
        <v>1</v>
      </c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</row>
    <row r="9" spans="1:21" x14ac:dyDescent="0.25">
      <c r="A9" s="169"/>
      <c r="B9" s="179"/>
      <c r="C9" s="180" t="s">
        <v>394</v>
      </c>
      <c r="D9" s="182">
        <v>900000</v>
      </c>
      <c r="E9" s="177" t="s">
        <v>372</v>
      </c>
      <c r="F9" s="169"/>
      <c r="G9" s="169"/>
      <c r="H9" s="174"/>
      <c r="I9" s="185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</row>
    <row r="10" spans="1:21" x14ac:dyDescent="0.25">
      <c r="A10" s="169"/>
      <c r="B10" s="179"/>
      <c r="C10" s="180" t="s">
        <v>395</v>
      </c>
      <c r="D10" s="182">
        <f>+D8+D9</f>
        <v>9500000</v>
      </c>
      <c r="E10" s="177" t="s">
        <v>369</v>
      </c>
      <c r="F10" s="169"/>
      <c r="G10" s="169"/>
      <c r="H10" s="174"/>
      <c r="I10" s="185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</row>
    <row r="11" spans="1:21" x14ac:dyDescent="0.25">
      <c r="A11" s="169"/>
      <c r="B11" s="169"/>
      <c r="C11" s="180" t="str">
        <f>IF(D7=0,"MONTO ESTIMADO SIN IVA:","MONTO DE CONTRATO SIN IVA:")</f>
        <v>MONTO ESTIMADO SIN IVA:</v>
      </c>
      <c r="D11" s="186">
        <f>D8</f>
        <v>8600000</v>
      </c>
      <c r="E11" s="187" t="s">
        <v>372</v>
      </c>
      <c r="F11" s="177"/>
      <c r="G11" s="169"/>
      <c r="H11" s="174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</row>
    <row r="12" spans="1:21" x14ac:dyDescent="0.25">
      <c r="A12" s="169"/>
      <c r="B12" s="169"/>
      <c r="C12" s="180" t="s">
        <v>373</v>
      </c>
      <c r="D12" s="184">
        <v>100</v>
      </c>
      <c r="E12" s="177"/>
      <c r="F12" s="177" t="s">
        <v>374</v>
      </c>
      <c r="G12" s="169"/>
      <c r="H12" s="174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</row>
    <row r="13" spans="1:21" x14ac:dyDescent="0.25">
      <c r="A13" s="169"/>
      <c r="B13" s="169"/>
      <c r="C13" s="180" t="s">
        <v>375</v>
      </c>
      <c r="D13" s="188">
        <f>100-D12</f>
        <v>0</v>
      </c>
      <c r="E13" s="177"/>
      <c r="F13" s="177"/>
      <c r="G13" s="169"/>
      <c r="H13" s="174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</row>
    <row r="14" spans="1:21" x14ac:dyDescent="0.25">
      <c r="A14" s="169"/>
      <c r="B14" s="169"/>
      <c r="C14" s="180" t="s">
        <v>376</v>
      </c>
      <c r="D14" s="185">
        <v>0</v>
      </c>
      <c r="E14" s="177"/>
      <c r="F14" s="177"/>
      <c r="G14" s="169"/>
      <c r="H14" s="174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</row>
    <row r="15" spans="1:21" x14ac:dyDescent="0.25">
      <c r="A15" s="169"/>
      <c r="B15" s="180" t="s">
        <v>377</v>
      </c>
      <c r="C15" s="542"/>
      <c r="D15" s="542"/>
      <c r="E15" s="442" t="s">
        <v>378</v>
      </c>
      <c r="F15" s="443"/>
      <c r="G15" s="169"/>
      <c r="H15" s="189" t="s">
        <v>379</v>
      </c>
      <c r="I15" s="184">
        <v>10</v>
      </c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</row>
    <row r="16" spans="1:21" ht="12.6" thickBot="1" x14ac:dyDescent="0.3">
      <c r="A16" s="169"/>
      <c r="B16" s="179"/>
      <c r="C16" s="177"/>
      <c r="D16" s="177"/>
      <c r="E16" s="177"/>
      <c r="F16" s="190"/>
      <c r="G16" s="169"/>
      <c r="H16" s="174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</row>
    <row r="17" spans="1:21" ht="36.6" thickBot="1" x14ac:dyDescent="0.3">
      <c r="A17" s="191" t="s">
        <v>380</v>
      </c>
      <c r="B17" s="192" t="s">
        <v>381</v>
      </c>
      <c r="C17" s="192" t="s">
        <v>382</v>
      </c>
      <c r="D17" s="193" t="str">
        <f>CONCATENATE("MONTO MENSUAL DESCONTADO ",ROUND(D14,0),"% ANTICIPO")</f>
        <v>MONTO MENSUAL DESCONTADO 0% ANTICIPO</v>
      </c>
      <c r="E17" s="194" t="s">
        <v>383</v>
      </c>
      <c r="F17" s="195" t="s">
        <v>384</v>
      </c>
      <c r="G17" s="196" t="s">
        <v>385</v>
      </c>
      <c r="H17" s="197" t="s">
        <v>386</v>
      </c>
      <c r="I17" s="198" t="str">
        <f>CONCATENATE("DESEMBOLSOS FONDO LOCAL (",ROUND(D13,0),"%) + IVA")</f>
        <v>DESEMBOLSOS FONDO LOCAL (0%) + IVA</v>
      </c>
      <c r="J17" s="198" t="str">
        <f>CONCATENATE("DESEMBOLSOS FONDO EXTERNO (",ROUND(D12,0),"%)")</f>
        <v>DESEMBOLSOS FONDO EXTERNO (100%)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</row>
    <row r="18" spans="1:21" x14ac:dyDescent="0.25">
      <c r="A18" s="199">
        <v>0</v>
      </c>
      <c r="B18" s="200">
        <f>D14/100</f>
        <v>0</v>
      </c>
      <c r="C18" s="200">
        <v>0</v>
      </c>
      <c r="D18" s="201">
        <f>ROUND(B18*D11,0)</f>
        <v>0</v>
      </c>
      <c r="E18" s="202">
        <f>D18</f>
        <v>0</v>
      </c>
      <c r="F18" s="203">
        <f t="shared" ref="F18:F42" si="0">E18/$E$36</f>
        <v>0</v>
      </c>
      <c r="G18" s="204" t="s">
        <v>387</v>
      </c>
      <c r="H18" s="205">
        <f t="shared" ref="H18:H33" si="1">ROUND(D18*0.1,0)</f>
        <v>0</v>
      </c>
      <c r="I18" s="206">
        <v>0</v>
      </c>
      <c r="J18" s="206">
        <f t="shared" ref="J18:J33" si="2">ROUNDUP(D18*$D$12/100,-(LEN(D18)-$I$15))</f>
        <v>0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</row>
    <row r="19" spans="1:21" x14ac:dyDescent="0.25">
      <c r="A19" s="207">
        <v>1</v>
      </c>
      <c r="B19" s="208">
        <v>2.5000000000000001E-2</v>
      </c>
      <c r="C19" s="208">
        <f t="shared" ref="C19:C33" si="3">B19+C18</f>
        <v>2.5000000000000001E-2</v>
      </c>
      <c r="D19" s="209">
        <f>ROUND(B19*$D$11*(100-$D$14)/100,0)</f>
        <v>215000</v>
      </c>
      <c r="E19" s="210">
        <f>E18+D19</f>
        <v>215000</v>
      </c>
      <c r="F19" s="211">
        <f t="shared" si="0"/>
        <v>2.7777777777777776E-2</v>
      </c>
      <c r="G19" s="212" t="s">
        <v>196</v>
      </c>
      <c r="H19" s="213">
        <f>ROUND(D19*0.1,0)</f>
        <v>21500</v>
      </c>
      <c r="I19" s="214">
        <f>ROUNDUP((D19+H19-J19),-(LEN(D19)-$I$15))</f>
        <v>21500</v>
      </c>
      <c r="J19" s="214">
        <f>ROUNDUP(D19*$D$12/100,-(LEN(D19)-$I$15))</f>
        <v>215000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</row>
    <row r="20" spans="1:21" x14ac:dyDescent="0.25">
      <c r="A20" s="207">
        <v>2</v>
      </c>
      <c r="B20" s="208">
        <v>0.03</v>
      </c>
      <c r="C20" s="208">
        <f t="shared" si="3"/>
        <v>5.5E-2</v>
      </c>
      <c r="D20" s="209">
        <f t="shared" ref="D20:D31" si="4">ROUND(B20*$D$11*(100-$D$14)/100,0)</f>
        <v>258000</v>
      </c>
      <c r="E20" s="210">
        <f t="shared" ref="E20:E33" si="5">E19+D20</f>
        <v>473000</v>
      </c>
      <c r="F20" s="211">
        <f t="shared" si="0"/>
        <v>6.1111111111111109E-2</v>
      </c>
      <c r="G20" s="212" t="s">
        <v>197</v>
      </c>
      <c r="H20" s="213">
        <f t="shared" si="1"/>
        <v>25800</v>
      </c>
      <c r="I20" s="214">
        <f t="shared" ref="I20:I42" si="6">ROUNDUP((D20+H20-J20),-(LEN(D20)-$I$15))</f>
        <v>25800</v>
      </c>
      <c r="J20" s="214">
        <f t="shared" si="2"/>
        <v>258000</v>
      </c>
      <c r="K20" s="215">
        <f>+SUM(J18:J20)</f>
        <v>473000</v>
      </c>
      <c r="L20" s="169"/>
      <c r="M20" s="169"/>
      <c r="N20" s="169"/>
      <c r="O20" s="169"/>
      <c r="P20" s="169"/>
      <c r="Q20" s="169"/>
      <c r="R20" s="169"/>
      <c r="S20" s="169"/>
      <c r="T20" s="169"/>
      <c r="U20" s="169"/>
    </row>
    <row r="21" spans="1:21" x14ac:dyDescent="0.25">
      <c r="A21" s="207">
        <v>3</v>
      </c>
      <c r="B21" s="208">
        <v>3.5000000000000003E-2</v>
      </c>
      <c r="C21" s="208">
        <f t="shared" si="3"/>
        <v>0.09</v>
      </c>
      <c r="D21" s="209">
        <f t="shared" si="4"/>
        <v>301000</v>
      </c>
      <c r="E21" s="210">
        <f t="shared" si="5"/>
        <v>774000</v>
      </c>
      <c r="F21" s="211">
        <f t="shared" si="0"/>
        <v>0.1</v>
      </c>
      <c r="G21" s="212" t="s">
        <v>198</v>
      </c>
      <c r="H21" s="213">
        <f t="shared" si="1"/>
        <v>30100</v>
      </c>
      <c r="I21" s="214">
        <f t="shared" si="6"/>
        <v>30100</v>
      </c>
      <c r="J21" s="214">
        <f t="shared" si="2"/>
        <v>301000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</row>
    <row r="22" spans="1:21" x14ac:dyDescent="0.25">
      <c r="A22" s="207">
        <v>4</v>
      </c>
      <c r="B22" s="208">
        <v>3.5000000000000003E-2</v>
      </c>
      <c r="C22" s="208">
        <f t="shared" si="3"/>
        <v>0.125</v>
      </c>
      <c r="D22" s="209">
        <f t="shared" si="4"/>
        <v>301000</v>
      </c>
      <c r="E22" s="210">
        <f t="shared" si="5"/>
        <v>1075000</v>
      </c>
      <c r="F22" s="211">
        <f t="shared" si="0"/>
        <v>0.1388888888888889</v>
      </c>
      <c r="G22" s="212" t="s">
        <v>199</v>
      </c>
      <c r="H22" s="213">
        <f t="shared" si="1"/>
        <v>30100</v>
      </c>
      <c r="I22" s="214">
        <f t="shared" si="6"/>
        <v>30100</v>
      </c>
      <c r="J22" s="214">
        <f t="shared" si="2"/>
        <v>301000</v>
      </c>
      <c r="K22" s="216"/>
      <c r="L22" s="169"/>
      <c r="M22" s="169"/>
      <c r="N22" s="169"/>
      <c r="O22" s="169"/>
      <c r="P22" s="169"/>
      <c r="Q22" s="169"/>
      <c r="R22" s="169"/>
      <c r="S22" s="169"/>
      <c r="T22" s="169"/>
      <c r="U22" s="169"/>
    </row>
    <row r="23" spans="1:21" x14ac:dyDescent="0.25">
      <c r="A23" s="207">
        <v>5</v>
      </c>
      <c r="B23" s="208">
        <v>0.04</v>
      </c>
      <c r="C23" s="208">
        <f t="shared" si="3"/>
        <v>0.16500000000000001</v>
      </c>
      <c r="D23" s="209">
        <f t="shared" si="4"/>
        <v>344000</v>
      </c>
      <c r="E23" s="210">
        <f t="shared" si="5"/>
        <v>1419000</v>
      </c>
      <c r="F23" s="211">
        <f t="shared" si="0"/>
        <v>0.18333333333333332</v>
      </c>
      <c r="G23" s="212" t="s">
        <v>200</v>
      </c>
      <c r="H23" s="213">
        <f t="shared" si="1"/>
        <v>34400</v>
      </c>
      <c r="I23" s="214">
        <f t="shared" si="6"/>
        <v>34400</v>
      </c>
      <c r="J23" s="214">
        <f t="shared" si="2"/>
        <v>344000</v>
      </c>
      <c r="K23" s="216"/>
      <c r="L23" s="169"/>
      <c r="M23" s="169"/>
      <c r="N23" s="169"/>
      <c r="O23" s="169"/>
      <c r="P23" s="169"/>
      <c r="Q23" s="169"/>
      <c r="R23" s="169"/>
      <c r="S23" s="169"/>
      <c r="T23" s="169"/>
      <c r="U23" s="169"/>
    </row>
    <row r="24" spans="1:21" x14ac:dyDescent="0.25">
      <c r="A24" s="207">
        <v>6</v>
      </c>
      <c r="B24" s="208">
        <v>4.4999999999999998E-2</v>
      </c>
      <c r="C24" s="208">
        <f t="shared" si="3"/>
        <v>0.21000000000000002</v>
      </c>
      <c r="D24" s="209">
        <f t="shared" si="4"/>
        <v>387000</v>
      </c>
      <c r="E24" s="210">
        <f>E23+D24</f>
        <v>1806000</v>
      </c>
      <c r="F24" s="211">
        <f t="shared" si="0"/>
        <v>0.23333333333333334</v>
      </c>
      <c r="G24" s="212" t="s">
        <v>201</v>
      </c>
      <c r="H24" s="213">
        <f>ROUND(D24*0.1,0)</f>
        <v>38700</v>
      </c>
      <c r="I24" s="214">
        <f>ROUNDUP((D24+H24-J24),-(LEN(D24)-$I$15))</f>
        <v>38700</v>
      </c>
      <c r="J24" s="214">
        <f>ROUNDUP(D24*$D$12/100,-(LEN(D24)-$I$15))</f>
        <v>387000</v>
      </c>
      <c r="K24" s="216"/>
      <c r="L24" s="169"/>
      <c r="M24" s="169"/>
      <c r="N24" s="169"/>
      <c r="O24" s="169"/>
      <c r="P24" s="169"/>
      <c r="Q24" s="169"/>
      <c r="R24" s="169"/>
      <c r="S24" s="169"/>
      <c r="T24" s="169"/>
      <c r="U24" s="169"/>
    </row>
    <row r="25" spans="1:21" x14ac:dyDescent="0.25">
      <c r="A25" s="207">
        <v>7</v>
      </c>
      <c r="B25" s="208">
        <v>4.4999999999999998E-2</v>
      </c>
      <c r="C25" s="208">
        <f t="shared" si="3"/>
        <v>0.255</v>
      </c>
      <c r="D25" s="209">
        <f t="shared" si="4"/>
        <v>387000</v>
      </c>
      <c r="E25" s="210">
        <f t="shared" si="5"/>
        <v>2193000</v>
      </c>
      <c r="F25" s="211">
        <f t="shared" si="0"/>
        <v>0.28333333333333333</v>
      </c>
      <c r="G25" s="212" t="s">
        <v>202</v>
      </c>
      <c r="H25" s="213">
        <f t="shared" si="1"/>
        <v>38700</v>
      </c>
      <c r="I25" s="214">
        <f t="shared" si="6"/>
        <v>38700</v>
      </c>
      <c r="J25" s="214">
        <f t="shared" si="2"/>
        <v>387000</v>
      </c>
      <c r="K25" s="217"/>
      <c r="L25" s="169"/>
      <c r="M25" s="169"/>
      <c r="N25" s="169"/>
      <c r="O25" s="169"/>
      <c r="P25" s="169"/>
      <c r="Q25" s="169"/>
      <c r="R25" s="169"/>
      <c r="S25" s="169"/>
      <c r="T25" s="169"/>
      <c r="U25" s="169"/>
    </row>
    <row r="26" spans="1:21" x14ac:dyDescent="0.25">
      <c r="A26" s="207">
        <v>8</v>
      </c>
      <c r="B26" s="208">
        <v>0.05</v>
      </c>
      <c r="C26" s="208">
        <f t="shared" si="3"/>
        <v>0.30499999999999999</v>
      </c>
      <c r="D26" s="209">
        <f t="shared" si="4"/>
        <v>430000</v>
      </c>
      <c r="E26" s="210">
        <f t="shared" si="5"/>
        <v>2623000</v>
      </c>
      <c r="F26" s="211">
        <f t="shared" si="0"/>
        <v>0.33888888888888891</v>
      </c>
      <c r="G26" s="212" t="s">
        <v>203</v>
      </c>
      <c r="H26" s="213">
        <f t="shared" si="1"/>
        <v>43000</v>
      </c>
      <c r="I26" s="214">
        <f t="shared" si="6"/>
        <v>43000</v>
      </c>
      <c r="J26" s="214">
        <f t="shared" si="2"/>
        <v>430000</v>
      </c>
      <c r="K26" s="216"/>
      <c r="L26" s="169"/>
      <c r="M26" s="169"/>
      <c r="N26" s="169"/>
      <c r="O26" s="169"/>
      <c r="P26" s="169"/>
      <c r="Q26" s="169"/>
      <c r="R26" s="169"/>
      <c r="S26" s="169"/>
      <c r="T26" s="169"/>
      <c r="U26" s="169"/>
    </row>
    <row r="27" spans="1:21" x14ac:dyDescent="0.25">
      <c r="A27" s="207">
        <v>9</v>
      </c>
      <c r="B27" s="208">
        <v>5.5E-2</v>
      </c>
      <c r="C27" s="208">
        <f t="shared" si="3"/>
        <v>0.36</v>
      </c>
      <c r="D27" s="209">
        <f t="shared" si="4"/>
        <v>473000</v>
      </c>
      <c r="E27" s="210">
        <f t="shared" si="5"/>
        <v>3096000</v>
      </c>
      <c r="F27" s="211">
        <f t="shared" si="0"/>
        <v>0.4</v>
      </c>
      <c r="G27" s="212" t="s">
        <v>204</v>
      </c>
      <c r="H27" s="213">
        <f t="shared" si="1"/>
        <v>47300</v>
      </c>
      <c r="I27" s="214">
        <f t="shared" si="6"/>
        <v>47300</v>
      </c>
      <c r="J27" s="214">
        <f t="shared" si="2"/>
        <v>473000</v>
      </c>
      <c r="K27" s="216"/>
      <c r="L27" s="169"/>
      <c r="M27" s="169"/>
      <c r="N27" s="169"/>
      <c r="O27" s="169"/>
      <c r="P27" s="169"/>
      <c r="Q27" s="169"/>
      <c r="R27" s="169"/>
      <c r="S27" s="169"/>
      <c r="T27" s="169"/>
      <c r="U27" s="169"/>
    </row>
    <row r="28" spans="1:21" x14ac:dyDescent="0.25">
      <c r="A28" s="207">
        <v>10</v>
      </c>
      <c r="B28" s="208">
        <v>5.5E-2</v>
      </c>
      <c r="C28" s="208">
        <f t="shared" si="3"/>
        <v>0.41499999999999998</v>
      </c>
      <c r="D28" s="209">
        <f t="shared" si="4"/>
        <v>473000</v>
      </c>
      <c r="E28" s="210">
        <f t="shared" si="5"/>
        <v>3569000</v>
      </c>
      <c r="F28" s="211">
        <f t="shared" si="0"/>
        <v>0.46111111111111114</v>
      </c>
      <c r="G28" s="212" t="s">
        <v>205</v>
      </c>
      <c r="H28" s="213">
        <f t="shared" si="1"/>
        <v>47300</v>
      </c>
      <c r="I28" s="214">
        <f t="shared" si="6"/>
        <v>47300</v>
      </c>
      <c r="J28" s="214">
        <f t="shared" si="2"/>
        <v>473000</v>
      </c>
      <c r="K28" s="216"/>
      <c r="L28" s="169"/>
      <c r="M28" s="169"/>
      <c r="N28" s="169"/>
      <c r="O28" s="169"/>
      <c r="P28" s="169"/>
      <c r="Q28" s="169"/>
      <c r="R28" s="169"/>
      <c r="S28" s="169"/>
      <c r="T28" s="169"/>
      <c r="U28" s="169"/>
    </row>
    <row r="29" spans="1:21" x14ac:dyDescent="0.25">
      <c r="A29" s="207">
        <v>11</v>
      </c>
      <c r="B29" s="208">
        <v>5.5E-2</v>
      </c>
      <c r="C29" s="208">
        <f t="shared" si="3"/>
        <v>0.47</v>
      </c>
      <c r="D29" s="209">
        <f t="shared" si="4"/>
        <v>473000</v>
      </c>
      <c r="E29" s="210">
        <f t="shared" si="5"/>
        <v>4042000</v>
      </c>
      <c r="F29" s="211">
        <f t="shared" si="0"/>
        <v>0.52222222222222225</v>
      </c>
      <c r="G29" s="212" t="s">
        <v>206</v>
      </c>
      <c r="H29" s="213">
        <f t="shared" si="1"/>
        <v>47300</v>
      </c>
      <c r="I29" s="214">
        <f t="shared" si="6"/>
        <v>47300</v>
      </c>
      <c r="J29" s="214">
        <f t="shared" si="2"/>
        <v>473000</v>
      </c>
      <c r="K29" s="216"/>
      <c r="L29" s="169"/>
      <c r="M29" s="169"/>
      <c r="N29" s="169"/>
      <c r="O29" s="169"/>
      <c r="P29" s="169"/>
      <c r="Q29" s="169"/>
      <c r="R29" s="169"/>
      <c r="S29" s="169"/>
      <c r="T29" s="169"/>
      <c r="U29" s="169"/>
    </row>
    <row r="30" spans="1:21" x14ac:dyDescent="0.25">
      <c r="A30" s="207">
        <v>12</v>
      </c>
      <c r="B30" s="208">
        <v>0.06</v>
      </c>
      <c r="C30" s="208">
        <f t="shared" si="3"/>
        <v>0.53</v>
      </c>
      <c r="D30" s="209">
        <f t="shared" si="4"/>
        <v>516000</v>
      </c>
      <c r="E30" s="210">
        <f t="shared" si="5"/>
        <v>4558000</v>
      </c>
      <c r="F30" s="211">
        <f t="shared" si="0"/>
        <v>0.58888888888888891</v>
      </c>
      <c r="G30" s="212" t="s">
        <v>207</v>
      </c>
      <c r="H30" s="213">
        <f t="shared" si="1"/>
        <v>51600</v>
      </c>
      <c r="I30" s="214">
        <f t="shared" si="6"/>
        <v>51600</v>
      </c>
      <c r="J30" s="214">
        <f t="shared" si="2"/>
        <v>516000</v>
      </c>
      <c r="K30" s="216"/>
      <c r="L30" s="169"/>
      <c r="M30" s="169"/>
      <c r="N30" s="169"/>
      <c r="O30" s="169"/>
      <c r="P30" s="169"/>
      <c r="Q30" s="169"/>
      <c r="R30" s="169"/>
      <c r="S30" s="169"/>
      <c r="T30" s="169"/>
      <c r="U30" s="169"/>
    </row>
    <row r="31" spans="1:21" x14ac:dyDescent="0.25">
      <c r="A31" s="207">
        <v>13</v>
      </c>
      <c r="B31" s="208">
        <v>7.0000000000000007E-2</v>
      </c>
      <c r="C31" s="208">
        <f t="shared" si="3"/>
        <v>0.60000000000000009</v>
      </c>
      <c r="D31" s="209">
        <f t="shared" si="4"/>
        <v>602000</v>
      </c>
      <c r="E31" s="210">
        <f t="shared" si="5"/>
        <v>5160000</v>
      </c>
      <c r="F31" s="211">
        <f t="shared" si="0"/>
        <v>0.66666666666666663</v>
      </c>
      <c r="G31" s="212" t="s">
        <v>208</v>
      </c>
      <c r="H31" s="213">
        <f t="shared" si="1"/>
        <v>60200</v>
      </c>
      <c r="I31" s="214">
        <f t="shared" si="6"/>
        <v>60200</v>
      </c>
      <c r="J31" s="214">
        <f t="shared" si="2"/>
        <v>602000</v>
      </c>
      <c r="K31" s="216"/>
      <c r="L31" s="169"/>
      <c r="M31" s="169"/>
      <c r="N31" s="169"/>
      <c r="O31" s="169"/>
      <c r="P31" s="169"/>
      <c r="Q31" s="169"/>
      <c r="R31" s="169"/>
      <c r="S31" s="169"/>
      <c r="T31" s="169"/>
      <c r="U31" s="169"/>
    </row>
    <row r="32" spans="1:21" x14ac:dyDescent="0.25">
      <c r="A32" s="207">
        <v>14</v>
      </c>
      <c r="B32" s="208">
        <v>7.0000000000000007E-2</v>
      </c>
      <c r="C32" s="208">
        <f t="shared" si="3"/>
        <v>0.67000000000000015</v>
      </c>
      <c r="D32" s="209">
        <f>ROUND(B32*$D$11*(100-$D$14)/100,0)</f>
        <v>602000</v>
      </c>
      <c r="E32" s="210">
        <f t="shared" si="5"/>
        <v>5762000</v>
      </c>
      <c r="F32" s="211">
        <f t="shared" si="0"/>
        <v>0.74444444444444446</v>
      </c>
      <c r="G32" s="212" t="s">
        <v>209</v>
      </c>
      <c r="H32" s="213">
        <f t="shared" si="1"/>
        <v>60200</v>
      </c>
      <c r="I32" s="214">
        <f t="shared" si="6"/>
        <v>60200</v>
      </c>
      <c r="J32" s="214">
        <f t="shared" si="2"/>
        <v>602000</v>
      </c>
      <c r="K32" s="218">
        <f>+SUM(J21:J32)</f>
        <v>5289000</v>
      </c>
      <c r="L32" s="169"/>
      <c r="M32" s="169"/>
      <c r="N32" s="169"/>
      <c r="O32" s="169"/>
      <c r="P32" s="169"/>
      <c r="Q32" s="169"/>
      <c r="R32" s="169"/>
      <c r="S32" s="169"/>
      <c r="T32" s="169"/>
      <c r="U32" s="169"/>
    </row>
    <row r="33" spans="1:21" x14ac:dyDescent="0.25">
      <c r="A33" s="207">
        <v>15</v>
      </c>
      <c r="B33" s="208">
        <v>6.5000000000000002E-2</v>
      </c>
      <c r="C33" s="208">
        <f t="shared" si="3"/>
        <v>0.7350000000000001</v>
      </c>
      <c r="D33" s="209">
        <f>ROUND(B33*$D$11*(100-$D$14)/100,0)</f>
        <v>559000</v>
      </c>
      <c r="E33" s="210">
        <f t="shared" si="5"/>
        <v>6321000</v>
      </c>
      <c r="F33" s="211">
        <f t="shared" si="0"/>
        <v>0.81666666666666665</v>
      </c>
      <c r="G33" s="212" t="s">
        <v>210</v>
      </c>
      <c r="H33" s="213">
        <f t="shared" si="1"/>
        <v>55900</v>
      </c>
      <c r="I33" s="214">
        <f t="shared" si="6"/>
        <v>55900</v>
      </c>
      <c r="J33" s="214">
        <f t="shared" si="2"/>
        <v>559000</v>
      </c>
      <c r="K33" s="216"/>
      <c r="L33" s="169"/>
      <c r="M33" s="169"/>
      <c r="N33" s="169"/>
      <c r="O33" s="169"/>
      <c r="P33" s="169"/>
      <c r="Q33" s="169"/>
      <c r="R33" s="169"/>
      <c r="S33" s="169"/>
      <c r="T33" s="169"/>
      <c r="U33" s="169"/>
    </row>
    <row r="34" spans="1:21" x14ac:dyDescent="0.25">
      <c r="A34" s="207">
        <v>16</v>
      </c>
      <c r="B34" s="208">
        <v>6.5000000000000002E-2</v>
      </c>
      <c r="C34" s="208">
        <f>B34+C33</f>
        <v>0.8</v>
      </c>
      <c r="D34" s="209">
        <f>ROUND(B34*$D$11*(100-$D$14)/100,0)</f>
        <v>559000</v>
      </c>
      <c r="E34" s="210">
        <f>E33+D34</f>
        <v>6880000</v>
      </c>
      <c r="F34" s="211">
        <f t="shared" si="0"/>
        <v>0.88888888888888884</v>
      </c>
      <c r="G34" s="212" t="s">
        <v>211</v>
      </c>
      <c r="H34" s="213">
        <f>ROUND(D34*0.1,0)</f>
        <v>55900</v>
      </c>
      <c r="I34" s="214">
        <f t="shared" si="6"/>
        <v>55900</v>
      </c>
      <c r="J34" s="214">
        <f>ROUNDUP(D34*$D$12/100,-(LEN(D34)-$I$15))</f>
        <v>559000</v>
      </c>
      <c r="K34" s="216"/>
      <c r="L34" s="169"/>
      <c r="M34" s="169"/>
      <c r="N34" s="169"/>
      <c r="O34" s="169"/>
      <c r="P34" s="169"/>
      <c r="Q34" s="169"/>
      <c r="R34" s="169"/>
      <c r="S34" s="169"/>
      <c r="T34" s="169"/>
      <c r="U34" s="169"/>
    </row>
    <row r="35" spans="1:21" x14ac:dyDescent="0.25">
      <c r="A35" s="207">
        <v>17</v>
      </c>
      <c r="B35" s="208">
        <v>0.05</v>
      </c>
      <c r="C35" s="208">
        <f>B35+C34</f>
        <v>0.85000000000000009</v>
      </c>
      <c r="D35" s="209">
        <f>ROUND(B35*$D$11*(100-$D$14)/100,0)</f>
        <v>430000</v>
      </c>
      <c r="E35" s="210">
        <f>E34+D35</f>
        <v>7310000</v>
      </c>
      <c r="F35" s="211">
        <f t="shared" si="0"/>
        <v>0.94444444444444442</v>
      </c>
      <c r="G35" s="212" t="s">
        <v>212</v>
      </c>
      <c r="H35" s="213">
        <f>ROUND(D35*0.1,0)</f>
        <v>43000</v>
      </c>
      <c r="I35" s="214">
        <f t="shared" si="6"/>
        <v>43000</v>
      </c>
      <c r="J35" s="214">
        <f>ROUNDUP(D35*$D$12/100,-(LEN(D35)-$I$15))</f>
        <v>430000</v>
      </c>
      <c r="K35" s="216"/>
      <c r="L35" s="169"/>
      <c r="M35" s="169"/>
      <c r="N35" s="169"/>
      <c r="O35" s="169"/>
      <c r="P35" s="169"/>
      <c r="Q35" s="169"/>
      <c r="R35" s="169"/>
      <c r="S35" s="169"/>
      <c r="T35" s="169"/>
      <c r="U35" s="169"/>
    </row>
    <row r="36" spans="1:21" ht="12.6" thickBot="1" x14ac:dyDescent="0.3">
      <c r="A36" s="219">
        <v>18</v>
      </c>
      <c r="B36" s="208">
        <v>0.05</v>
      </c>
      <c r="C36" s="220">
        <f>B36+C35</f>
        <v>0.90000000000000013</v>
      </c>
      <c r="D36" s="221">
        <f>ROUND(B36*$D$11*(100-$D$14)/100,0)</f>
        <v>430000</v>
      </c>
      <c r="E36" s="222">
        <f>E35+D36</f>
        <v>7740000</v>
      </c>
      <c r="F36" s="223">
        <f t="shared" si="0"/>
        <v>1</v>
      </c>
      <c r="G36" s="224" t="s">
        <v>213</v>
      </c>
      <c r="H36" s="225">
        <f>ROUND(D36*0.1,0)</f>
        <v>43000</v>
      </c>
      <c r="I36" s="226">
        <f t="shared" si="6"/>
        <v>43000</v>
      </c>
      <c r="J36" s="226">
        <f>ROUNDUP(D36*$D$12/100,-(LEN(D36)-$I$15))</f>
        <v>430000</v>
      </c>
      <c r="K36" s="218">
        <f>+SUM(J33:J36)</f>
        <v>1978000</v>
      </c>
      <c r="L36" s="169"/>
      <c r="M36" s="169"/>
      <c r="N36" s="169"/>
      <c r="O36" s="169"/>
      <c r="P36" s="169"/>
      <c r="Q36" s="169"/>
      <c r="R36" s="169"/>
      <c r="S36" s="169"/>
      <c r="T36" s="169"/>
      <c r="U36" s="169"/>
    </row>
    <row r="37" spans="1:21" ht="12.6" thickBot="1" x14ac:dyDescent="0.3">
      <c r="A37" s="207">
        <v>19</v>
      </c>
      <c r="B37" s="208">
        <v>0.04</v>
      </c>
      <c r="C37" s="220">
        <f t="shared" ref="C37:C42" si="7">B37+C36</f>
        <v>0.94000000000000017</v>
      </c>
      <c r="D37" s="221">
        <f t="shared" ref="D37:D42" si="8">ROUND(B37*$D$11*(100-$D$14)/100,0)</f>
        <v>344000</v>
      </c>
      <c r="E37" s="222">
        <f t="shared" ref="E37:E42" si="9">E36+D37</f>
        <v>8084000</v>
      </c>
      <c r="F37" s="223">
        <f t="shared" si="0"/>
        <v>1.0444444444444445</v>
      </c>
      <c r="G37" s="224" t="s">
        <v>214</v>
      </c>
      <c r="H37" s="225">
        <f t="shared" ref="H37:H42" si="10">ROUND(D37*0.1,0)</f>
        <v>34400</v>
      </c>
      <c r="I37" s="226">
        <f t="shared" si="6"/>
        <v>34400</v>
      </c>
      <c r="J37" s="226">
        <f t="shared" ref="J37:J42" si="11">ROUNDUP(D37*$D$12/100,-(LEN(D37)-$I$15))</f>
        <v>344000</v>
      </c>
      <c r="K37" s="218"/>
      <c r="L37" s="169"/>
      <c r="M37" s="169"/>
      <c r="N37" s="169"/>
      <c r="O37" s="169"/>
      <c r="P37" s="169"/>
      <c r="Q37" s="169"/>
      <c r="R37" s="169"/>
      <c r="S37" s="169"/>
      <c r="T37" s="169"/>
      <c r="U37" s="169"/>
    </row>
    <row r="38" spans="1:21" ht="12.6" thickBot="1" x14ac:dyDescent="0.3">
      <c r="A38" s="219">
        <v>20</v>
      </c>
      <c r="B38" s="208">
        <v>0.02</v>
      </c>
      <c r="C38" s="220">
        <f t="shared" si="7"/>
        <v>0.96000000000000019</v>
      </c>
      <c r="D38" s="221">
        <f t="shared" si="8"/>
        <v>172000</v>
      </c>
      <c r="E38" s="222">
        <f t="shared" si="9"/>
        <v>8256000</v>
      </c>
      <c r="F38" s="223">
        <f t="shared" si="0"/>
        <v>1.0666666666666667</v>
      </c>
      <c r="G38" s="224" t="s">
        <v>215</v>
      </c>
      <c r="H38" s="225">
        <f t="shared" si="10"/>
        <v>17200</v>
      </c>
      <c r="I38" s="226">
        <f t="shared" si="6"/>
        <v>17200</v>
      </c>
      <c r="J38" s="226">
        <f t="shared" si="11"/>
        <v>172000</v>
      </c>
      <c r="K38" s="218"/>
      <c r="L38" s="169"/>
      <c r="M38" s="169"/>
      <c r="N38" s="169"/>
      <c r="O38" s="169"/>
      <c r="P38" s="169"/>
      <c r="Q38" s="169"/>
      <c r="R38" s="169"/>
      <c r="S38" s="169"/>
      <c r="T38" s="169"/>
      <c r="U38" s="169"/>
    </row>
    <row r="39" spans="1:21" ht="12.6" thickBot="1" x14ac:dyDescent="0.3">
      <c r="A39" s="207">
        <v>21</v>
      </c>
      <c r="B39" s="238">
        <v>0.01</v>
      </c>
      <c r="C39" s="220">
        <f t="shared" si="7"/>
        <v>0.9700000000000002</v>
      </c>
      <c r="D39" s="221">
        <f t="shared" si="8"/>
        <v>86000</v>
      </c>
      <c r="E39" s="222">
        <f t="shared" si="9"/>
        <v>8342000</v>
      </c>
      <c r="F39" s="223">
        <f t="shared" si="0"/>
        <v>1.0777777777777777</v>
      </c>
      <c r="G39" s="224" t="s">
        <v>216</v>
      </c>
      <c r="H39" s="225">
        <f t="shared" si="10"/>
        <v>8600</v>
      </c>
      <c r="I39" s="226">
        <f t="shared" si="6"/>
        <v>8600</v>
      </c>
      <c r="J39" s="226">
        <f t="shared" si="11"/>
        <v>86000</v>
      </c>
      <c r="K39" s="218"/>
      <c r="L39" s="169"/>
      <c r="M39" s="169"/>
      <c r="N39" s="169"/>
      <c r="O39" s="169"/>
      <c r="P39" s="169"/>
      <c r="Q39" s="169"/>
      <c r="R39" s="169"/>
      <c r="S39" s="169"/>
      <c r="T39" s="169"/>
      <c r="U39" s="169"/>
    </row>
    <row r="40" spans="1:21" ht="12.6" thickBot="1" x14ac:dyDescent="0.3">
      <c r="A40" s="219">
        <v>22</v>
      </c>
      <c r="B40" s="208">
        <v>0.01</v>
      </c>
      <c r="C40" s="220">
        <f t="shared" si="7"/>
        <v>0.9800000000000002</v>
      </c>
      <c r="D40" s="221">
        <f t="shared" si="8"/>
        <v>86000</v>
      </c>
      <c r="E40" s="222">
        <f t="shared" si="9"/>
        <v>8428000</v>
      </c>
      <c r="F40" s="223">
        <f t="shared" si="0"/>
        <v>1.0888888888888888</v>
      </c>
      <c r="G40" s="224" t="s">
        <v>217</v>
      </c>
      <c r="H40" s="225">
        <f t="shared" si="10"/>
        <v>8600</v>
      </c>
      <c r="I40" s="226">
        <f t="shared" si="6"/>
        <v>8600</v>
      </c>
      <c r="J40" s="226">
        <f t="shared" si="11"/>
        <v>86000</v>
      </c>
      <c r="K40" s="218"/>
      <c r="L40" s="169"/>
      <c r="M40" s="169"/>
      <c r="N40" s="169"/>
      <c r="O40" s="169"/>
      <c r="P40" s="169"/>
      <c r="Q40" s="169"/>
      <c r="R40" s="169"/>
      <c r="S40" s="169"/>
      <c r="T40" s="169"/>
      <c r="U40" s="169"/>
    </row>
    <row r="41" spans="1:21" ht="12.6" thickBot="1" x14ac:dyDescent="0.3">
      <c r="A41" s="207">
        <v>23</v>
      </c>
      <c r="B41" s="208">
        <v>0.01</v>
      </c>
      <c r="C41" s="220">
        <f t="shared" si="7"/>
        <v>0.99000000000000021</v>
      </c>
      <c r="D41" s="221">
        <f t="shared" si="8"/>
        <v>86000</v>
      </c>
      <c r="E41" s="222">
        <f t="shared" si="9"/>
        <v>8514000</v>
      </c>
      <c r="F41" s="223">
        <f t="shared" si="0"/>
        <v>1.1000000000000001</v>
      </c>
      <c r="G41" s="224" t="s">
        <v>218</v>
      </c>
      <c r="H41" s="225">
        <f t="shared" si="10"/>
        <v>8600</v>
      </c>
      <c r="I41" s="226">
        <f t="shared" si="6"/>
        <v>8600</v>
      </c>
      <c r="J41" s="226">
        <f t="shared" si="11"/>
        <v>86000</v>
      </c>
      <c r="K41" s="218"/>
      <c r="L41" s="169"/>
      <c r="M41" s="169"/>
      <c r="N41" s="169"/>
      <c r="O41" s="169"/>
      <c r="P41" s="169"/>
      <c r="Q41" s="169"/>
      <c r="R41" s="169"/>
      <c r="S41" s="169"/>
      <c r="T41" s="169"/>
      <c r="U41" s="169"/>
    </row>
    <row r="42" spans="1:21" ht="12.6" thickBot="1" x14ac:dyDescent="0.3">
      <c r="A42" s="219">
        <v>24</v>
      </c>
      <c r="B42" s="220">
        <v>0.01</v>
      </c>
      <c r="C42" s="220">
        <f t="shared" si="7"/>
        <v>1.0000000000000002</v>
      </c>
      <c r="D42" s="221">
        <f t="shared" si="8"/>
        <v>86000</v>
      </c>
      <c r="E42" s="222">
        <f t="shared" si="9"/>
        <v>8600000</v>
      </c>
      <c r="F42" s="223">
        <f t="shared" si="0"/>
        <v>1.1111111111111112</v>
      </c>
      <c r="G42" s="224" t="s">
        <v>219</v>
      </c>
      <c r="H42" s="225">
        <f t="shared" si="10"/>
        <v>8600</v>
      </c>
      <c r="I42" s="226">
        <f t="shared" si="6"/>
        <v>8600</v>
      </c>
      <c r="J42" s="226">
        <f t="shared" si="11"/>
        <v>86000</v>
      </c>
      <c r="K42" s="218"/>
      <c r="L42" s="169"/>
      <c r="M42" s="169"/>
      <c r="N42" s="169"/>
      <c r="O42" s="169"/>
      <c r="P42" s="169"/>
      <c r="Q42" s="169"/>
      <c r="R42" s="169"/>
      <c r="S42" s="169"/>
      <c r="T42" s="169"/>
      <c r="U42" s="169"/>
    </row>
    <row r="43" spans="1:21" ht="12.6" thickBot="1" x14ac:dyDescent="0.3">
      <c r="A43" s="227" t="str">
        <f>A42*30 &amp; " dias"</f>
        <v>720 dias</v>
      </c>
      <c r="B43" s="228">
        <f>SUM(B19:B42)</f>
        <v>1.0000000000000002</v>
      </c>
      <c r="C43" s="229"/>
      <c r="D43" s="230">
        <f>SUM(D18:D42)</f>
        <v>8600000</v>
      </c>
      <c r="E43" s="169"/>
      <c r="F43" s="174"/>
      <c r="G43" s="174"/>
      <c r="H43" s="169"/>
      <c r="I43" s="231">
        <f>SUM(I18:I42)</f>
        <v>860000</v>
      </c>
      <c r="J43" s="231">
        <f>SUM(J18:J42)</f>
        <v>8600000</v>
      </c>
      <c r="K43" s="216"/>
      <c r="L43" s="169"/>
      <c r="M43" s="169"/>
      <c r="N43" s="169"/>
      <c r="O43" s="169"/>
      <c r="P43" s="169"/>
      <c r="Q43" s="169"/>
      <c r="R43" s="169"/>
      <c r="S43" s="169"/>
      <c r="T43" s="169"/>
      <c r="U43" s="169"/>
    </row>
    <row r="44" spans="1:21" x14ac:dyDescent="0.25">
      <c r="A44" s="174"/>
      <c r="B44" s="179"/>
      <c r="C44" s="177"/>
      <c r="D44" s="177"/>
      <c r="E44" s="177"/>
      <c r="F44" s="169"/>
      <c r="G44" s="169"/>
      <c r="H44" s="180" t="s">
        <v>388</v>
      </c>
      <c r="I44" s="536">
        <f>I43+J43</f>
        <v>9460000</v>
      </c>
      <c r="J44" s="537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</row>
    <row r="45" spans="1:21" x14ac:dyDescent="0.25">
      <c r="A45" s="173" t="s">
        <v>396</v>
      </c>
      <c r="B45" s="173"/>
      <c r="C45" s="173"/>
      <c r="D45" s="177"/>
      <c r="E45" s="177"/>
      <c r="F45" s="169"/>
      <c r="G45" s="169"/>
      <c r="H45" s="180" t="s">
        <v>390</v>
      </c>
      <c r="I45" s="189">
        <f>I44/1.1-D11</f>
        <v>0</v>
      </c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</row>
    <row r="46" spans="1:21" x14ac:dyDescent="0.25">
      <c r="A46" s="169"/>
      <c r="B46" s="232"/>
      <c r="C46" s="177"/>
      <c r="D46" s="177"/>
      <c r="E46" s="177"/>
      <c r="F46" s="169"/>
      <c r="G46" s="169"/>
      <c r="H46" s="174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</row>
    <row r="47" spans="1:21" x14ac:dyDescent="0.25">
      <c r="A47" s="169"/>
      <c r="B47" s="232"/>
      <c r="C47" s="177"/>
      <c r="D47" s="177"/>
      <c r="E47" s="177"/>
      <c r="F47" s="169"/>
      <c r="G47" s="169"/>
      <c r="H47" s="174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</row>
    <row r="48" spans="1:21" x14ac:dyDescent="0.25">
      <c r="A48" s="169"/>
      <c r="B48" s="179"/>
      <c r="C48" s="177"/>
      <c r="D48" s="177"/>
      <c r="E48" s="177"/>
      <c r="F48" s="169"/>
      <c r="G48" s="169"/>
      <c r="H48" s="174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</row>
    <row r="49" spans="1:27" x14ac:dyDescent="0.25">
      <c r="A49" s="169"/>
      <c r="B49" s="179"/>
      <c r="C49" s="177"/>
      <c r="D49" s="177"/>
      <c r="E49" s="177"/>
      <c r="F49" s="169"/>
      <c r="G49" s="169"/>
      <c r="H49" s="174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</row>
    <row r="50" spans="1:27" x14ac:dyDescent="0.25">
      <c r="A50" s="169"/>
      <c r="B50" s="179"/>
      <c r="C50" s="177"/>
      <c r="D50" s="177"/>
      <c r="E50" s="177"/>
      <c r="F50" s="169"/>
      <c r="G50" s="169"/>
      <c r="H50" s="174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</row>
    <row r="51" spans="1:27" x14ac:dyDescent="0.25">
      <c r="A51" s="169"/>
      <c r="B51" s="179"/>
      <c r="C51" s="177"/>
      <c r="D51" s="177"/>
      <c r="E51" s="177"/>
      <c r="F51" s="169"/>
      <c r="G51" s="169"/>
      <c r="H51" s="174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</row>
    <row r="52" spans="1:27" x14ac:dyDescent="0.25">
      <c r="A52" s="169"/>
      <c r="B52" s="179"/>
      <c r="C52" s="177"/>
      <c r="D52" s="177"/>
      <c r="E52" s="177"/>
      <c r="F52" s="169"/>
      <c r="G52" s="169"/>
      <c r="H52" s="174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</row>
    <row r="53" spans="1:27" s="241" customFormat="1" ht="12.75" customHeight="1" x14ac:dyDescent="0.25">
      <c r="A53" s="240"/>
      <c r="B53" s="240" t="s">
        <v>391</v>
      </c>
      <c r="C53" s="240" t="s">
        <v>196</v>
      </c>
      <c r="D53" s="240" t="s">
        <v>197</v>
      </c>
      <c r="E53" s="240" t="s">
        <v>198</v>
      </c>
      <c r="F53" s="240" t="s">
        <v>199</v>
      </c>
      <c r="G53" s="240" t="s">
        <v>200</v>
      </c>
      <c r="H53" s="240" t="s">
        <v>201</v>
      </c>
      <c r="I53" s="240" t="s">
        <v>202</v>
      </c>
      <c r="J53" s="240" t="s">
        <v>203</v>
      </c>
      <c r="K53" s="240" t="s">
        <v>204</v>
      </c>
      <c r="L53" s="240" t="s">
        <v>205</v>
      </c>
      <c r="M53" s="240" t="s">
        <v>206</v>
      </c>
      <c r="N53" s="240" t="s">
        <v>207</v>
      </c>
      <c r="O53" s="240" t="s">
        <v>208</v>
      </c>
      <c r="P53" s="240" t="s">
        <v>209</v>
      </c>
      <c r="Q53" s="240" t="s">
        <v>210</v>
      </c>
      <c r="R53" s="240" t="s">
        <v>211</v>
      </c>
      <c r="S53" s="240" t="s">
        <v>212</v>
      </c>
      <c r="T53" s="240" t="s">
        <v>213</v>
      </c>
      <c r="U53" s="240" t="s">
        <v>214</v>
      </c>
      <c r="V53" s="240" t="s">
        <v>215</v>
      </c>
      <c r="W53" s="240" t="s">
        <v>216</v>
      </c>
      <c r="X53" s="240" t="s">
        <v>217</v>
      </c>
      <c r="Y53" s="240" t="s">
        <v>218</v>
      </c>
      <c r="Z53" s="240" t="s">
        <v>219</v>
      </c>
    </row>
    <row r="54" spans="1:27" s="244" customFormat="1" x14ac:dyDescent="0.25">
      <c r="A54" s="242" t="s">
        <v>392</v>
      </c>
      <c r="B54" s="243">
        <v>0</v>
      </c>
      <c r="C54" s="243">
        <v>0</v>
      </c>
      <c r="D54" s="243">
        <v>0</v>
      </c>
      <c r="E54" s="243">
        <v>0</v>
      </c>
      <c r="F54" s="243">
        <v>0</v>
      </c>
      <c r="G54" s="243">
        <v>0</v>
      </c>
      <c r="H54" s="243">
        <v>0</v>
      </c>
      <c r="I54" s="243">
        <v>0</v>
      </c>
      <c r="J54" s="243">
        <v>0</v>
      </c>
      <c r="K54" s="243">
        <v>0</v>
      </c>
      <c r="L54" s="243">
        <v>0</v>
      </c>
      <c r="M54" s="243">
        <v>0</v>
      </c>
      <c r="N54" s="243">
        <v>0</v>
      </c>
      <c r="O54" s="243">
        <v>0</v>
      </c>
      <c r="P54" s="243">
        <v>0</v>
      </c>
      <c r="Q54" s="243">
        <v>0</v>
      </c>
      <c r="R54" s="243">
        <v>0</v>
      </c>
      <c r="S54" s="243">
        <v>0</v>
      </c>
      <c r="T54" s="243">
        <v>0</v>
      </c>
      <c r="U54" s="243">
        <v>0</v>
      </c>
      <c r="V54" s="243">
        <v>0</v>
      </c>
      <c r="W54" s="243">
        <v>0</v>
      </c>
      <c r="X54" s="243">
        <v>0</v>
      </c>
      <c r="Y54" s="243">
        <v>0</v>
      </c>
      <c r="Z54" s="243">
        <v>0</v>
      </c>
      <c r="AA54" s="244">
        <f>SUM(B54:T54)</f>
        <v>0</v>
      </c>
    </row>
    <row r="55" spans="1:27" s="244" customFormat="1" x14ac:dyDescent="0.25">
      <c r="A55" s="242" t="s">
        <v>393</v>
      </c>
      <c r="B55" s="243">
        <f>$J18</f>
        <v>0</v>
      </c>
      <c r="C55" s="243">
        <f>$J19</f>
        <v>215000</v>
      </c>
      <c r="D55" s="243">
        <f>$J20</f>
        <v>258000</v>
      </c>
      <c r="E55" s="243">
        <f>$J21</f>
        <v>301000</v>
      </c>
      <c r="F55" s="243">
        <f>$J22</f>
        <v>301000</v>
      </c>
      <c r="G55" s="243">
        <f>$J23</f>
        <v>344000</v>
      </c>
      <c r="H55" s="243">
        <f>$J24</f>
        <v>387000</v>
      </c>
      <c r="I55" s="243">
        <f>$J25</f>
        <v>387000</v>
      </c>
      <c r="J55" s="243">
        <f>$J26</f>
        <v>430000</v>
      </c>
      <c r="K55" s="243">
        <f>$J27</f>
        <v>473000</v>
      </c>
      <c r="L55" s="243">
        <f>$J28</f>
        <v>473000</v>
      </c>
      <c r="M55" s="243">
        <f>$J29</f>
        <v>473000</v>
      </c>
      <c r="N55" s="243">
        <f>$J30</f>
        <v>516000</v>
      </c>
      <c r="O55" s="243">
        <f>$J31</f>
        <v>602000</v>
      </c>
      <c r="P55" s="243">
        <f>$J32</f>
        <v>602000</v>
      </c>
      <c r="Q55" s="243">
        <f>$J33</f>
        <v>559000</v>
      </c>
      <c r="R55" s="243">
        <f>$J34</f>
        <v>559000</v>
      </c>
      <c r="S55" s="243">
        <f>$J35</f>
        <v>430000</v>
      </c>
      <c r="T55" s="243">
        <f>$J36</f>
        <v>430000</v>
      </c>
      <c r="U55" s="243">
        <f>$J37</f>
        <v>344000</v>
      </c>
      <c r="V55" s="243">
        <f>$J38</f>
        <v>172000</v>
      </c>
      <c r="W55" s="243">
        <f>$J39</f>
        <v>86000</v>
      </c>
      <c r="X55" s="243">
        <f>$J40</f>
        <v>86000</v>
      </c>
      <c r="Y55" s="243">
        <f>$J41</f>
        <v>86000</v>
      </c>
      <c r="Z55" s="243">
        <f>$J42</f>
        <v>86000</v>
      </c>
      <c r="AA55" s="245">
        <f>SUM(B55:Z55)</f>
        <v>8600000</v>
      </c>
    </row>
    <row r="56" spans="1:27" x14ac:dyDescent="0.25">
      <c r="A56" s="246" t="s">
        <v>397</v>
      </c>
      <c r="B56" s="247">
        <f>SUM(B54:B55)</f>
        <v>0</v>
      </c>
      <c r="C56" s="247">
        <f>SUM(C54:C55)*0.45</f>
        <v>96750</v>
      </c>
      <c r="D56" s="247">
        <f t="shared" ref="D56:Z56" si="12">SUM(D54:D55)*0.45</f>
        <v>116100</v>
      </c>
      <c r="E56" s="247">
        <f t="shared" si="12"/>
        <v>135450</v>
      </c>
      <c r="F56" s="247">
        <f t="shared" si="12"/>
        <v>135450</v>
      </c>
      <c r="G56" s="247">
        <f t="shared" si="12"/>
        <v>154800</v>
      </c>
      <c r="H56" s="247">
        <f t="shared" si="12"/>
        <v>174150</v>
      </c>
      <c r="I56" s="247">
        <f t="shared" si="12"/>
        <v>174150</v>
      </c>
      <c r="J56" s="247">
        <f t="shared" si="12"/>
        <v>193500</v>
      </c>
      <c r="K56" s="247">
        <f t="shared" si="12"/>
        <v>212850</v>
      </c>
      <c r="L56" s="247">
        <f t="shared" si="12"/>
        <v>212850</v>
      </c>
      <c r="M56" s="247">
        <f t="shared" si="12"/>
        <v>212850</v>
      </c>
      <c r="N56" s="247">
        <f t="shared" si="12"/>
        <v>232200</v>
      </c>
      <c r="O56" s="247">
        <f t="shared" si="12"/>
        <v>270900</v>
      </c>
      <c r="P56" s="247">
        <f t="shared" si="12"/>
        <v>270900</v>
      </c>
      <c r="Q56" s="247">
        <f t="shared" si="12"/>
        <v>251550</v>
      </c>
      <c r="R56" s="247">
        <f t="shared" si="12"/>
        <v>251550</v>
      </c>
      <c r="S56" s="247">
        <f t="shared" si="12"/>
        <v>193500</v>
      </c>
      <c r="T56" s="247">
        <f t="shared" si="12"/>
        <v>193500</v>
      </c>
      <c r="U56" s="247">
        <f t="shared" si="12"/>
        <v>154800</v>
      </c>
      <c r="V56" s="247">
        <f t="shared" si="12"/>
        <v>77400</v>
      </c>
      <c r="W56" s="247">
        <f t="shared" si="12"/>
        <v>38700</v>
      </c>
      <c r="X56" s="247">
        <f t="shared" si="12"/>
        <v>38700</v>
      </c>
      <c r="Y56" s="247">
        <f t="shared" si="12"/>
        <v>38700</v>
      </c>
      <c r="Z56" s="247">
        <f t="shared" si="12"/>
        <v>38700</v>
      </c>
      <c r="AA56" s="247">
        <f>SUM(B56:Z56)</f>
        <v>3870000</v>
      </c>
    </row>
    <row r="57" spans="1:27" s="245" customFormat="1" x14ac:dyDescent="0.25">
      <c r="A57" s="248" t="s">
        <v>398</v>
      </c>
      <c r="B57" s="248">
        <v>0</v>
      </c>
      <c r="C57" s="248">
        <f>C63</f>
        <v>161250</v>
      </c>
      <c r="D57" s="248">
        <f t="shared" ref="D57:Z57" si="13">C57</f>
        <v>161250</v>
      </c>
      <c r="E57" s="248">
        <f t="shared" si="13"/>
        <v>161250</v>
      </c>
      <c r="F57" s="248">
        <f t="shared" si="13"/>
        <v>161250</v>
      </c>
      <c r="G57" s="248">
        <f t="shared" si="13"/>
        <v>161250</v>
      </c>
      <c r="H57" s="248">
        <f t="shared" si="13"/>
        <v>161250</v>
      </c>
      <c r="I57" s="248">
        <f t="shared" si="13"/>
        <v>161250</v>
      </c>
      <c r="J57" s="248">
        <f t="shared" si="13"/>
        <v>161250</v>
      </c>
      <c r="K57" s="248">
        <f t="shared" si="13"/>
        <v>161250</v>
      </c>
      <c r="L57" s="248">
        <f t="shared" si="13"/>
        <v>161250</v>
      </c>
      <c r="M57" s="248">
        <f t="shared" si="13"/>
        <v>161250</v>
      </c>
      <c r="N57" s="248">
        <f t="shared" si="13"/>
        <v>161250</v>
      </c>
      <c r="O57" s="248">
        <f t="shared" si="13"/>
        <v>161250</v>
      </c>
      <c r="P57" s="248">
        <f t="shared" si="13"/>
        <v>161250</v>
      </c>
      <c r="Q57" s="248">
        <f t="shared" si="13"/>
        <v>161250</v>
      </c>
      <c r="R57" s="248">
        <f t="shared" si="13"/>
        <v>161250</v>
      </c>
      <c r="S57" s="248">
        <f t="shared" si="13"/>
        <v>161250</v>
      </c>
      <c r="T57" s="248">
        <f t="shared" si="13"/>
        <v>161250</v>
      </c>
      <c r="U57" s="248">
        <f t="shared" si="13"/>
        <v>161250</v>
      </c>
      <c r="V57" s="248">
        <f t="shared" si="13"/>
        <v>161250</v>
      </c>
      <c r="W57" s="248">
        <f t="shared" si="13"/>
        <v>161250</v>
      </c>
      <c r="X57" s="248">
        <f t="shared" si="13"/>
        <v>161250</v>
      </c>
      <c r="Y57" s="248">
        <f t="shared" si="13"/>
        <v>161250</v>
      </c>
      <c r="Z57" s="248">
        <f t="shared" si="13"/>
        <v>161250</v>
      </c>
      <c r="AA57" s="247">
        <f>SUM(B57:Z57)</f>
        <v>3870000</v>
      </c>
    </row>
    <row r="58" spans="1:27" s="245" customFormat="1" x14ac:dyDescent="0.25">
      <c r="A58" s="248" t="s">
        <v>391</v>
      </c>
      <c r="B58" s="248">
        <f>A61*10%</f>
        <v>860000</v>
      </c>
      <c r="C58" s="248"/>
      <c r="D58" s="248"/>
      <c r="E58" s="248"/>
      <c r="F58" s="248"/>
      <c r="G58" s="248"/>
      <c r="H58" s="248"/>
      <c r="I58" s="248"/>
      <c r="J58" s="248"/>
      <c r="K58" s="248"/>
      <c r="L58" s="248"/>
      <c r="M58" s="248"/>
      <c r="N58" s="248"/>
      <c r="O58" s="248"/>
      <c r="P58" s="248"/>
      <c r="Q58" s="248"/>
      <c r="R58" s="248"/>
      <c r="S58" s="248"/>
      <c r="T58" s="248"/>
      <c r="U58" s="248"/>
      <c r="V58" s="248"/>
      <c r="W58" s="248"/>
      <c r="X58" s="248"/>
      <c r="Y58" s="248"/>
      <c r="Z58" s="248"/>
      <c r="AA58" s="247">
        <f>SUM(B58:Z58)</f>
        <v>860000</v>
      </c>
    </row>
    <row r="59" spans="1:27" s="245" customFormat="1" x14ac:dyDescent="0.25">
      <c r="A59" s="248"/>
      <c r="B59" s="248">
        <f>SUM(B56:B58)</f>
        <v>860000</v>
      </c>
      <c r="C59" s="248">
        <f t="shared" ref="C59:Z59" si="14">SUM(C56:C58)</f>
        <v>258000</v>
      </c>
      <c r="D59" s="248">
        <f t="shared" si="14"/>
        <v>277350</v>
      </c>
      <c r="E59" s="248">
        <f t="shared" si="14"/>
        <v>296700</v>
      </c>
      <c r="F59" s="248">
        <f t="shared" si="14"/>
        <v>296700</v>
      </c>
      <c r="G59" s="248">
        <f t="shared" si="14"/>
        <v>316050</v>
      </c>
      <c r="H59" s="248">
        <f t="shared" si="14"/>
        <v>335400</v>
      </c>
      <c r="I59" s="248">
        <f t="shared" si="14"/>
        <v>335400</v>
      </c>
      <c r="J59" s="248">
        <f t="shared" si="14"/>
        <v>354750</v>
      </c>
      <c r="K59" s="248">
        <f t="shared" si="14"/>
        <v>374100</v>
      </c>
      <c r="L59" s="248">
        <f t="shared" si="14"/>
        <v>374100</v>
      </c>
      <c r="M59" s="248">
        <f t="shared" si="14"/>
        <v>374100</v>
      </c>
      <c r="N59" s="248">
        <f t="shared" si="14"/>
        <v>393450</v>
      </c>
      <c r="O59" s="248">
        <f t="shared" si="14"/>
        <v>432150</v>
      </c>
      <c r="P59" s="248">
        <f t="shared" si="14"/>
        <v>432150</v>
      </c>
      <c r="Q59" s="248">
        <f t="shared" si="14"/>
        <v>412800</v>
      </c>
      <c r="R59" s="248">
        <f t="shared" si="14"/>
        <v>412800</v>
      </c>
      <c r="S59" s="248">
        <f t="shared" si="14"/>
        <v>354750</v>
      </c>
      <c r="T59" s="248">
        <f t="shared" si="14"/>
        <v>354750</v>
      </c>
      <c r="U59" s="248">
        <f t="shared" si="14"/>
        <v>316050</v>
      </c>
      <c r="V59" s="248">
        <f t="shared" si="14"/>
        <v>238650</v>
      </c>
      <c r="W59" s="248">
        <f t="shared" si="14"/>
        <v>199950</v>
      </c>
      <c r="X59" s="248">
        <f t="shared" si="14"/>
        <v>199950</v>
      </c>
      <c r="Y59" s="248">
        <f t="shared" si="14"/>
        <v>199950</v>
      </c>
      <c r="Z59" s="248">
        <f t="shared" si="14"/>
        <v>199950</v>
      </c>
      <c r="AA59" s="247">
        <f>SUM(B59:Z59)</f>
        <v>8600000</v>
      </c>
    </row>
    <row r="60" spans="1:27" s="244" customFormat="1" x14ac:dyDescent="0.25">
      <c r="C60" s="244">
        <f>B60/A61</f>
        <v>0</v>
      </c>
    </row>
    <row r="61" spans="1:27" s="244" customFormat="1" x14ac:dyDescent="0.25">
      <c r="A61" s="244">
        <f>+D8</f>
        <v>8600000</v>
      </c>
    </row>
    <row r="62" spans="1:27" s="244" customFormat="1" x14ac:dyDescent="0.25">
      <c r="A62" s="244">
        <f>A61*0.1</f>
        <v>860000</v>
      </c>
    </row>
    <row r="63" spans="1:27" s="244" customFormat="1" x14ac:dyDescent="0.25">
      <c r="A63" s="244">
        <f>A61*0.45</f>
        <v>3870000</v>
      </c>
      <c r="C63" s="244">
        <f>A63/24</f>
        <v>161250</v>
      </c>
    </row>
    <row r="64" spans="1:27" s="244" customFormat="1" x14ac:dyDescent="0.25"/>
  </sheetData>
  <mergeCells count="6">
    <mergeCell ref="I44:J44"/>
    <mergeCell ref="A1:J1"/>
    <mergeCell ref="B3:I4"/>
    <mergeCell ref="A5:C5"/>
    <mergeCell ref="D7:F7"/>
    <mergeCell ref="C15:D15"/>
  </mergeCells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64"/>
  <sheetViews>
    <sheetView showGridLines="0" zoomScale="80" zoomScaleNormal="80" workbookViewId="0">
      <selection activeCell="A62" sqref="A62"/>
    </sheetView>
  </sheetViews>
  <sheetFormatPr defaultColWidth="11.44140625" defaultRowHeight="12" x14ac:dyDescent="0.25"/>
  <cols>
    <col min="1" max="1" width="17.44140625" style="239" customWidth="1"/>
    <col min="2" max="2" width="14.33203125" style="239" customWidth="1"/>
    <col min="3" max="3" width="16.88671875" style="239" customWidth="1"/>
    <col min="4" max="4" width="13.6640625" style="239" customWidth="1"/>
    <col min="5" max="5" width="13.5546875" style="239" customWidth="1"/>
    <col min="6" max="6" width="18.33203125" style="239" customWidth="1"/>
    <col min="7" max="7" width="17.5546875" style="239" customWidth="1"/>
    <col min="8" max="8" width="17.44140625" style="239" customWidth="1"/>
    <col min="9" max="9" width="13.88671875" style="239" customWidth="1"/>
    <col min="10" max="10" width="16.44140625" style="239" customWidth="1"/>
    <col min="11" max="11" width="13.6640625" style="239" customWidth="1"/>
    <col min="12" max="12" width="15.6640625" style="239" customWidth="1"/>
    <col min="13" max="13" width="15.33203125" style="239" customWidth="1"/>
    <col min="14" max="20" width="13.6640625" style="239" customWidth="1"/>
    <col min="21" max="21" width="14.6640625" style="239" customWidth="1"/>
    <col min="22" max="16384" width="11.44140625" style="239"/>
  </cols>
  <sheetData>
    <row r="1" spans="1:21" ht="15.75" customHeight="1" x14ac:dyDescent="0.25">
      <c r="A1" s="538" t="s">
        <v>364</v>
      </c>
      <c r="B1" s="538"/>
      <c r="C1" s="538"/>
      <c r="D1" s="538"/>
      <c r="E1" s="538"/>
      <c r="F1" s="538"/>
      <c r="G1" s="538"/>
      <c r="H1" s="538"/>
      <c r="I1" s="538"/>
      <c r="J1" s="538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</row>
    <row r="2" spans="1:21" x14ac:dyDescent="0.25">
      <c r="A2" s="170"/>
      <c r="B2" s="171"/>
      <c r="C2" s="172"/>
      <c r="D2" s="172"/>
      <c r="E2" s="173"/>
      <c r="F2" s="173"/>
      <c r="G2" s="169"/>
      <c r="H2" s="174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</row>
    <row r="3" spans="1:21" x14ac:dyDescent="0.25">
      <c r="A3" s="170" t="s">
        <v>365</v>
      </c>
      <c r="B3" s="539" t="str">
        <f>+'CC D'!B16</f>
        <v>Contratación de Firma Consultora para la fiscalización de la rehabilitación y mantenimiento de lotes 1 y 2</v>
      </c>
      <c r="C3" s="539"/>
      <c r="D3" s="539"/>
      <c r="E3" s="539"/>
      <c r="F3" s="539"/>
      <c r="G3" s="539"/>
      <c r="H3" s="539"/>
      <c r="I3" s="539"/>
      <c r="J3" s="175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</row>
    <row r="4" spans="1:21" x14ac:dyDescent="0.25">
      <c r="A4" s="176"/>
      <c r="B4" s="539"/>
      <c r="C4" s="539"/>
      <c r="D4" s="539"/>
      <c r="E4" s="539"/>
      <c r="F4" s="539"/>
      <c r="G4" s="539"/>
      <c r="H4" s="539"/>
      <c r="I4" s="539"/>
      <c r="J4" s="175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</row>
    <row r="5" spans="1:21" x14ac:dyDescent="0.25">
      <c r="A5" s="540" t="str">
        <f>CONCATENATE("PLAZO: ",A36," MESES (",A43,")")</f>
        <v>PLAZO: 18 MESES (720 dias)</v>
      </c>
      <c r="B5" s="540"/>
      <c r="C5" s="540"/>
      <c r="D5" s="177"/>
      <c r="E5" s="178" t="s">
        <v>366</v>
      </c>
      <c r="F5" s="169"/>
      <c r="G5" s="169"/>
      <c r="H5" s="174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</row>
    <row r="6" spans="1:21" x14ac:dyDescent="0.25">
      <c r="A6" s="169"/>
      <c r="B6" s="179"/>
      <c r="C6" s="177"/>
      <c r="D6" s="177"/>
      <c r="E6" s="177"/>
      <c r="F6" s="169"/>
      <c r="G6" s="169"/>
      <c r="H6" s="174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</row>
    <row r="7" spans="1:21" x14ac:dyDescent="0.25">
      <c r="A7" s="169"/>
      <c r="B7" s="179"/>
      <c r="C7" s="180" t="s">
        <v>367</v>
      </c>
      <c r="D7" s="541"/>
      <c r="E7" s="541"/>
      <c r="F7" s="541"/>
      <c r="G7" s="169"/>
      <c r="H7" s="180" t="s">
        <v>368</v>
      </c>
      <c r="I7" s="181">
        <f ca="1">NOW()</f>
        <v>43033.716626388887</v>
      </c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</row>
    <row r="8" spans="1:21" x14ac:dyDescent="0.25">
      <c r="A8" s="169"/>
      <c r="B8" s="179"/>
      <c r="C8" s="180" t="str">
        <f>IF(D7=0,"MONTO ESTIMADO CON IVA:","MONTO DE CONTRATO CON IVA:")</f>
        <v>MONTO ESTIMADO CON IVA:</v>
      </c>
      <c r="D8" s="182">
        <v>9500000</v>
      </c>
      <c r="E8" s="183" t="s">
        <v>369</v>
      </c>
      <c r="F8" s="169" t="s">
        <v>370</v>
      </c>
      <c r="G8" s="169"/>
      <c r="H8" s="174" t="s">
        <v>371</v>
      </c>
      <c r="I8" s="184">
        <v>1</v>
      </c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</row>
    <row r="9" spans="1:21" x14ac:dyDescent="0.25">
      <c r="A9" s="169"/>
      <c r="B9" s="179"/>
      <c r="C9" s="180" t="s">
        <v>9</v>
      </c>
      <c r="D9" s="182">
        <v>1000000</v>
      </c>
      <c r="E9" s="177" t="s">
        <v>372</v>
      </c>
      <c r="F9" s="169"/>
      <c r="G9" s="169"/>
      <c r="H9" s="174"/>
      <c r="I9" s="185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</row>
    <row r="10" spans="1:21" x14ac:dyDescent="0.25">
      <c r="A10" s="169"/>
      <c r="B10" s="179"/>
      <c r="C10" s="180" t="s">
        <v>399</v>
      </c>
      <c r="D10" s="182">
        <f>+D9+D8</f>
        <v>10500000</v>
      </c>
      <c r="E10" s="177" t="s">
        <v>369</v>
      </c>
      <c r="F10" s="169"/>
      <c r="G10" s="169"/>
      <c r="H10" s="174"/>
      <c r="I10" s="185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</row>
    <row r="11" spans="1:21" x14ac:dyDescent="0.25">
      <c r="A11" s="169"/>
      <c r="B11" s="169"/>
      <c r="C11" s="180" t="str">
        <f>IF(D7=0,"MONTO ESTIMADO SIN IVA:","MONTO DE CONTRATO SIN IVA:")</f>
        <v>MONTO ESTIMADO SIN IVA:</v>
      </c>
      <c r="D11" s="186">
        <f>D8</f>
        <v>9500000</v>
      </c>
      <c r="E11" s="187" t="s">
        <v>372</v>
      </c>
      <c r="F11" s="177"/>
      <c r="G11" s="169"/>
      <c r="H11" s="174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</row>
    <row r="12" spans="1:21" x14ac:dyDescent="0.25">
      <c r="A12" s="169"/>
      <c r="B12" s="169"/>
      <c r="C12" s="180" t="s">
        <v>373</v>
      </c>
      <c r="D12" s="184">
        <v>100</v>
      </c>
      <c r="E12" s="177"/>
      <c r="F12" s="177" t="s">
        <v>374</v>
      </c>
      <c r="G12" s="169"/>
      <c r="H12" s="174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</row>
    <row r="13" spans="1:21" x14ac:dyDescent="0.25">
      <c r="A13" s="169"/>
      <c r="B13" s="169"/>
      <c r="C13" s="180" t="s">
        <v>375</v>
      </c>
      <c r="D13" s="188">
        <f>100-D12</f>
        <v>0</v>
      </c>
      <c r="E13" s="177"/>
      <c r="F13" s="177"/>
      <c r="G13" s="169"/>
      <c r="H13" s="174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</row>
    <row r="14" spans="1:21" x14ac:dyDescent="0.25">
      <c r="A14" s="169"/>
      <c r="B14" s="169"/>
      <c r="C14" s="180" t="s">
        <v>376</v>
      </c>
      <c r="D14" s="185">
        <v>0</v>
      </c>
      <c r="E14" s="177"/>
      <c r="F14" s="177"/>
      <c r="G14" s="169"/>
      <c r="H14" s="174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</row>
    <row r="15" spans="1:21" x14ac:dyDescent="0.25">
      <c r="A15" s="169"/>
      <c r="B15" s="180" t="s">
        <v>377</v>
      </c>
      <c r="C15" s="542"/>
      <c r="D15" s="542"/>
      <c r="E15" s="442" t="s">
        <v>378</v>
      </c>
      <c r="F15" s="443"/>
      <c r="G15" s="169"/>
      <c r="H15" s="189" t="s">
        <v>379</v>
      </c>
      <c r="I15" s="184">
        <v>10</v>
      </c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</row>
    <row r="16" spans="1:21" ht="12.6" thickBot="1" x14ac:dyDescent="0.3">
      <c r="A16" s="169"/>
      <c r="B16" s="179"/>
      <c r="C16" s="177"/>
      <c r="D16" s="177"/>
      <c r="E16" s="177"/>
      <c r="F16" s="190"/>
      <c r="G16" s="169"/>
      <c r="H16" s="174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</row>
    <row r="17" spans="1:21" ht="36.6" thickBot="1" x14ac:dyDescent="0.3">
      <c r="A17" s="191" t="s">
        <v>380</v>
      </c>
      <c r="B17" s="192" t="s">
        <v>381</v>
      </c>
      <c r="C17" s="192" t="s">
        <v>382</v>
      </c>
      <c r="D17" s="193" t="str">
        <f>CONCATENATE("MONTO MENSUAL DESCONTADO ",ROUND(D14,0),"% ANTICIPO")</f>
        <v>MONTO MENSUAL DESCONTADO 0% ANTICIPO</v>
      </c>
      <c r="E17" s="194" t="s">
        <v>383</v>
      </c>
      <c r="F17" s="195" t="s">
        <v>384</v>
      </c>
      <c r="G17" s="196" t="s">
        <v>385</v>
      </c>
      <c r="H17" s="197" t="s">
        <v>386</v>
      </c>
      <c r="I17" s="198" t="str">
        <f>CONCATENATE("DESEMBOLSOS FONDO LOCAL (",ROUND(D13,0),"%) + IVA")</f>
        <v>DESEMBOLSOS FONDO LOCAL (0%) + IVA</v>
      </c>
      <c r="J17" s="198" t="str">
        <f>CONCATENATE("DESEMBOLSOS FONDO EXTERNO (",ROUND(D12,0),"%)")</f>
        <v>DESEMBOLSOS FONDO EXTERNO (100%)</v>
      </c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</row>
    <row r="18" spans="1:21" x14ac:dyDescent="0.25">
      <c r="A18" s="199">
        <v>0</v>
      </c>
      <c r="B18" s="200">
        <f>D14/100</f>
        <v>0</v>
      </c>
      <c r="C18" s="200">
        <v>0</v>
      </c>
      <c r="D18" s="201">
        <f>ROUND(B18*D11,0)</f>
        <v>0</v>
      </c>
      <c r="E18" s="202">
        <f>D18</f>
        <v>0</v>
      </c>
      <c r="F18" s="203">
        <f t="shared" ref="F18:F42" si="0">E18/$E$36</f>
        <v>0</v>
      </c>
      <c r="G18" s="204" t="s">
        <v>387</v>
      </c>
      <c r="H18" s="205">
        <f t="shared" ref="H18:H33" si="1">ROUND(D18*0.1,0)</f>
        <v>0</v>
      </c>
      <c r="I18" s="206">
        <v>0</v>
      </c>
      <c r="J18" s="206">
        <f t="shared" ref="J18:J33" si="2">ROUNDUP(D18*$D$12/100,-(LEN(D18)-$I$15))</f>
        <v>0</v>
      </c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</row>
    <row r="19" spans="1:21" x14ac:dyDescent="0.25">
      <c r="A19" s="207">
        <v>1</v>
      </c>
      <c r="B19" s="208">
        <v>2.5000000000000001E-2</v>
      </c>
      <c r="C19" s="208">
        <f t="shared" ref="C19:C33" si="3">B19+C18</f>
        <v>2.5000000000000001E-2</v>
      </c>
      <c r="D19" s="209">
        <f>ROUND(B19*$D$11*(100-$D$14)/100,0)</f>
        <v>237500</v>
      </c>
      <c r="E19" s="210">
        <f>E18+D19</f>
        <v>237500</v>
      </c>
      <c r="F19" s="211">
        <f t="shared" si="0"/>
        <v>2.7777777777777776E-2</v>
      </c>
      <c r="G19" s="212" t="s">
        <v>196</v>
      </c>
      <c r="H19" s="213">
        <f>ROUND(D19*0.1,0)</f>
        <v>23750</v>
      </c>
      <c r="I19" s="214">
        <f>ROUNDUP((D19+H19-J19),-(LEN(D19)-$I$15))</f>
        <v>23750</v>
      </c>
      <c r="J19" s="214">
        <f>ROUNDUP(D19*$D$12/100,-(LEN(D19)-$I$15))</f>
        <v>237500</v>
      </c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</row>
    <row r="20" spans="1:21" x14ac:dyDescent="0.25">
      <c r="A20" s="207">
        <v>2</v>
      </c>
      <c r="B20" s="208">
        <v>0.03</v>
      </c>
      <c r="C20" s="208">
        <f t="shared" si="3"/>
        <v>5.5E-2</v>
      </c>
      <c r="D20" s="209">
        <f t="shared" ref="D20:D31" si="4">ROUND(B20*$D$11*(100-$D$14)/100,0)</f>
        <v>285000</v>
      </c>
      <c r="E20" s="210">
        <f t="shared" ref="E20:E33" si="5">E19+D20</f>
        <v>522500</v>
      </c>
      <c r="F20" s="211">
        <f t="shared" si="0"/>
        <v>6.1111111111111109E-2</v>
      </c>
      <c r="G20" s="212" t="s">
        <v>197</v>
      </c>
      <c r="H20" s="213">
        <f t="shared" si="1"/>
        <v>28500</v>
      </c>
      <c r="I20" s="214">
        <f t="shared" ref="I20:I42" si="6">ROUNDUP((D20+H20-J20),-(LEN(D20)-$I$15))</f>
        <v>28500</v>
      </c>
      <c r="J20" s="214">
        <f t="shared" si="2"/>
        <v>285000</v>
      </c>
      <c r="K20" s="215">
        <f>+SUM(J18:J20)</f>
        <v>522500</v>
      </c>
      <c r="L20" s="169"/>
      <c r="M20" s="169"/>
      <c r="N20" s="169"/>
      <c r="O20" s="169"/>
      <c r="P20" s="169"/>
      <c r="Q20" s="169"/>
      <c r="R20" s="169"/>
      <c r="S20" s="169"/>
      <c r="T20" s="169"/>
      <c r="U20" s="169"/>
    </row>
    <row r="21" spans="1:21" x14ac:dyDescent="0.25">
      <c r="A21" s="207">
        <v>3</v>
      </c>
      <c r="B21" s="208">
        <v>3.5000000000000003E-2</v>
      </c>
      <c r="C21" s="208">
        <f t="shared" si="3"/>
        <v>0.09</v>
      </c>
      <c r="D21" s="209">
        <f t="shared" si="4"/>
        <v>332500</v>
      </c>
      <c r="E21" s="210">
        <f t="shared" si="5"/>
        <v>855000</v>
      </c>
      <c r="F21" s="211">
        <f t="shared" si="0"/>
        <v>0.1</v>
      </c>
      <c r="G21" s="212" t="s">
        <v>198</v>
      </c>
      <c r="H21" s="213">
        <f t="shared" si="1"/>
        <v>33250</v>
      </c>
      <c r="I21" s="214">
        <f t="shared" si="6"/>
        <v>33250</v>
      </c>
      <c r="J21" s="214">
        <f t="shared" si="2"/>
        <v>332500</v>
      </c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</row>
    <row r="22" spans="1:21" x14ac:dyDescent="0.25">
      <c r="A22" s="207">
        <v>4</v>
      </c>
      <c r="B22" s="208">
        <v>3.5000000000000003E-2</v>
      </c>
      <c r="C22" s="208">
        <f t="shared" si="3"/>
        <v>0.125</v>
      </c>
      <c r="D22" s="209">
        <f t="shared" si="4"/>
        <v>332500</v>
      </c>
      <c r="E22" s="210">
        <f t="shared" si="5"/>
        <v>1187500</v>
      </c>
      <c r="F22" s="211">
        <f t="shared" si="0"/>
        <v>0.1388888888888889</v>
      </c>
      <c r="G22" s="212" t="s">
        <v>199</v>
      </c>
      <c r="H22" s="213">
        <f t="shared" si="1"/>
        <v>33250</v>
      </c>
      <c r="I22" s="214">
        <f t="shared" si="6"/>
        <v>33250</v>
      </c>
      <c r="J22" s="214">
        <f t="shared" si="2"/>
        <v>332500</v>
      </c>
      <c r="K22" s="216"/>
      <c r="L22" s="169"/>
      <c r="M22" s="169"/>
      <c r="N22" s="169"/>
      <c r="O22" s="169"/>
      <c r="P22" s="169"/>
      <c r="Q22" s="169"/>
      <c r="R22" s="169"/>
      <c r="S22" s="169"/>
      <c r="T22" s="169"/>
      <c r="U22" s="169"/>
    </row>
    <row r="23" spans="1:21" x14ac:dyDescent="0.25">
      <c r="A23" s="207">
        <v>5</v>
      </c>
      <c r="B23" s="208">
        <v>0.04</v>
      </c>
      <c r="C23" s="208">
        <f t="shared" si="3"/>
        <v>0.16500000000000001</v>
      </c>
      <c r="D23" s="209">
        <f t="shared" si="4"/>
        <v>380000</v>
      </c>
      <c r="E23" s="210">
        <f t="shared" si="5"/>
        <v>1567500</v>
      </c>
      <c r="F23" s="211">
        <f t="shared" si="0"/>
        <v>0.18333333333333332</v>
      </c>
      <c r="G23" s="212" t="s">
        <v>200</v>
      </c>
      <c r="H23" s="213">
        <f t="shared" si="1"/>
        <v>38000</v>
      </c>
      <c r="I23" s="214">
        <f t="shared" si="6"/>
        <v>38000</v>
      </c>
      <c r="J23" s="214">
        <f t="shared" si="2"/>
        <v>380000</v>
      </c>
      <c r="K23" s="216"/>
      <c r="L23" s="169"/>
      <c r="M23" s="169"/>
      <c r="N23" s="169"/>
      <c r="O23" s="169"/>
      <c r="P23" s="169"/>
      <c r="Q23" s="169"/>
      <c r="R23" s="169"/>
      <c r="S23" s="169"/>
      <c r="T23" s="169"/>
      <c r="U23" s="169"/>
    </row>
    <row r="24" spans="1:21" x14ac:dyDescent="0.25">
      <c r="A24" s="207">
        <v>6</v>
      </c>
      <c r="B24" s="208">
        <v>4.4999999999999998E-2</v>
      </c>
      <c r="C24" s="208">
        <f t="shared" si="3"/>
        <v>0.21000000000000002</v>
      </c>
      <c r="D24" s="209">
        <f t="shared" si="4"/>
        <v>427500</v>
      </c>
      <c r="E24" s="210">
        <f>E23+D24</f>
        <v>1995000</v>
      </c>
      <c r="F24" s="211">
        <f t="shared" si="0"/>
        <v>0.23333333333333334</v>
      </c>
      <c r="G24" s="212" t="s">
        <v>201</v>
      </c>
      <c r="H24" s="213">
        <f>ROUND(D24*0.1,0)</f>
        <v>42750</v>
      </c>
      <c r="I24" s="214">
        <f>ROUNDUP((D24+H24-J24),-(LEN(D24)-$I$15))</f>
        <v>42750</v>
      </c>
      <c r="J24" s="214">
        <f>ROUNDUP(D24*$D$12/100,-(LEN(D24)-$I$15))</f>
        <v>427500</v>
      </c>
      <c r="K24" s="216"/>
      <c r="L24" s="169"/>
      <c r="M24" s="169"/>
      <c r="N24" s="169"/>
      <c r="O24" s="169"/>
      <c r="P24" s="169"/>
      <c r="Q24" s="169"/>
      <c r="R24" s="169"/>
      <c r="S24" s="169"/>
      <c r="T24" s="169"/>
      <c r="U24" s="169"/>
    </row>
    <row r="25" spans="1:21" x14ac:dyDescent="0.25">
      <c r="A25" s="207">
        <v>7</v>
      </c>
      <c r="B25" s="208">
        <v>4.4999999999999998E-2</v>
      </c>
      <c r="C25" s="208">
        <f t="shared" si="3"/>
        <v>0.255</v>
      </c>
      <c r="D25" s="209">
        <f t="shared" si="4"/>
        <v>427500</v>
      </c>
      <c r="E25" s="210">
        <f t="shared" si="5"/>
        <v>2422500</v>
      </c>
      <c r="F25" s="211">
        <f t="shared" si="0"/>
        <v>0.28333333333333333</v>
      </c>
      <c r="G25" s="212" t="s">
        <v>202</v>
      </c>
      <c r="H25" s="213">
        <f t="shared" si="1"/>
        <v>42750</v>
      </c>
      <c r="I25" s="214">
        <f t="shared" si="6"/>
        <v>42750</v>
      </c>
      <c r="J25" s="214">
        <f t="shared" si="2"/>
        <v>427500</v>
      </c>
      <c r="K25" s="217"/>
      <c r="L25" s="169"/>
      <c r="M25" s="169"/>
      <c r="N25" s="169"/>
      <c r="O25" s="169"/>
      <c r="P25" s="169"/>
      <c r="Q25" s="169"/>
      <c r="R25" s="169"/>
      <c r="S25" s="169"/>
      <c r="T25" s="169"/>
      <c r="U25" s="169"/>
    </row>
    <row r="26" spans="1:21" x14ac:dyDescent="0.25">
      <c r="A26" s="207">
        <v>8</v>
      </c>
      <c r="B26" s="208">
        <v>0.05</v>
      </c>
      <c r="C26" s="208">
        <f t="shared" si="3"/>
        <v>0.30499999999999999</v>
      </c>
      <c r="D26" s="209">
        <f t="shared" si="4"/>
        <v>475000</v>
      </c>
      <c r="E26" s="210">
        <f t="shared" si="5"/>
        <v>2897500</v>
      </c>
      <c r="F26" s="211">
        <f t="shared" si="0"/>
        <v>0.33888888888888891</v>
      </c>
      <c r="G26" s="212" t="s">
        <v>203</v>
      </c>
      <c r="H26" s="213">
        <f t="shared" si="1"/>
        <v>47500</v>
      </c>
      <c r="I26" s="214">
        <f t="shared" si="6"/>
        <v>47500</v>
      </c>
      <c r="J26" s="214">
        <f t="shared" si="2"/>
        <v>475000</v>
      </c>
      <c r="K26" s="216"/>
      <c r="L26" s="169"/>
      <c r="M26" s="169"/>
      <c r="N26" s="169"/>
      <c r="O26" s="169"/>
      <c r="P26" s="169"/>
      <c r="Q26" s="169"/>
      <c r="R26" s="169"/>
      <c r="S26" s="169"/>
      <c r="T26" s="169"/>
      <c r="U26" s="169"/>
    </row>
    <row r="27" spans="1:21" x14ac:dyDescent="0.25">
      <c r="A27" s="207">
        <v>9</v>
      </c>
      <c r="B27" s="208">
        <v>5.5E-2</v>
      </c>
      <c r="C27" s="208">
        <f t="shared" si="3"/>
        <v>0.36</v>
      </c>
      <c r="D27" s="209">
        <f t="shared" si="4"/>
        <v>522500</v>
      </c>
      <c r="E27" s="210">
        <f t="shared" si="5"/>
        <v>3420000</v>
      </c>
      <c r="F27" s="211">
        <f t="shared" si="0"/>
        <v>0.4</v>
      </c>
      <c r="G27" s="212" t="s">
        <v>204</v>
      </c>
      <c r="H27" s="213">
        <f t="shared" si="1"/>
        <v>52250</v>
      </c>
      <c r="I27" s="214">
        <f t="shared" si="6"/>
        <v>52250</v>
      </c>
      <c r="J27" s="214">
        <f t="shared" si="2"/>
        <v>522500</v>
      </c>
      <c r="K27" s="216"/>
      <c r="L27" s="169"/>
      <c r="M27" s="169"/>
      <c r="N27" s="169"/>
      <c r="O27" s="169"/>
      <c r="P27" s="169"/>
      <c r="Q27" s="169"/>
      <c r="R27" s="169"/>
      <c r="S27" s="169"/>
      <c r="T27" s="169"/>
      <c r="U27" s="169"/>
    </row>
    <row r="28" spans="1:21" x14ac:dyDescent="0.25">
      <c r="A28" s="207">
        <v>10</v>
      </c>
      <c r="B28" s="208">
        <v>5.5E-2</v>
      </c>
      <c r="C28" s="208">
        <f t="shared" si="3"/>
        <v>0.41499999999999998</v>
      </c>
      <c r="D28" s="209">
        <f t="shared" si="4"/>
        <v>522500</v>
      </c>
      <c r="E28" s="210">
        <f t="shared" si="5"/>
        <v>3942500</v>
      </c>
      <c r="F28" s="211">
        <f t="shared" si="0"/>
        <v>0.46111111111111114</v>
      </c>
      <c r="G28" s="212" t="s">
        <v>205</v>
      </c>
      <c r="H28" s="213">
        <f t="shared" si="1"/>
        <v>52250</v>
      </c>
      <c r="I28" s="214">
        <f t="shared" si="6"/>
        <v>52250</v>
      </c>
      <c r="J28" s="214">
        <f t="shared" si="2"/>
        <v>522500</v>
      </c>
      <c r="K28" s="216"/>
      <c r="L28" s="169"/>
      <c r="M28" s="169"/>
      <c r="N28" s="169"/>
      <c r="O28" s="169"/>
      <c r="P28" s="169"/>
      <c r="Q28" s="169"/>
      <c r="R28" s="169"/>
      <c r="S28" s="169"/>
      <c r="T28" s="169"/>
      <c r="U28" s="169"/>
    </row>
    <row r="29" spans="1:21" x14ac:dyDescent="0.25">
      <c r="A29" s="207">
        <v>11</v>
      </c>
      <c r="B29" s="208">
        <v>5.5E-2</v>
      </c>
      <c r="C29" s="208">
        <f t="shared" si="3"/>
        <v>0.47</v>
      </c>
      <c r="D29" s="209">
        <f t="shared" si="4"/>
        <v>522500</v>
      </c>
      <c r="E29" s="210">
        <f t="shared" si="5"/>
        <v>4465000</v>
      </c>
      <c r="F29" s="211">
        <f t="shared" si="0"/>
        <v>0.52222222222222225</v>
      </c>
      <c r="G29" s="212" t="s">
        <v>206</v>
      </c>
      <c r="H29" s="213">
        <f t="shared" si="1"/>
        <v>52250</v>
      </c>
      <c r="I29" s="214">
        <f t="shared" si="6"/>
        <v>52250</v>
      </c>
      <c r="J29" s="214">
        <f t="shared" si="2"/>
        <v>522500</v>
      </c>
      <c r="K29" s="216"/>
      <c r="L29" s="169"/>
      <c r="M29" s="169"/>
      <c r="N29" s="169"/>
      <c r="O29" s="169"/>
      <c r="P29" s="169"/>
      <c r="Q29" s="169"/>
      <c r="R29" s="169"/>
      <c r="S29" s="169"/>
      <c r="T29" s="169"/>
      <c r="U29" s="169"/>
    </row>
    <row r="30" spans="1:21" x14ac:dyDescent="0.25">
      <c r="A30" s="207">
        <v>12</v>
      </c>
      <c r="B30" s="208">
        <v>0.06</v>
      </c>
      <c r="C30" s="208">
        <f t="shared" si="3"/>
        <v>0.53</v>
      </c>
      <c r="D30" s="209">
        <f t="shared" si="4"/>
        <v>570000</v>
      </c>
      <c r="E30" s="210">
        <f t="shared" si="5"/>
        <v>5035000</v>
      </c>
      <c r="F30" s="211">
        <f t="shared" si="0"/>
        <v>0.58888888888888891</v>
      </c>
      <c r="G30" s="212" t="s">
        <v>207</v>
      </c>
      <c r="H30" s="213">
        <f t="shared" si="1"/>
        <v>57000</v>
      </c>
      <c r="I30" s="214">
        <f t="shared" si="6"/>
        <v>57000</v>
      </c>
      <c r="J30" s="214">
        <f t="shared" si="2"/>
        <v>570000</v>
      </c>
      <c r="K30" s="216"/>
      <c r="L30" s="169"/>
      <c r="M30" s="169"/>
      <c r="N30" s="169"/>
      <c r="O30" s="169"/>
      <c r="P30" s="169"/>
      <c r="Q30" s="169"/>
      <c r="R30" s="169"/>
      <c r="S30" s="169"/>
      <c r="T30" s="169"/>
      <c r="U30" s="169"/>
    </row>
    <row r="31" spans="1:21" x14ac:dyDescent="0.25">
      <c r="A31" s="207">
        <v>13</v>
      </c>
      <c r="B31" s="208">
        <v>7.0000000000000007E-2</v>
      </c>
      <c r="C31" s="208">
        <f t="shared" si="3"/>
        <v>0.60000000000000009</v>
      </c>
      <c r="D31" s="209">
        <f t="shared" si="4"/>
        <v>665000</v>
      </c>
      <c r="E31" s="210">
        <f t="shared" si="5"/>
        <v>5700000</v>
      </c>
      <c r="F31" s="211">
        <f t="shared" si="0"/>
        <v>0.66666666666666663</v>
      </c>
      <c r="G31" s="212" t="s">
        <v>208</v>
      </c>
      <c r="H31" s="213">
        <f t="shared" si="1"/>
        <v>66500</v>
      </c>
      <c r="I31" s="214">
        <f t="shared" si="6"/>
        <v>66500</v>
      </c>
      <c r="J31" s="214">
        <f t="shared" si="2"/>
        <v>665000</v>
      </c>
      <c r="K31" s="216"/>
      <c r="L31" s="169"/>
      <c r="M31" s="169"/>
      <c r="N31" s="169"/>
      <c r="O31" s="169"/>
      <c r="P31" s="169"/>
      <c r="Q31" s="169"/>
      <c r="R31" s="169"/>
      <c r="S31" s="169"/>
      <c r="T31" s="169"/>
      <c r="U31" s="169"/>
    </row>
    <row r="32" spans="1:21" x14ac:dyDescent="0.25">
      <c r="A32" s="207">
        <v>14</v>
      </c>
      <c r="B32" s="208">
        <v>7.0000000000000007E-2</v>
      </c>
      <c r="C32" s="208">
        <f t="shared" si="3"/>
        <v>0.67000000000000015</v>
      </c>
      <c r="D32" s="209">
        <f>ROUND(B32*$D$11*(100-$D$14)/100,0)</f>
        <v>665000</v>
      </c>
      <c r="E32" s="210">
        <f t="shared" si="5"/>
        <v>6365000</v>
      </c>
      <c r="F32" s="211">
        <f t="shared" si="0"/>
        <v>0.74444444444444446</v>
      </c>
      <c r="G32" s="212" t="s">
        <v>209</v>
      </c>
      <c r="H32" s="213">
        <f t="shared" si="1"/>
        <v>66500</v>
      </c>
      <c r="I32" s="214">
        <f t="shared" si="6"/>
        <v>66500</v>
      </c>
      <c r="J32" s="214">
        <f t="shared" si="2"/>
        <v>665000</v>
      </c>
      <c r="K32" s="218">
        <f>+SUM(J21:J32)</f>
        <v>5842500</v>
      </c>
      <c r="L32" s="169"/>
      <c r="M32" s="169"/>
      <c r="N32" s="169"/>
      <c r="O32" s="169"/>
      <c r="P32" s="169"/>
      <c r="Q32" s="169"/>
      <c r="R32" s="169"/>
      <c r="S32" s="169"/>
      <c r="T32" s="169"/>
      <c r="U32" s="169"/>
    </row>
    <row r="33" spans="1:21" x14ac:dyDescent="0.25">
      <c r="A33" s="207">
        <v>15</v>
      </c>
      <c r="B33" s="208">
        <v>6.5000000000000002E-2</v>
      </c>
      <c r="C33" s="208">
        <f t="shared" si="3"/>
        <v>0.7350000000000001</v>
      </c>
      <c r="D33" s="209">
        <f>ROUND(B33*$D$11*(100-$D$14)/100,0)</f>
        <v>617500</v>
      </c>
      <c r="E33" s="210">
        <f t="shared" si="5"/>
        <v>6982500</v>
      </c>
      <c r="F33" s="211">
        <f t="shared" si="0"/>
        <v>0.81666666666666665</v>
      </c>
      <c r="G33" s="212" t="s">
        <v>210</v>
      </c>
      <c r="H33" s="213">
        <f t="shared" si="1"/>
        <v>61750</v>
      </c>
      <c r="I33" s="214">
        <f t="shared" si="6"/>
        <v>61750</v>
      </c>
      <c r="J33" s="214">
        <f t="shared" si="2"/>
        <v>617500</v>
      </c>
      <c r="K33" s="216"/>
      <c r="L33" s="169"/>
      <c r="M33" s="169"/>
      <c r="N33" s="169"/>
      <c r="O33" s="169"/>
      <c r="P33" s="169"/>
      <c r="Q33" s="169"/>
      <c r="R33" s="169"/>
      <c r="S33" s="169"/>
      <c r="T33" s="169"/>
      <c r="U33" s="169"/>
    </row>
    <row r="34" spans="1:21" x14ac:dyDescent="0.25">
      <c r="A34" s="207">
        <v>16</v>
      </c>
      <c r="B34" s="208">
        <v>6.5000000000000002E-2</v>
      </c>
      <c r="C34" s="208">
        <f>B34+C33</f>
        <v>0.8</v>
      </c>
      <c r="D34" s="209">
        <f>ROUND(B34*$D$11*(100-$D$14)/100,0)</f>
        <v>617500</v>
      </c>
      <c r="E34" s="210">
        <f>E33+D34</f>
        <v>7600000</v>
      </c>
      <c r="F34" s="211">
        <f t="shared" si="0"/>
        <v>0.88888888888888884</v>
      </c>
      <c r="G34" s="212" t="s">
        <v>211</v>
      </c>
      <c r="H34" s="213">
        <f>ROUND(D34*0.1,0)</f>
        <v>61750</v>
      </c>
      <c r="I34" s="214">
        <f t="shared" si="6"/>
        <v>61750</v>
      </c>
      <c r="J34" s="214">
        <f>ROUNDUP(D34*$D$12/100,-(LEN(D34)-$I$15))</f>
        <v>617500</v>
      </c>
      <c r="K34" s="216"/>
      <c r="L34" s="169"/>
      <c r="M34" s="169"/>
      <c r="N34" s="169"/>
      <c r="O34" s="169"/>
      <c r="P34" s="169"/>
      <c r="Q34" s="169"/>
      <c r="R34" s="169"/>
      <c r="S34" s="169"/>
      <c r="T34" s="169"/>
      <c r="U34" s="169"/>
    </row>
    <row r="35" spans="1:21" x14ac:dyDescent="0.25">
      <c r="A35" s="207">
        <v>17</v>
      </c>
      <c r="B35" s="208">
        <v>0.05</v>
      </c>
      <c r="C35" s="208">
        <f>B35+C34</f>
        <v>0.85000000000000009</v>
      </c>
      <c r="D35" s="209">
        <f>ROUND(B35*$D$11*(100-$D$14)/100,0)</f>
        <v>475000</v>
      </c>
      <c r="E35" s="210">
        <f>E34+D35</f>
        <v>8075000</v>
      </c>
      <c r="F35" s="211">
        <f t="shared" si="0"/>
        <v>0.94444444444444442</v>
      </c>
      <c r="G35" s="212" t="s">
        <v>212</v>
      </c>
      <c r="H35" s="213">
        <f>ROUND(D35*0.1,0)</f>
        <v>47500</v>
      </c>
      <c r="I35" s="214">
        <f t="shared" si="6"/>
        <v>47500</v>
      </c>
      <c r="J35" s="214">
        <f>ROUNDUP(D35*$D$12/100,-(LEN(D35)-$I$15))</f>
        <v>475000</v>
      </c>
      <c r="K35" s="216"/>
      <c r="L35" s="169"/>
      <c r="M35" s="169"/>
      <c r="N35" s="169"/>
      <c r="O35" s="169"/>
      <c r="P35" s="169"/>
      <c r="Q35" s="169"/>
      <c r="R35" s="169"/>
      <c r="S35" s="169"/>
      <c r="T35" s="169"/>
      <c r="U35" s="169"/>
    </row>
    <row r="36" spans="1:21" ht="12.6" thickBot="1" x14ac:dyDescent="0.3">
      <c r="A36" s="219">
        <v>18</v>
      </c>
      <c r="B36" s="208">
        <v>0.05</v>
      </c>
      <c r="C36" s="220">
        <f>B36+C35</f>
        <v>0.90000000000000013</v>
      </c>
      <c r="D36" s="221">
        <f>ROUND(B36*$D$11*(100-$D$14)/100,0)</f>
        <v>475000</v>
      </c>
      <c r="E36" s="222">
        <f>E35+D36</f>
        <v>8550000</v>
      </c>
      <c r="F36" s="223">
        <f t="shared" si="0"/>
        <v>1</v>
      </c>
      <c r="G36" s="224" t="s">
        <v>213</v>
      </c>
      <c r="H36" s="225">
        <f>ROUND(D36*0.1,0)</f>
        <v>47500</v>
      </c>
      <c r="I36" s="226">
        <f t="shared" si="6"/>
        <v>47500</v>
      </c>
      <c r="J36" s="226">
        <f>ROUNDUP(D36*$D$12/100,-(LEN(D36)-$I$15))</f>
        <v>475000</v>
      </c>
      <c r="K36" s="218">
        <f>+SUM(J33:J36)</f>
        <v>2185000</v>
      </c>
      <c r="L36" s="169"/>
      <c r="M36" s="169"/>
      <c r="N36" s="169"/>
      <c r="O36" s="169"/>
      <c r="P36" s="169"/>
      <c r="Q36" s="169"/>
      <c r="R36" s="169"/>
      <c r="S36" s="169"/>
      <c r="T36" s="169"/>
      <c r="U36" s="169"/>
    </row>
    <row r="37" spans="1:21" ht="12.6" thickBot="1" x14ac:dyDescent="0.3">
      <c r="A37" s="207">
        <v>19</v>
      </c>
      <c r="B37" s="208">
        <v>0.04</v>
      </c>
      <c r="C37" s="220">
        <f t="shared" ref="C37:C42" si="7">B37+C36</f>
        <v>0.94000000000000017</v>
      </c>
      <c r="D37" s="221">
        <f t="shared" ref="D37:D42" si="8">ROUND(B37*$D$11*(100-$D$14)/100,0)</f>
        <v>380000</v>
      </c>
      <c r="E37" s="222">
        <f t="shared" ref="E37:E42" si="9">E36+D37</f>
        <v>8930000</v>
      </c>
      <c r="F37" s="223">
        <f t="shared" si="0"/>
        <v>1.0444444444444445</v>
      </c>
      <c r="G37" s="224" t="s">
        <v>214</v>
      </c>
      <c r="H37" s="225">
        <f t="shared" ref="H37:H42" si="10">ROUND(D37*0.1,0)</f>
        <v>38000</v>
      </c>
      <c r="I37" s="226">
        <f t="shared" si="6"/>
        <v>38000</v>
      </c>
      <c r="J37" s="226">
        <f t="shared" ref="J37:J42" si="11">ROUNDUP(D37*$D$12/100,-(LEN(D37)-$I$15))</f>
        <v>380000</v>
      </c>
      <c r="K37" s="218"/>
      <c r="L37" s="169"/>
      <c r="M37" s="169"/>
      <c r="N37" s="169"/>
      <c r="O37" s="169"/>
      <c r="P37" s="169"/>
      <c r="Q37" s="169"/>
      <c r="R37" s="169"/>
      <c r="S37" s="169"/>
      <c r="T37" s="169"/>
      <c r="U37" s="169"/>
    </row>
    <row r="38" spans="1:21" ht="12.6" thickBot="1" x14ac:dyDescent="0.3">
      <c r="A38" s="219">
        <v>20</v>
      </c>
      <c r="B38" s="208">
        <v>0.02</v>
      </c>
      <c r="C38" s="220">
        <f t="shared" si="7"/>
        <v>0.96000000000000019</v>
      </c>
      <c r="D38" s="221">
        <f t="shared" si="8"/>
        <v>190000</v>
      </c>
      <c r="E38" s="222">
        <f t="shared" si="9"/>
        <v>9120000</v>
      </c>
      <c r="F38" s="223">
        <f t="shared" si="0"/>
        <v>1.0666666666666667</v>
      </c>
      <c r="G38" s="224" t="s">
        <v>215</v>
      </c>
      <c r="H38" s="225">
        <f t="shared" si="10"/>
        <v>19000</v>
      </c>
      <c r="I38" s="226">
        <f t="shared" si="6"/>
        <v>19000</v>
      </c>
      <c r="J38" s="226">
        <f t="shared" si="11"/>
        <v>190000</v>
      </c>
      <c r="K38" s="218"/>
      <c r="L38" s="169"/>
      <c r="M38" s="169"/>
      <c r="N38" s="169"/>
      <c r="O38" s="169"/>
      <c r="P38" s="169"/>
      <c r="Q38" s="169"/>
      <c r="R38" s="169"/>
      <c r="S38" s="169"/>
      <c r="T38" s="169"/>
      <c r="U38" s="169"/>
    </row>
    <row r="39" spans="1:21" ht="12.6" thickBot="1" x14ac:dyDescent="0.3">
      <c r="A39" s="207">
        <v>21</v>
      </c>
      <c r="B39" s="238">
        <v>0.01</v>
      </c>
      <c r="C39" s="220">
        <f t="shared" si="7"/>
        <v>0.9700000000000002</v>
      </c>
      <c r="D39" s="221">
        <f t="shared" si="8"/>
        <v>95000</v>
      </c>
      <c r="E39" s="222">
        <f t="shared" si="9"/>
        <v>9215000</v>
      </c>
      <c r="F39" s="223">
        <f t="shared" si="0"/>
        <v>1.0777777777777777</v>
      </c>
      <c r="G39" s="224" t="s">
        <v>216</v>
      </c>
      <c r="H39" s="225">
        <f t="shared" si="10"/>
        <v>9500</v>
      </c>
      <c r="I39" s="226">
        <f t="shared" si="6"/>
        <v>9500</v>
      </c>
      <c r="J39" s="226">
        <f t="shared" si="11"/>
        <v>95000</v>
      </c>
      <c r="K39" s="218"/>
      <c r="L39" s="169"/>
      <c r="M39" s="169"/>
      <c r="N39" s="169"/>
      <c r="O39" s="169"/>
      <c r="P39" s="169"/>
      <c r="Q39" s="169"/>
      <c r="R39" s="169"/>
      <c r="S39" s="169"/>
      <c r="T39" s="169"/>
      <c r="U39" s="169"/>
    </row>
    <row r="40" spans="1:21" ht="12.6" thickBot="1" x14ac:dyDescent="0.3">
      <c r="A40" s="219">
        <v>22</v>
      </c>
      <c r="B40" s="208">
        <v>0.01</v>
      </c>
      <c r="C40" s="220">
        <f t="shared" si="7"/>
        <v>0.9800000000000002</v>
      </c>
      <c r="D40" s="221">
        <f t="shared" si="8"/>
        <v>95000</v>
      </c>
      <c r="E40" s="222">
        <f t="shared" si="9"/>
        <v>9310000</v>
      </c>
      <c r="F40" s="223">
        <f t="shared" si="0"/>
        <v>1.0888888888888888</v>
      </c>
      <c r="G40" s="224" t="s">
        <v>217</v>
      </c>
      <c r="H40" s="225">
        <f t="shared" si="10"/>
        <v>9500</v>
      </c>
      <c r="I40" s="226">
        <f t="shared" si="6"/>
        <v>9500</v>
      </c>
      <c r="J40" s="226">
        <f t="shared" si="11"/>
        <v>95000</v>
      </c>
      <c r="K40" s="218"/>
      <c r="L40" s="169"/>
      <c r="M40" s="169"/>
      <c r="N40" s="169"/>
      <c r="O40" s="169"/>
      <c r="P40" s="169"/>
      <c r="Q40" s="169"/>
      <c r="R40" s="169"/>
      <c r="S40" s="169"/>
      <c r="T40" s="169"/>
      <c r="U40" s="169"/>
    </row>
    <row r="41" spans="1:21" ht="12.6" thickBot="1" x14ac:dyDescent="0.3">
      <c r="A41" s="207">
        <v>23</v>
      </c>
      <c r="B41" s="208">
        <v>0.01</v>
      </c>
      <c r="C41" s="220">
        <f t="shared" si="7"/>
        <v>0.99000000000000021</v>
      </c>
      <c r="D41" s="221">
        <f t="shared" si="8"/>
        <v>95000</v>
      </c>
      <c r="E41" s="222">
        <f t="shared" si="9"/>
        <v>9405000</v>
      </c>
      <c r="F41" s="223">
        <f t="shared" si="0"/>
        <v>1.1000000000000001</v>
      </c>
      <c r="G41" s="224" t="s">
        <v>218</v>
      </c>
      <c r="H41" s="225">
        <f t="shared" si="10"/>
        <v>9500</v>
      </c>
      <c r="I41" s="226">
        <f t="shared" si="6"/>
        <v>9500</v>
      </c>
      <c r="J41" s="226">
        <f t="shared" si="11"/>
        <v>95000</v>
      </c>
      <c r="K41" s="218"/>
      <c r="L41" s="169"/>
      <c r="M41" s="169"/>
      <c r="N41" s="169"/>
      <c r="O41" s="169"/>
      <c r="P41" s="169"/>
      <c r="Q41" s="169"/>
      <c r="R41" s="169"/>
      <c r="S41" s="169"/>
      <c r="T41" s="169"/>
      <c r="U41" s="169"/>
    </row>
    <row r="42" spans="1:21" ht="12.6" thickBot="1" x14ac:dyDescent="0.3">
      <c r="A42" s="219">
        <v>24</v>
      </c>
      <c r="B42" s="220">
        <v>0.01</v>
      </c>
      <c r="C42" s="220">
        <f t="shared" si="7"/>
        <v>1.0000000000000002</v>
      </c>
      <c r="D42" s="221">
        <f t="shared" si="8"/>
        <v>95000</v>
      </c>
      <c r="E42" s="222">
        <f t="shared" si="9"/>
        <v>9500000</v>
      </c>
      <c r="F42" s="223">
        <f t="shared" si="0"/>
        <v>1.1111111111111112</v>
      </c>
      <c r="G42" s="224" t="s">
        <v>219</v>
      </c>
      <c r="H42" s="225">
        <f t="shared" si="10"/>
        <v>9500</v>
      </c>
      <c r="I42" s="226">
        <f t="shared" si="6"/>
        <v>9500</v>
      </c>
      <c r="J42" s="226">
        <f t="shared" si="11"/>
        <v>95000</v>
      </c>
      <c r="K42" s="218"/>
      <c r="L42" s="169"/>
      <c r="M42" s="169"/>
      <c r="N42" s="169"/>
      <c r="O42" s="169"/>
      <c r="P42" s="169"/>
      <c r="Q42" s="169"/>
      <c r="R42" s="169"/>
      <c r="S42" s="169"/>
      <c r="T42" s="169"/>
      <c r="U42" s="169"/>
    </row>
    <row r="43" spans="1:21" ht="12.6" thickBot="1" x14ac:dyDescent="0.3">
      <c r="A43" s="227" t="str">
        <f>A42*30 &amp; " dias"</f>
        <v>720 dias</v>
      </c>
      <c r="B43" s="228">
        <f>SUM(B19:B42)</f>
        <v>1.0000000000000002</v>
      </c>
      <c r="C43" s="229"/>
      <c r="D43" s="230">
        <f>SUM(D18:D42)</f>
        <v>9500000</v>
      </c>
      <c r="E43" s="169"/>
      <c r="F43" s="174"/>
      <c r="G43" s="174"/>
      <c r="H43" s="169"/>
      <c r="I43" s="231">
        <f>SUM(I18:I42)</f>
        <v>950000</v>
      </c>
      <c r="J43" s="231">
        <f>SUM(J18:J42)</f>
        <v>9500000</v>
      </c>
      <c r="K43" s="216"/>
      <c r="L43" s="169"/>
      <c r="M43" s="169"/>
      <c r="N43" s="169"/>
      <c r="O43" s="169"/>
      <c r="P43" s="169"/>
      <c r="Q43" s="169"/>
      <c r="R43" s="169"/>
      <c r="S43" s="169"/>
      <c r="T43" s="169"/>
      <c r="U43" s="169"/>
    </row>
    <row r="44" spans="1:21" x14ac:dyDescent="0.25">
      <c r="A44" s="174"/>
      <c r="B44" s="179"/>
      <c r="C44" s="177"/>
      <c r="D44" s="177"/>
      <c r="E44" s="177"/>
      <c r="F44" s="169"/>
      <c r="G44" s="169"/>
      <c r="H44" s="180" t="s">
        <v>388</v>
      </c>
      <c r="I44" s="536">
        <f>I43+J43</f>
        <v>10450000</v>
      </c>
      <c r="J44" s="537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</row>
    <row r="45" spans="1:21" x14ac:dyDescent="0.25">
      <c r="A45" s="173" t="s">
        <v>396</v>
      </c>
      <c r="B45" s="173"/>
      <c r="C45" s="173"/>
      <c r="D45" s="177"/>
      <c r="E45" s="177"/>
      <c r="F45" s="169"/>
      <c r="G45" s="169"/>
      <c r="H45" s="180" t="s">
        <v>390</v>
      </c>
      <c r="I45" s="189">
        <f>I44/1.1-D11</f>
        <v>0</v>
      </c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</row>
    <row r="46" spans="1:21" x14ac:dyDescent="0.25">
      <c r="A46" s="169"/>
      <c r="B46" s="232"/>
      <c r="C46" s="177"/>
      <c r="D46" s="177"/>
      <c r="E46" s="177"/>
      <c r="F46" s="169"/>
      <c r="G46" s="169"/>
      <c r="H46" s="174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</row>
    <row r="47" spans="1:21" x14ac:dyDescent="0.25">
      <c r="A47" s="169"/>
      <c r="B47" s="232"/>
      <c r="C47" s="177"/>
      <c r="D47" s="177"/>
      <c r="E47" s="177"/>
      <c r="F47" s="169"/>
      <c r="G47" s="169"/>
      <c r="H47" s="174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</row>
    <row r="48" spans="1:21" x14ac:dyDescent="0.25">
      <c r="A48" s="169"/>
      <c r="B48" s="179"/>
      <c r="C48" s="177"/>
      <c r="D48" s="177"/>
      <c r="E48" s="177"/>
      <c r="F48" s="169"/>
      <c r="G48" s="169"/>
      <c r="H48" s="174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</row>
    <row r="49" spans="1:27" x14ac:dyDescent="0.25">
      <c r="A49" s="169"/>
      <c r="B49" s="179"/>
      <c r="C49" s="177"/>
      <c r="D49" s="177"/>
      <c r="E49" s="177"/>
      <c r="F49" s="169"/>
      <c r="G49" s="169"/>
      <c r="H49" s="174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</row>
    <row r="50" spans="1:27" x14ac:dyDescent="0.25">
      <c r="A50" s="169"/>
      <c r="B50" s="179"/>
      <c r="C50" s="177"/>
      <c r="D50" s="177"/>
      <c r="E50" s="177"/>
      <c r="F50" s="169"/>
      <c r="G50" s="169"/>
      <c r="H50" s="174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</row>
    <row r="51" spans="1:27" x14ac:dyDescent="0.25">
      <c r="A51" s="169"/>
      <c r="B51" s="179"/>
      <c r="C51" s="177"/>
      <c r="D51" s="177"/>
      <c r="E51" s="177"/>
      <c r="F51" s="169"/>
      <c r="G51" s="169"/>
      <c r="H51" s="174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</row>
    <row r="52" spans="1:27" x14ac:dyDescent="0.25">
      <c r="A52" s="169"/>
      <c r="B52" s="179"/>
      <c r="C52" s="177"/>
      <c r="D52" s="177"/>
      <c r="E52" s="177"/>
      <c r="F52" s="169"/>
      <c r="G52" s="169"/>
      <c r="H52" s="174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</row>
    <row r="53" spans="1:27" s="241" customFormat="1" ht="12.75" customHeight="1" x14ac:dyDescent="0.25">
      <c r="A53" s="240"/>
      <c r="B53" s="240" t="s">
        <v>391</v>
      </c>
      <c r="C53" s="240" t="s">
        <v>196</v>
      </c>
      <c r="D53" s="240" t="s">
        <v>197</v>
      </c>
      <c r="E53" s="240" t="s">
        <v>198</v>
      </c>
      <c r="F53" s="240" t="s">
        <v>199</v>
      </c>
      <c r="G53" s="240" t="s">
        <v>200</v>
      </c>
      <c r="H53" s="240" t="s">
        <v>201</v>
      </c>
      <c r="I53" s="240" t="s">
        <v>202</v>
      </c>
      <c r="J53" s="240" t="s">
        <v>203</v>
      </c>
      <c r="K53" s="240" t="s">
        <v>204</v>
      </c>
      <c r="L53" s="240" t="s">
        <v>205</v>
      </c>
      <c r="M53" s="240" t="s">
        <v>206</v>
      </c>
      <c r="N53" s="240" t="s">
        <v>207</v>
      </c>
      <c r="O53" s="240" t="s">
        <v>208</v>
      </c>
      <c r="P53" s="240" t="s">
        <v>209</v>
      </c>
      <c r="Q53" s="240" t="s">
        <v>210</v>
      </c>
      <c r="R53" s="240" t="s">
        <v>211</v>
      </c>
      <c r="S53" s="240" t="s">
        <v>212</v>
      </c>
      <c r="T53" s="240" t="s">
        <v>213</v>
      </c>
      <c r="U53" s="240" t="s">
        <v>214</v>
      </c>
      <c r="V53" s="240" t="s">
        <v>215</v>
      </c>
      <c r="W53" s="240" t="s">
        <v>216</v>
      </c>
      <c r="X53" s="240" t="s">
        <v>217</v>
      </c>
      <c r="Y53" s="240" t="s">
        <v>218</v>
      </c>
      <c r="Z53" s="240" t="s">
        <v>219</v>
      </c>
    </row>
    <row r="54" spans="1:27" s="244" customFormat="1" x14ac:dyDescent="0.25">
      <c r="A54" s="242" t="s">
        <v>392</v>
      </c>
      <c r="B54" s="243">
        <v>0</v>
      </c>
      <c r="C54" s="243">
        <v>0</v>
      </c>
      <c r="D54" s="243">
        <v>0</v>
      </c>
      <c r="E54" s="243">
        <v>0</v>
      </c>
      <c r="F54" s="243">
        <v>0</v>
      </c>
      <c r="G54" s="243">
        <v>0</v>
      </c>
      <c r="H54" s="243">
        <v>0</v>
      </c>
      <c r="I54" s="243">
        <v>0</v>
      </c>
      <c r="J54" s="243">
        <v>0</v>
      </c>
      <c r="K54" s="243">
        <v>0</v>
      </c>
      <c r="L54" s="243">
        <v>0</v>
      </c>
      <c r="M54" s="243">
        <v>0</v>
      </c>
      <c r="N54" s="243">
        <v>0</v>
      </c>
      <c r="O54" s="243">
        <v>0</v>
      </c>
      <c r="P54" s="243">
        <v>0</v>
      </c>
      <c r="Q54" s="243">
        <v>0</v>
      </c>
      <c r="R54" s="243">
        <v>0</v>
      </c>
      <c r="S54" s="243">
        <v>0</v>
      </c>
      <c r="T54" s="243">
        <v>0</v>
      </c>
      <c r="U54" s="243">
        <v>0</v>
      </c>
      <c r="V54" s="243">
        <v>0</v>
      </c>
      <c r="W54" s="243">
        <v>0</v>
      </c>
      <c r="X54" s="243">
        <v>0</v>
      </c>
      <c r="Y54" s="243">
        <v>0</v>
      </c>
      <c r="Z54" s="243">
        <v>0</v>
      </c>
      <c r="AA54" s="244">
        <f>SUM(B54:T54)</f>
        <v>0</v>
      </c>
    </row>
    <row r="55" spans="1:27" s="244" customFormat="1" x14ac:dyDescent="0.25">
      <c r="A55" s="242" t="s">
        <v>393</v>
      </c>
      <c r="B55" s="243">
        <f>$J18</f>
        <v>0</v>
      </c>
      <c r="C55" s="243">
        <f>$J19</f>
        <v>237500</v>
      </c>
      <c r="D55" s="243">
        <f>$J20</f>
        <v>285000</v>
      </c>
      <c r="E55" s="243">
        <f>$J21</f>
        <v>332500</v>
      </c>
      <c r="F55" s="243">
        <f>$J22</f>
        <v>332500</v>
      </c>
      <c r="G55" s="243">
        <f>$J23</f>
        <v>380000</v>
      </c>
      <c r="H55" s="243">
        <f>$J24</f>
        <v>427500</v>
      </c>
      <c r="I55" s="243">
        <f>$J25</f>
        <v>427500</v>
      </c>
      <c r="J55" s="243">
        <f>$J26</f>
        <v>475000</v>
      </c>
      <c r="K55" s="243">
        <f>$J27</f>
        <v>522500</v>
      </c>
      <c r="L55" s="243">
        <f>$J28</f>
        <v>522500</v>
      </c>
      <c r="M55" s="243">
        <f>$J29</f>
        <v>522500</v>
      </c>
      <c r="N55" s="243">
        <f>$J30</f>
        <v>570000</v>
      </c>
      <c r="O55" s="243">
        <f>$J31</f>
        <v>665000</v>
      </c>
      <c r="P55" s="243">
        <f>$J32</f>
        <v>665000</v>
      </c>
      <c r="Q55" s="243">
        <f>$J33</f>
        <v>617500</v>
      </c>
      <c r="R55" s="243">
        <f>$J34</f>
        <v>617500</v>
      </c>
      <c r="S55" s="243">
        <f>$J35</f>
        <v>475000</v>
      </c>
      <c r="T55" s="243">
        <f>$J36</f>
        <v>475000</v>
      </c>
      <c r="U55" s="243">
        <f>$J37</f>
        <v>380000</v>
      </c>
      <c r="V55" s="243">
        <f>$J38</f>
        <v>190000</v>
      </c>
      <c r="W55" s="243">
        <f>$J39</f>
        <v>95000</v>
      </c>
      <c r="X55" s="243">
        <f>$J40</f>
        <v>95000</v>
      </c>
      <c r="Y55" s="243">
        <f>$J41</f>
        <v>95000</v>
      </c>
      <c r="Z55" s="243">
        <f>$J42</f>
        <v>95000</v>
      </c>
      <c r="AA55" s="245">
        <f>SUM(B55:Z55)</f>
        <v>9500000</v>
      </c>
    </row>
    <row r="56" spans="1:27" x14ac:dyDescent="0.25">
      <c r="A56" s="246" t="s">
        <v>397</v>
      </c>
      <c r="B56" s="247">
        <f>SUM(B54:B55)</f>
        <v>0</v>
      </c>
      <c r="C56" s="247">
        <f>SUM(C54:C55)*0.45</f>
        <v>106875</v>
      </c>
      <c r="D56" s="247">
        <f t="shared" ref="D56:Z56" si="12">SUM(D54:D55)*0.45</f>
        <v>128250</v>
      </c>
      <c r="E56" s="247">
        <f t="shared" si="12"/>
        <v>149625</v>
      </c>
      <c r="F56" s="247">
        <f t="shared" si="12"/>
        <v>149625</v>
      </c>
      <c r="G56" s="247">
        <f t="shared" si="12"/>
        <v>171000</v>
      </c>
      <c r="H56" s="247">
        <f t="shared" si="12"/>
        <v>192375</v>
      </c>
      <c r="I56" s="247">
        <f t="shared" si="12"/>
        <v>192375</v>
      </c>
      <c r="J56" s="247">
        <f t="shared" si="12"/>
        <v>213750</v>
      </c>
      <c r="K56" s="247">
        <f t="shared" si="12"/>
        <v>235125</v>
      </c>
      <c r="L56" s="247">
        <f t="shared" si="12"/>
        <v>235125</v>
      </c>
      <c r="M56" s="247">
        <f t="shared" si="12"/>
        <v>235125</v>
      </c>
      <c r="N56" s="247">
        <f t="shared" si="12"/>
        <v>256500</v>
      </c>
      <c r="O56" s="247">
        <f t="shared" si="12"/>
        <v>299250</v>
      </c>
      <c r="P56" s="247">
        <f t="shared" si="12"/>
        <v>299250</v>
      </c>
      <c r="Q56" s="247">
        <f t="shared" si="12"/>
        <v>277875</v>
      </c>
      <c r="R56" s="247">
        <f t="shared" si="12"/>
        <v>277875</v>
      </c>
      <c r="S56" s="247">
        <f t="shared" si="12"/>
        <v>213750</v>
      </c>
      <c r="T56" s="247">
        <f t="shared" si="12"/>
        <v>213750</v>
      </c>
      <c r="U56" s="247">
        <f t="shared" si="12"/>
        <v>171000</v>
      </c>
      <c r="V56" s="247">
        <f t="shared" si="12"/>
        <v>85500</v>
      </c>
      <c r="W56" s="247">
        <f t="shared" si="12"/>
        <v>42750</v>
      </c>
      <c r="X56" s="247">
        <f t="shared" si="12"/>
        <v>42750</v>
      </c>
      <c r="Y56" s="247">
        <f t="shared" si="12"/>
        <v>42750</v>
      </c>
      <c r="Z56" s="247">
        <f t="shared" si="12"/>
        <v>42750</v>
      </c>
      <c r="AA56" s="247">
        <f>SUM(B56:Z56)</f>
        <v>4275000</v>
      </c>
    </row>
    <row r="57" spans="1:27" s="245" customFormat="1" x14ac:dyDescent="0.25">
      <c r="A57" s="248" t="s">
        <v>398</v>
      </c>
      <c r="B57" s="248">
        <v>0</v>
      </c>
      <c r="C57" s="248">
        <f>C63</f>
        <v>178125</v>
      </c>
      <c r="D57" s="248">
        <f t="shared" ref="D57:Z57" si="13">C57</f>
        <v>178125</v>
      </c>
      <c r="E57" s="248">
        <f t="shared" si="13"/>
        <v>178125</v>
      </c>
      <c r="F57" s="248">
        <f t="shared" si="13"/>
        <v>178125</v>
      </c>
      <c r="G57" s="248">
        <f t="shared" si="13"/>
        <v>178125</v>
      </c>
      <c r="H57" s="248">
        <f t="shared" si="13"/>
        <v>178125</v>
      </c>
      <c r="I57" s="248">
        <f t="shared" si="13"/>
        <v>178125</v>
      </c>
      <c r="J57" s="248">
        <f t="shared" si="13"/>
        <v>178125</v>
      </c>
      <c r="K57" s="248">
        <f t="shared" si="13"/>
        <v>178125</v>
      </c>
      <c r="L57" s="248">
        <f t="shared" si="13"/>
        <v>178125</v>
      </c>
      <c r="M57" s="248">
        <f t="shared" si="13"/>
        <v>178125</v>
      </c>
      <c r="N57" s="248">
        <f t="shared" si="13"/>
        <v>178125</v>
      </c>
      <c r="O57" s="248">
        <f t="shared" si="13"/>
        <v>178125</v>
      </c>
      <c r="P57" s="248">
        <f t="shared" si="13"/>
        <v>178125</v>
      </c>
      <c r="Q57" s="248">
        <f t="shared" si="13"/>
        <v>178125</v>
      </c>
      <c r="R57" s="248">
        <f t="shared" si="13"/>
        <v>178125</v>
      </c>
      <c r="S57" s="248">
        <f t="shared" si="13"/>
        <v>178125</v>
      </c>
      <c r="T57" s="248">
        <f t="shared" si="13"/>
        <v>178125</v>
      </c>
      <c r="U57" s="248">
        <f t="shared" si="13"/>
        <v>178125</v>
      </c>
      <c r="V57" s="248">
        <f t="shared" si="13"/>
        <v>178125</v>
      </c>
      <c r="W57" s="248">
        <f t="shared" si="13"/>
        <v>178125</v>
      </c>
      <c r="X57" s="248">
        <f t="shared" si="13"/>
        <v>178125</v>
      </c>
      <c r="Y57" s="248">
        <f t="shared" si="13"/>
        <v>178125</v>
      </c>
      <c r="Z57" s="248">
        <f t="shared" si="13"/>
        <v>178125</v>
      </c>
      <c r="AA57" s="247">
        <f>SUM(B57:Z57)</f>
        <v>4275000</v>
      </c>
    </row>
    <row r="58" spans="1:27" s="245" customFormat="1" x14ac:dyDescent="0.25">
      <c r="A58" s="248" t="s">
        <v>391</v>
      </c>
      <c r="B58" s="248">
        <f>A61*10%</f>
        <v>950000</v>
      </c>
      <c r="C58" s="248"/>
      <c r="D58" s="248"/>
      <c r="E58" s="248"/>
      <c r="F58" s="248"/>
      <c r="G58" s="248"/>
      <c r="H58" s="248"/>
      <c r="I58" s="248"/>
      <c r="J58" s="248"/>
      <c r="K58" s="248"/>
      <c r="L58" s="248"/>
      <c r="M58" s="248"/>
      <c r="N58" s="248"/>
      <c r="O58" s="248"/>
      <c r="P58" s="248"/>
      <c r="Q58" s="248"/>
      <c r="R58" s="248"/>
      <c r="S58" s="248"/>
      <c r="T58" s="248"/>
      <c r="U58" s="248"/>
      <c r="V58" s="248"/>
      <c r="W58" s="248"/>
      <c r="X58" s="248"/>
      <c r="Y58" s="248"/>
      <c r="Z58" s="248"/>
      <c r="AA58" s="247">
        <f>SUM(B58:Z58)</f>
        <v>950000</v>
      </c>
    </row>
    <row r="59" spans="1:27" s="245" customFormat="1" x14ac:dyDescent="0.25">
      <c r="A59" s="248"/>
      <c r="B59" s="248">
        <f>SUM(B56:B58)</f>
        <v>950000</v>
      </c>
      <c r="C59" s="248">
        <f t="shared" ref="C59:Z59" si="14">SUM(C56:C58)</f>
        <v>285000</v>
      </c>
      <c r="D59" s="248">
        <f t="shared" si="14"/>
        <v>306375</v>
      </c>
      <c r="E59" s="248">
        <f t="shared" si="14"/>
        <v>327750</v>
      </c>
      <c r="F59" s="248">
        <f t="shared" si="14"/>
        <v>327750</v>
      </c>
      <c r="G59" s="248">
        <f t="shared" si="14"/>
        <v>349125</v>
      </c>
      <c r="H59" s="248">
        <f t="shared" si="14"/>
        <v>370500</v>
      </c>
      <c r="I59" s="248">
        <f t="shared" si="14"/>
        <v>370500</v>
      </c>
      <c r="J59" s="248">
        <f t="shared" si="14"/>
        <v>391875</v>
      </c>
      <c r="K59" s="248">
        <f t="shared" si="14"/>
        <v>413250</v>
      </c>
      <c r="L59" s="248">
        <f t="shared" si="14"/>
        <v>413250</v>
      </c>
      <c r="M59" s="248">
        <f t="shared" si="14"/>
        <v>413250</v>
      </c>
      <c r="N59" s="248">
        <f t="shared" si="14"/>
        <v>434625</v>
      </c>
      <c r="O59" s="248">
        <f t="shared" si="14"/>
        <v>477375</v>
      </c>
      <c r="P59" s="248">
        <f t="shared" si="14"/>
        <v>477375</v>
      </c>
      <c r="Q59" s="248">
        <f t="shared" si="14"/>
        <v>456000</v>
      </c>
      <c r="R59" s="248">
        <f t="shared" si="14"/>
        <v>456000</v>
      </c>
      <c r="S59" s="248">
        <f t="shared" si="14"/>
        <v>391875</v>
      </c>
      <c r="T59" s="248">
        <f t="shared" si="14"/>
        <v>391875</v>
      </c>
      <c r="U59" s="248">
        <f t="shared" si="14"/>
        <v>349125</v>
      </c>
      <c r="V59" s="248">
        <f t="shared" si="14"/>
        <v>263625</v>
      </c>
      <c r="W59" s="248">
        <f t="shared" si="14"/>
        <v>220875</v>
      </c>
      <c r="X59" s="248">
        <f t="shared" si="14"/>
        <v>220875</v>
      </c>
      <c r="Y59" s="248">
        <f t="shared" si="14"/>
        <v>220875</v>
      </c>
      <c r="Z59" s="248">
        <f t="shared" si="14"/>
        <v>220875</v>
      </c>
      <c r="AA59" s="247">
        <f>SUM(B59:Z59)</f>
        <v>9500000</v>
      </c>
    </row>
    <row r="60" spans="1:27" s="244" customFormat="1" x14ac:dyDescent="0.25">
      <c r="C60" s="244">
        <f>B60/A61</f>
        <v>0</v>
      </c>
    </row>
    <row r="61" spans="1:27" s="244" customFormat="1" x14ac:dyDescent="0.25">
      <c r="A61" s="244">
        <f>+D8</f>
        <v>9500000</v>
      </c>
    </row>
    <row r="62" spans="1:27" s="244" customFormat="1" x14ac:dyDescent="0.25">
      <c r="A62" s="244">
        <f>A61*0.1</f>
        <v>950000</v>
      </c>
    </row>
    <row r="63" spans="1:27" s="244" customFormat="1" x14ac:dyDescent="0.25">
      <c r="A63" s="244">
        <f>A61*0.45</f>
        <v>4275000</v>
      </c>
      <c r="C63" s="244">
        <f>A63/24</f>
        <v>178125</v>
      </c>
    </row>
    <row r="64" spans="1:27" s="244" customFormat="1" x14ac:dyDescent="0.25"/>
  </sheetData>
  <mergeCells count="6">
    <mergeCell ref="I44:J44"/>
    <mergeCell ref="A1:J1"/>
    <mergeCell ref="B3:I4"/>
    <mergeCell ref="A5:C5"/>
    <mergeCell ref="D7:F7"/>
    <mergeCell ref="C15:D15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41"/>
  <sheetViews>
    <sheetView showGridLines="0" zoomScaleNormal="100" zoomScaleSheetLayoutView="70" workbookViewId="0">
      <selection activeCell="B1" sqref="B1"/>
    </sheetView>
  </sheetViews>
  <sheetFormatPr defaultColWidth="11.44140625" defaultRowHeight="13.8" x14ac:dyDescent="0.25"/>
  <cols>
    <col min="1" max="1" width="10.109375" style="110" customWidth="1"/>
    <col min="2" max="2" width="56.33203125" style="29" customWidth="1"/>
    <col min="3" max="3" width="26.88671875" style="29" hidden="1" customWidth="1"/>
    <col min="4" max="4" width="12.109375" style="109" customWidth="1"/>
    <col min="5" max="5" width="14.5546875" style="109" customWidth="1"/>
    <col min="6" max="6" width="14.44140625" style="108" customWidth="1"/>
    <col min="7" max="7" width="19.88671875" style="108" customWidth="1"/>
    <col min="8" max="8" width="14.5546875" style="107" customWidth="1"/>
    <col min="9" max="9" width="16" style="106" bestFit="1" customWidth="1"/>
    <col min="10" max="10" width="14.6640625" style="105" customWidth="1"/>
    <col min="11" max="11" width="18.33203125" style="23" bestFit="1" customWidth="1"/>
    <col min="12" max="12" width="15.109375" style="23" bestFit="1" customWidth="1"/>
    <col min="13" max="13" width="11.44140625" style="23"/>
    <col min="14" max="14" width="0" style="23" hidden="1" customWidth="1"/>
    <col min="15" max="15" width="11.44140625" style="23"/>
    <col min="16" max="16" width="12.44140625" style="23" bestFit="1" customWidth="1"/>
    <col min="17" max="224" width="11.44140625" style="23"/>
    <col min="225" max="225" width="44.44140625" style="23" customWidth="1"/>
    <col min="226" max="226" width="13" style="23" customWidth="1"/>
    <col min="227" max="232" width="2" style="23" customWidth="1"/>
    <col min="233" max="233" width="2.44140625" style="23" customWidth="1"/>
    <col min="234" max="234" width="3" style="23" customWidth="1"/>
    <col min="235" max="237" width="2" style="23" customWidth="1"/>
    <col min="238" max="238" width="2.88671875" style="23" customWidth="1"/>
    <col min="239" max="239" width="3" style="23" customWidth="1"/>
    <col min="240" max="240" width="2.6640625" style="23" customWidth="1"/>
    <col min="241" max="241" width="2.44140625" style="23" customWidth="1"/>
    <col min="242" max="242" width="3.33203125" style="23" customWidth="1"/>
    <col min="243" max="243" width="3.5546875" style="23" customWidth="1"/>
    <col min="244" max="244" width="4" style="23" customWidth="1"/>
    <col min="245" max="245" width="3.44140625" style="23" customWidth="1"/>
    <col min="246" max="246" width="3" style="23" customWidth="1"/>
    <col min="247" max="480" width="11.44140625" style="23"/>
    <col min="481" max="481" width="44.44140625" style="23" customWidth="1"/>
    <col min="482" max="482" width="13" style="23" customWidth="1"/>
    <col min="483" max="488" width="2" style="23" customWidth="1"/>
    <col min="489" max="489" width="2.44140625" style="23" customWidth="1"/>
    <col min="490" max="490" width="3" style="23" customWidth="1"/>
    <col min="491" max="493" width="2" style="23" customWidth="1"/>
    <col min="494" max="494" width="2.88671875" style="23" customWidth="1"/>
    <col min="495" max="495" width="3" style="23" customWidth="1"/>
    <col min="496" max="496" width="2.6640625" style="23" customWidth="1"/>
    <col min="497" max="497" width="2.44140625" style="23" customWidth="1"/>
    <col min="498" max="498" width="3.33203125" style="23" customWidth="1"/>
    <col min="499" max="499" width="3.5546875" style="23" customWidth="1"/>
    <col min="500" max="500" width="4" style="23" customWidth="1"/>
    <col min="501" max="501" width="3.44140625" style="23" customWidth="1"/>
    <col min="502" max="502" width="3" style="23" customWidth="1"/>
    <col min="503" max="736" width="11.44140625" style="23"/>
    <col min="737" max="737" width="44.44140625" style="23" customWidth="1"/>
    <col min="738" max="738" width="13" style="23" customWidth="1"/>
    <col min="739" max="744" width="2" style="23" customWidth="1"/>
    <col min="745" max="745" width="2.44140625" style="23" customWidth="1"/>
    <col min="746" max="746" width="3" style="23" customWidth="1"/>
    <col min="747" max="749" width="2" style="23" customWidth="1"/>
    <col min="750" max="750" width="2.88671875" style="23" customWidth="1"/>
    <col min="751" max="751" width="3" style="23" customWidth="1"/>
    <col min="752" max="752" width="2.6640625" style="23" customWidth="1"/>
    <col min="753" max="753" width="2.44140625" style="23" customWidth="1"/>
    <col min="754" max="754" width="3.33203125" style="23" customWidth="1"/>
    <col min="755" max="755" width="3.5546875" style="23" customWidth="1"/>
    <col min="756" max="756" width="4" style="23" customWidth="1"/>
    <col min="757" max="757" width="3.44140625" style="23" customWidth="1"/>
    <col min="758" max="758" width="3" style="23" customWidth="1"/>
    <col min="759" max="992" width="11.44140625" style="23"/>
    <col min="993" max="993" width="44.44140625" style="23" customWidth="1"/>
    <col min="994" max="994" width="13" style="23" customWidth="1"/>
    <col min="995" max="1000" width="2" style="23" customWidth="1"/>
    <col min="1001" max="1001" width="2.44140625" style="23" customWidth="1"/>
    <col min="1002" max="1002" width="3" style="23" customWidth="1"/>
    <col min="1003" max="1005" width="2" style="23" customWidth="1"/>
    <col min="1006" max="1006" width="2.88671875" style="23" customWidth="1"/>
    <col min="1007" max="1007" width="3" style="23" customWidth="1"/>
    <col min="1008" max="1008" width="2.6640625" style="23" customWidth="1"/>
    <col min="1009" max="1009" width="2.44140625" style="23" customWidth="1"/>
    <col min="1010" max="1010" width="3.33203125" style="23" customWidth="1"/>
    <col min="1011" max="1011" width="3.5546875" style="23" customWidth="1"/>
    <col min="1012" max="1012" width="4" style="23" customWidth="1"/>
    <col min="1013" max="1013" width="3.44140625" style="23" customWidth="1"/>
    <col min="1014" max="1014" width="3" style="23" customWidth="1"/>
    <col min="1015" max="1248" width="11.44140625" style="23"/>
    <col min="1249" max="1249" width="44.44140625" style="23" customWidth="1"/>
    <col min="1250" max="1250" width="13" style="23" customWidth="1"/>
    <col min="1251" max="1256" width="2" style="23" customWidth="1"/>
    <col min="1257" max="1257" width="2.44140625" style="23" customWidth="1"/>
    <col min="1258" max="1258" width="3" style="23" customWidth="1"/>
    <col min="1259" max="1261" width="2" style="23" customWidth="1"/>
    <col min="1262" max="1262" width="2.88671875" style="23" customWidth="1"/>
    <col min="1263" max="1263" width="3" style="23" customWidth="1"/>
    <col min="1264" max="1264" width="2.6640625" style="23" customWidth="1"/>
    <col min="1265" max="1265" width="2.44140625" style="23" customWidth="1"/>
    <col min="1266" max="1266" width="3.33203125" style="23" customWidth="1"/>
    <col min="1267" max="1267" width="3.5546875" style="23" customWidth="1"/>
    <col min="1268" max="1268" width="4" style="23" customWidth="1"/>
    <col min="1269" max="1269" width="3.44140625" style="23" customWidth="1"/>
    <col min="1270" max="1270" width="3" style="23" customWidth="1"/>
    <col min="1271" max="1504" width="11.44140625" style="23"/>
    <col min="1505" max="1505" width="44.44140625" style="23" customWidth="1"/>
    <col min="1506" max="1506" width="13" style="23" customWidth="1"/>
    <col min="1507" max="1512" width="2" style="23" customWidth="1"/>
    <col min="1513" max="1513" width="2.44140625" style="23" customWidth="1"/>
    <col min="1514" max="1514" width="3" style="23" customWidth="1"/>
    <col min="1515" max="1517" width="2" style="23" customWidth="1"/>
    <col min="1518" max="1518" width="2.88671875" style="23" customWidth="1"/>
    <col min="1519" max="1519" width="3" style="23" customWidth="1"/>
    <col min="1520" max="1520" width="2.6640625" style="23" customWidth="1"/>
    <col min="1521" max="1521" width="2.44140625" style="23" customWidth="1"/>
    <col min="1522" max="1522" width="3.33203125" style="23" customWidth="1"/>
    <col min="1523" max="1523" width="3.5546875" style="23" customWidth="1"/>
    <col min="1524" max="1524" width="4" style="23" customWidth="1"/>
    <col min="1525" max="1525" width="3.44140625" style="23" customWidth="1"/>
    <col min="1526" max="1526" width="3" style="23" customWidth="1"/>
    <col min="1527" max="1760" width="11.44140625" style="23"/>
    <col min="1761" max="1761" width="44.44140625" style="23" customWidth="1"/>
    <col min="1762" max="1762" width="13" style="23" customWidth="1"/>
    <col min="1763" max="1768" width="2" style="23" customWidth="1"/>
    <col min="1769" max="1769" width="2.44140625" style="23" customWidth="1"/>
    <col min="1770" max="1770" width="3" style="23" customWidth="1"/>
    <col min="1771" max="1773" width="2" style="23" customWidth="1"/>
    <col min="1774" max="1774" width="2.88671875" style="23" customWidth="1"/>
    <col min="1775" max="1775" width="3" style="23" customWidth="1"/>
    <col min="1776" max="1776" width="2.6640625" style="23" customWidth="1"/>
    <col min="1777" max="1777" width="2.44140625" style="23" customWidth="1"/>
    <col min="1778" max="1778" width="3.33203125" style="23" customWidth="1"/>
    <col min="1779" max="1779" width="3.5546875" style="23" customWidth="1"/>
    <col min="1780" max="1780" width="4" style="23" customWidth="1"/>
    <col min="1781" max="1781" width="3.44140625" style="23" customWidth="1"/>
    <col min="1782" max="1782" width="3" style="23" customWidth="1"/>
    <col min="1783" max="2016" width="11.44140625" style="23"/>
    <col min="2017" max="2017" width="44.44140625" style="23" customWidth="1"/>
    <col min="2018" max="2018" width="13" style="23" customWidth="1"/>
    <col min="2019" max="2024" width="2" style="23" customWidth="1"/>
    <col min="2025" max="2025" width="2.44140625" style="23" customWidth="1"/>
    <col min="2026" max="2026" width="3" style="23" customWidth="1"/>
    <col min="2027" max="2029" width="2" style="23" customWidth="1"/>
    <col min="2030" max="2030" width="2.88671875" style="23" customWidth="1"/>
    <col min="2031" max="2031" width="3" style="23" customWidth="1"/>
    <col min="2032" max="2032" width="2.6640625" style="23" customWidth="1"/>
    <col min="2033" max="2033" width="2.44140625" style="23" customWidth="1"/>
    <col min="2034" max="2034" width="3.33203125" style="23" customWidth="1"/>
    <col min="2035" max="2035" width="3.5546875" style="23" customWidth="1"/>
    <col min="2036" max="2036" width="4" style="23" customWidth="1"/>
    <col min="2037" max="2037" width="3.44140625" style="23" customWidth="1"/>
    <col min="2038" max="2038" width="3" style="23" customWidth="1"/>
    <col min="2039" max="2272" width="11.44140625" style="23"/>
    <col min="2273" max="2273" width="44.44140625" style="23" customWidth="1"/>
    <col min="2274" max="2274" width="13" style="23" customWidth="1"/>
    <col min="2275" max="2280" width="2" style="23" customWidth="1"/>
    <col min="2281" max="2281" width="2.44140625" style="23" customWidth="1"/>
    <col min="2282" max="2282" width="3" style="23" customWidth="1"/>
    <col min="2283" max="2285" width="2" style="23" customWidth="1"/>
    <col min="2286" max="2286" width="2.88671875" style="23" customWidth="1"/>
    <col min="2287" max="2287" width="3" style="23" customWidth="1"/>
    <col min="2288" max="2288" width="2.6640625" style="23" customWidth="1"/>
    <col min="2289" max="2289" width="2.44140625" style="23" customWidth="1"/>
    <col min="2290" max="2290" width="3.33203125" style="23" customWidth="1"/>
    <col min="2291" max="2291" width="3.5546875" style="23" customWidth="1"/>
    <col min="2292" max="2292" width="4" style="23" customWidth="1"/>
    <col min="2293" max="2293" width="3.44140625" style="23" customWidth="1"/>
    <col min="2294" max="2294" width="3" style="23" customWidth="1"/>
    <col min="2295" max="2528" width="11.44140625" style="23"/>
    <col min="2529" max="2529" width="44.44140625" style="23" customWidth="1"/>
    <col min="2530" max="2530" width="13" style="23" customWidth="1"/>
    <col min="2531" max="2536" width="2" style="23" customWidth="1"/>
    <col min="2537" max="2537" width="2.44140625" style="23" customWidth="1"/>
    <col min="2538" max="2538" width="3" style="23" customWidth="1"/>
    <col min="2539" max="2541" width="2" style="23" customWidth="1"/>
    <col min="2542" max="2542" width="2.88671875" style="23" customWidth="1"/>
    <col min="2543" max="2543" width="3" style="23" customWidth="1"/>
    <col min="2544" max="2544" width="2.6640625" style="23" customWidth="1"/>
    <col min="2545" max="2545" width="2.44140625" style="23" customWidth="1"/>
    <col min="2546" max="2546" width="3.33203125" style="23" customWidth="1"/>
    <col min="2547" max="2547" width="3.5546875" style="23" customWidth="1"/>
    <col min="2548" max="2548" width="4" style="23" customWidth="1"/>
    <col min="2549" max="2549" width="3.44140625" style="23" customWidth="1"/>
    <col min="2550" max="2550" width="3" style="23" customWidth="1"/>
    <col min="2551" max="2784" width="11.44140625" style="23"/>
    <col min="2785" max="2785" width="44.44140625" style="23" customWidth="1"/>
    <col min="2786" max="2786" width="13" style="23" customWidth="1"/>
    <col min="2787" max="2792" width="2" style="23" customWidth="1"/>
    <col min="2793" max="2793" width="2.44140625" style="23" customWidth="1"/>
    <col min="2794" max="2794" width="3" style="23" customWidth="1"/>
    <col min="2795" max="2797" width="2" style="23" customWidth="1"/>
    <col min="2798" max="2798" width="2.88671875" style="23" customWidth="1"/>
    <col min="2799" max="2799" width="3" style="23" customWidth="1"/>
    <col min="2800" max="2800" width="2.6640625" style="23" customWidth="1"/>
    <col min="2801" max="2801" width="2.44140625" style="23" customWidth="1"/>
    <col min="2802" max="2802" width="3.33203125" style="23" customWidth="1"/>
    <col min="2803" max="2803" width="3.5546875" style="23" customWidth="1"/>
    <col min="2804" max="2804" width="4" style="23" customWidth="1"/>
    <col min="2805" max="2805" width="3.44140625" style="23" customWidth="1"/>
    <col min="2806" max="2806" width="3" style="23" customWidth="1"/>
    <col min="2807" max="3040" width="11.44140625" style="23"/>
    <col min="3041" max="3041" width="44.44140625" style="23" customWidth="1"/>
    <col min="3042" max="3042" width="13" style="23" customWidth="1"/>
    <col min="3043" max="3048" width="2" style="23" customWidth="1"/>
    <col min="3049" max="3049" width="2.44140625" style="23" customWidth="1"/>
    <col min="3050" max="3050" width="3" style="23" customWidth="1"/>
    <col min="3051" max="3053" width="2" style="23" customWidth="1"/>
    <col min="3054" max="3054" width="2.88671875" style="23" customWidth="1"/>
    <col min="3055" max="3055" width="3" style="23" customWidth="1"/>
    <col min="3056" max="3056" width="2.6640625" style="23" customWidth="1"/>
    <col min="3057" max="3057" width="2.44140625" style="23" customWidth="1"/>
    <col min="3058" max="3058" width="3.33203125" style="23" customWidth="1"/>
    <col min="3059" max="3059" width="3.5546875" style="23" customWidth="1"/>
    <col min="3060" max="3060" width="4" style="23" customWidth="1"/>
    <col min="3061" max="3061" width="3.44140625" style="23" customWidth="1"/>
    <col min="3062" max="3062" width="3" style="23" customWidth="1"/>
    <col min="3063" max="3296" width="11.44140625" style="23"/>
    <col min="3297" max="3297" width="44.44140625" style="23" customWidth="1"/>
    <col min="3298" max="3298" width="13" style="23" customWidth="1"/>
    <col min="3299" max="3304" width="2" style="23" customWidth="1"/>
    <col min="3305" max="3305" width="2.44140625" style="23" customWidth="1"/>
    <col min="3306" max="3306" width="3" style="23" customWidth="1"/>
    <col min="3307" max="3309" width="2" style="23" customWidth="1"/>
    <col min="3310" max="3310" width="2.88671875" style="23" customWidth="1"/>
    <col min="3311" max="3311" width="3" style="23" customWidth="1"/>
    <col min="3312" max="3312" width="2.6640625" style="23" customWidth="1"/>
    <col min="3313" max="3313" width="2.44140625" style="23" customWidth="1"/>
    <col min="3314" max="3314" width="3.33203125" style="23" customWidth="1"/>
    <col min="3315" max="3315" width="3.5546875" style="23" customWidth="1"/>
    <col min="3316" max="3316" width="4" style="23" customWidth="1"/>
    <col min="3317" max="3317" width="3.44140625" style="23" customWidth="1"/>
    <col min="3318" max="3318" width="3" style="23" customWidth="1"/>
    <col min="3319" max="3552" width="11.44140625" style="23"/>
    <col min="3553" max="3553" width="44.44140625" style="23" customWidth="1"/>
    <col min="3554" max="3554" width="13" style="23" customWidth="1"/>
    <col min="3555" max="3560" width="2" style="23" customWidth="1"/>
    <col min="3561" max="3561" width="2.44140625" style="23" customWidth="1"/>
    <col min="3562" max="3562" width="3" style="23" customWidth="1"/>
    <col min="3563" max="3565" width="2" style="23" customWidth="1"/>
    <col min="3566" max="3566" width="2.88671875" style="23" customWidth="1"/>
    <col min="3567" max="3567" width="3" style="23" customWidth="1"/>
    <col min="3568" max="3568" width="2.6640625" style="23" customWidth="1"/>
    <col min="3569" max="3569" width="2.44140625" style="23" customWidth="1"/>
    <col min="3570" max="3570" width="3.33203125" style="23" customWidth="1"/>
    <col min="3571" max="3571" width="3.5546875" style="23" customWidth="1"/>
    <col min="3572" max="3572" width="4" style="23" customWidth="1"/>
    <col min="3573" max="3573" width="3.44140625" style="23" customWidth="1"/>
    <col min="3574" max="3574" width="3" style="23" customWidth="1"/>
    <col min="3575" max="3808" width="11.44140625" style="23"/>
    <col min="3809" max="3809" width="44.44140625" style="23" customWidth="1"/>
    <col min="3810" max="3810" width="13" style="23" customWidth="1"/>
    <col min="3811" max="3816" width="2" style="23" customWidth="1"/>
    <col min="3817" max="3817" width="2.44140625" style="23" customWidth="1"/>
    <col min="3818" max="3818" width="3" style="23" customWidth="1"/>
    <col min="3819" max="3821" width="2" style="23" customWidth="1"/>
    <col min="3822" max="3822" width="2.88671875" style="23" customWidth="1"/>
    <col min="3823" max="3823" width="3" style="23" customWidth="1"/>
    <col min="3824" max="3824" width="2.6640625" style="23" customWidth="1"/>
    <col min="3825" max="3825" width="2.44140625" style="23" customWidth="1"/>
    <col min="3826" max="3826" width="3.33203125" style="23" customWidth="1"/>
    <col min="3827" max="3827" width="3.5546875" style="23" customWidth="1"/>
    <col min="3828" max="3828" width="4" style="23" customWidth="1"/>
    <col min="3829" max="3829" width="3.44140625" style="23" customWidth="1"/>
    <col min="3830" max="3830" width="3" style="23" customWidth="1"/>
    <col min="3831" max="4064" width="11.44140625" style="23"/>
    <col min="4065" max="4065" width="44.44140625" style="23" customWidth="1"/>
    <col min="4066" max="4066" width="13" style="23" customWidth="1"/>
    <col min="4067" max="4072" width="2" style="23" customWidth="1"/>
    <col min="4073" max="4073" width="2.44140625" style="23" customWidth="1"/>
    <col min="4074" max="4074" width="3" style="23" customWidth="1"/>
    <col min="4075" max="4077" width="2" style="23" customWidth="1"/>
    <col min="4078" max="4078" width="2.88671875" style="23" customWidth="1"/>
    <col min="4079" max="4079" width="3" style="23" customWidth="1"/>
    <col min="4080" max="4080" width="2.6640625" style="23" customWidth="1"/>
    <col min="4081" max="4081" width="2.44140625" style="23" customWidth="1"/>
    <col min="4082" max="4082" width="3.33203125" style="23" customWidth="1"/>
    <col min="4083" max="4083" width="3.5546875" style="23" customWidth="1"/>
    <col min="4084" max="4084" width="4" style="23" customWidth="1"/>
    <col min="4085" max="4085" width="3.44140625" style="23" customWidth="1"/>
    <col min="4086" max="4086" width="3" style="23" customWidth="1"/>
    <col min="4087" max="4320" width="11.44140625" style="23"/>
    <col min="4321" max="4321" width="44.44140625" style="23" customWidth="1"/>
    <col min="4322" max="4322" width="13" style="23" customWidth="1"/>
    <col min="4323" max="4328" width="2" style="23" customWidth="1"/>
    <col min="4329" max="4329" width="2.44140625" style="23" customWidth="1"/>
    <col min="4330" max="4330" width="3" style="23" customWidth="1"/>
    <col min="4331" max="4333" width="2" style="23" customWidth="1"/>
    <col min="4334" max="4334" width="2.88671875" style="23" customWidth="1"/>
    <col min="4335" max="4335" width="3" style="23" customWidth="1"/>
    <col min="4336" max="4336" width="2.6640625" style="23" customWidth="1"/>
    <col min="4337" max="4337" width="2.44140625" style="23" customWidth="1"/>
    <col min="4338" max="4338" width="3.33203125" style="23" customWidth="1"/>
    <col min="4339" max="4339" width="3.5546875" style="23" customWidth="1"/>
    <col min="4340" max="4340" width="4" style="23" customWidth="1"/>
    <col min="4341" max="4341" width="3.44140625" style="23" customWidth="1"/>
    <col min="4342" max="4342" width="3" style="23" customWidth="1"/>
    <col min="4343" max="4576" width="11.44140625" style="23"/>
    <col min="4577" max="4577" width="44.44140625" style="23" customWidth="1"/>
    <col min="4578" max="4578" width="13" style="23" customWidth="1"/>
    <col min="4579" max="4584" width="2" style="23" customWidth="1"/>
    <col min="4585" max="4585" width="2.44140625" style="23" customWidth="1"/>
    <col min="4586" max="4586" width="3" style="23" customWidth="1"/>
    <col min="4587" max="4589" width="2" style="23" customWidth="1"/>
    <col min="4590" max="4590" width="2.88671875" style="23" customWidth="1"/>
    <col min="4591" max="4591" width="3" style="23" customWidth="1"/>
    <col min="4592" max="4592" width="2.6640625" style="23" customWidth="1"/>
    <col min="4593" max="4593" width="2.44140625" style="23" customWidth="1"/>
    <col min="4594" max="4594" width="3.33203125" style="23" customWidth="1"/>
    <col min="4595" max="4595" width="3.5546875" style="23" customWidth="1"/>
    <col min="4596" max="4596" width="4" style="23" customWidth="1"/>
    <col min="4597" max="4597" width="3.44140625" style="23" customWidth="1"/>
    <col min="4598" max="4598" width="3" style="23" customWidth="1"/>
    <col min="4599" max="4832" width="11.44140625" style="23"/>
    <col min="4833" max="4833" width="44.44140625" style="23" customWidth="1"/>
    <col min="4834" max="4834" width="13" style="23" customWidth="1"/>
    <col min="4835" max="4840" width="2" style="23" customWidth="1"/>
    <col min="4841" max="4841" width="2.44140625" style="23" customWidth="1"/>
    <col min="4842" max="4842" width="3" style="23" customWidth="1"/>
    <col min="4843" max="4845" width="2" style="23" customWidth="1"/>
    <col min="4846" max="4846" width="2.88671875" style="23" customWidth="1"/>
    <col min="4847" max="4847" width="3" style="23" customWidth="1"/>
    <col min="4848" max="4848" width="2.6640625" style="23" customWidth="1"/>
    <col min="4849" max="4849" width="2.44140625" style="23" customWidth="1"/>
    <col min="4850" max="4850" width="3.33203125" style="23" customWidth="1"/>
    <col min="4851" max="4851" width="3.5546875" style="23" customWidth="1"/>
    <col min="4852" max="4852" width="4" style="23" customWidth="1"/>
    <col min="4853" max="4853" width="3.44140625" style="23" customWidth="1"/>
    <col min="4854" max="4854" width="3" style="23" customWidth="1"/>
    <col min="4855" max="5088" width="11.44140625" style="23"/>
    <col min="5089" max="5089" width="44.44140625" style="23" customWidth="1"/>
    <col min="5090" max="5090" width="13" style="23" customWidth="1"/>
    <col min="5091" max="5096" width="2" style="23" customWidth="1"/>
    <col min="5097" max="5097" width="2.44140625" style="23" customWidth="1"/>
    <col min="5098" max="5098" width="3" style="23" customWidth="1"/>
    <col min="5099" max="5101" width="2" style="23" customWidth="1"/>
    <col min="5102" max="5102" width="2.88671875" style="23" customWidth="1"/>
    <col min="5103" max="5103" width="3" style="23" customWidth="1"/>
    <col min="5104" max="5104" width="2.6640625" style="23" customWidth="1"/>
    <col min="5105" max="5105" width="2.44140625" style="23" customWidth="1"/>
    <col min="5106" max="5106" width="3.33203125" style="23" customWidth="1"/>
    <col min="5107" max="5107" width="3.5546875" style="23" customWidth="1"/>
    <col min="5108" max="5108" width="4" style="23" customWidth="1"/>
    <col min="5109" max="5109" width="3.44140625" style="23" customWidth="1"/>
    <col min="5110" max="5110" width="3" style="23" customWidth="1"/>
    <col min="5111" max="5344" width="11.44140625" style="23"/>
    <col min="5345" max="5345" width="44.44140625" style="23" customWidth="1"/>
    <col min="5346" max="5346" width="13" style="23" customWidth="1"/>
    <col min="5347" max="5352" width="2" style="23" customWidth="1"/>
    <col min="5353" max="5353" width="2.44140625" style="23" customWidth="1"/>
    <col min="5354" max="5354" width="3" style="23" customWidth="1"/>
    <col min="5355" max="5357" width="2" style="23" customWidth="1"/>
    <col min="5358" max="5358" width="2.88671875" style="23" customWidth="1"/>
    <col min="5359" max="5359" width="3" style="23" customWidth="1"/>
    <col min="5360" max="5360" width="2.6640625" style="23" customWidth="1"/>
    <col min="5361" max="5361" width="2.44140625" style="23" customWidth="1"/>
    <col min="5362" max="5362" width="3.33203125" style="23" customWidth="1"/>
    <col min="5363" max="5363" width="3.5546875" style="23" customWidth="1"/>
    <col min="5364" max="5364" width="4" style="23" customWidth="1"/>
    <col min="5365" max="5365" width="3.44140625" style="23" customWidth="1"/>
    <col min="5366" max="5366" width="3" style="23" customWidth="1"/>
    <col min="5367" max="5600" width="11.44140625" style="23"/>
    <col min="5601" max="5601" width="44.44140625" style="23" customWidth="1"/>
    <col min="5602" max="5602" width="13" style="23" customWidth="1"/>
    <col min="5603" max="5608" width="2" style="23" customWidth="1"/>
    <col min="5609" max="5609" width="2.44140625" style="23" customWidth="1"/>
    <col min="5610" max="5610" width="3" style="23" customWidth="1"/>
    <col min="5611" max="5613" width="2" style="23" customWidth="1"/>
    <col min="5614" max="5614" width="2.88671875" style="23" customWidth="1"/>
    <col min="5615" max="5615" width="3" style="23" customWidth="1"/>
    <col min="5616" max="5616" width="2.6640625" style="23" customWidth="1"/>
    <col min="5617" max="5617" width="2.44140625" style="23" customWidth="1"/>
    <col min="5618" max="5618" width="3.33203125" style="23" customWidth="1"/>
    <col min="5619" max="5619" width="3.5546875" style="23" customWidth="1"/>
    <col min="5620" max="5620" width="4" style="23" customWidth="1"/>
    <col min="5621" max="5621" width="3.44140625" style="23" customWidth="1"/>
    <col min="5622" max="5622" width="3" style="23" customWidth="1"/>
    <col min="5623" max="5856" width="11.44140625" style="23"/>
    <col min="5857" max="5857" width="44.44140625" style="23" customWidth="1"/>
    <col min="5858" max="5858" width="13" style="23" customWidth="1"/>
    <col min="5859" max="5864" width="2" style="23" customWidth="1"/>
    <col min="5865" max="5865" width="2.44140625" style="23" customWidth="1"/>
    <col min="5866" max="5866" width="3" style="23" customWidth="1"/>
    <col min="5867" max="5869" width="2" style="23" customWidth="1"/>
    <col min="5870" max="5870" width="2.88671875" style="23" customWidth="1"/>
    <col min="5871" max="5871" width="3" style="23" customWidth="1"/>
    <col min="5872" max="5872" width="2.6640625" style="23" customWidth="1"/>
    <col min="5873" max="5873" width="2.44140625" style="23" customWidth="1"/>
    <col min="5874" max="5874" width="3.33203125" style="23" customWidth="1"/>
    <col min="5875" max="5875" width="3.5546875" style="23" customWidth="1"/>
    <col min="5876" max="5876" width="4" style="23" customWidth="1"/>
    <col min="5877" max="5877" width="3.44140625" style="23" customWidth="1"/>
    <col min="5878" max="5878" width="3" style="23" customWidth="1"/>
    <col min="5879" max="6112" width="11.44140625" style="23"/>
    <col min="6113" max="6113" width="44.44140625" style="23" customWidth="1"/>
    <col min="6114" max="6114" width="13" style="23" customWidth="1"/>
    <col min="6115" max="6120" width="2" style="23" customWidth="1"/>
    <col min="6121" max="6121" width="2.44140625" style="23" customWidth="1"/>
    <col min="6122" max="6122" width="3" style="23" customWidth="1"/>
    <col min="6123" max="6125" width="2" style="23" customWidth="1"/>
    <col min="6126" max="6126" width="2.88671875" style="23" customWidth="1"/>
    <col min="6127" max="6127" width="3" style="23" customWidth="1"/>
    <col min="6128" max="6128" width="2.6640625" style="23" customWidth="1"/>
    <col min="6129" max="6129" width="2.44140625" style="23" customWidth="1"/>
    <col min="6130" max="6130" width="3.33203125" style="23" customWidth="1"/>
    <col min="6131" max="6131" width="3.5546875" style="23" customWidth="1"/>
    <col min="6132" max="6132" width="4" style="23" customWidth="1"/>
    <col min="6133" max="6133" width="3.44140625" style="23" customWidth="1"/>
    <col min="6134" max="6134" width="3" style="23" customWidth="1"/>
    <col min="6135" max="6368" width="11.44140625" style="23"/>
    <col min="6369" max="6369" width="44.44140625" style="23" customWidth="1"/>
    <col min="6370" max="6370" width="13" style="23" customWidth="1"/>
    <col min="6371" max="6376" width="2" style="23" customWidth="1"/>
    <col min="6377" max="6377" width="2.44140625" style="23" customWidth="1"/>
    <col min="6378" max="6378" width="3" style="23" customWidth="1"/>
    <col min="6379" max="6381" width="2" style="23" customWidth="1"/>
    <col min="6382" max="6382" width="2.88671875" style="23" customWidth="1"/>
    <col min="6383" max="6383" width="3" style="23" customWidth="1"/>
    <col min="6384" max="6384" width="2.6640625" style="23" customWidth="1"/>
    <col min="6385" max="6385" width="2.44140625" style="23" customWidth="1"/>
    <col min="6386" max="6386" width="3.33203125" style="23" customWidth="1"/>
    <col min="6387" max="6387" width="3.5546875" style="23" customWidth="1"/>
    <col min="6388" max="6388" width="4" style="23" customWidth="1"/>
    <col min="6389" max="6389" width="3.44140625" style="23" customWidth="1"/>
    <col min="6390" max="6390" width="3" style="23" customWidth="1"/>
    <col min="6391" max="6624" width="11.44140625" style="23"/>
    <col min="6625" max="6625" width="44.44140625" style="23" customWidth="1"/>
    <col min="6626" max="6626" width="13" style="23" customWidth="1"/>
    <col min="6627" max="6632" width="2" style="23" customWidth="1"/>
    <col min="6633" max="6633" width="2.44140625" style="23" customWidth="1"/>
    <col min="6634" max="6634" width="3" style="23" customWidth="1"/>
    <col min="6635" max="6637" width="2" style="23" customWidth="1"/>
    <col min="6638" max="6638" width="2.88671875" style="23" customWidth="1"/>
    <col min="6639" max="6639" width="3" style="23" customWidth="1"/>
    <col min="6640" max="6640" width="2.6640625" style="23" customWidth="1"/>
    <col min="6641" max="6641" width="2.44140625" style="23" customWidth="1"/>
    <col min="6642" max="6642" width="3.33203125" style="23" customWidth="1"/>
    <col min="6643" max="6643" width="3.5546875" style="23" customWidth="1"/>
    <col min="6644" max="6644" width="4" style="23" customWidth="1"/>
    <col min="6645" max="6645" width="3.44140625" style="23" customWidth="1"/>
    <col min="6646" max="6646" width="3" style="23" customWidth="1"/>
    <col min="6647" max="6880" width="11.44140625" style="23"/>
    <col min="6881" max="6881" width="44.44140625" style="23" customWidth="1"/>
    <col min="6882" max="6882" width="13" style="23" customWidth="1"/>
    <col min="6883" max="6888" width="2" style="23" customWidth="1"/>
    <col min="6889" max="6889" width="2.44140625" style="23" customWidth="1"/>
    <col min="6890" max="6890" width="3" style="23" customWidth="1"/>
    <col min="6891" max="6893" width="2" style="23" customWidth="1"/>
    <col min="6894" max="6894" width="2.88671875" style="23" customWidth="1"/>
    <col min="6895" max="6895" width="3" style="23" customWidth="1"/>
    <col min="6896" max="6896" width="2.6640625" style="23" customWidth="1"/>
    <col min="6897" max="6897" width="2.44140625" style="23" customWidth="1"/>
    <col min="6898" max="6898" width="3.33203125" style="23" customWidth="1"/>
    <col min="6899" max="6899" width="3.5546875" style="23" customWidth="1"/>
    <col min="6900" max="6900" width="4" style="23" customWidth="1"/>
    <col min="6901" max="6901" width="3.44140625" style="23" customWidth="1"/>
    <col min="6902" max="6902" width="3" style="23" customWidth="1"/>
    <col min="6903" max="7136" width="11.44140625" style="23"/>
    <col min="7137" max="7137" width="44.44140625" style="23" customWidth="1"/>
    <col min="7138" max="7138" width="13" style="23" customWidth="1"/>
    <col min="7139" max="7144" width="2" style="23" customWidth="1"/>
    <col min="7145" max="7145" width="2.44140625" style="23" customWidth="1"/>
    <col min="7146" max="7146" width="3" style="23" customWidth="1"/>
    <col min="7147" max="7149" width="2" style="23" customWidth="1"/>
    <col min="7150" max="7150" width="2.88671875" style="23" customWidth="1"/>
    <col min="7151" max="7151" width="3" style="23" customWidth="1"/>
    <col min="7152" max="7152" width="2.6640625" style="23" customWidth="1"/>
    <col min="7153" max="7153" width="2.44140625" style="23" customWidth="1"/>
    <col min="7154" max="7154" width="3.33203125" style="23" customWidth="1"/>
    <col min="7155" max="7155" width="3.5546875" style="23" customWidth="1"/>
    <col min="7156" max="7156" width="4" style="23" customWidth="1"/>
    <col min="7157" max="7157" width="3.44140625" style="23" customWidth="1"/>
    <col min="7158" max="7158" width="3" style="23" customWidth="1"/>
    <col min="7159" max="7392" width="11.44140625" style="23"/>
    <col min="7393" max="7393" width="44.44140625" style="23" customWidth="1"/>
    <col min="7394" max="7394" width="13" style="23" customWidth="1"/>
    <col min="7395" max="7400" width="2" style="23" customWidth="1"/>
    <col min="7401" max="7401" width="2.44140625" style="23" customWidth="1"/>
    <col min="7402" max="7402" width="3" style="23" customWidth="1"/>
    <col min="7403" max="7405" width="2" style="23" customWidth="1"/>
    <col min="7406" max="7406" width="2.88671875" style="23" customWidth="1"/>
    <col min="7407" max="7407" width="3" style="23" customWidth="1"/>
    <col min="7408" max="7408" width="2.6640625" style="23" customWidth="1"/>
    <col min="7409" max="7409" width="2.44140625" style="23" customWidth="1"/>
    <col min="7410" max="7410" width="3.33203125" style="23" customWidth="1"/>
    <col min="7411" max="7411" width="3.5546875" style="23" customWidth="1"/>
    <col min="7412" max="7412" width="4" style="23" customWidth="1"/>
    <col min="7413" max="7413" width="3.44140625" style="23" customWidth="1"/>
    <col min="7414" max="7414" width="3" style="23" customWidth="1"/>
    <col min="7415" max="7648" width="11.44140625" style="23"/>
    <col min="7649" max="7649" width="44.44140625" style="23" customWidth="1"/>
    <col min="7650" max="7650" width="13" style="23" customWidth="1"/>
    <col min="7651" max="7656" width="2" style="23" customWidth="1"/>
    <col min="7657" max="7657" width="2.44140625" style="23" customWidth="1"/>
    <col min="7658" max="7658" width="3" style="23" customWidth="1"/>
    <col min="7659" max="7661" width="2" style="23" customWidth="1"/>
    <col min="7662" max="7662" width="2.88671875" style="23" customWidth="1"/>
    <col min="7663" max="7663" width="3" style="23" customWidth="1"/>
    <col min="7664" max="7664" width="2.6640625" style="23" customWidth="1"/>
    <col min="7665" max="7665" width="2.44140625" style="23" customWidth="1"/>
    <col min="7666" max="7666" width="3.33203125" style="23" customWidth="1"/>
    <col min="7667" max="7667" width="3.5546875" style="23" customWidth="1"/>
    <col min="7668" max="7668" width="4" style="23" customWidth="1"/>
    <col min="7669" max="7669" width="3.44140625" style="23" customWidth="1"/>
    <col min="7670" max="7670" width="3" style="23" customWidth="1"/>
    <col min="7671" max="7904" width="11.44140625" style="23"/>
    <col min="7905" max="7905" width="44.44140625" style="23" customWidth="1"/>
    <col min="7906" max="7906" width="13" style="23" customWidth="1"/>
    <col min="7907" max="7912" width="2" style="23" customWidth="1"/>
    <col min="7913" max="7913" width="2.44140625" style="23" customWidth="1"/>
    <col min="7914" max="7914" width="3" style="23" customWidth="1"/>
    <col min="7915" max="7917" width="2" style="23" customWidth="1"/>
    <col min="7918" max="7918" width="2.88671875" style="23" customWidth="1"/>
    <col min="7919" max="7919" width="3" style="23" customWidth="1"/>
    <col min="7920" max="7920" width="2.6640625" style="23" customWidth="1"/>
    <col min="7921" max="7921" width="2.44140625" style="23" customWidth="1"/>
    <col min="7922" max="7922" width="3.33203125" style="23" customWidth="1"/>
    <col min="7923" max="7923" width="3.5546875" style="23" customWidth="1"/>
    <col min="7924" max="7924" width="4" style="23" customWidth="1"/>
    <col min="7925" max="7925" width="3.44140625" style="23" customWidth="1"/>
    <col min="7926" max="7926" width="3" style="23" customWidth="1"/>
    <col min="7927" max="8160" width="11.44140625" style="23"/>
    <col min="8161" max="8161" width="44.44140625" style="23" customWidth="1"/>
    <col min="8162" max="8162" width="13" style="23" customWidth="1"/>
    <col min="8163" max="8168" width="2" style="23" customWidth="1"/>
    <col min="8169" max="8169" width="2.44140625" style="23" customWidth="1"/>
    <col min="8170" max="8170" width="3" style="23" customWidth="1"/>
    <col min="8171" max="8173" width="2" style="23" customWidth="1"/>
    <col min="8174" max="8174" width="2.88671875" style="23" customWidth="1"/>
    <col min="8175" max="8175" width="3" style="23" customWidth="1"/>
    <col min="8176" max="8176" width="2.6640625" style="23" customWidth="1"/>
    <col min="8177" max="8177" width="2.44140625" style="23" customWidth="1"/>
    <col min="8178" max="8178" width="3.33203125" style="23" customWidth="1"/>
    <col min="8179" max="8179" width="3.5546875" style="23" customWidth="1"/>
    <col min="8180" max="8180" width="4" style="23" customWidth="1"/>
    <col min="8181" max="8181" width="3.44140625" style="23" customWidth="1"/>
    <col min="8182" max="8182" width="3" style="23" customWidth="1"/>
    <col min="8183" max="8416" width="11.44140625" style="23"/>
    <col min="8417" max="8417" width="44.44140625" style="23" customWidth="1"/>
    <col min="8418" max="8418" width="13" style="23" customWidth="1"/>
    <col min="8419" max="8424" width="2" style="23" customWidth="1"/>
    <col min="8425" max="8425" width="2.44140625" style="23" customWidth="1"/>
    <col min="8426" max="8426" width="3" style="23" customWidth="1"/>
    <col min="8427" max="8429" width="2" style="23" customWidth="1"/>
    <col min="8430" max="8430" width="2.88671875" style="23" customWidth="1"/>
    <col min="8431" max="8431" width="3" style="23" customWidth="1"/>
    <col min="8432" max="8432" width="2.6640625" style="23" customWidth="1"/>
    <col min="8433" max="8433" width="2.44140625" style="23" customWidth="1"/>
    <col min="8434" max="8434" width="3.33203125" style="23" customWidth="1"/>
    <col min="8435" max="8435" width="3.5546875" style="23" customWidth="1"/>
    <col min="8436" max="8436" width="4" style="23" customWidth="1"/>
    <col min="8437" max="8437" width="3.44140625" style="23" customWidth="1"/>
    <col min="8438" max="8438" width="3" style="23" customWidth="1"/>
    <col min="8439" max="8672" width="11.44140625" style="23"/>
    <col min="8673" max="8673" width="44.44140625" style="23" customWidth="1"/>
    <col min="8674" max="8674" width="13" style="23" customWidth="1"/>
    <col min="8675" max="8680" width="2" style="23" customWidth="1"/>
    <col min="8681" max="8681" width="2.44140625" style="23" customWidth="1"/>
    <col min="8682" max="8682" width="3" style="23" customWidth="1"/>
    <col min="8683" max="8685" width="2" style="23" customWidth="1"/>
    <col min="8686" max="8686" width="2.88671875" style="23" customWidth="1"/>
    <col min="8687" max="8687" width="3" style="23" customWidth="1"/>
    <col min="8688" max="8688" width="2.6640625" style="23" customWidth="1"/>
    <col min="8689" max="8689" width="2.44140625" style="23" customWidth="1"/>
    <col min="8690" max="8690" width="3.33203125" style="23" customWidth="1"/>
    <col min="8691" max="8691" width="3.5546875" style="23" customWidth="1"/>
    <col min="8692" max="8692" width="4" style="23" customWidth="1"/>
    <col min="8693" max="8693" width="3.44140625" style="23" customWidth="1"/>
    <col min="8694" max="8694" width="3" style="23" customWidth="1"/>
    <col min="8695" max="8928" width="11.44140625" style="23"/>
    <col min="8929" max="8929" width="44.44140625" style="23" customWidth="1"/>
    <col min="8930" max="8930" width="13" style="23" customWidth="1"/>
    <col min="8931" max="8936" width="2" style="23" customWidth="1"/>
    <col min="8937" max="8937" width="2.44140625" style="23" customWidth="1"/>
    <col min="8938" max="8938" width="3" style="23" customWidth="1"/>
    <col min="8939" max="8941" width="2" style="23" customWidth="1"/>
    <col min="8942" max="8942" width="2.88671875" style="23" customWidth="1"/>
    <col min="8943" max="8943" width="3" style="23" customWidth="1"/>
    <col min="8944" max="8944" width="2.6640625" style="23" customWidth="1"/>
    <col min="8945" max="8945" width="2.44140625" style="23" customWidth="1"/>
    <col min="8946" max="8946" width="3.33203125" style="23" customWidth="1"/>
    <col min="8947" max="8947" width="3.5546875" style="23" customWidth="1"/>
    <col min="8948" max="8948" width="4" style="23" customWidth="1"/>
    <col min="8949" max="8949" width="3.44140625" style="23" customWidth="1"/>
    <col min="8950" max="8950" width="3" style="23" customWidth="1"/>
    <col min="8951" max="9184" width="11.44140625" style="23"/>
    <col min="9185" max="9185" width="44.44140625" style="23" customWidth="1"/>
    <col min="9186" max="9186" width="13" style="23" customWidth="1"/>
    <col min="9187" max="9192" width="2" style="23" customWidth="1"/>
    <col min="9193" max="9193" width="2.44140625" style="23" customWidth="1"/>
    <col min="9194" max="9194" width="3" style="23" customWidth="1"/>
    <col min="9195" max="9197" width="2" style="23" customWidth="1"/>
    <col min="9198" max="9198" width="2.88671875" style="23" customWidth="1"/>
    <col min="9199" max="9199" width="3" style="23" customWidth="1"/>
    <col min="9200" max="9200" width="2.6640625" style="23" customWidth="1"/>
    <col min="9201" max="9201" width="2.44140625" style="23" customWidth="1"/>
    <col min="9202" max="9202" width="3.33203125" style="23" customWidth="1"/>
    <col min="9203" max="9203" width="3.5546875" style="23" customWidth="1"/>
    <col min="9204" max="9204" width="4" style="23" customWidth="1"/>
    <col min="9205" max="9205" width="3.44140625" style="23" customWidth="1"/>
    <col min="9206" max="9206" width="3" style="23" customWidth="1"/>
    <col min="9207" max="9440" width="11.44140625" style="23"/>
    <col min="9441" max="9441" width="44.44140625" style="23" customWidth="1"/>
    <col min="9442" max="9442" width="13" style="23" customWidth="1"/>
    <col min="9443" max="9448" width="2" style="23" customWidth="1"/>
    <col min="9449" max="9449" width="2.44140625" style="23" customWidth="1"/>
    <col min="9450" max="9450" width="3" style="23" customWidth="1"/>
    <col min="9451" max="9453" width="2" style="23" customWidth="1"/>
    <col min="9454" max="9454" width="2.88671875" style="23" customWidth="1"/>
    <col min="9455" max="9455" width="3" style="23" customWidth="1"/>
    <col min="9456" max="9456" width="2.6640625" style="23" customWidth="1"/>
    <col min="9457" max="9457" width="2.44140625" style="23" customWidth="1"/>
    <col min="9458" max="9458" width="3.33203125" style="23" customWidth="1"/>
    <col min="9459" max="9459" width="3.5546875" style="23" customWidth="1"/>
    <col min="9460" max="9460" width="4" style="23" customWidth="1"/>
    <col min="9461" max="9461" width="3.44140625" style="23" customWidth="1"/>
    <col min="9462" max="9462" width="3" style="23" customWidth="1"/>
    <col min="9463" max="9696" width="11.44140625" style="23"/>
    <col min="9697" max="9697" width="44.44140625" style="23" customWidth="1"/>
    <col min="9698" max="9698" width="13" style="23" customWidth="1"/>
    <col min="9699" max="9704" width="2" style="23" customWidth="1"/>
    <col min="9705" max="9705" width="2.44140625" style="23" customWidth="1"/>
    <col min="9706" max="9706" width="3" style="23" customWidth="1"/>
    <col min="9707" max="9709" width="2" style="23" customWidth="1"/>
    <col min="9710" max="9710" width="2.88671875" style="23" customWidth="1"/>
    <col min="9711" max="9711" width="3" style="23" customWidth="1"/>
    <col min="9712" max="9712" width="2.6640625" style="23" customWidth="1"/>
    <col min="9713" max="9713" width="2.44140625" style="23" customWidth="1"/>
    <col min="9714" max="9714" width="3.33203125" style="23" customWidth="1"/>
    <col min="9715" max="9715" width="3.5546875" style="23" customWidth="1"/>
    <col min="9716" max="9716" width="4" style="23" customWidth="1"/>
    <col min="9717" max="9717" width="3.44140625" style="23" customWidth="1"/>
    <col min="9718" max="9718" width="3" style="23" customWidth="1"/>
    <col min="9719" max="9952" width="11.44140625" style="23"/>
    <col min="9953" max="9953" width="44.44140625" style="23" customWidth="1"/>
    <col min="9954" max="9954" width="13" style="23" customWidth="1"/>
    <col min="9955" max="9960" width="2" style="23" customWidth="1"/>
    <col min="9961" max="9961" width="2.44140625" style="23" customWidth="1"/>
    <col min="9962" max="9962" width="3" style="23" customWidth="1"/>
    <col min="9963" max="9965" width="2" style="23" customWidth="1"/>
    <col min="9966" max="9966" width="2.88671875" style="23" customWidth="1"/>
    <col min="9967" max="9967" width="3" style="23" customWidth="1"/>
    <col min="9968" max="9968" width="2.6640625" style="23" customWidth="1"/>
    <col min="9969" max="9969" width="2.44140625" style="23" customWidth="1"/>
    <col min="9970" max="9970" width="3.33203125" style="23" customWidth="1"/>
    <col min="9971" max="9971" width="3.5546875" style="23" customWidth="1"/>
    <col min="9972" max="9972" width="4" style="23" customWidth="1"/>
    <col min="9973" max="9973" width="3.44140625" style="23" customWidth="1"/>
    <col min="9974" max="9974" width="3" style="23" customWidth="1"/>
    <col min="9975" max="10208" width="11.44140625" style="23"/>
    <col min="10209" max="10209" width="44.44140625" style="23" customWidth="1"/>
    <col min="10210" max="10210" width="13" style="23" customWidth="1"/>
    <col min="10211" max="10216" width="2" style="23" customWidth="1"/>
    <col min="10217" max="10217" width="2.44140625" style="23" customWidth="1"/>
    <col min="10218" max="10218" width="3" style="23" customWidth="1"/>
    <col min="10219" max="10221" width="2" style="23" customWidth="1"/>
    <col min="10222" max="10222" width="2.88671875" style="23" customWidth="1"/>
    <col min="10223" max="10223" width="3" style="23" customWidth="1"/>
    <col min="10224" max="10224" width="2.6640625" style="23" customWidth="1"/>
    <col min="10225" max="10225" width="2.44140625" style="23" customWidth="1"/>
    <col min="10226" max="10226" width="3.33203125" style="23" customWidth="1"/>
    <col min="10227" max="10227" width="3.5546875" style="23" customWidth="1"/>
    <col min="10228" max="10228" width="4" style="23" customWidth="1"/>
    <col min="10229" max="10229" width="3.44140625" style="23" customWidth="1"/>
    <col min="10230" max="10230" width="3" style="23" customWidth="1"/>
    <col min="10231" max="10464" width="11.44140625" style="23"/>
    <col min="10465" max="10465" width="44.44140625" style="23" customWidth="1"/>
    <col min="10466" max="10466" width="13" style="23" customWidth="1"/>
    <col min="10467" max="10472" width="2" style="23" customWidth="1"/>
    <col min="10473" max="10473" width="2.44140625" style="23" customWidth="1"/>
    <col min="10474" max="10474" width="3" style="23" customWidth="1"/>
    <col min="10475" max="10477" width="2" style="23" customWidth="1"/>
    <col min="10478" max="10478" width="2.88671875" style="23" customWidth="1"/>
    <col min="10479" max="10479" width="3" style="23" customWidth="1"/>
    <col min="10480" max="10480" width="2.6640625" style="23" customWidth="1"/>
    <col min="10481" max="10481" width="2.44140625" style="23" customWidth="1"/>
    <col min="10482" max="10482" width="3.33203125" style="23" customWidth="1"/>
    <col min="10483" max="10483" width="3.5546875" style="23" customWidth="1"/>
    <col min="10484" max="10484" width="4" style="23" customWidth="1"/>
    <col min="10485" max="10485" width="3.44140625" style="23" customWidth="1"/>
    <col min="10486" max="10486" width="3" style="23" customWidth="1"/>
    <col min="10487" max="10720" width="11.44140625" style="23"/>
    <col min="10721" max="10721" width="44.44140625" style="23" customWidth="1"/>
    <col min="10722" max="10722" width="13" style="23" customWidth="1"/>
    <col min="10723" max="10728" width="2" style="23" customWidth="1"/>
    <col min="10729" max="10729" width="2.44140625" style="23" customWidth="1"/>
    <col min="10730" max="10730" width="3" style="23" customWidth="1"/>
    <col min="10731" max="10733" width="2" style="23" customWidth="1"/>
    <col min="10734" max="10734" width="2.88671875" style="23" customWidth="1"/>
    <col min="10735" max="10735" width="3" style="23" customWidth="1"/>
    <col min="10736" max="10736" width="2.6640625" style="23" customWidth="1"/>
    <col min="10737" max="10737" width="2.44140625" style="23" customWidth="1"/>
    <col min="10738" max="10738" width="3.33203125" style="23" customWidth="1"/>
    <col min="10739" max="10739" width="3.5546875" style="23" customWidth="1"/>
    <col min="10740" max="10740" width="4" style="23" customWidth="1"/>
    <col min="10741" max="10741" width="3.44140625" style="23" customWidth="1"/>
    <col min="10742" max="10742" width="3" style="23" customWidth="1"/>
    <col min="10743" max="10976" width="11.44140625" style="23"/>
    <col min="10977" max="10977" width="44.44140625" style="23" customWidth="1"/>
    <col min="10978" max="10978" width="13" style="23" customWidth="1"/>
    <col min="10979" max="10984" width="2" style="23" customWidth="1"/>
    <col min="10985" max="10985" width="2.44140625" style="23" customWidth="1"/>
    <col min="10986" max="10986" width="3" style="23" customWidth="1"/>
    <col min="10987" max="10989" width="2" style="23" customWidth="1"/>
    <col min="10990" max="10990" width="2.88671875" style="23" customWidth="1"/>
    <col min="10991" max="10991" width="3" style="23" customWidth="1"/>
    <col min="10992" max="10992" width="2.6640625" style="23" customWidth="1"/>
    <col min="10993" max="10993" width="2.44140625" style="23" customWidth="1"/>
    <col min="10994" max="10994" width="3.33203125" style="23" customWidth="1"/>
    <col min="10995" max="10995" width="3.5546875" style="23" customWidth="1"/>
    <col min="10996" max="10996" width="4" style="23" customWidth="1"/>
    <col min="10997" max="10997" width="3.44140625" style="23" customWidth="1"/>
    <col min="10998" max="10998" width="3" style="23" customWidth="1"/>
    <col min="10999" max="11232" width="11.44140625" style="23"/>
    <col min="11233" max="11233" width="44.44140625" style="23" customWidth="1"/>
    <col min="11234" max="11234" width="13" style="23" customWidth="1"/>
    <col min="11235" max="11240" width="2" style="23" customWidth="1"/>
    <col min="11241" max="11241" width="2.44140625" style="23" customWidth="1"/>
    <col min="11242" max="11242" width="3" style="23" customWidth="1"/>
    <col min="11243" max="11245" width="2" style="23" customWidth="1"/>
    <col min="11246" max="11246" width="2.88671875" style="23" customWidth="1"/>
    <col min="11247" max="11247" width="3" style="23" customWidth="1"/>
    <col min="11248" max="11248" width="2.6640625" style="23" customWidth="1"/>
    <col min="11249" max="11249" width="2.44140625" style="23" customWidth="1"/>
    <col min="11250" max="11250" width="3.33203125" style="23" customWidth="1"/>
    <col min="11251" max="11251" width="3.5546875" style="23" customWidth="1"/>
    <col min="11252" max="11252" width="4" style="23" customWidth="1"/>
    <col min="11253" max="11253" width="3.44140625" style="23" customWidth="1"/>
    <col min="11254" max="11254" width="3" style="23" customWidth="1"/>
    <col min="11255" max="11488" width="11.44140625" style="23"/>
    <col min="11489" max="11489" width="44.44140625" style="23" customWidth="1"/>
    <col min="11490" max="11490" width="13" style="23" customWidth="1"/>
    <col min="11491" max="11496" width="2" style="23" customWidth="1"/>
    <col min="11497" max="11497" width="2.44140625" style="23" customWidth="1"/>
    <col min="11498" max="11498" width="3" style="23" customWidth="1"/>
    <col min="11499" max="11501" width="2" style="23" customWidth="1"/>
    <col min="11502" max="11502" width="2.88671875" style="23" customWidth="1"/>
    <col min="11503" max="11503" width="3" style="23" customWidth="1"/>
    <col min="11504" max="11504" width="2.6640625" style="23" customWidth="1"/>
    <col min="11505" max="11505" width="2.44140625" style="23" customWidth="1"/>
    <col min="11506" max="11506" width="3.33203125" style="23" customWidth="1"/>
    <col min="11507" max="11507" width="3.5546875" style="23" customWidth="1"/>
    <col min="11508" max="11508" width="4" style="23" customWidth="1"/>
    <col min="11509" max="11509" width="3.44140625" style="23" customWidth="1"/>
    <col min="11510" max="11510" width="3" style="23" customWidth="1"/>
    <col min="11511" max="11744" width="11.44140625" style="23"/>
    <col min="11745" max="11745" width="44.44140625" style="23" customWidth="1"/>
    <col min="11746" max="11746" width="13" style="23" customWidth="1"/>
    <col min="11747" max="11752" width="2" style="23" customWidth="1"/>
    <col min="11753" max="11753" width="2.44140625" style="23" customWidth="1"/>
    <col min="11754" max="11754" width="3" style="23" customWidth="1"/>
    <col min="11755" max="11757" width="2" style="23" customWidth="1"/>
    <col min="11758" max="11758" width="2.88671875" style="23" customWidth="1"/>
    <col min="11759" max="11759" width="3" style="23" customWidth="1"/>
    <col min="11760" max="11760" width="2.6640625" style="23" customWidth="1"/>
    <col min="11761" max="11761" width="2.44140625" style="23" customWidth="1"/>
    <col min="11762" max="11762" width="3.33203125" style="23" customWidth="1"/>
    <col min="11763" max="11763" width="3.5546875" style="23" customWidth="1"/>
    <col min="11764" max="11764" width="4" style="23" customWidth="1"/>
    <col min="11765" max="11765" width="3.44140625" style="23" customWidth="1"/>
    <col min="11766" max="11766" width="3" style="23" customWidth="1"/>
    <col min="11767" max="12000" width="11.44140625" style="23"/>
    <col min="12001" max="12001" width="44.44140625" style="23" customWidth="1"/>
    <col min="12002" max="12002" width="13" style="23" customWidth="1"/>
    <col min="12003" max="12008" width="2" style="23" customWidth="1"/>
    <col min="12009" max="12009" width="2.44140625" style="23" customWidth="1"/>
    <col min="12010" max="12010" width="3" style="23" customWidth="1"/>
    <col min="12011" max="12013" width="2" style="23" customWidth="1"/>
    <col min="12014" max="12014" width="2.88671875" style="23" customWidth="1"/>
    <col min="12015" max="12015" width="3" style="23" customWidth="1"/>
    <col min="12016" max="12016" width="2.6640625" style="23" customWidth="1"/>
    <col min="12017" max="12017" width="2.44140625" style="23" customWidth="1"/>
    <col min="12018" max="12018" width="3.33203125" style="23" customWidth="1"/>
    <col min="12019" max="12019" width="3.5546875" style="23" customWidth="1"/>
    <col min="12020" max="12020" width="4" style="23" customWidth="1"/>
    <col min="12021" max="12021" width="3.44140625" style="23" customWidth="1"/>
    <col min="12022" max="12022" width="3" style="23" customWidth="1"/>
    <col min="12023" max="12256" width="11.44140625" style="23"/>
    <col min="12257" max="12257" width="44.44140625" style="23" customWidth="1"/>
    <col min="12258" max="12258" width="13" style="23" customWidth="1"/>
    <col min="12259" max="12264" width="2" style="23" customWidth="1"/>
    <col min="12265" max="12265" width="2.44140625" style="23" customWidth="1"/>
    <col min="12266" max="12266" width="3" style="23" customWidth="1"/>
    <col min="12267" max="12269" width="2" style="23" customWidth="1"/>
    <col min="12270" max="12270" width="2.88671875" style="23" customWidth="1"/>
    <col min="12271" max="12271" width="3" style="23" customWidth="1"/>
    <col min="12272" max="12272" width="2.6640625" style="23" customWidth="1"/>
    <col min="12273" max="12273" width="2.44140625" style="23" customWidth="1"/>
    <col min="12274" max="12274" width="3.33203125" style="23" customWidth="1"/>
    <col min="12275" max="12275" width="3.5546875" style="23" customWidth="1"/>
    <col min="12276" max="12276" width="4" style="23" customWidth="1"/>
    <col min="12277" max="12277" width="3.44140625" style="23" customWidth="1"/>
    <col min="12278" max="12278" width="3" style="23" customWidth="1"/>
    <col min="12279" max="12512" width="11.44140625" style="23"/>
    <col min="12513" max="12513" width="44.44140625" style="23" customWidth="1"/>
    <col min="12514" max="12514" width="13" style="23" customWidth="1"/>
    <col min="12515" max="12520" width="2" style="23" customWidth="1"/>
    <col min="12521" max="12521" width="2.44140625" style="23" customWidth="1"/>
    <col min="12522" max="12522" width="3" style="23" customWidth="1"/>
    <col min="12523" max="12525" width="2" style="23" customWidth="1"/>
    <col min="12526" max="12526" width="2.88671875" style="23" customWidth="1"/>
    <col min="12527" max="12527" width="3" style="23" customWidth="1"/>
    <col min="12528" max="12528" width="2.6640625" style="23" customWidth="1"/>
    <col min="12529" max="12529" width="2.44140625" style="23" customWidth="1"/>
    <col min="12530" max="12530" width="3.33203125" style="23" customWidth="1"/>
    <col min="12531" max="12531" width="3.5546875" style="23" customWidth="1"/>
    <col min="12532" max="12532" width="4" style="23" customWidth="1"/>
    <col min="12533" max="12533" width="3.44140625" style="23" customWidth="1"/>
    <col min="12534" max="12534" width="3" style="23" customWidth="1"/>
    <col min="12535" max="12768" width="11.44140625" style="23"/>
    <col min="12769" max="12769" width="44.44140625" style="23" customWidth="1"/>
    <col min="12770" max="12770" width="13" style="23" customWidth="1"/>
    <col min="12771" max="12776" width="2" style="23" customWidth="1"/>
    <col min="12777" max="12777" width="2.44140625" style="23" customWidth="1"/>
    <col min="12778" max="12778" width="3" style="23" customWidth="1"/>
    <col min="12779" max="12781" width="2" style="23" customWidth="1"/>
    <col min="12782" max="12782" width="2.88671875" style="23" customWidth="1"/>
    <col min="12783" max="12783" width="3" style="23" customWidth="1"/>
    <col min="12784" max="12784" width="2.6640625" style="23" customWidth="1"/>
    <col min="12785" max="12785" width="2.44140625" style="23" customWidth="1"/>
    <col min="12786" max="12786" width="3.33203125" style="23" customWidth="1"/>
    <col min="12787" max="12787" width="3.5546875" style="23" customWidth="1"/>
    <col min="12788" max="12788" width="4" style="23" customWidth="1"/>
    <col min="12789" max="12789" width="3.44140625" style="23" customWidth="1"/>
    <col min="12790" max="12790" width="3" style="23" customWidth="1"/>
    <col min="12791" max="13024" width="11.44140625" style="23"/>
    <col min="13025" max="13025" width="44.44140625" style="23" customWidth="1"/>
    <col min="13026" max="13026" width="13" style="23" customWidth="1"/>
    <col min="13027" max="13032" width="2" style="23" customWidth="1"/>
    <col min="13033" max="13033" width="2.44140625" style="23" customWidth="1"/>
    <col min="13034" max="13034" width="3" style="23" customWidth="1"/>
    <col min="13035" max="13037" width="2" style="23" customWidth="1"/>
    <col min="13038" max="13038" width="2.88671875" style="23" customWidth="1"/>
    <col min="13039" max="13039" width="3" style="23" customWidth="1"/>
    <col min="13040" max="13040" width="2.6640625" style="23" customWidth="1"/>
    <col min="13041" max="13041" width="2.44140625" style="23" customWidth="1"/>
    <col min="13042" max="13042" width="3.33203125" style="23" customWidth="1"/>
    <col min="13043" max="13043" width="3.5546875" style="23" customWidth="1"/>
    <col min="13044" max="13044" width="4" style="23" customWidth="1"/>
    <col min="13045" max="13045" width="3.44140625" style="23" customWidth="1"/>
    <col min="13046" max="13046" width="3" style="23" customWidth="1"/>
    <col min="13047" max="13280" width="11.44140625" style="23"/>
    <col min="13281" max="13281" width="44.44140625" style="23" customWidth="1"/>
    <col min="13282" max="13282" width="13" style="23" customWidth="1"/>
    <col min="13283" max="13288" width="2" style="23" customWidth="1"/>
    <col min="13289" max="13289" width="2.44140625" style="23" customWidth="1"/>
    <col min="13290" max="13290" width="3" style="23" customWidth="1"/>
    <col min="13291" max="13293" width="2" style="23" customWidth="1"/>
    <col min="13294" max="13294" width="2.88671875" style="23" customWidth="1"/>
    <col min="13295" max="13295" width="3" style="23" customWidth="1"/>
    <col min="13296" max="13296" width="2.6640625" style="23" customWidth="1"/>
    <col min="13297" max="13297" width="2.44140625" style="23" customWidth="1"/>
    <col min="13298" max="13298" width="3.33203125" style="23" customWidth="1"/>
    <col min="13299" max="13299" width="3.5546875" style="23" customWidth="1"/>
    <col min="13300" max="13300" width="4" style="23" customWidth="1"/>
    <col min="13301" max="13301" width="3.44140625" style="23" customWidth="1"/>
    <col min="13302" max="13302" width="3" style="23" customWidth="1"/>
    <col min="13303" max="13536" width="11.44140625" style="23"/>
    <col min="13537" max="13537" width="44.44140625" style="23" customWidth="1"/>
    <col min="13538" max="13538" width="13" style="23" customWidth="1"/>
    <col min="13539" max="13544" width="2" style="23" customWidth="1"/>
    <col min="13545" max="13545" width="2.44140625" style="23" customWidth="1"/>
    <col min="13546" max="13546" width="3" style="23" customWidth="1"/>
    <col min="13547" max="13549" width="2" style="23" customWidth="1"/>
    <col min="13550" max="13550" width="2.88671875" style="23" customWidth="1"/>
    <col min="13551" max="13551" width="3" style="23" customWidth="1"/>
    <col min="13552" max="13552" width="2.6640625" style="23" customWidth="1"/>
    <col min="13553" max="13553" width="2.44140625" style="23" customWidth="1"/>
    <col min="13554" max="13554" width="3.33203125" style="23" customWidth="1"/>
    <col min="13555" max="13555" width="3.5546875" style="23" customWidth="1"/>
    <col min="13556" max="13556" width="4" style="23" customWidth="1"/>
    <col min="13557" max="13557" width="3.44140625" style="23" customWidth="1"/>
    <col min="13558" max="13558" width="3" style="23" customWidth="1"/>
    <col min="13559" max="13792" width="11.44140625" style="23"/>
    <col min="13793" max="13793" width="44.44140625" style="23" customWidth="1"/>
    <col min="13794" max="13794" width="13" style="23" customWidth="1"/>
    <col min="13795" max="13800" width="2" style="23" customWidth="1"/>
    <col min="13801" max="13801" width="2.44140625" style="23" customWidth="1"/>
    <col min="13802" max="13802" width="3" style="23" customWidth="1"/>
    <col min="13803" max="13805" width="2" style="23" customWidth="1"/>
    <col min="13806" max="13806" width="2.88671875" style="23" customWidth="1"/>
    <col min="13807" max="13807" width="3" style="23" customWidth="1"/>
    <col min="13808" max="13808" width="2.6640625" style="23" customWidth="1"/>
    <col min="13809" max="13809" width="2.44140625" style="23" customWidth="1"/>
    <col min="13810" max="13810" width="3.33203125" style="23" customWidth="1"/>
    <col min="13811" max="13811" width="3.5546875" style="23" customWidth="1"/>
    <col min="13812" max="13812" width="4" style="23" customWidth="1"/>
    <col min="13813" max="13813" width="3.44140625" style="23" customWidth="1"/>
    <col min="13814" max="13814" width="3" style="23" customWidth="1"/>
    <col min="13815" max="14048" width="11.44140625" style="23"/>
    <col min="14049" max="14049" width="44.44140625" style="23" customWidth="1"/>
    <col min="14050" max="14050" width="13" style="23" customWidth="1"/>
    <col min="14051" max="14056" width="2" style="23" customWidth="1"/>
    <col min="14057" max="14057" width="2.44140625" style="23" customWidth="1"/>
    <col min="14058" max="14058" width="3" style="23" customWidth="1"/>
    <col min="14059" max="14061" width="2" style="23" customWidth="1"/>
    <col min="14062" max="14062" width="2.88671875" style="23" customWidth="1"/>
    <col min="14063" max="14063" width="3" style="23" customWidth="1"/>
    <col min="14064" max="14064" width="2.6640625" style="23" customWidth="1"/>
    <col min="14065" max="14065" width="2.44140625" style="23" customWidth="1"/>
    <col min="14066" max="14066" width="3.33203125" style="23" customWidth="1"/>
    <col min="14067" max="14067" width="3.5546875" style="23" customWidth="1"/>
    <col min="14068" max="14068" width="4" style="23" customWidth="1"/>
    <col min="14069" max="14069" width="3.44140625" style="23" customWidth="1"/>
    <col min="14070" max="14070" width="3" style="23" customWidth="1"/>
    <col min="14071" max="14304" width="11.44140625" style="23"/>
    <col min="14305" max="14305" width="44.44140625" style="23" customWidth="1"/>
    <col min="14306" max="14306" width="13" style="23" customWidth="1"/>
    <col min="14307" max="14312" width="2" style="23" customWidth="1"/>
    <col min="14313" max="14313" width="2.44140625" style="23" customWidth="1"/>
    <col min="14314" max="14314" width="3" style="23" customWidth="1"/>
    <col min="14315" max="14317" width="2" style="23" customWidth="1"/>
    <col min="14318" max="14318" width="2.88671875" style="23" customWidth="1"/>
    <col min="14319" max="14319" width="3" style="23" customWidth="1"/>
    <col min="14320" max="14320" width="2.6640625" style="23" customWidth="1"/>
    <col min="14321" max="14321" width="2.44140625" style="23" customWidth="1"/>
    <col min="14322" max="14322" width="3.33203125" style="23" customWidth="1"/>
    <col min="14323" max="14323" width="3.5546875" style="23" customWidth="1"/>
    <col min="14324" max="14324" width="4" style="23" customWidth="1"/>
    <col min="14325" max="14325" width="3.44140625" style="23" customWidth="1"/>
    <col min="14326" max="14326" width="3" style="23" customWidth="1"/>
    <col min="14327" max="14560" width="11.44140625" style="23"/>
    <col min="14561" max="14561" width="44.44140625" style="23" customWidth="1"/>
    <col min="14562" max="14562" width="13" style="23" customWidth="1"/>
    <col min="14563" max="14568" width="2" style="23" customWidth="1"/>
    <col min="14569" max="14569" width="2.44140625" style="23" customWidth="1"/>
    <col min="14570" max="14570" width="3" style="23" customWidth="1"/>
    <col min="14571" max="14573" width="2" style="23" customWidth="1"/>
    <col min="14574" max="14574" width="2.88671875" style="23" customWidth="1"/>
    <col min="14575" max="14575" width="3" style="23" customWidth="1"/>
    <col min="14576" max="14576" width="2.6640625" style="23" customWidth="1"/>
    <col min="14577" max="14577" width="2.44140625" style="23" customWidth="1"/>
    <col min="14578" max="14578" width="3.33203125" style="23" customWidth="1"/>
    <col min="14579" max="14579" width="3.5546875" style="23" customWidth="1"/>
    <col min="14580" max="14580" width="4" style="23" customWidth="1"/>
    <col min="14581" max="14581" width="3.44140625" style="23" customWidth="1"/>
    <col min="14582" max="14582" width="3" style="23" customWidth="1"/>
    <col min="14583" max="14816" width="11.44140625" style="23"/>
    <col min="14817" max="14817" width="44.44140625" style="23" customWidth="1"/>
    <col min="14818" max="14818" width="13" style="23" customWidth="1"/>
    <col min="14819" max="14824" width="2" style="23" customWidth="1"/>
    <col min="14825" max="14825" width="2.44140625" style="23" customWidth="1"/>
    <col min="14826" max="14826" width="3" style="23" customWidth="1"/>
    <col min="14827" max="14829" width="2" style="23" customWidth="1"/>
    <col min="14830" max="14830" width="2.88671875" style="23" customWidth="1"/>
    <col min="14831" max="14831" width="3" style="23" customWidth="1"/>
    <col min="14832" max="14832" width="2.6640625" style="23" customWidth="1"/>
    <col min="14833" max="14833" width="2.44140625" style="23" customWidth="1"/>
    <col min="14834" max="14834" width="3.33203125" style="23" customWidth="1"/>
    <col min="14835" max="14835" width="3.5546875" style="23" customWidth="1"/>
    <col min="14836" max="14836" width="4" style="23" customWidth="1"/>
    <col min="14837" max="14837" width="3.44140625" style="23" customWidth="1"/>
    <col min="14838" max="14838" width="3" style="23" customWidth="1"/>
    <col min="14839" max="15072" width="11.44140625" style="23"/>
    <col min="15073" max="15073" width="44.44140625" style="23" customWidth="1"/>
    <col min="15074" max="15074" width="13" style="23" customWidth="1"/>
    <col min="15075" max="15080" width="2" style="23" customWidth="1"/>
    <col min="15081" max="15081" width="2.44140625" style="23" customWidth="1"/>
    <col min="15082" max="15082" width="3" style="23" customWidth="1"/>
    <col min="15083" max="15085" width="2" style="23" customWidth="1"/>
    <col min="15086" max="15086" width="2.88671875" style="23" customWidth="1"/>
    <col min="15087" max="15087" width="3" style="23" customWidth="1"/>
    <col min="15088" max="15088" width="2.6640625" style="23" customWidth="1"/>
    <col min="15089" max="15089" width="2.44140625" style="23" customWidth="1"/>
    <col min="15090" max="15090" width="3.33203125" style="23" customWidth="1"/>
    <col min="15091" max="15091" width="3.5546875" style="23" customWidth="1"/>
    <col min="15092" max="15092" width="4" style="23" customWidth="1"/>
    <col min="15093" max="15093" width="3.44140625" style="23" customWidth="1"/>
    <col min="15094" max="15094" width="3" style="23" customWidth="1"/>
    <col min="15095" max="15328" width="11.44140625" style="23"/>
    <col min="15329" max="15329" width="44.44140625" style="23" customWidth="1"/>
    <col min="15330" max="15330" width="13" style="23" customWidth="1"/>
    <col min="15331" max="15336" width="2" style="23" customWidth="1"/>
    <col min="15337" max="15337" width="2.44140625" style="23" customWidth="1"/>
    <col min="15338" max="15338" width="3" style="23" customWidth="1"/>
    <col min="15339" max="15341" width="2" style="23" customWidth="1"/>
    <col min="15342" max="15342" width="2.88671875" style="23" customWidth="1"/>
    <col min="15343" max="15343" width="3" style="23" customWidth="1"/>
    <col min="15344" max="15344" width="2.6640625" style="23" customWidth="1"/>
    <col min="15345" max="15345" width="2.44140625" style="23" customWidth="1"/>
    <col min="15346" max="15346" width="3.33203125" style="23" customWidth="1"/>
    <col min="15347" max="15347" width="3.5546875" style="23" customWidth="1"/>
    <col min="15348" max="15348" width="4" style="23" customWidth="1"/>
    <col min="15349" max="15349" width="3.44140625" style="23" customWidth="1"/>
    <col min="15350" max="15350" width="3" style="23" customWidth="1"/>
    <col min="15351" max="15584" width="11.44140625" style="23"/>
    <col min="15585" max="15585" width="44.44140625" style="23" customWidth="1"/>
    <col min="15586" max="15586" width="13" style="23" customWidth="1"/>
    <col min="15587" max="15592" width="2" style="23" customWidth="1"/>
    <col min="15593" max="15593" width="2.44140625" style="23" customWidth="1"/>
    <col min="15594" max="15594" width="3" style="23" customWidth="1"/>
    <col min="15595" max="15597" width="2" style="23" customWidth="1"/>
    <col min="15598" max="15598" width="2.88671875" style="23" customWidth="1"/>
    <col min="15599" max="15599" width="3" style="23" customWidth="1"/>
    <col min="15600" max="15600" width="2.6640625" style="23" customWidth="1"/>
    <col min="15601" max="15601" width="2.44140625" style="23" customWidth="1"/>
    <col min="15602" max="15602" width="3.33203125" style="23" customWidth="1"/>
    <col min="15603" max="15603" width="3.5546875" style="23" customWidth="1"/>
    <col min="15604" max="15604" width="4" style="23" customWidth="1"/>
    <col min="15605" max="15605" width="3.44140625" style="23" customWidth="1"/>
    <col min="15606" max="15606" width="3" style="23" customWidth="1"/>
    <col min="15607" max="15840" width="11.44140625" style="23"/>
    <col min="15841" max="15841" width="44.44140625" style="23" customWidth="1"/>
    <col min="15842" max="15842" width="13" style="23" customWidth="1"/>
    <col min="15843" max="15848" width="2" style="23" customWidth="1"/>
    <col min="15849" max="15849" width="2.44140625" style="23" customWidth="1"/>
    <col min="15850" max="15850" width="3" style="23" customWidth="1"/>
    <col min="15851" max="15853" width="2" style="23" customWidth="1"/>
    <col min="15854" max="15854" width="2.88671875" style="23" customWidth="1"/>
    <col min="15855" max="15855" width="3" style="23" customWidth="1"/>
    <col min="15856" max="15856" width="2.6640625" style="23" customWidth="1"/>
    <col min="15857" max="15857" width="2.44140625" style="23" customWidth="1"/>
    <col min="15858" max="15858" width="3.33203125" style="23" customWidth="1"/>
    <col min="15859" max="15859" width="3.5546875" style="23" customWidth="1"/>
    <col min="15860" max="15860" width="4" style="23" customWidth="1"/>
    <col min="15861" max="15861" width="3.44140625" style="23" customWidth="1"/>
    <col min="15862" max="15862" width="3" style="23" customWidth="1"/>
    <col min="15863" max="16096" width="11.44140625" style="23"/>
    <col min="16097" max="16097" width="44.44140625" style="23" customWidth="1"/>
    <col min="16098" max="16098" width="13" style="23" customWidth="1"/>
    <col min="16099" max="16104" width="2" style="23" customWidth="1"/>
    <col min="16105" max="16105" width="2.44140625" style="23" customWidth="1"/>
    <col min="16106" max="16106" width="3" style="23" customWidth="1"/>
    <col min="16107" max="16109" width="2" style="23" customWidth="1"/>
    <col min="16110" max="16110" width="2.88671875" style="23" customWidth="1"/>
    <col min="16111" max="16111" width="3" style="23" customWidth="1"/>
    <col min="16112" max="16112" width="2.6640625" style="23" customWidth="1"/>
    <col min="16113" max="16113" width="2.44140625" style="23" customWidth="1"/>
    <col min="16114" max="16114" width="3.33203125" style="23" customWidth="1"/>
    <col min="16115" max="16115" width="3.5546875" style="23" customWidth="1"/>
    <col min="16116" max="16116" width="4" style="23" customWidth="1"/>
    <col min="16117" max="16117" width="3.44140625" style="23" customWidth="1"/>
    <col min="16118" max="16118" width="3" style="23" customWidth="1"/>
    <col min="16119" max="16384" width="11.44140625" style="23"/>
  </cols>
  <sheetData>
    <row r="1" spans="1:10" x14ac:dyDescent="0.25">
      <c r="A1" s="134" t="s">
        <v>34</v>
      </c>
      <c r="B1" s="23"/>
      <c r="C1" s="23"/>
      <c r="F1" s="427"/>
      <c r="G1" s="427"/>
    </row>
    <row r="2" spans="1:10" x14ac:dyDescent="0.25">
      <c r="A2" s="134" t="s">
        <v>35</v>
      </c>
      <c r="B2" s="23"/>
      <c r="C2" s="23"/>
      <c r="F2" s="427"/>
      <c r="G2" s="427"/>
    </row>
    <row r="3" spans="1:10" x14ac:dyDescent="0.25">
      <c r="A3" s="134"/>
      <c r="B3" s="23"/>
      <c r="C3" s="23"/>
      <c r="F3" s="427"/>
      <c r="G3" s="427"/>
    </row>
    <row r="4" spans="1:10" x14ac:dyDescent="0.3">
      <c r="A4" s="134" t="s">
        <v>36</v>
      </c>
      <c r="B4" s="471" t="str">
        <f>+'Cuadro de Costos'!A1</f>
        <v>Proyecto de Habilitación de la ruta Nº9</v>
      </c>
      <c r="C4" s="471"/>
      <c r="F4" s="427"/>
      <c r="G4" s="427"/>
      <c r="J4" s="135"/>
    </row>
    <row r="5" spans="1:10" x14ac:dyDescent="0.25">
      <c r="A5" s="134"/>
      <c r="B5" s="23"/>
      <c r="C5" s="23"/>
      <c r="F5" s="427"/>
      <c r="G5" s="427"/>
    </row>
    <row r="6" spans="1:10" x14ac:dyDescent="0.25">
      <c r="A6" s="134" t="s">
        <v>37</v>
      </c>
      <c r="B6" s="23"/>
      <c r="C6" s="23"/>
      <c r="F6" s="427"/>
      <c r="G6" s="427"/>
    </row>
    <row r="7" spans="1:10" ht="27.6" x14ac:dyDescent="0.25">
      <c r="A7" s="133"/>
      <c r="B7" s="132" t="s">
        <v>38</v>
      </c>
      <c r="C7" s="132" t="s">
        <v>39</v>
      </c>
      <c r="D7" s="132" t="s">
        <v>40</v>
      </c>
      <c r="E7" s="132" t="s">
        <v>41</v>
      </c>
      <c r="F7" s="132" t="s">
        <v>42</v>
      </c>
      <c r="G7" s="132" t="s">
        <v>43</v>
      </c>
      <c r="H7" s="132" t="s">
        <v>44</v>
      </c>
      <c r="I7" s="131" t="s">
        <v>45</v>
      </c>
    </row>
    <row r="8" spans="1:10" x14ac:dyDescent="0.25">
      <c r="A8" s="129"/>
      <c r="B8" s="411" t="str">
        <f>+B4</f>
        <v>Proyecto de Habilitación de la ruta Nº9</v>
      </c>
      <c r="C8" s="71"/>
      <c r="D8" s="130"/>
      <c r="E8" s="130"/>
      <c r="F8" s="71"/>
      <c r="G8" s="71"/>
      <c r="H8" s="130"/>
      <c r="I8" s="129">
        <f>+I9+I28</f>
        <v>560000000</v>
      </c>
      <c r="J8" s="123"/>
    </row>
    <row r="9" spans="1:10" s="69" customFormat="1" x14ac:dyDescent="0.25">
      <c r="A9" s="122">
        <v>1</v>
      </c>
      <c r="B9" s="136" t="str">
        <f>+'Cuadro de Costos'!B8</f>
        <v>Componente Unico Obras civiles</v>
      </c>
      <c r="C9" s="136"/>
      <c r="D9" s="137"/>
      <c r="E9" s="137"/>
      <c r="F9" s="138"/>
      <c r="G9" s="138"/>
      <c r="H9" s="139"/>
      <c r="I9" s="128">
        <f>+I10+I15+I18+I25+I27</f>
        <v>549450000</v>
      </c>
      <c r="J9" s="123"/>
    </row>
    <row r="10" spans="1:10" s="69" customFormat="1" x14ac:dyDescent="0.25">
      <c r="A10" s="115">
        <f>+'Cuadro de Costos'!A29</f>
        <v>1.1000000000000001</v>
      </c>
      <c r="B10" s="79" t="str">
        <f>+'Cuadro de Costos'!B29</f>
        <v>Obras de Rehabilitación y Mantenimiento</v>
      </c>
      <c r="C10" s="79"/>
      <c r="D10" s="140" t="s">
        <v>46</v>
      </c>
      <c r="E10" s="140"/>
      <c r="F10" s="127"/>
      <c r="G10" s="140" t="s">
        <v>47</v>
      </c>
      <c r="H10" s="141"/>
      <c r="I10" s="114">
        <f>+I11+I12+I13+I14</f>
        <v>493000000</v>
      </c>
      <c r="J10" s="123"/>
    </row>
    <row r="11" spans="1:10" s="120" customFormat="1" ht="27.6" x14ac:dyDescent="0.25">
      <c r="A11" s="113" t="s">
        <v>11</v>
      </c>
      <c r="B11" s="84" t="s">
        <v>48</v>
      </c>
      <c r="C11" s="394" t="s">
        <v>49</v>
      </c>
      <c r="D11" s="142" t="s">
        <v>50</v>
      </c>
      <c r="E11" s="85" t="s">
        <v>51</v>
      </c>
      <c r="F11" s="85" t="s">
        <v>52</v>
      </c>
      <c r="G11" s="85"/>
      <c r="H11" s="85" t="s">
        <v>53</v>
      </c>
      <c r="I11" s="111">
        <f>99200000+4800000</f>
        <v>104000000</v>
      </c>
      <c r="J11" s="409"/>
    </row>
    <row r="12" spans="1:10" s="120" customFormat="1" ht="27.6" x14ac:dyDescent="0.25">
      <c r="A12" s="113" t="s">
        <v>13</v>
      </c>
      <c r="B12" s="84" t="s">
        <v>54</v>
      </c>
      <c r="C12" s="394" t="s">
        <v>49</v>
      </c>
      <c r="D12" s="142" t="s">
        <v>50</v>
      </c>
      <c r="E12" s="85" t="s">
        <v>51</v>
      </c>
      <c r="F12" s="85" t="s">
        <v>52</v>
      </c>
      <c r="G12" s="85"/>
      <c r="H12" s="85" t="s">
        <v>53</v>
      </c>
      <c r="I12" s="111">
        <f>136200000+5800000</f>
        <v>142000000</v>
      </c>
      <c r="J12" s="409"/>
    </row>
    <row r="13" spans="1:10" s="120" customFormat="1" ht="27.6" x14ac:dyDescent="0.25">
      <c r="A13" s="113" t="s">
        <v>15</v>
      </c>
      <c r="B13" s="84" t="s">
        <v>55</v>
      </c>
      <c r="C13" s="394" t="s">
        <v>49</v>
      </c>
      <c r="D13" s="142" t="s">
        <v>50</v>
      </c>
      <c r="E13" s="85" t="s">
        <v>51</v>
      </c>
      <c r="F13" s="85" t="s">
        <v>52</v>
      </c>
      <c r="G13" s="85"/>
      <c r="H13" s="85" t="s">
        <v>53</v>
      </c>
      <c r="I13" s="111">
        <f>126400000+4600000</f>
        <v>131000000</v>
      </c>
      <c r="J13" s="409"/>
    </row>
    <row r="14" spans="1:10" s="120" customFormat="1" ht="31.2" customHeight="1" x14ac:dyDescent="0.25">
      <c r="A14" s="113" t="s">
        <v>17</v>
      </c>
      <c r="B14" s="84" t="s">
        <v>56</v>
      </c>
      <c r="C14" s="394" t="s">
        <v>49</v>
      </c>
      <c r="D14" s="142" t="s">
        <v>50</v>
      </c>
      <c r="E14" s="85" t="s">
        <v>51</v>
      </c>
      <c r="F14" s="85" t="s">
        <v>52</v>
      </c>
      <c r="G14" s="85"/>
      <c r="H14" s="85" t="s">
        <v>53</v>
      </c>
      <c r="I14" s="111">
        <f>110200000+5800000</f>
        <v>116000000</v>
      </c>
      <c r="J14" s="409"/>
    </row>
    <row r="15" spans="1:10" s="120" customFormat="1" x14ac:dyDescent="0.25">
      <c r="A15" s="115">
        <f>+'Cuadro de Costos'!A30</f>
        <v>1.2</v>
      </c>
      <c r="B15" s="79" t="str">
        <f>+'Cuadro de Costos'!B30</f>
        <v>Fiscalización</v>
      </c>
      <c r="C15" s="79"/>
      <c r="D15" s="140" t="s">
        <v>46</v>
      </c>
      <c r="E15" s="140"/>
      <c r="F15" s="127"/>
      <c r="G15" s="140" t="s">
        <v>47</v>
      </c>
      <c r="H15" s="141"/>
      <c r="I15" s="114">
        <f>+I16+I17</f>
        <v>20000000</v>
      </c>
      <c r="J15" s="124"/>
    </row>
    <row r="16" spans="1:10" s="120" customFormat="1" ht="27.6" x14ac:dyDescent="0.25">
      <c r="A16" s="113" t="s">
        <v>57</v>
      </c>
      <c r="B16" s="84" t="s">
        <v>58</v>
      </c>
      <c r="C16" s="394" t="s">
        <v>59</v>
      </c>
      <c r="D16" s="142" t="s">
        <v>50</v>
      </c>
      <c r="E16" s="85" t="s">
        <v>60</v>
      </c>
      <c r="F16" s="85" t="s">
        <v>61</v>
      </c>
      <c r="G16" s="85"/>
      <c r="H16" s="90" t="s">
        <v>62</v>
      </c>
      <c r="I16" s="125">
        <v>9500000</v>
      </c>
      <c r="J16" s="126"/>
    </row>
    <row r="17" spans="1:14" s="120" customFormat="1" ht="27.6" x14ac:dyDescent="0.25">
      <c r="A17" s="113" t="s">
        <v>63</v>
      </c>
      <c r="B17" s="84" t="s">
        <v>64</v>
      </c>
      <c r="C17" s="394" t="s">
        <v>59</v>
      </c>
      <c r="D17" s="142" t="s">
        <v>50</v>
      </c>
      <c r="E17" s="85" t="s">
        <v>60</v>
      </c>
      <c r="F17" s="85" t="s">
        <v>61</v>
      </c>
      <c r="G17" s="85"/>
      <c r="H17" s="90" t="s">
        <v>62</v>
      </c>
      <c r="I17" s="125">
        <v>10500000</v>
      </c>
      <c r="J17" s="126"/>
    </row>
    <row r="18" spans="1:14" s="120" customFormat="1" x14ac:dyDescent="0.25">
      <c r="A18" s="115">
        <f>+'Cuadro de Costos'!A31</f>
        <v>1.3</v>
      </c>
      <c r="B18" s="79" t="str">
        <f>+'Cuadro de Costos'!B31</f>
        <v xml:space="preserve">Plan de Gestión Ambiental y Social </v>
      </c>
      <c r="C18" s="79"/>
      <c r="D18" s="140" t="s">
        <v>46</v>
      </c>
      <c r="E18" s="140"/>
      <c r="F18" s="127"/>
      <c r="G18" s="140" t="s">
        <v>47</v>
      </c>
      <c r="H18" s="141"/>
      <c r="I18" s="114">
        <f>+I19+I20+I21+I22+I23+I24</f>
        <v>7630000</v>
      </c>
      <c r="J18" s="126"/>
    </row>
    <row r="19" spans="1:14" ht="27.6" x14ac:dyDescent="0.25">
      <c r="A19" s="117" t="s">
        <v>65</v>
      </c>
      <c r="B19" s="96" t="s">
        <v>66</v>
      </c>
      <c r="C19" s="394" t="s">
        <v>67</v>
      </c>
      <c r="D19" s="112" t="s">
        <v>50</v>
      </c>
      <c r="E19" s="119" t="s">
        <v>60</v>
      </c>
      <c r="F19" s="112" t="s">
        <v>68</v>
      </c>
      <c r="G19" s="118"/>
      <c r="H19" s="144" t="s">
        <v>69</v>
      </c>
      <c r="I19" s="125">
        <v>1919000</v>
      </c>
    </row>
    <row r="20" spans="1:14" ht="27.6" x14ac:dyDescent="0.25">
      <c r="A20" s="117" t="s">
        <v>70</v>
      </c>
      <c r="B20" s="96" t="s">
        <v>71</v>
      </c>
      <c r="C20" s="394"/>
      <c r="D20" s="112" t="s">
        <v>50</v>
      </c>
      <c r="E20" s="85" t="s">
        <v>60</v>
      </c>
      <c r="F20" s="112" t="s">
        <v>68</v>
      </c>
      <c r="G20" s="85"/>
      <c r="H20" s="144" t="s">
        <v>72</v>
      </c>
      <c r="I20" s="125">
        <v>82000</v>
      </c>
    </row>
    <row r="21" spans="1:14" ht="27.6" x14ac:dyDescent="0.25">
      <c r="A21" s="117" t="s">
        <v>73</v>
      </c>
      <c r="B21" s="96" t="s">
        <v>74</v>
      </c>
      <c r="C21" s="394" t="s">
        <v>67</v>
      </c>
      <c r="D21" s="112" t="s">
        <v>50</v>
      </c>
      <c r="E21" s="85" t="s">
        <v>60</v>
      </c>
      <c r="F21" s="85" t="s">
        <v>61</v>
      </c>
      <c r="G21" s="85"/>
      <c r="H21" s="144" t="s">
        <v>75</v>
      </c>
      <c r="I21" s="125">
        <v>770000</v>
      </c>
    </row>
    <row r="22" spans="1:14" x14ac:dyDescent="0.25">
      <c r="A22" s="117" t="s">
        <v>76</v>
      </c>
      <c r="B22" s="96" t="s">
        <v>77</v>
      </c>
      <c r="C22" s="394"/>
      <c r="D22" s="112" t="s">
        <v>50</v>
      </c>
      <c r="E22" s="85" t="s">
        <v>60</v>
      </c>
      <c r="F22" s="85" t="s">
        <v>78</v>
      </c>
      <c r="G22" s="85"/>
      <c r="H22" s="144" t="s">
        <v>75</v>
      </c>
      <c r="I22" s="125">
        <v>4360000</v>
      </c>
    </row>
    <row r="23" spans="1:14" ht="27.6" x14ac:dyDescent="0.25">
      <c r="A23" s="117" t="s">
        <v>79</v>
      </c>
      <c r="B23" s="96" t="s">
        <v>80</v>
      </c>
      <c r="C23" s="394"/>
      <c r="D23" s="112" t="s">
        <v>50</v>
      </c>
      <c r="E23" s="85" t="s">
        <v>60</v>
      </c>
      <c r="F23" s="85" t="s">
        <v>68</v>
      </c>
      <c r="G23" s="85"/>
      <c r="H23" s="144" t="s">
        <v>81</v>
      </c>
      <c r="I23" s="125">
        <v>189000</v>
      </c>
    </row>
    <row r="24" spans="1:14" ht="27.6" x14ac:dyDescent="0.25">
      <c r="A24" s="117" t="s">
        <v>82</v>
      </c>
      <c r="B24" s="96" t="s">
        <v>83</v>
      </c>
      <c r="C24" s="394"/>
      <c r="D24" s="112" t="s">
        <v>50</v>
      </c>
      <c r="E24" s="85" t="s">
        <v>60</v>
      </c>
      <c r="F24" s="85" t="s">
        <v>68</v>
      </c>
      <c r="G24" s="85"/>
      <c r="H24" s="144" t="s">
        <v>72</v>
      </c>
      <c r="I24" s="125">
        <v>310000</v>
      </c>
    </row>
    <row r="25" spans="1:14" x14ac:dyDescent="0.25">
      <c r="A25" s="115">
        <f>+'Cuadro de Costos'!A32</f>
        <v>1.4</v>
      </c>
      <c r="B25" s="79" t="str">
        <f>+'Cuadro de Costos'!B32</f>
        <v>Pago por Servicios Ambientales</v>
      </c>
      <c r="C25" s="79"/>
      <c r="D25" s="140" t="s">
        <v>46</v>
      </c>
      <c r="E25" s="140"/>
      <c r="F25" s="127"/>
      <c r="G25" s="140" t="s">
        <v>47</v>
      </c>
      <c r="H25" s="141"/>
      <c r="I25" s="114">
        <f>+I26</f>
        <v>4930000</v>
      </c>
    </row>
    <row r="26" spans="1:14" ht="27.6" x14ac:dyDescent="0.25">
      <c r="A26" s="117" t="s">
        <v>84</v>
      </c>
      <c r="B26" s="96" t="s">
        <v>85</v>
      </c>
      <c r="C26" s="394" t="s">
        <v>67</v>
      </c>
      <c r="D26" s="112" t="s">
        <v>50</v>
      </c>
      <c r="E26" s="85" t="s">
        <v>86</v>
      </c>
      <c r="F26" s="85" t="s">
        <v>78</v>
      </c>
      <c r="G26" s="85"/>
      <c r="H26" s="144" t="s">
        <v>75</v>
      </c>
      <c r="I26" s="410">
        <f>+'Cuadro de Costos'!G32</f>
        <v>4930000</v>
      </c>
    </row>
    <row r="27" spans="1:14" s="120" customFormat="1" x14ac:dyDescent="0.25">
      <c r="A27" s="115">
        <f>+'Cuadro de Costos'!A33</f>
        <v>1.5</v>
      </c>
      <c r="B27" s="79" t="str">
        <f>+'Cuadro de Costos'!B33</f>
        <v>Escalamientos e Imprevistos</v>
      </c>
      <c r="C27" s="79"/>
      <c r="D27" s="140" t="s">
        <v>46</v>
      </c>
      <c r="E27" s="140"/>
      <c r="F27" s="127"/>
      <c r="G27" s="140" t="s">
        <v>47</v>
      </c>
      <c r="H27" s="141"/>
      <c r="I27" s="114">
        <f>+'Cuadro de Costos'!G33</f>
        <v>23890000</v>
      </c>
      <c r="J27" s="126"/>
    </row>
    <row r="28" spans="1:14" s="120" customFormat="1" x14ac:dyDescent="0.25">
      <c r="A28" s="122">
        <v>2</v>
      </c>
      <c r="B28" s="136" t="s">
        <v>19</v>
      </c>
      <c r="C28" s="137"/>
      <c r="D28" s="137"/>
      <c r="E28" s="137"/>
      <c r="F28" s="138"/>
      <c r="G28" s="138"/>
      <c r="H28" s="139"/>
      <c r="I28" s="122">
        <f>+I29+I31+I39+I40</f>
        <v>10550000</v>
      </c>
      <c r="N28" s="121"/>
    </row>
    <row r="29" spans="1:14" x14ac:dyDescent="0.25">
      <c r="A29" s="115">
        <v>2.1</v>
      </c>
      <c r="B29" s="79" t="s">
        <v>87</v>
      </c>
      <c r="C29" s="79"/>
      <c r="D29" s="140" t="s">
        <v>46</v>
      </c>
      <c r="E29" s="140"/>
      <c r="F29" s="143"/>
      <c r="G29" s="140" t="s">
        <v>47</v>
      </c>
      <c r="H29" s="140"/>
      <c r="I29" s="114">
        <f>I30</f>
        <v>6000000</v>
      </c>
    </row>
    <row r="30" spans="1:14" x14ac:dyDescent="0.25">
      <c r="A30" s="117" t="s">
        <v>88</v>
      </c>
      <c r="B30" s="96" t="s">
        <v>89</v>
      </c>
      <c r="C30" s="394" t="s">
        <v>90</v>
      </c>
      <c r="D30" s="112" t="s">
        <v>50</v>
      </c>
      <c r="E30" s="85" t="s">
        <v>60</v>
      </c>
      <c r="F30" s="112"/>
      <c r="G30" s="112"/>
      <c r="H30" s="144" t="s">
        <v>91</v>
      </c>
      <c r="I30" s="116">
        <f>+'Cuadro de Costos'!G35</f>
        <v>6000000</v>
      </c>
    </row>
    <row r="31" spans="1:14" x14ac:dyDescent="0.25">
      <c r="A31" s="115">
        <v>2.2000000000000002</v>
      </c>
      <c r="B31" s="79" t="s">
        <v>92</v>
      </c>
      <c r="C31" s="79"/>
      <c r="D31" s="140" t="s">
        <v>46</v>
      </c>
      <c r="E31" s="140"/>
      <c r="F31" s="140"/>
      <c r="G31" s="140" t="s">
        <v>47</v>
      </c>
      <c r="H31" s="140"/>
      <c r="I31" s="114">
        <f>+I32+I33+I34+I35+I36+I37+I38</f>
        <v>1100000</v>
      </c>
    </row>
    <row r="32" spans="1:14" ht="27.6" x14ac:dyDescent="0.25">
      <c r="A32" s="117" t="s">
        <v>93</v>
      </c>
      <c r="B32" s="96" t="s">
        <v>94</v>
      </c>
      <c r="C32" s="394" t="s">
        <v>95</v>
      </c>
      <c r="D32" s="112" t="s">
        <v>50</v>
      </c>
      <c r="E32" s="119" t="s">
        <v>60</v>
      </c>
      <c r="F32" s="112" t="s">
        <v>61</v>
      </c>
      <c r="G32" s="118"/>
      <c r="H32" s="144" t="s">
        <v>62</v>
      </c>
      <c r="I32" s="125">
        <v>500000</v>
      </c>
    </row>
    <row r="33" spans="1:9" ht="27.6" x14ac:dyDescent="0.25">
      <c r="A33" s="117" t="s">
        <v>96</v>
      </c>
      <c r="B33" s="96" t="s">
        <v>97</v>
      </c>
      <c r="C33" s="394" t="s">
        <v>95</v>
      </c>
      <c r="D33" s="112" t="s">
        <v>50</v>
      </c>
      <c r="E33" s="85" t="s">
        <v>60</v>
      </c>
      <c r="F33" s="85" t="s">
        <v>68</v>
      </c>
      <c r="G33" s="85"/>
      <c r="H33" s="144" t="s">
        <v>81</v>
      </c>
      <c r="I33" s="125">
        <v>100000</v>
      </c>
    </row>
    <row r="34" spans="1:9" ht="27.6" x14ac:dyDescent="0.25">
      <c r="A34" s="117" t="s">
        <v>98</v>
      </c>
      <c r="B34" s="96" t="s">
        <v>99</v>
      </c>
      <c r="C34" s="406" t="s">
        <v>95</v>
      </c>
      <c r="D34" s="112" t="s">
        <v>50</v>
      </c>
      <c r="E34" s="85" t="s">
        <v>60</v>
      </c>
      <c r="F34" s="85" t="s">
        <v>68</v>
      </c>
      <c r="G34" s="85"/>
      <c r="H34" s="144" t="s">
        <v>81</v>
      </c>
      <c r="I34" s="125">
        <v>100000</v>
      </c>
    </row>
    <row r="35" spans="1:9" ht="27.6" x14ac:dyDescent="0.25">
      <c r="A35" s="117" t="s">
        <v>100</v>
      </c>
      <c r="B35" s="96" t="s">
        <v>101</v>
      </c>
      <c r="C35" s="406"/>
      <c r="D35" s="112" t="s">
        <v>50</v>
      </c>
      <c r="E35" s="85" t="s">
        <v>60</v>
      </c>
      <c r="F35" s="85" t="s">
        <v>68</v>
      </c>
      <c r="G35" s="85"/>
      <c r="H35" s="144" t="s">
        <v>81</v>
      </c>
      <c r="I35" s="125">
        <v>50000</v>
      </c>
    </row>
    <row r="36" spans="1:9" ht="27.6" x14ac:dyDescent="0.25">
      <c r="A36" s="117" t="s">
        <v>102</v>
      </c>
      <c r="B36" s="96" t="s">
        <v>103</v>
      </c>
      <c r="C36" s="406"/>
      <c r="D36" s="112" t="s">
        <v>50</v>
      </c>
      <c r="E36" s="85" t="s">
        <v>60</v>
      </c>
      <c r="F36" s="85" t="s">
        <v>68</v>
      </c>
      <c r="G36" s="85"/>
      <c r="H36" s="144" t="s">
        <v>81</v>
      </c>
      <c r="I36" s="125">
        <v>150000</v>
      </c>
    </row>
    <row r="37" spans="1:9" ht="27.6" x14ac:dyDescent="0.25">
      <c r="A37" s="117" t="s">
        <v>104</v>
      </c>
      <c r="B37" s="96" t="s">
        <v>105</v>
      </c>
      <c r="C37" s="406"/>
      <c r="D37" s="112" t="s">
        <v>50</v>
      </c>
      <c r="E37" s="85" t="s">
        <v>60</v>
      </c>
      <c r="F37" s="85" t="s">
        <v>68</v>
      </c>
      <c r="G37" s="85"/>
      <c r="H37" s="144" t="s">
        <v>81</v>
      </c>
      <c r="I37" s="125">
        <v>100000</v>
      </c>
    </row>
    <row r="38" spans="1:9" ht="27.6" x14ac:dyDescent="0.25">
      <c r="A38" s="117" t="s">
        <v>106</v>
      </c>
      <c r="B38" s="96" t="s">
        <v>107</v>
      </c>
      <c r="C38" s="406"/>
      <c r="D38" s="112" t="s">
        <v>50</v>
      </c>
      <c r="E38" s="85" t="s">
        <v>60</v>
      </c>
      <c r="F38" s="85" t="s">
        <v>61</v>
      </c>
      <c r="G38" s="85"/>
      <c r="H38" s="144" t="s">
        <v>81</v>
      </c>
      <c r="I38" s="125">
        <v>100000</v>
      </c>
    </row>
    <row r="39" spans="1:9" x14ac:dyDescent="0.25">
      <c r="A39" s="115">
        <v>2.2999999999999998</v>
      </c>
      <c r="B39" s="79" t="str">
        <f>+'Cuadro de Costos'!B37</f>
        <v>Comisión de Financiamiento (CAF)</v>
      </c>
      <c r="C39" s="79"/>
      <c r="D39" s="140" t="s">
        <v>46</v>
      </c>
      <c r="E39" s="140"/>
      <c r="F39" s="143"/>
      <c r="G39" s="140"/>
      <c r="H39" s="140"/>
      <c r="I39" s="114">
        <f>+'Cuadro de Costos'!E37</f>
        <v>3400000</v>
      </c>
    </row>
    <row r="40" spans="1:9" x14ac:dyDescent="0.25">
      <c r="A40" s="115">
        <v>2.4</v>
      </c>
      <c r="B40" s="79" t="str">
        <f>+'Cuadro de Costos'!B38</f>
        <v>Gastos de Evaluación (CAF)</v>
      </c>
      <c r="C40" s="79"/>
      <c r="D40" s="140" t="s">
        <v>46</v>
      </c>
      <c r="E40" s="140"/>
      <c r="F40" s="143"/>
      <c r="G40" s="140"/>
      <c r="H40" s="140"/>
      <c r="I40" s="114">
        <f>+'Cuadro de Costos'!E38</f>
        <v>50000</v>
      </c>
    </row>
    <row r="41" spans="1:9" x14ac:dyDescent="0.25">
      <c r="A41" s="280"/>
      <c r="B41" s="280" t="s">
        <v>24</v>
      </c>
      <c r="D41" s="280"/>
      <c r="E41" s="280"/>
      <c r="F41" s="280"/>
      <c r="G41" s="280"/>
      <c r="H41" s="280"/>
      <c r="I41" s="407">
        <f>+I28+I9</f>
        <v>560000000</v>
      </c>
    </row>
  </sheetData>
  <autoFilter ref="A7:I34"/>
  <mergeCells count="1">
    <mergeCell ref="B4:C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CN57"/>
  <sheetViews>
    <sheetView showGridLines="0" tabSelected="1" zoomScale="55" zoomScaleNormal="55" workbookViewId="0">
      <selection activeCell="A4" sqref="A4:B4"/>
    </sheetView>
  </sheetViews>
  <sheetFormatPr defaultColWidth="11.44140625" defaultRowHeight="13.8" x14ac:dyDescent="0.25"/>
  <cols>
    <col min="1" max="1" width="12.44140625" style="104" bestFit="1" customWidth="1"/>
    <col min="2" max="2" width="106.33203125" style="29" bestFit="1" customWidth="1"/>
    <col min="3" max="3" width="12.88671875" style="24" customWidth="1"/>
    <col min="4" max="4" width="15.5546875" style="25" customWidth="1"/>
    <col min="5" max="5" width="12.88671875" style="26" customWidth="1"/>
    <col min="6" max="6" width="13.44140625" style="26" bestFit="1" customWidth="1"/>
    <col min="7" max="8" width="17.6640625" style="27" customWidth="1"/>
    <col min="9" max="66" width="4.5546875" style="23" customWidth="1"/>
    <col min="67" max="92" width="4.88671875" style="23" customWidth="1"/>
    <col min="93" max="242" width="11.44140625" style="23"/>
    <col min="243" max="243" width="44.44140625" style="23" customWidth="1"/>
    <col min="244" max="244" width="13" style="23" customWidth="1"/>
    <col min="245" max="250" width="2" style="23" customWidth="1"/>
    <col min="251" max="251" width="2.44140625" style="23" customWidth="1"/>
    <col min="252" max="252" width="3" style="23" customWidth="1"/>
    <col min="253" max="255" width="2" style="23" customWidth="1"/>
    <col min="256" max="256" width="2.88671875" style="23" customWidth="1"/>
    <col min="257" max="257" width="3" style="23" customWidth="1"/>
    <col min="258" max="258" width="2.6640625" style="23" customWidth="1"/>
    <col min="259" max="259" width="2.44140625" style="23" customWidth="1"/>
    <col min="260" max="260" width="3.33203125" style="23" customWidth="1"/>
    <col min="261" max="261" width="3.5546875" style="23" customWidth="1"/>
    <col min="262" max="262" width="4" style="23" customWidth="1"/>
    <col min="263" max="263" width="3.44140625" style="23" customWidth="1"/>
    <col min="264" max="264" width="3" style="23" customWidth="1"/>
    <col min="265" max="498" width="11.44140625" style="23"/>
    <col min="499" max="499" width="44.44140625" style="23" customWidth="1"/>
    <col min="500" max="500" width="13" style="23" customWidth="1"/>
    <col min="501" max="506" width="2" style="23" customWidth="1"/>
    <col min="507" max="507" width="2.44140625" style="23" customWidth="1"/>
    <col min="508" max="508" width="3" style="23" customWidth="1"/>
    <col min="509" max="511" width="2" style="23" customWidth="1"/>
    <col min="512" max="512" width="2.88671875" style="23" customWidth="1"/>
    <col min="513" max="513" width="3" style="23" customWidth="1"/>
    <col min="514" max="514" width="2.6640625" style="23" customWidth="1"/>
    <col min="515" max="515" width="2.44140625" style="23" customWidth="1"/>
    <col min="516" max="516" width="3.33203125" style="23" customWidth="1"/>
    <col min="517" max="517" width="3.5546875" style="23" customWidth="1"/>
    <col min="518" max="518" width="4" style="23" customWidth="1"/>
    <col min="519" max="519" width="3.44140625" style="23" customWidth="1"/>
    <col min="520" max="520" width="3" style="23" customWidth="1"/>
    <col min="521" max="754" width="11.44140625" style="23"/>
    <col min="755" max="755" width="44.44140625" style="23" customWidth="1"/>
    <col min="756" max="756" width="13" style="23" customWidth="1"/>
    <col min="757" max="762" width="2" style="23" customWidth="1"/>
    <col min="763" max="763" width="2.44140625" style="23" customWidth="1"/>
    <col min="764" max="764" width="3" style="23" customWidth="1"/>
    <col min="765" max="767" width="2" style="23" customWidth="1"/>
    <col min="768" max="768" width="2.88671875" style="23" customWidth="1"/>
    <col min="769" max="769" width="3" style="23" customWidth="1"/>
    <col min="770" max="770" width="2.6640625" style="23" customWidth="1"/>
    <col min="771" max="771" width="2.44140625" style="23" customWidth="1"/>
    <col min="772" max="772" width="3.33203125" style="23" customWidth="1"/>
    <col min="773" max="773" width="3.5546875" style="23" customWidth="1"/>
    <col min="774" max="774" width="4" style="23" customWidth="1"/>
    <col min="775" max="775" width="3.44140625" style="23" customWidth="1"/>
    <col min="776" max="776" width="3" style="23" customWidth="1"/>
    <col min="777" max="1010" width="11.44140625" style="23"/>
    <col min="1011" max="1011" width="44.44140625" style="23" customWidth="1"/>
    <col min="1012" max="1012" width="13" style="23" customWidth="1"/>
    <col min="1013" max="1018" width="2" style="23" customWidth="1"/>
    <col min="1019" max="1019" width="2.44140625" style="23" customWidth="1"/>
    <col min="1020" max="1020" width="3" style="23" customWidth="1"/>
    <col min="1021" max="1023" width="2" style="23" customWidth="1"/>
    <col min="1024" max="1024" width="2.88671875" style="23" customWidth="1"/>
    <col min="1025" max="1025" width="3" style="23" customWidth="1"/>
    <col min="1026" max="1026" width="2.6640625" style="23" customWidth="1"/>
    <col min="1027" max="1027" width="2.44140625" style="23" customWidth="1"/>
    <col min="1028" max="1028" width="3.33203125" style="23" customWidth="1"/>
    <col min="1029" max="1029" width="3.5546875" style="23" customWidth="1"/>
    <col min="1030" max="1030" width="4" style="23" customWidth="1"/>
    <col min="1031" max="1031" width="3.44140625" style="23" customWidth="1"/>
    <col min="1032" max="1032" width="3" style="23" customWidth="1"/>
    <col min="1033" max="1266" width="11.44140625" style="23"/>
    <col min="1267" max="1267" width="44.44140625" style="23" customWidth="1"/>
    <col min="1268" max="1268" width="13" style="23" customWidth="1"/>
    <col min="1269" max="1274" width="2" style="23" customWidth="1"/>
    <col min="1275" max="1275" width="2.44140625" style="23" customWidth="1"/>
    <col min="1276" max="1276" width="3" style="23" customWidth="1"/>
    <col min="1277" max="1279" width="2" style="23" customWidth="1"/>
    <col min="1280" max="1280" width="2.88671875" style="23" customWidth="1"/>
    <col min="1281" max="1281" width="3" style="23" customWidth="1"/>
    <col min="1282" max="1282" width="2.6640625" style="23" customWidth="1"/>
    <col min="1283" max="1283" width="2.44140625" style="23" customWidth="1"/>
    <col min="1284" max="1284" width="3.33203125" style="23" customWidth="1"/>
    <col min="1285" max="1285" width="3.5546875" style="23" customWidth="1"/>
    <col min="1286" max="1286" width="4" style="23" customWidth="1"/>
    <col min="1287" max="1287" width="3.44140625" style="23" customWidth="1"/>
    <col min="1288" max="1288" width="3" style="23" customWidth="1"/>
    <col min="1289" max="1522" width="11.44140625" style="23"/>
    <col min="1523" max="1523" width="44.44140625" style="23" customWidth="1"/>
    <col min="1524" max="1524" width="13" style="23" customWidth="1"/>
    <col min="1525" max="1530" width="2" style="23" customWidth="1"/>
    <col min="1531" max="1531" width="2.44140625" style="23" customWidth="1"/>
    <col min="1532" max="1532" width="3" style="23" customWidth="1"/>
    <col min="1533" max="1535" width="2" style="23" customWidth="1"/>
    <col min="1536" max="1536" width="2.88671875" style="23" customWidth="1"/>
    <col min="1537" max="1537" width="3" style="23" customWidth="1"/>
    <col min="1538" max="1538" width="2.6640625" style="23" customWidth="1"/>
    <col min="1539" max="1539" width="2.44140625" style="23" customWidth="1"/>
    <col min="1540" max="1540" width="3.33203125" style="23" customWidth="1"/>
    <col min="1541" max="1541" width="3.5546875" style="23" customWidth="1"/>
    <col min="1542" max="1542" width="4" style="23" customWidth="1"/>
    <col min="1543" max="1543" width="3.44140625" style="23" customWidth="1"/>
    <col min="1544" max="1544" width="3" style="23" customWidth="1"/>
    <col min="1545" max="1778" width="11.44140625" style="23"/>
    <col min="1779" max="1779" width="44.44140625" style="23" customWidth="1"/>
    <col min="1780" max="1780" width="13" style="23" customWidth="1"/>
    <col min="1781" max="1786" width="2" style="23" customWidth="1"/>
    <col min="1787" max="1787" width="2.44140625" style="23" customWidth="1"/>
    <col min="1788" max="1788" width="3" style="23" customWidth="1"/>
    <col min="1789" max="1791" width="2" style="23" customWidth="1"/>
    <col min="1792" max="1792" width="2.88671875" style="23" customWidth="1"/>
    <col min="1793" max="1793" width="3" style="23" customWidth="1"/>
    <col min="1794" max="1794" width="2.6640625" style="23" customWidth="1"/>
    <col min="1795" max="1795" width="2.44140625" style="23" customWidth="1"/>
    <col min="1796" max="1796" width="3.33203125" style="23" customWidth="1"/>
    <col min="1797" max="1797" width="3.5546875" style="23" customWidth="1"/>
    <col min="1798" max="1798" width="4" style="23" customWidth="1"/>
    <col min="1799" max="1799" width="3.44140625" style="23" customWidth="1"/>
    <col min="1800" max="1800" width="3" style="23" customWidth="1"/>
    <col min="1801" max="2034" width="11.44140625" style="23"/>
    <col min="2035" max="2035" width="44.44140625" style="23" customWidth="1"/>
    <col min="2036" max="2036" width="13" style="23" customWidth="1"/>
    <col min="2037" max="2042" width="2" style="23" customWidth="1"/>
    <col min="2043" max="2043" width="2.44140625" style="23" customWidth="1"/>
    <col min="2044" max="2044" width="3" style="23" customWidth="1"/>
    <col min="2045" max="2047" width="2" style="23" customWidth="1"/>
    <col min="2048" max="2048" width="2.88671875" style="23" customWidth="1"/>
    <col min="2049" max="2049" width="3" style="23" customWidth="1"/>
    <col min="2050" max="2050" width="2.6640625" style="23" customWidth="1"/>
    <col min="2051" max="2051" width="2.44140625" style="23" customWidth="1"/>
    <col min="2052" max="2052" width="3.33203125" style="23" customWidth="1"/>
    <col min="2053" max="2053" width="3.5546875" style="23" customWidth="1"/>
    <col min="2054" max="2054" width="4" style="23" customWidth="1"/>
    <col min="2055" max="2055" width="3.44140625" style="23" customWidth="1"/>
    <col min="2056" max="2056" width="3" style="23" customWidth="1"/>
    <col min="2057" max="2290" width="11.44140625" style="23"/>
    <col min="2291" max="2291" width="44.44140625" style="23" customWidth="1"/>
    <col min="2292" max="2292" width="13" style="23" customWidth="1"/>
    <col min="2293" max="2298" width="2" style="23" customWidth="1"/>
    <col min="2299" max="2299" width="2.44140625" style="23" customWidth="1"/>
    <col min="2300" max="2300" width="3" style="23" customWidth="1"/>
    <col min="2301" max="2303" width="2" style="23" customWidth="1"/>
    <col min="2304" max="2304" width="2.88671875" style="23" customWidth="1"/>
    <col min="2305" max="2305" width="3" style="23" customWidth="1"/>
    <col min="2306" max="2306" width="2.6640625" style="23" customWidth="1"/>
    <col min="2307" max="2307" width="2.44140625" style="23" customWidth="1"/>
    <col min="2308" max="2308" width="3.33203125" style="23" customWidth="1"/>
    <col min="2309" max="2309" width="3.5546875" style="23" customWidth="1"/>
    <col min="2310" max="2310" width="4" style="23" customWidth="1"/>
    <col min="2311" max="2311" width="3.44140625" style="23" customWidth="1"/>
    <col min="2312" max="2312" width="3" style="23" customWidth="1"/>
    <col min="2313" max="2546" width="11.44140625" style="23"/>
    <col min="2547" max="2547" width="44.44140625" style="23" customWidth="1"/>
    <col min="2548" max="2548" width="13" style="23" customWidth="1"/>
    <col min="2549" max="2554" width="2" style="23" customWidth="1"/>
    <col min="2555" max="2555" width="2.44140625" style="23" customWidth="1"/>
    <col min="2556" max="2556" width="3" style="23" customWidth="1"/>
    <col min="2557" max="2559" width="2" style="23" customWidth="1"/>
    <col min="2560" max="2560" width="2.88671875" style="23" customWidth="1"/>
    <col min="2561" max="2561" width="3" style="23" customWidth="1"/>
    <col min="2562" max="2562" width="2.6640625" style="23" customWidth="1"/>
    <col min="2563" max="2563" width="2.44140625" style="23" customWidth="1"/>
    <col min="2564" max="2564" width="3.33203125" style="23" customWidth="1"/>
    <col min="2565" max="2565" width="3.5546875" style="23" customWidth="1"/>
    <col min="2566" max="2566" width="4" style="23" customWidth="1"/>
    <col min="2567" max="2567" width="3.44140625" style="23" customWidth="1"/>
    <col min="2568" max="2568" width="3" style="23" customWidth="1"/>
    <col min="2569" max="2802" width="11.44140625" style="23"/>
    <col min="2803" max="2803" width="44.44140625" style="23" customWidth="1"/>
    <col min="2804" max="2804" width="13" style="23" customWidth="1"/>
    <col min="2805" max="2810" width="2" style="23" customWidth="1"/>
    <col min="2811" max="2811" width="2.44140625" style="23" customWidth="1"/>
    <col min="2812" max="2812" width="3" style="23" customWidth="1"/>
    <col min="2813" max="2815" width="2" style="23" customWidth="1"/>
    <col min="2816" max="2816" width="2.88671875" style="23" customWidth="1"/>
    <col min="2817" max="2817" width="3" style="23" customWidth="1"/>
    <col min="2818" max="2818" width="2.6640625" style="23" customWidth="1"/>
    <col min="2819" max="2819" width="2.44140625" style="23" customWidth="1"/>
    <col min="2820" max="2820" width="3.33203125" style="23" customWidth="1"/>
    <col min="2821" max="2821" width="3.5546875" style="23" customWidth="1"/>
    <col min="2822" max="2822" width="4" style="23" customWidth="1"/>
    <col min="2823" max="2823" width="3.44140625" style="23" customWidth="1"/>
    <col min="2824" max="2824" width="3" style="23" customWidth="1"/>
    <col min="2825" max="3058" width="11.44140625" style="23"/>
    <col min="3059" max="3059" width="44.44140625" style="23" customWidth="1"/>
    <col min="3060" max="3060" width="13" style="23" customWidth="1"/>
    <col min="3061" max="3066" width="2" style="23" customWidth="1"/>
    <col min="3067" max="3067" width="2.44140625" style="23" customWidth="1"/>
    <col min="3068" max="3068" width="3" style="23" customWidth="1"/>
    <col min="3069" max="3071" width="2" style="23" customWidth="1"/>
    <col min="3072" max="3072" width="2.88671875" style="23" customWidth="1"/>
    <col min="3073" max="3073" width="3" style="23" customWidth="1"/>
    <col min="3074" max="3074" width="2.6640625" style="23" customWidth="1"/>
    <col min="3075" max="3075" width="2.44140625" style="23" customWidth="1"/>
    <col min="3076" max="3076" width="3.33203125" style="23" customWidth="1"/>
    <col min="3077" max="3077" width="3.5546875" style="23" customWidth="1"/>
    <col min="3078" max="3078" width="4" style="23" customWidth="1"/>
    <col min="3079" max="3079" width="3.44140625" style="23" customWidth="1"/>
    <col min="3080" max="3080" width="3" style="23" customWidth="1"/>
    <col min="3081" max="3314" width="11.44140625" style="23"/>
    <col min="3315" max="3315" width="44.44140625" style="23" customWidth="1"/>
    <col min="3316" max="3316" width="13" style="23" customWidth="1"/>
    <col min="3317" max="3322" width="2" style="23" customWidth="1"/>
    <col min="3323" max="3323" width="2.44140625" style="23" customWidth="1"/>
    <col min="3324" max="3324" width="3" style="23" customWidth="1"/>
    <col min="3325" max="3327" width="2" style="23" customWidth="1"/>
    <col min="3328" max="3328" width="2.88671875" style="23" customWidth="1"/>
    <col min="3329" max="3329" width="3" style="23" customWidth="1"/>
    <col min="3330" max="3330" width="2.6640625" style="23" customWidth="1"/>
    <col min="3331" max="3331" width="2.44140625" style="23" customWidth="1"/>
    <col min="3332" max="3332" width="3.33203125" style="23" customWidth="1"/>
    <col min="3333" max="3333" width="3.5546875" style="23" customWidth="1"/>
    <col min="3334" max="3334" width="4" style="23" customWidth="1"/>
    <col min="3335" max="3335" width="3.44140625" style="23" customWidth="1"/>
    <col min="3336" max="3336" width="3" style="23" customWidth="1"/>
    <col min="3337" max="3570" width="11.44140625" style="23"/>
    <col min="3571" max="3571" width="44.44140625" style="23" customWidth="1"/>
    <col min="3572" max="3572" width="13" style="23" customWidth="1"/>
    <col min="3573" max="3578" width="2" style="23" customWidth="1"/>
    <col min="3579" max="3579" width="2.44140625" style="23" customWidth="1"/>
    <col min="3580" max="3580" width="3" style="23" customWidth="1"/>
    <col min="3581" max="3583" width="2" style="23" customWidth="1"/>
    <col min="3584" max="3584" width="2.88671875" style="23" customWidth="1"/>
    <col min="3585" max="3585" width="3" style="23" customWidth="1"/>
    <col min="3586" max="3586" width="2.6640625" style="23" customWidth="1"/>
    <col min="3587" max="3587" width="2.44140625" style="23" customWidth="1"/>
    <col min="3588" max="3588" width="3.33203125" style="23" customWidth="1"/>
    <col min="3589" max="3589" width="3.5546875" style="23" customWidth="1"/>
    <col min="3590" max="3590" width="4" style="23" customWidth="1"/>
    <col min="3591" max="3591" width="3.44140625" style="23" customWidth="1"/>
    <col min="3592" max="3592" width="3" style="23" customWidth="1"/>
    <col min="3593" max="3826" width="11.44140625" style="23"/>
    <col min="3827" max="3827" width="44.44140625" style="23" customWidth="1"/>
    <col min="3828" max="3828" width="13" style="23" customWidth="1"/>
    <col min="3829" max="3834" width="2" style="23" customWidth="1"/>
    <col min="3835" max="3835" width="2.44140625" style="23" customWidth="1"/>
    <col min="3836" max="3836" width="3" style="23" customWidth="1"/>
    <col min="3837" max="3839" width="2" style="23" customWidth="1"/>
    <col min="3840" max="3840" width="2.88671875" style="23" customWidth="1"/>
    <col min="3841" max="3841" width="3" style="23" customWidth="1"/>
    <col min="3842" max="3842" width="2.6640625" style="23" customWidth="1"/>
    <col min="3843" max="3843" width="2.44140625" style="23" customWidth="1"/>
    <col min="3844" max="3844" width="3.33203125" style="23" customWidth="1"/>
    <col min="3845" max="3845" width="3.5546875" style="23" customWidth="1"/>
    <col min="3846" max="3846" width="4" style="23" customWidth="1"/>
    <col min="3847" max="3847" width="3.44140625" style="23" customWidth="1"/>
    <col min="3848" max="3848" width="3" style="23" customWidth="1"/>
    <col min="3849" max="4082" width="11.44140625" style="23"/>
    <col min="4083" max="4083" width="44.44140625" style="23" customWidth="1"/>
    <col min="4084" max="4084" width="13" style="23" customWidth="1"/>
    <col min="4085" max="4090" width="2" style="23" customWidth="1"/>
    <col min="4091" max="4091" width="2.44140625" style="23" customWidth="1"/>
    <col min="4092" max="4092" width="3" style="23" customWidth="1"/>
    <col min="4093" max="4095" width="2" style="23" customWidth="1"/>
    <col min="4096" max="4096" width="2.88671875" style="23" customWidth="1"/>
    <col min="4097" max="4097" width="3" style="23" customWidth="1"/>
    <col min="4098" max="4098" width="2.6640625" style="23" customWidth="1"/>
    <col min="4099" max="4099" width="2.44140625" style="23" customWidth="1"/>
    <col min="4100" max="4100" width="3.33203125" style="23" customWidth="1"/>
    <col min="4101" max="4101" width="3.5546875" style="23" customWidth="1"/>
    <col min="4102" max="4102" width="4" style="23" customWidth="1"/>
    <col min="4103" max="4103" width="3.44140625" style="23" customWidth="1"/>
    <col min="4104" max="4104" width="3" style="23" customWidth="1"/>
    <col min="4105" max="4338" width="11.44140625" style="23"/>
    <col min="4339" max="4339" width="44.44140625" style="23" customWidth="1"/>
    <col min="4340" max="4340" width="13" style="23" customWidth="1"/>
    <col min="4341" max="4346" width="2" style="23" customWidth="1"/>
    <col min="4347" max="4347" width="2.44140625" style="23" customWidth="1"/>
    <col min="4348" max="4348" width="3" style="23" customWidth="1"/>
    <col min="4349" max="4351" width="2" style="23" customWidth="1"/>
    <col min="4352" max="4352" width="2.88671875" style="23" customWidth="1"/>
    <col min="4353" max="4353" width="3" style="23" customWidth="1"/>
    <col min="4354" max="4354" width="2.6640625" style="23" customWidth="1"/>
    <col min="4355" max="4355" width="2.44140625" style="23" customWidth="1"/>
    <col min="4356" max="4356" width="3.33203125" style="23" customWidth="1"/>
    <col min="4357" max="4357" width="3.5546875" style="23" customWidth="1"/>
    <col min="4358" max="4358" width="4" style="23" customWidth="1"/>
    <col min="4359" max="4359" width="3.44140625" style="23" customWidth="1"/>
    <col min="4360" max="4360" width="3" style="23" customWidth="1"/>
    <col min="4361" max="4594" width="11.44140625" style="23"/>
    <col min="4595" max="4595" width="44.44140625" style="23" customWidth="1"/>
    <col min="4596" max="4596" width="13" style="23" customWidth="1"/>
    <col min="4597" max="4602" width="2" style="23" customWidth="1"/>
    <col min="4603" max="4603" width="2.44140625" style="23" customWidth="1"/>
    <col min="4604" max="4604" width="3" style="23" customWidth="1"/>
    <col min="4605" max="4607" width="2" style="23" customWidth="1"/>
    <col min="4608" max="4608" width="2.88671875" style="23" customWidth="1"/>
    <col min="4609" max="4609" width="3" style="23" customWidth="1"/>
    <col min="4610" max="4610" width="2.6640625" style="23" customWidth="1"/>
    <col min="4611" max="4611" width="2.44140625" style="23" customWidth="1"/>
    <col min="4612" max="4612" width="3.33203125" style="23" customWidth="1"/>
    <col min="4613" max="4613" width="3.5546875" style="23" customWidth="1"/>
    <col min="4614" max="4614" width="4" style="23" customWidth="1"/>
    <col min="4615" max="4615" width="3.44140625" style="23" customWidth="1"/>
    <col min="4616" max="4616" width="3" style="23" customWidth="1"/>
    <col min="4617" max="4850" width="11.44140625" style="23"/>
    <col min="4851" max="4851" width="44.44140625" style="23" customWidth="1"/>
    <col min="4852" max="4852" width="13" style="23" customWidth="1"/>
    <col min="4853" max="4858" width="2" style="23" customWidth="1"/>
    <col min="4859" max="4859" width="2.44140625" style="23" customWidth="1"/>
    <col min="4860" max="4860" width="3" style="23" customWidth="1"/>
    <col min="4861" max="4863" width="2" style="23" customWidth="1"/>
    <col min="4864" max="4864" width="2.88671875" style="23" customWidth="1"/>
    <col min="4865" max="4865" width="3" style="23" customWidth="1"/>
    <col min="4866" max="4866" width="2.6640625" style="23" customWidth="1"/>
    <col min="4867" max="4867" width="2.44140625" style="23" customWidth="1"/>
    <col min="4868" max="4868" width="3.33203125" style="23" customWidth="1"/>
    <col min="4869" max="4869" width="3.5546875" style="23" customWidth="1"/>
    <col min="4870" max="4870" width="4" style="23" customWidth="1"/>
    <col min="4871" max="4871" width="3.44140625" style="23" customWidth="1"/>
    <col min="4872" max="4872" width="3" style="23" customWidth="1"/>
    <col min="4873" max="5106" width="11.44140625" style="23"/>
    <col min="5107" max="5107" width="44.44140625" style="23" customWidth="1"/>
    <col min="5108" max="5108" width="13" style="23" customWidth="1"/>
    <col min="5109" max="5114" width="2" style="23" customWidth="1"/>
    <col min="5115" max="5115" width="2.44140625" style="23" customWidth="1"/>
    <col min="5116" max="5116" width="3" style="23" customWidth="1"/>
    <col min="5117" max="5119" width="2" style="23" customWidth="1"/>
    <col min="5120" max="5120" width="2.88671875" style="23" customWidth="1"/>
    <col min="5121" max="5121" width="3" style="23" customWidth="1"/>
    <col min="5122" max="5122" width="2.6640625" style="23" customWidth="1"/>
    <col min="5123" max="5123" width="2.44140625" style="23" customWidth="1"/>
    <col min="5124" max="5124" width="3.33203125" style="23" customWidth="1"/>
    <col min="5125" max="5125" width="3.5546875" style="23" customWidth="1"/>
    <col min="5126" max="5126" width="4" style="23" customWidth="1"/>
    <col min="5127" max="5127" width="3.44140625" style="23" customWidth="1"/>
    <col min="5128" max="5128" width="3" style="23" customWidth="1"/>
    <col min="5129" max="5362" width="11.44140625" style="23"/>
    <col min="5363" max="5363" width="44.44140625" style="23" customWidth="1"/>
    <col min="5364" max="5364" width="13" style="23" customWidth="1"/>
    <col min="5365" max="5370" width="2" style="23" customWidth="1"/>
    <col min="5371" max="5371" width="2.44140625" style="23" customWidth="1"/>
    <col min="5372" max="5372" width="3" style="23" customWidth="1"/>
    <col min="5373" max="5375" width="2" style="23" customWidth="1"/>
    <col min="5376" max="5376" width="2.88671875" style="23" customWidth="1"/>
    <col min="5377" max="5377" width="3" style="23" customWidth="1"/>
    <col min="5378" max="5378" width="2.6640625" style="23" customWidth="1"/>
    <col min="5379" max="5379" width="2.44140625" style="23" customWidth="1"/>
    <col min="5380" max="5380" width="3.33203125" style="23" customWidth="1"/>
    <col min="5381" max="5381" width="3.5546875" style="23" customWidth="1"/>
    <col min="5382" max="5382" width="4" style="23" customWidth="1"/>
    <col min="5383" max="5383" width="3.44140625" style="23" customWidth="1"/>
    <col min="5384" max="5384" width="3" style="23" customWidth="1"/>
    <col min="5385" max="5618" width="11.44140625" style="23"/>
    <col min="5619" max="5619" width="44.44140625" style="23" customWidth="1"/>
    <col min="5620" max="5620" width="13" style="23" customWidth="1"/>
    <col min="5621" max="5626" width="2" style="23" customWidth="1"/>
    <col min="5627" max="5627" width="2.44140625" style="23" customWidth="1"/>
    <col min="5628" max="5628" width="3" style="23" customWidth="1"/>
    <col min="5629" max="5631" width="2" style="23" customWidth="1"/>
    <col min="5632" max="5632" width="2.88671875" style="23" customWidth="1"/>
    <col min="5633" max="5633" width="3" style="23" customWidth="1"/>
    <col min="5634" max="5634" width="2.6640625" style="23" customWidth="1"/>
    <col min="5635" max="5635" width="2.44140625" style="23" customWidth="1"/>
    <col min="5636" max="5636" width="3.33203125" style="23" customWidth="1"/>
    <col min="5637" max="5637" width="3.5546875" style="23" customWidth="1"/>
    <col min="5638" max="5638" width="4" style="23" customWidth="1"/>
    <col min="5639" max="5639" width="3.44140625" style="23" customWidth="1"/>
    <col min="5640" max="5640" width="3" style="23" customWidth="1"/>
    <col min="5641" max="5874" width="11.44140625" style="23"/>
    <col min="5875" max="5875" width="44.44140625" style="23" customWidth="1"/>
    <col min="5876" max="5876" width="13" style="23" customWidth="1"/>
    <col min="5877" max="5882" width="2" style="23" customWidth="1"/>
    <col min="5883" max="5883" width="2.44140625" style="23" customWidth="1"/>
    <col min="5884" max="5884" width="3" style="23" customWidth="1"/>
    <col min="5885" max="5887" width="2" style="23" customWidth="1"/>
    <col min="5888" max="5888" width="2.88671875" style="23" customWidth="1"/>
    <col min="5889" max="5889" width="3" style="23" customWidth="1"/>
    <col min="5890" max="5890" width="2.6640625" style="23" customWidth="1"/>
    <col min="5891" max="5891" width="2.44140625" style="23" customWidth="1"/>
    <col min="5892" max="5892" width="3.33203125" style="23" customWidth="1"/>
    <col min="5893" max="5893" width="3.5546875" style="23" customWidth="1"/>
    <col min="5894" max="5894" width="4" style="23" customWidth="1"/>
    <col min="5895" max="5895" width="3.44140625" style="23" customWidth="1"/>
    <col min="5896" max="5896" width="3" style="23" customWidth="1"/>
    <col min="5897" max="6130" width="11.44140625" style="23"/>
    <col min="6131" max="6131" width="44.44140625" style="23" customWidth="1"/>
    <col min="6132" max="6132" width="13" style="23" customWidth="1"/>
    <col min="6133" max="6138" width="2" style="23" customWidth="1"/>
    <col min="6139" max="6139" width="2.44140625" style="23" customWidth="1"/>
    <col min="6140" max="6140" width="3" style="23" customWidth="1"/>
    <col min="6141" max="6143" width="2" style="23" customWidth="1"/>
    <col min="6144" max="6144" width="2.88671875" style="23" customWidth="1"/>
    <col min="6145" max="6145" width="3" style="23" customWidth="1"/>
    <col min="6146" max="6146" width="2.6640625" style="23" customWidth="1"/>
    <col min="6147" max="6147" width="2.44140625" style="23" customWidth="1"/>
    <col min="6148" max="6148" width="3.33203125" style="23" customWidth="1"/>
    <col min="6149" max="6149" width="3.5546875" style="23" customWidth="1"/>
    <col min="6150" max="6150" width="4" style="23" customWidth="1"/>
    <col min="6151" max="6151" width="3.44140625" style="23" customWidth="1"/>
    <col min="6152" max="6152" width="3" style="23" customWidth="1"/>
    <col min="6153" max="6386" width="11.44140625" style="23"/>
    <col min="6387" max="6387" width="44.44140625" style="23" customWidth="1"/>
    <col min="6388" max="6388" width="13" style="23" customWidth="1"/>
    <col min="6389" max="6394" width="2" style="23" customWidth="1"/>
    <col min="6395" max="6395" width="2.44140625" style="23" customWidth="1"/>
    <col min="6396" max="6396" width="3" style="23" customWidth="1"/>
    <col min="6397" max="6399" width="2" style="23" customWidth="1"/>
    <col min="6400" max="6400" width="2.88671875" style="23" customWidth="1"/>
    <col min="6401" max="6401" width="3" style="23" customWidth="1"/>
    <col min="6402" max="6402" width="2.6640625" style="23" customWidth="1"/>
    <col min="6403" max="6403" width="2.44140625" style="23" customWidth="1"/>
    <col min="6404" max="6404" width="3.33203125" style="23" customWidth="1"/>
    <col min="6405" max="6405" width="3.5546875" style="23" customWidth="1"/>
    <col min="6406" max="6406" width="4" style="23" customWidth="1"/>
    <col min="6407" max="6407" width="3.44140625" style="23" customWidth="1"/>
    <col min="6408" max="6408" width="3" style="23" customWidth="1"/>
    <col min="6409" max="6642" width="11.44140625" style="23"/>
    <col min="6643" max="6643" width="44.44140625" style="23" customWidth="1"/>
    <col min="6644" max="6644" width="13" style="23" customWidth="1"/>
    <col min="6645" max="6650" width="2" style="23" customWidth="1"/>
    <col min="6651" max="6651" width="2.44140625" style="23" customWidth="1"/>
    <col min="6652" max="6652" width="3" style="23" customWidth="1"/>
    <col min="6653" max="6655" width="2" style="23" customWidth="1"/>
    <col min="6656" max="6656" width="2.88671875" style="23" customWidth="1"/>
    <col min="6657" max="6657" width="3" style="23" customWidth="1"/>
    <col min="6658" max="6658" width="2.6640625" style="23" customWidth="1"/>
    <col min="6659" max="6659" width="2.44140625" style="23" customWidth="1"/>
    <col min="6660" max="6660" width="3.33203125" style="23" customWidth="1"/>
    <col min="6661" max="6661" width="3.5546875" style="23" customWidth="1"/>
    <col min="6662" max="6662" width="4" style="23" customWidth="1"/>
    <col min="6663" max="6663" width="3.44140625" style="23" customWidth="1"/>
    <col min="6664" max="6664" width="3" style="23" customWidth="1"/>
    <col min="6665" max="6898" width="11.44140625" style="23"/>
    <col min="6899" max="6899" width="44.44140625" style="23" customWidth="1"/>
    <col min="6900" max="6900" width="13" style="23" customWidth="1"/>
    <col min="6901" max="6906" width="2" style="23" customWidth="1"/>
    <col min="6907" max="6907" width="2.44140625" style="23" customWidth="1"/>
    <col min="6908" max="6908" width="3" style="23" customWidth="1"/>
    <col min="6909" max="6911" width="2" style="23" customWidth="1"/>
    <col min="6912" max="6912" width="2.88671875" style="23" customWidth="1"/>
    <col min="6913" max="6913" width="3" style="23" customWidth="1"/>
    <col min="6914" max="6914" width="2.6640625" style="23" customWidth="1"/>
    <col min="6915" max="6915" width="2.44140625" style="23" customWidth="1"/>
    <col min="6916" max="6916" width="3.33203125" style="23" customWidth="1"/>
    <col min="6917" max="6917" width="3.5546875" style="23" customWidth="1"/>
    <col min="6918" max="6918" width="4" style="23" customWidth="1"/>
    <col min="6919" max="6919" width="3.44140625" style="23" customWidth="1"/>
    <col min="6920" max="6920" width="3" style="23" customWidth="1"/>
    <col min="6921" max="7154" width="11.44140625" style="23"/>
    <col min="7155" max="7155" width="44.44140625" style="23" customWidth="1"/>
    <col min="7156" max="7156" width="13" style="23" customWidth="1"/>
    <col min="7157" max="7162" width="2" style="23" customWidth="1"/>
    <col min="7163" max="7163" width="2.44140625" style="23" customWidth="1"/>
    <col min="7164" max="7164" width="3" style="23" customWidth="1"/>
    <col min="7165" max="7167" width="2" style="23" customWidth="1"/>
    <col min="7168" max="7168" width="2.88671875" style="23" customWidth="1"/>
    <col min="7169" max="7169" width="3" style="23" customWidth="1"/>
    <col min="7170" max="7170" width="2.6640625" style="23" customWidth="1"/>
    <col min="7171" max="7171" width="2.44140625" style="23" customWidth="1"/>
    <col min="7172" max="7172" width="3.33203125" style="23" customWidth="1"/>
    <col min="7173" max="7173" width="3.5546875" style="23" customWidth="1"/>
    <col min="7174" max="7174" width="4" style="23" customWidth="1"/>
    <col min="7175" max="7175" width="3.44140625" style="23" customWidth="1"/>
    <col min="7176" max="7176" width="3" style="23" customWidth="1"/>
    <col min="7177" max="7410" width="11.44140625" style="23"/>
    <col min="7411" max="7411" width="44.44140625" style="23" customWidth="1"/>
    <col min="7412" max="7412" width="13" style="23" customWidth="1"/>
    <col min="7413" max="7418" width="2" style="23" customWidth="1"/>
    <col min="7419" max="7419" width="2.44140625" style="23" customWidth="1"/>
    <col min="7420" max="7420" width="3" style="23" customWidth="1"/>
    <col min="7421" max="7423" width="2" style="23" customWidth="1"/>
    <col min="7424" max="7424" width="2.88671875" style="23" customWidth="1"/>
    <col min="7425" max="7425" width="3" style="23" customWidth="1"/>
    <col min="7426" max="7426" width="2.6640625" style="23" customWidth="1"/>
    <col min="7427" max="7427" width="2.44140625" style="23" customWidth="1"/>
    <col min="7428" max="7428" width="3.33203125" style="23" customWidth="1"/>
    <col min="7429" max="7429" width="3.5546875" style="23" customWidth="1"/>
    <col min="7430" max="7430" width="4" style="23" customWidth="1"/>
    <col min="7431" max="7431" width="3.44140625" style="23" customWidth="1"/>
    <col min="7432" max="7432" width="3" style="23" customWidth="1"/>
    <col min="7433" max="7666" width="11.44140625" style="23"/>
    <col min="7667" max="7667" width="44.44140625" style="23" customWidth="1"/>
    <col min="7668" max="7668" width="13" style="23" customWidth="1"/>
    <col min="7669" max="7674" width="2" style="23" customWidth="1"/>
    <col min="7675" max="7675" width="2.44140625" style="23" customWidth="1"/>
    <col min="7676" max="7676" width="3" style="23" customWidth="1"/>
    <col min="7677" max="7679" width="2" style="23" customWidth="1"/>
    <col min="7680" max="7680" width="2.88671875" style="23" customWidth="1"/>
    <col min="7681" max="7681" width="3" style="23" customWidth="1"/>
    <col min="7682" max="7682" width="2.6640625" style="23" customWidth="1"/>
    <col min="7683" max="7683" width="2.44140625" style="23" customWidth="1"/>
    <col min="7684" max="7684" width="3.33203125" style="23" customWidth="1"/>
    <col min="7685" max="7685" width="3.5546875" style="23" customWidth="1"/>
    <col min="7686" max="7686" width="4" style="23" customWidth="1"/>
    <col min="7687" max="7687" width="3.44140625" style="23" customWidth="1"/>
    <col min="7688" max="7688" width="3" style="23" customWidth="1"/>
    <col min="7689" max="7922" width="11.44140625" style="23"/>
    <col min="7923" max="7923" width="44.44140625" style="23" customWidth="1"/>
    <col min="7924" max="7924" width="13" style="23" customWidth="1"/>
    <col min="7925" max="7930" width="2" style="23" customWidth="1"/>
    <col min="7931" max="7931" width="2.44140625" style="23" customWidth="1"/>
    <col min="7932" max="7932" width="3" style="23" customWidth="1"/>
    <col min="7933" max="7935" width="2" style="23" customWidth="1"/>
    <col min="7936" max="7936" width="2.88671875" style="23" customWidth="1"/>
    <col min="7937" max="7937" width="3" style="23" customWidth="1"/>
    <col min="7938" max="7938" width="2.6640625" style="23" customWidth="1"/>
    <col min="7939" max="7939" width="2.44140625" style="23" customWidth="1"/>
    <col min="7940" max="7940" width="3.33203125" style="23" customWidth="1"/>
    <col min="7941" max="7941" width="3.5546875" style="23" customWidth="1"/>
    <col min="7942" max="7942" width="4" style="23" customWidth="1"/>
    <col min="7943" max="7943" width="3.44140625" style="23" customWidth="1"/>
    <col min="7944" max="7944" width="3" style="23" customWidth="1"/>
    <col min="7945" max="8178" width="11.44140625" style="23"/>
    <col min="8179" max="8179" width="44.44140625" style="23" customWidth="1"/>
    <col min="8180" max="8180" width="13" style="23" customWidth="1"/>
    <col min="8181" max="8186" width="2" style="23" customWidth="1"/>
    <col min="8187" max="8187" width="2.44140625" style="23" customWidth="1"/>
    <col min="8188" max="8188" width="3" style="23" customWidth="1"/>
    <col min="8189" max="8191" width="2" style="23" customWidth="1"/>
    <col min="8192" max="8192" width="2.88671875" style="23" customWidth="1"/>
    <col min="8193" max="8193" width="3" style="23" customWidth="1"/>
    <col min="8194" max="8194" width="2.6640625" style="23" customWidth="1"/>
    <col min="8195" max="8195" width="2.44140625" style="23" customWidth="1"/>
    <col min="8196" max="8196" width="3.33203125" style="23" customWidth="1"/>
    <col min="8197" max="8197" width="3.5546875" style="23" customWidth="1"/>
    <col min="8198" max="8198" width="4" style="23" customWidth="1"/>
    <col min="8199" max="8199" width="3.44140625" style="23" customWidth="1"/>
    <col min="8200" max="8200" width="3" style="23" customWidth="1"/>
    <col min="8201" max="8434" width="11.44140625" style="23"/>
    <col min="8435" max="8435" width="44.44140625" style="23" customWidth="1"/>
    <col min="8436" max="8436" width="13" style="23" customWidth="1"/>
    <col min="8437" max="8442" width="2" style="23" customWidth="1"/>
    <col min="8443" max="8443" width="2.44140625" style="23" customWidth="1"/>
    <col min="8444" max="8444" width="3" style="23" customWidth="1"/>
    <col min="8445" max="8447" width="2" style="23" customWidth="1"/>
    <col min="8448" max="8448" width="2.88671875" style="23" customWidth="1"/>
    <col min="8449" max="8449" width="3" style="23" customWidth="1"/>
    <col min="8450" max="8450" width="2.6640625" style="23" customWidth="1"/>
    <col min="8451" max="8451" width="2.44140625" style="23" customWidth="1"/>
    <col min="8452" max="8452" width="3.33203125" style="23" customWidth="1"/>
    <col min="8453" max="8453" width="3.5546875" style="23" customWidth="1"/>
    <col min="8454" max="8454" width="4" style="23" customWidth="1"/>
    <col min="8455" max="8455" width="3.44140625" style="23" customWidth="1"/>
    <col min="8456" max="8456" width="3" style="23" customWidth="1"/>
    <col min="8457" max="8690" width="11.44140625" style="23"/>
    <col min="8691" max="8691" width="44.44140625" style="23" customWidth="1"/>
    <col min="8692" max="8692" width="13" style="23" customWidth="1"/>
    <col min="8693" max="8698" width="2" style="23" customWidth="1"/>
    <col min="8699" max="8699" width="2.44140625" style="23" customWidth="1"/>
    <col min="8700" max="8700" width="3" style="23" customWidth="1"/>
    <col min="8701" max="8703" width="2" style="23" customWidth="1"/>
    <col min="8704" max="8704" width="2.88671875" style="23" customWidth="1"/>
    <col min="8705" max="8705" width="3" style="23" customWidth="1"/>
    <col min="8706" max="8706" width="2.6640625" style="23" customWidth="1"/>
    <col min="8707" max="8707" width="2.44140625" style="23" customWidth="1"/>
    <col min="8708" max="8708" width="3.33203125" style="23" customWidth="1"/>
    <col min="8709" max="8709" width="3.5546875" style="23" customWidth="1"/>
    <col min="8710" max="8710" width="4" style="23" customWidth="1"/>
    <col min="8711" max="8711" width="3.44140625" style="23" customWidth="1"/>
    <col min="8712" max="8712" width="3" style="23" customWidth="1"/>
    <col min="8713" max="8946" width="11.44140625" style="23"/>
    <col min="8947" max="8947" width="44.44140625" style="23" customWidth="1"/>
    <col min="8948" max="8948" width="13" style="23" customWidth="1"/>
    <col min="8949" max="8954" width="2" style="23" customWidth="1"/>
    <col min="8955" max="8955" width="2.44140625" style="23" customWidth="1"/>
    <col min="8956" max="8956" width="3" style="23" customWidth="1"/>
    <col min="8957" max="8959" width="2" style="23" customWidth="1"/>
    <col min="8960" max="8960" width="2.88671875" style="23" customWidth="1"/>
    <col min="8961" max="8961" width="3" style="23" customWidth="1"/>
    <col min="8962" max="8962" width="2.6640625" style="23" customWidth="1"/>
    <col min="8963" max="8963" width="2.44140625" style="23" customWidth="1"/>
    <col min="8964" max="8964" width="3.33203125" style="23" customWidth="1"/>
    <col min="8965" max="8965" width="3.5546875" style="23" customWidth="1"/>
    <col min="8966" max="8966" width="4" style="23" customWidth="1"/>
    <col min="8967" max="8967" width="3.44140625" style="23" customWidth="1"/>
    <col min="8968" max="8968" width="3" style="23" customWidth="1"/>
    <col min="8969" max="9202" width="11.44140625" style="23"/>
    <col min="9203" max="9203" width="44.44140625" style="23" customWidth="1"/>
    <col min="9204" max="9204" width="13" style="23" customWidth="1"/>
    <col min="9205" max="9210" width="2" style="23" customWidth="1"/>
    <col min="9211" max="9211" width="2.44140625" style="23" customWidth="1"/>
    <col min="9212" max="9212" width="3" style="23" customWidth="1"/>
    <col min="9213" max="9215" width="2" style="23" customWidth="1"/>
    <col min="9216" max="9216" width="2.88671875" style="23" customWidth="1"/>
    <col min="9217" max="9217" width="3" style="23" customWidth="1"/>
    <col min="9218" max="9218" width="2.6640625" style="23" customWidth="1"/>
    <col min="9219" max="9219" width="2.44140625" style="23" customWidth="1"/>
    <col min="9220" max="9220" width="3.33203125" style="23" customWidth="1"/>
    <col min="9221" max="9221" width="3.5546875" style="23" customWidth="1"/>
    <col min="9222" max="9222" width="4" style="23" customWidth="1"/>
    <col min="9223" max="9223" width="3.44140625" style="23" customWidth="1"/>
    <col min="9224" max="9224" width="3" style="23" customWidth="1"/>
    <col min="9225" max="9458" width="11.44140625" style="23"/>
    <col min="9459" max="9459" width="44.44140625" style="23" customWidth="1"/>
    <col min="9460" max="9460" width="13" style="23" customWidth="1"/>
    <col min="9461" max="9466" width="2" style="23" customWidth="1"/>
    <col min="9467" max="9467" width="2.44140625" style="23" customWidth="1"/>
    <col min="9468" max="9468" width="3" style="23" customWidth="1"/>
    <col min="9469" max="9471" width="2" style="23" customWidth="1"/>
    <col min="9472" max="9472" width="2.88671875" style="23" customWidth="1"/>
    <col min="9473" max="9473" width="3" style="23" customWidth="1"/>
    <col min="9474" max="9474" width="2.6640625" style="23" customWidth="1"/>
    <col min="9475" max="9475" width="2.44140625" style="23" customWidth="1"/>
    <col min="9476" max="9476" width="3.33203125" style="23" customWidth="1"/>
    <col min="9477" max="9477" width="3.5546875" style="23" customWidth="1"/>
    <col min="9478" max="9478" width="4" style="23" customWidth="1"/>
    <col min="9479" max="9479" width="3.44140625" style="23" customWidth="1"/>
    <col min="9480" max="9480" width="3" style="23" customWidth="1"/>
    <col min="9481" max="9714" width="11.44140625" style="23"/>
    <col min="9715" max="9715" width="44.44140625" style="23" customWidth="1"/>
    <col min="9716" max="9716" width="13" style="23" customWidth="1"/>
    <col min="9717" max="9722" width="2" style="23" customWidth="1"/>
    <col min="9723" max="9723" width="2.44140625" style="23" customWidth="1"/>
    <col min="9724" max="9724" width="3" style="23" customWidth="1"/>
    <col min="9725" max="9727" width="2" style="23" customWidth="1"/>
    <col min="9728" max="9728" width="2.88671875" style="23" customWidth="1"/>
    <col min="9729" max="9729" width="3" style="23" customWidth="1"/>
    <col min="9730" max="9730" width="2.6640625" style="23" customWidth="1"/>
    <col min="9731" max="9731" width="2.44140625" style="23" customWidth="1"/>
    <col min="9732" max="9732" width="3.33203125" style="23" customWidth="1"/>
    <col min="9733" max="9733" width="3.5546875" style="23" customWidth="1"/>
    <col min="9734" max="9734" width="4" style="23" customWidth="1"/>
    <col min="9735" max="9735" width="3.44140625" style="23" customWidth="1"/>
    <col min="9736" max="9736" width="3" style="23" customWidth="1"/>
    <col min="9737" max="9970" width="11.44140625" style="23"/>
    <col min="9971" max="9971" width="44.44140625" style="23" customWidth="1"/>
    <col min="9972" max="9972" width="13" style="23" customWidth="1"/>
    <col min="9973" max="9978" width="2" style="23" customWidth="1"/>
    <col min="9979" max="9979" width="2.44140625" style="23" customWidth="1"/>
    <col min="9980" max="9980" width="3" style="23" customWidth="1"/>
    <col min="9981" max="9983" width="2" style="23" customWidth="1"/>
    <col min="9984" max="9984" width="2.88671875" style="23" customWidth="1"/>
    <col min="9985" max="9985" width="3" style="23" customWidth="1"/>
    <col min="9986" max="9986" width="2.6640625" style="23" customWidth="1"/>
    <col min="9987" max="9987" width="2.44140625" style="23" customWidth="1"/>
    <col min="9988" max="9988" width="3.33203125" style="23" customWidth="1"/>
    <col min="9989" max="9989" width="3.5546875" style="23" customWidth="1"/>
    <col min="9990" max="9990" width="4" style="23" customWidth="1"/>
    <col min="9991" max="9991" width="3.44140625" style="23" customWidth="1"/>
    <col min="9992" max="9992" width="3" style="23" customWidth="1"/>
    <col min="9993" max="10226" width="11.44140625" style="23"/>
    <col min="10227" max="10227" width="44.44140625" style="23" customWidth="1"/>
    <col min="10228" max="10228" width="13" style="23" customWidth="1"/>
    <col min="10229" max="10234" width="2" style="23" customWidth="1"/>
    <col min="10235" max="10235" width="2.44140625" style="23" customWidth="1"/>
    <col min="10236" max="10236" width="3" style="23" customWidth="1"/>
    <col min="10237" max="10239" width="2" style="23" customWidth="1"/>
    <col min="10240" max="10240" width="2.88671875" style="23" customWidth="1"/>
    <col min="10241" max="10241" width="3" style="23" customWidth="1"/>
    <col min="10242" max="10242" width="2.6640625" style="23" customWidth="1"/>
    <col min="10243" max="10243" width="2.44140625" style="23" customWidth="1"/>
    <col min="10244" max="10244" width="3.33203125" style="23" customWidth="1"/>
    <col min="10245" max="10245" width="3.5546875" style="23" customWidth="1"/>
    <col min="10246" max="10246" width="4" style="23" customWidth="1"/>
    <col min="10247" max="10247" width="3.44140625" style="23" customWidth="1"/>
    <col min="10248" max="10248" width="3" style="23" customWidth="1"/>
    <col min="10249" max="10482" width="11.44140625" style="23"/>
    <col min="10483" max="10483" width="44.44140625" style="23" customWidth="1"/>
    <col min="10484" max="10484" width="13" style="23" customWidth="1"/>
    <col min="10485" max="10490" width="2" style="23" customWidth="1"/>
    <col min="10491" max="10491" width="2.44140625" style="23" customWidth="1"/>
    <col min="10492" max="10492" width="3" style="23" customWidth="1"/>
    <col min="10493" max="10495" width="2" style="23" customWidth="1"/>
    <col min="10496" max="10496" width="2.88671875" style="23" customWidth="1"/>
    <col min="10497" max="10497" width="3" style="23" customWidth="1"/>
    <col min="10498" max="10498" width="2.6640625" style="23" customWidth="1"/>
    <col min="10499" max="10499" width="2.44140625" style="23" customWidth="1"/>
    <col min="10500" max="10500" width="3.33203125" style="23" customWidth="1"/>
    <col min="10501" max="10501" width="3.5546875" style="23" customWidth="1"/>
    <col min="10502" max="10502" width="4" style="23" customWidth="1"/>
    <col min="10503" max="10503" width="3.44140625" style="23" customWidth="1"/>
    <col min="10504" max="10504" width="3" style="23" customWidth="1"/>
    <col min="10505" max="10738" width="11.44140625" style="23"/>
    <col min="10739" max="10739" width="44.44140625" style="23" customWidth="1"/>
    <col min="10740" max="10740" width="13" style="23" customWidth="1"/>
    <col min="10741" max="10746" width="2" style="23" customWidth="1"/>
    <col min="10747" max="10747" width="2.44140625" style="23" customWidth="1"/>
    <col min="10748" max="10748" width="3" style="23" customWidth="1"/>
    <col min="10749" max="10751" width="2" style="23" customWidth="1"/>
    <col min="10752" max="10752" width="2.88671875" style="23" customWidth="1"/>
    <col min="10753" max="10753" width="3" style="23" customWidth="1"/>
    <col min="10754" max="10754" width="2.6640625" style="23" customWidth="1"/>
    <col min="10755" max="10755" width="2.44140625" style="23" customWidth="1"/>
    <col min="10756" max="10756" width="3.33203125" style="23" customWidth="1"/>
    <col min="10757" max="10757" width="3.5546875" style="23" customWidth="1"/>
    <col min="10758" max="10758" width="4" style="23" customWidth="1"/>
    <col min="10759" max="10759" width="3.44140625" style="23" customWidth="1"/>
    <col min="10760" max="10760" width="3" style="23" customWidth="1"/>
    <col min="10761" max="10994" width="11.44140625" style="23"/>
    <col min="10995" max="10995" width="44.44140625" style="23" customWidth="1"/>
    <col min="10996" max="10996" width="13" style="23" customWidth="1"/>
    <col min="10997" max="11002" width="2" style="23" customWidth="1"/>
    <col min="11003" max="11003" width="2.44140625" style="23" customWidth="1"/>
    <col min="11004" max="11004" width="3" style="23" customWidth="1"/>
    <col min="11005" max="11007" width="2" style="23" customWidth="1"/>
    <col min="11008" max="11008" width="2.88671875" style="23" customWidth="1"/>
    <col min="11009" max="11009" width="3" style="23" customWidth="1"/>
    <col min="11010" max="11010" width="2.6640625" style="23" customWidth="1"/>
    <col min="11011" max="11011" width="2.44140625" style="23" customWidth="1"/>
    <col min="11012" max="11012" width="3.33203125" style="23" customWidth="1"/>
    <col min="11013" max="11013" width="3.5546875" style="23" customWidth="1"/>
    <col min="11014" max="11014" width="4" style="23" customWidth="1"/>
    <col min="11015" max="11015" width="3.44140625" style="23" customWidth="1"/>
    <col min="11016" max="11016" width="3" style="23" customWidth="1"/>
    <col min="11017" max="11250" width="11.44140625" style="23"/>
    <col min="11251" max="11251" width="44.44140625" style="23" customWidth="1"/>
    <col min="11252" max="11252" width="13" style="23" customWidth="1"/>
    <col min="11253" max="11258" width="2" style="23" customWidth="1"/>
    <col min="11259" max="11259" width="2.44140625" style="23" customWidth="1"/>
    <col min="11260" max="11260" width="3" style="23" customWidth="1"/>
    <col min="11261" max="11263" width="2" style="23" customWidth="1"/>
    <col min="11264" max="11264" width="2.88671875" style="23" customWidth="1"/>
    <col min="11265" max="11265" width="3" style="23" customWidth="1"/>
    <col min="11266" max="11266" width="2.6640625" style="23" customWidth="1"/>
    <col min="11267" max="11267" width="2.44140625" style="23" customWidth="1"/>
    <col min="11268" max="11268" width="3.33203125" style="23" customWidth="1"/>
    <col min="11269" max="11269" width="3.5546875" style="23" customWidth="1"/>
    <col min="11270" max="11270" width="4" style="23" customWidth="1"/>
    <col min="11271" max="11271" width="3.44140625" style="23" customWidth="1"/>
    <col min="11272" max="11272" width="3" style="23" customWidth="1"/>
    <col min="11273" max="11506" width="11.44140625" style="23"/>
    <col min="11507" max="11507" width="44.44140625" style="23" customWidth="1"/>
    <col min="11508" max="11508" width="13" style="23" customWidth="1"/>
    <col min="11509" max="11514" width="2" style="23" customWidth="1"/>
    <col min="11515" max="11515" width="2.44140625" style="23" customWidth="1"/>
    <col min="11516" max="11516" width="3" style="23" customWidth="1"/>
    <col min="11517" max="11519" width="2" style="23" customWidth="1"/>
    <col min="11520" max="11520" width="2.88671875" style="23" customWidth="1"/>
    <col min="11521" max="11521" width="3" style="23" customWidth="1"/>
    <col min="11522" max="11522" width="2.6640625" style="23" customWidth="1"/>
    <col min="11523" max="11523" width="2.44140625" style="23" customWidth="1"/>
    <col min="11524" max="11524" width="3.33203125" style="23" customWidth="1"/>
    <col min="11525" max="11525" width="3.5546875" style="23" customWidth="1"/>
    <col min="11526" max="11526" width="4" style="23" customWidth="1"/>
    <col min="11527" max="11527" width="3.44140625" style="23" customWidth="1"/>
    <col min="11528" max="11528" width="3" style="23" customWidth="1"/>
    <col min="11529" max="11762" width="11.44140625" style="23"/>
    <col min="11763" max="11763" width="44.44140625" style="23" customWidth="1"/>
    <col min="11764" max="11764" width="13" style="23" customWidth="1"/>
    <col min="11765" max="11770" width="2" style="23" customWidth="1"/>
    <col min="11771" max="11771" width="2.44140625" style="23" customWidth="1"/>
    <col min="11772" max="11772" width="3" style="23" customWidth="1"/>
    <col min="11773" max="11775" width="2" style="23" customWidth="1"/>
    <col min="11776" max="11776" width="2.88671875" style="23" customWidth="1"/>
    <col min="11777" max="11777" width="3" style="23" customWidth="1"/>
    <col min="11778" max="11778" width="2.6640625" style="23" customWidth="1"/>
    <col min="11779" max="11779" width="2.44140625" style="23" customWidth="1"/>
    <col min="11780" max="11780" width="3.33203125" style="23" customWidth="1"/>
    <col min="11781" max="11781" width="3.5546875" style="23" customWidth="1"/>
    <col min="11782" max="11782" width="4" style="23" customWidth="1"/>
    <col min="11783" max="11783" width="3.44140625" style="23" customWidth="1"/>
    <col min="11784" max="11784" width="3" style="23" customWidth="1"/>
    <col min="11785" max="12018" width="11.44140625" style="23"/>
    <col min="12019" max="12019" width="44.44140625" style="23" customWidth="1"/>
    <col min="12020" max="12020" width="13" style="23" customWidth="1"/>
    <col min="12021" max="12026" width="2" style="23" customWidth="1"/>
    <col min="12027" max="12027" width="2.44140625" style="23" customWidth="1"/>
    <col min="12028" max="12028" width="3" style="23" customWidth="1"/>
    <col min="12029" max="12031" width="2" style="23" customWidth="1"/>
    <col min="12032" max="12032" width="2.88671875" style="23" customWidth="1"/>
    <col min="12033" max="12033" width="3" style="23" customWidth="1"/>
    <col min="12034" max="12034" width="2.6640625" style="23" customWidth="1"/>
    <col min="12035" max="12035" width="2.44140625" style="23" customWidth="1"/>
    <col min="12036" max="12036" width="3.33203125" style="23" customWidth="1"/>
    <col min="12037" max="12037" width="3.5546875" style="23" customWidth="1"/>
    <col min="12038" max="12038" width="4" style="23" customWidth="1"/>
    <col min="12039" max="12039" width="3.44140625" style="23" customWidth="1"/>
    <col min="12040" max="12040" width="3" style="23" customWidth="1"/>
    <col min="12041" max="12274" width="11.44140625" style="23"/>
    <col min="12275" max="12275" width="44.44140625" style="23" customWidth="1"/>
    <col min="12276" max="12276" width="13" style="23" customWidth="1"/>
    <col min="12277" max="12282" width="2" style="23" customWidth="1"/>
    <col min="12283" max="12283" width="2.44140625" style="23" customWidth="1"/>
    <col min="12284" max="12284" width="3" style="23" customWidth="1"/>
    <col min="12285" max="12287" width="2" style="23" customWidth="1"/>
    <col min="12288" max="12288" width="2.88671875" style="23" customWidth="1"/>
    <col min="12289" max="12289" width="3" style="23" customWidth="1"/>
    <col min="12290" max="12290" width="2.6640625" style="23" customWidth="1"/>
    <col min="12291" max="12291" width="2.44140625" style="23" customWidth="1"/>
    <col min="12292" max="12292" width="3.33203125" style="23" customWidth="1"/>
    <col min="12293" max="12293" width="3.5546875" style="23" customWidth="1"/>
    <col min="12294" max="12294" width="4" style="23" customWidth="1"/>
    <col min="12295" max="12295" width="3.44140625" style="23" customWidth="1"/>
    <col min="12296" max="12296" width="3" style="23" customWidth="1"/>
    <col min="12297" max="12530" width="11.44140625" style="23"/>
    <col min="12531" max="12531" width="44.44140625" style="23" customWidth="1"/>
    <col min="12532" max="12532" width="13" style="23" customWidth="1"/>
    <col min="12533" max="12538" width="2" style="23" customWidth="1"/>
    <col min="12539" max="12539" width="2.44140625" style="23" customWidth="1"/>
    <col min="12540" max="12540" width="3" style="23" customWidth="1"/>
    <col min="12541" max="12543" width="2" style="23" customWidth="1"/>
    <col min="12544" max="12544" width="2.88671875" style="23" customWidth="1"/>
    <col min="12545" max="12545" width="3" style="23" customWidth="1"/>
    <col min="12546" max="12546" width="2.6640625" style="23" customWidth="1"/>
    <col min="12547" max="12547" width="2.44140625" style="23" customWidth="1"/>
    <col min="12548" max="12548" width="3.33203125" style="23" customWidth="1"/>
    <col min="12549" max="12549" width="3.5546875" style="23" customWidth="1"/>
    <col min="12550" max="12550" width="4" style="23" customWidth="1"/>
    <col min="12551" max="12551" width="3.44140625" style="23" customWidth="1"/>
    <col min="12552" max="12552" width="3" style="23" customWidth="1"/>
    <col min="12553" max="12786" width="11.44140625" style="23"/>
    <col min="12787" max="12787" width="44.44140625" style="23" customWidth="1"/>
    <col min="12788" max="12788" width="13" style="23" customWidth="1"/>
    <col min="12789" max="12794" width="2" style="23" customWidth="1"/>
    <col min="12795" max="12795" width="2.44140625" style="23" customWidth="1"/>
    <col min="12796" max="12796" width="3" style="23" customWidth="1"/>
    <col min="12797" max="12799" width="2" style="23" customWidth="1"/>
    <col min="12800" max="12800" width="2.88671875" style="23" customWidth="1"/>
    <col min="12801" max="12801" width="3" style="23" customWidth="1"/>
    <col min="12802" max="12802" width="2.6640625" style="23" customWidth="1"/>
    <col min="12803" max="12803" width="2.44140625" style="23" customWidth="1"/>
    <col min="12804" max="12804" width="3.33203125" style="23" customWidth="1"/>
    <col min="12805" max="12805" width="3.5546875" style="23" customWidth="1"/>
    <col min="12806" max="12806" width="4" style="23" customWidth="1"/>
    <col min="12807" max="12807" width="3.44140625" style="23" customWidth="1"/>
    <col min="12808" max="12808" width="3" style="23" customWidth="1"/>
    <col min="12809" max="13042" width="11.44140625" style="23"/>
    <col min="13043" max="13043" width="44.44140625" style="23" customWidth="1"/>
    <col min="13044" max="13044" width="13" style="23" customWidth="1"/>
    <col min="13045" max="13050" width="2" style="23" customWidth="1"/>
    <col min="13051" max="13051" width="2.44140625" style="23" customWidth="1"/>
    <col min="13052" max="13052" width="3" style="23" customWidth="1"/>
    <col min="13053" max="13055" width="2" style="23" customWidth="1"/>
    <col min="13056" max="13056" width="2.88671875" style="23" customWidth="1"/>
    <col min="13057" max="13057" width="3" style="23" customWidth="1"/>
    <col min="13058" max="13058" width="2.6640625" style="23" customWidth="1"/>
    <col min="13059" max="13059" width="2.44140625" style="23" customWidth="1"/>
    <col min="13060" max="13060" width="3.33203125" style="23" customWidth="1"/>
    <col min="13061" max="13061" width="3.5546875" style="23" customWidth="1"/>
    <col min="13062" max="13062" width="4" style="23" customWidth="1"/>
    <col min="13063" max="13063" width="3.44140625" style="23" customWidth="1"/>
    <col min="13064" max="13064" width="3" style="23" customWidth="1"/>
    <col min="13065" max="13298" width="11.44140625" style="23"/>
    <col min="13299" max="13299" width="44.44140625" style="23" customWidth="1"/>
    <col min="13300" max="13300" width="13" style="23" customWidth="1"/>
    <col min="13301" max="13306" width="2" style="23" customWidth="1"/>
    <col min="13307" max="13307" width="2.44140625" style="23" customWidth="1"/>
    <col min="13308" max="13308" width="3" style="23" customWidth="1"/>
    <col min="13309" max="13311" width="2" style="23" customWidth="1"/>
    <col min="13312" max="13312" width="2.88671875" style="23" customWidth="1"/>
    <col min="13313" max="13313" width="3" style="23" customWidth="1"/>
    <col min="13314" max="13314" width="2.6640625" style="23" customWidth="1"/>
    <col min="13315" max="13315" width="2.44140625" style="23" customWidth="1"/>
    <col min="13316" max="13316" width="3.33203125" style="23" customWidth="1"/>
    <col min="13317" max="13317" width="3.5546875" style="23" customWidth="1"/>
    <col min="13318" max="13318" width="4" style="23" customWidth="1"/>
    <col min="13319" max="13319" width="3.44140625" style="23" customWidth="1"/>
    <col min="13320" max="13320" width="3" style="23" customWidth="1"/>
    <col min="13321" max="13554" width="11.44140625" style="23"/>
    <col min="13555" max="13555" width="44.44140625" style="23" customWidth="1"/>
    <col min="13556" max="13556" width="13" style="23" customWidth="1"/>
    <col min="13557" max="13562" width="2" style="23" customWidth="1"/>
    <col min="13563" max="13563" width="2.44140625" style="23" customWidth="1"/>
    <col min="13564" max="13564" width="3" style="23" customWidth="1"/>
    <col min="13565" max="13567" width="2" style="23" customWidth="1"/>
    <col min="13568" max="13568" width="2.88671875" style="23" customWidth="1"/>
    <col min="13569" max="13569" width="3" style="23" customWidth="1"/>
    <col min="13570" max="13570" width="2.6640625" style="23" customWidth="1"/>
    <col min="13571" max="13571" width="2.44140625" style="23" customWidth="1"/>
    <col min="13572" max="13572" width="3.33203125" style="23" customWidth="1"/>
    <col min="13573" max="13573" width="3.5546875" style="23" customWidth="1"/>
    <col min="13574" max="13574" width="4" style="23" customWidth="1"/>
    <col min="13575" max="13575" width="3.44140625" style="23" customWidth="1"/>
    <col min="13576" max="13576" width="3" style="23" customWidth="1"/>
    <col min="13577" max="13810" width="11.44140625" style="23"/>
    <col min="13811" max="13811" width="44.44140625" style="23" customWidth="1"/>
    <col min="13812" max="13812" width="13" style="23" customWidth="1"/>
    <col min="13813" max="13818" width="2" style="23" customWidth="1"/>
    <col min="13819" max="13819" width="2.44140625" style="23" customWidth="1"/>
    <col min="13820" max="13820" width="3" style="23" customWidth="1"/>
    <col min="13821" max="13823" width="2" style="23" customWidth="1"/>
    <col min="13824" max="13824" width="2.88671875" style="23" customWidth="1"/>
    <col min="13825" max="13825" width="3" style="23" customWidth="1"/>
    <col min="13826" max="13826" width="2.6640625" style="23" customWidth="1"/>
    <col min="13827" max="13827" width="2.44140625" style="23" customWidth="1"/>
    <col min="13828" max="13828" width="3.33203125" style="23" customWidth="1"/>
    <col min="13829" max="13829" width="3.5546875" style="23" customWidth="1"/>
    <col min="13830" max="13830" width="4" style="23" customWidth="1"/>
    <col min="13831" max="13831" width="3.44140625" style="23" customWidth="1"/>
    <col min="13832" max="13832" width="3" style="23" customWidth="1"/>
    <col min="13833" max="14066" width="11.44140625" style="23"/>
    <col min="14067" max="14067" width="44.44140625" style="23" customWidth="1"/>
    <col min="14068" max="14068" width="13" style="23" customWidth="1"/>
    <col min="14069" max="14074" width="2" style="23" customWidth="1"/>
    <col min="14075" max="14075" width="2.44140625" style="23" customWidth="1"/>
    <col min="14076" max="14076" width="3" style="23" customWidth="1"/>
    <col min="14077" max="14079" width="2" style="23" customWidth="1"/>
    <col min="14080" max="14080" width="2.88671875" style="23" customWidth="1"/>
    <col min="14081" max="14081" width="3" style="23" customWidth="1"/>
    <col min="14082" max="14082" width="2.6640625" style="23" customWidth="1"/>
    <col min="14083" max="14083" width="2.44140625" style="23" customWidth="1"/>
    <col min="14084" max="14084" width="3.33203125" style="23" customWidth="1"/>
    <col min="14085" max="14085" width="3.5546875" style="23" customWidth="1"/>
    <col min="14086" max="14086" width="4" style="23" customWidth="1"/>
    <col min="14087" max="14087" width="3.44140625" style="23" customWidth="1"/>
    <col min="14088" max="14088" width="3" style="23" customWidth="1"/>
    <col min="14089" max="14322" width="11.44140625" style="23"/>
    <col min="14323" max="14323" width="44.44140625" style="23" customWidth="1"/>
    <col min="14324" max="14324" width="13" style="23" customWidth="1"/>
    <col min="14325" max="14330" width="2" style="23" customWidth="1"/>
    <col min="14331" max="14331" width="2.44140625" style="23" customWidth="1"/>
    <col min="14332" max="14332" width="3" style="23" customWidth="1"/>
    <col min="14333" max="14335" width="2" style="23" customWidth="1"/>
    <col min="14336" max="14336" width="2.88671875" style="23" customWidth="1"/>
    <col min="14337" max="14337" width="3" style="23" customWidth="1"/>
    <col min="14338" max="14338" width="2.6640625" style="23" customWidth="1"/>
    <col min="14339" max="14339" width="2.44140625" style="23" customWidth="1"/>
    <col min="14340" max="14340" width="3.33203125" style="23" customWidth="1"/>
    <col min="14341" max="14341" width="3.5546875" style="23" customWidth="1"/>
    <col min="14342" max="14342" width="4" style="23" customWidth="1"/>
    <col min="14343" max="14343" width="3.44140625" style="23" customWidth="1"/>
    <col min="14344" max="14344" width="3" style="23" customWidth="1"/>
    <col min="14345" max="14578" width="11.44140625" style="23"/>
    <col min="14579" max="14579" width="44.44140625" style="23" customWidth="1"/>
    <col min="14580" max="14580" width="13" style="23" customWidth="1"/>
    <col min="14581" max="14586" width="2" style="23" customWidth="1"/>
    <col min="14587" max="14587" width="2.44140625" style="23" customWidth="1"/>
    <col min="14588" max="14588" width="3" style="23" customWidth="1"/>
    <col min="14589" max="14591" width="2" style="23" customWidth="1"/>
    <col min="14592" max="14592" width="2.88671875" style="23" customWidth="1"/>
    <col min="14593" max="14593" width="3" style="23" customWidth="1"/>
    <col min="14594" max="14594" width="2.6640625" style="23" customWidth="1"/>
    <col min="14595" max="14595" width="2.44140625" style="23" customWidth="1"/>
    <col min="14596" max="14596" width="3.33203125" style="23" customWidth="1"/>
    <col min="14597" max="14597" width="3.5546875" style="23" customWidth="1"/>
    <col min="14598" max="14598" width="4" style="23" customWidth="1"/>
    <col min="14599" max="14599" width="3.44140625" style="23" customWidth="1"/>
    <col min="14600" max="14600" width="3" style="23" customWidth="1"/>
    <col min="14601" max="14834" width="11.44140625" style="23"/>
    <col min="14835" max="14835" width="44.44140625" style="23" customWidth="1"/>
    <col min="14836" max="14836" width="13" style="23" customWidth="1"/>
    <col min="14837" max="14842" width="2" style="23" customWidth="1"/>
    <col min="14843" max="14843" width="2.44140625" style="23" customWidth="1"/>
    <col min="14844" max="14844" width="3" style="23" customWidth="1"/>
    <col min="14845" max="14847" width="2" style="23" customWidth="1"/>
    <col min="14848" max="14848" width="2.88671875" style="23" customWidth="1"/>
    <col min="14849" max="14849" width="3" style="23" customWidth="1"/>
    <col min="14850" max="14850" width="2.6640625" style="23" customWidth="1"/>
    <col min="14851" max="14851" width="2.44140625" style="23" customWidth="1"/>
    <col min="14852" max="14852" width="3.33203125" style="23" customWidth="1"/>
    <col min="14853" max="14853" width="3.5546875" style="23" customWidth="1"/>
    <col min="14854" max="14854" width="4" style="23" customWidth="1"/>
    <col min="14855" max="14855" width="3.44140625" style="23" customWidth="1"/>
    <col min="14856" max="14856" width="3" style="23" customWidth="1"/>
    <col min="14857" max="15090" width="11.44140625" style="23"/>
    <col min="15091" max="15091" width="44.44140625" style="23" customWidth="1"/>
    <col min="15092" max="15092" width="13" style="23" customWidth="1"/>
    <col min="15093" max="15098" width="2" style="23" customWidth="1"/>
    <col min="15099" max="15099" width="2.44140625" style="23" customWidth="1"/>
    <col min="15100" max="15100" width="3" style="23" customWidth="1"/>
    <col min="15101" max="15103" width="2" style="23" customWidth="1"/>
    <col min="15104" max="15104" width="2.88671875" style="23" customWidth="1"/>
    <col min="15105" max="15105" width="3" style="23" customWidth="1"/>
    <col min="15106" max="15106" width="2.6640625" style="23" customWidth="1"/>
    <col min="15107" max="15107" width="2.44140625" style="23" customWidth="1"/>
    <col min="15108" max="15108" width="3.33203125" style="23" customWidth="1"/>
    <col min="15109" max="15109" width="3.5546875" style="23" customWidth="1"/>
    <col min="15110" max="15110" width="4" style="23" customWidth="1"/>
    <col min="15111" max="15111" width="3.44140625" style="23" customWidth="1"/>
    <col min="15112" max="15112" width="3" style="23" customWidth="1"/>
    <col min="15113" max="15346" width="11.44140625" style="23"/>
    <col min="15347" max="15347" width="44.44140625" style="23" customWidth="1"/>
    <col min="15348" max="15348" width="13" style="23" customWidth="1"/>
    <col min="15349" max="15354" width="2" style="23" customWidth="1"/>
    <col min="15355" max="15355" width="2.44140625" style="23" customWidth="1"/>
    <col min="15356" max="15356" width="3" style="23" customWidth="1"/>
    <col min="15357" max="15359" width="2" style="23" customWidth="1"/>
    <col min="15360" max="15360" width="2.88671875" style="23" customWidth="1"/>
    <col min="15361" max="15361" width="3" style="23" customWidth="1"/>
    <col min="15362" max="15362" width="2.6640625" style="23" customWidth="1"/>
    <col min="15363" max="15363" width="2.44140625" style="23" customWidth="1"/>
    <col min="15364" max="15364" width="3.33203125" style="23" customWidth="1"/>
    <col min="15365" max="15365" width="3.5546875" style="23" customWidth="1"/>
    <col min="15366" max="15366" width="4" style="23" customWidth="1"/>
    <col min="15367" max="15367" width="3.44140625" style="23" customWidth="1"/>
    <col min="15368" max="15368" width="3" style="23" customWidth="1"/>
    <col min="15369" max="15602" width="11.44140625" style="23"/>
    <col min="15603" max="15603" width="44.44140625" style="23" customWidth="1"/>
    <col min="15604" max="15604" width="13" style="23" customWidth="1"/>
    <col min="15605" max="15610" width="2" style="23" customWidth="1"/>
    <col min="15611" max="15611" width="2.44140625" style="23" customWidth="1"/>
    <col min="15612" max="15612" width="3" style="23" customWidth="1"/>
    <col min="15613" max="15615" width="2" style="23" customWidth="1"/>
    <col min="15616" max="15616" width="2.88671875" style="23" customWidth="1"/>
    <col min="15617" max="15617" width="3" style="23" customWidth="1"/>
    <col min="15618" max="15618" width="2.6640625" style="23" customWidth="1"/>
    <col min="15619" max="15619" width="2.44140625" style="23" customWidth="1"/>
    <col min="15620" max="15620" width="3.33203125" style="23" customWidth="1"/>
    <col min="15621" max="15621" width="3.5546875" style="23" customWidth="1"/>
    <col min="15622" max="15622" width="4" style="23" customWidth="1"/>
    <col min="15623" max="15623" width="3.44140625" style="23" customWidth="1"/>
    <col min="15624" max="15624" width="3" style="23" customWidth="1"/>
    <col min="15625" max="15858" width="11.44140625" style="23"/>
    <col min="15859" max="15859" width="44.44140625" style="23" customWidth="1"/>
    <col min="15860" max="15860" width="13" style="23" customWidth="1"/>
    <col min="15861" max="15866" width="2" style="23" customWidth="1"/>
    <col min="15867" max="15867" width="2.44140625" style="23" customWidth="1"/>
    <col min="15868" max="15868" width="3" style="23" customWidth="1"/>
    <col min="15869" max="15871" width="2" style="23" customWidth="1"/>
    <col min="15872" max="15872" width="2.88671875" style="23" customWidth="1"/>
    <col min="15873" max="15873" width="3" style="23" customWidth="1"/>
    <col min="15874" max="15874" width="2.6640625" style="23" customWidth="1"/>
    <col min="15875" max="15875" width="2.44140625" style="23" customWidth="1"/>
    <col min="15876" max="15876" width="3.33203125" style="23" customWidth="1"/>
    <col min="15877" max="15877" width="3.5546875" style="23" customWidth="1"/>
    <col min="15878" max="15878" width="4" style="23" customWidth="1"/>
    <col min="15879" max="15879" width="3.44140625" style="23" customWidth="1"/>
    <col min="15880" max="15880" width="3" style="23" customWidth="1"/>
    <col min="15881" max="16114" width="11.44140625" style="23"/>
    <col min="16115" max="16115" width="44.44140625" style="23" customWidth="1"/>
    <col min="16116" max="16116" width="13" style="23" customWidth="1"/>
    <col min="16117" max="16122" width="2" style="23" customWidth="1"/>
    <col min="16123" max="16123" width="2.44140625" style="23" customWidth="1"/>
    <col min="16124" max="16124" width="3" style="23" customWidth="1"/>
    <col min="16125" max="16127" width="2" style="23" customWidth="1"/>
    <col min="16128" max="16128" width="2.88671875" style="23" customWidth="1"/>
    <col min="16129" max="16129" width="3" style="23" customWidth="1"/>
    <col min="16130" max="16130" width="2.6640625" style="23" customWidth="1"/>
    <col min="16131" max="16131" width="2.44140625" style="23" customWidth="1"/>
    <col min="16132" max="16132" width="3.33203125" style="23" customWidth="1"/>
    <col min="16133" max="16133" width="3.5546875" style="23" customWidth="1"/>
    <col min="16134" max="16134" width="4" style="23" customWidth="1"/>
    <col min="16135" max="16135" width="3.44140625" style="23" customWidth="1"/>
    <col min="16136" max="16136" width="3" style="23" customWidth="1"/>
    <col min="16137" max="16384" width="11.44140625" style="23"/>
  </cols>
  <sheetData>
    <row r="1" spans="1:92" x14ac:dyDescent="0.25">
      <c r="A1" s="474" t="s">
        <v>108</v>
      </c>
      <c r="B1" s="474"/>
      <c r="C1" s="19"/>
      <c r="D1" s="20"/>
      <c r="E1" s="20"/>
      <c r="F1" s="20"/>
      <c r="G1" s="21"/>
      <c r="H1" s="21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</row>
    <row r="2" spans="1:92" x14ac:dyDescent="0.3">
      <c r="A2" s="471" t="s">
        <v>35</v>
      </c>
      <c r="B2" s="471"/>
    </row>
    <row r="3" spans="1:92" x14ac:dyDescent="0.3">
      <c r="A3" s="28"/>
    </row>
    <row r="4" spans="1:92" x14ac:dyDescent="0.3">
      <c r="A4" s="471" t="str">
        <f>+'Cuadro de Costos'!A1:G1</f>
        <v>Proyecto de Habilitación de la ruta Nº9</v>
      </c>
      <c r="B4" s="471"/>
    </row>
    <row r="5" spans="1:92" x14ac:dyDescent="0.3">
      <c r="A5" s="28"/>
    </row>
    <row r="6" spans="1:92" x14ac:dyDescent="0.3">
      <c r="A6" s="475" t="s">
        <v>37</v>
      </c>
      <c r="B6" s="475"/>
    </row>
    <row r="7" spans="1:92" s="22" customFormat="1" x14ac:dyDescent="0.25">
      <c r="A7" s="30"/>
      <c r="B7" s="31"/>
      <c r="C7" s="32"/>
      <c r="D7" s="32"/>
      <c r="E7" s="33"/>
      <c r="F7" s="33"/>
      <c r="G7" s="34" t="s">
        <v>109</v>
      </c>
      <c r="H7" s="34" t="s">
        <v>110</v>
      </c>
      <c r="I7" s="473" t="s">
        <v>111</v>
      </c>
      <c r="J7" s="473"/>
      <c r="K7" s="473"/>
      <c r="L7" s="473"/>
      <c r="M7" s="473"/>
      <c r="N7" s="473"/>
      <c r="O7" s="473"/>
      <c r="P7" s="473"/>
      <c r="Q7" s="473"/>
      <c r="R7" s="473"/>
      <c r="S7" s="473"/>
      <c r="T7" s="473"/>
      <c r="U7" s="473" t="s">
        <v>112</v>
      </c>
      <c r="V7" s="473"/>
      <c r="W7" s="473"/>
      <c r="X7" s="473"/>
      <c r="Y7" s="473"/>
      <c r="Z7" s="473"/>
      <c r="AA7" s="473"/>
      <c r="AB7" s="473"/>
      <c r="AC7" s="473"/>
      <c r="AD7" s="473"/>
      <c r="AE7" s="473"/>
      <c r="AF7" s="473"/>
      <c r="AG7" s="473" t="s">
        <v>113</v>
      </c>
      <c r="AH7" s="473"/>
      <c r="AI7" s="473"/>
      <c r="AJ7" s="473"/>
      <c r="AK7" s="473"/>
      <c r="AL7" s="473"/>
      <c r="AM7" s="473"/>
      <c r="AN7" s="473"/>
      <c r="AO7" s="473"/>
      <c r="AP7" s="473"/>
      <c r="AQ7" s="473"/>
      <c r="AR7" s="473"/>
      <c r="AS7" s="473" t="s">
        <v>114</v>
      </c>
      <c r="AT7" s="473"/>
      <c r="AU7" s="473"/>
      <c r="AV7" s="473"/>
      <c r="AW7" s="473"/>
      <c r="AX7" s="473"/>
      <c r="AY7" s="473"/>
      <c r="AZ7" s="473"/>
      <c r="BA7" s="473"/>
      <c r="BB7" s="473"/>
      <c r="BC7" s="473"/>
      <c r="BD7" s="473"/>
      <c r="BE7" s="473" t="s">
        <v>115</v>
      </c>
      <c r="BF7" s="473"/>
      <c r="BG7" s="473"/>
      <c r="BH7" s="473"/>
      <c r="BI7" s="473"/>
      <c r="BJ7" s="473"/>
      <c r="BK7" s="473"/>
      <c r="BL7" s="473"/>
      <c r="BM7" s="473"/>
      <c r="BN7" s="473"/>
      <c r="BO7" s="473"/>
      <c r="BP7" s="473"/>
      <c r="BQ7" s="473" t="s">
        <v>116</v>
      </c>
      <c r="BR7" s="473"/>
      <c r="BS7" s="473"/>
      <c r="BT7" s="473"/>
      <c r="BU7" s="473"/>
      <c r="BV7" s="473"/>
      <c r="BW7" s="473"/>
      <c r="BX7" s="473"/>
      <c r="BY7" s="473"/>
      <c r="BZ7" s="473"/>
      <c r="CA7" s="473"/>
      <c r="CB7" s="473"/>
      <c r="CC7" s="473" t="s">
        <v>117</v>
      </c>
      <c r="CD7" s="473"/>
      <c r="CE7" s="473"/>
      <c r="CF7" s="473"/>
      <c r="CG7" s="473"/>
      <c r="CH7" s="473"/>
      <c r="CI7" s="473"/>
      <c r="CJ7" s="473"/>
      <c r="CK7" s="473"/>
      <c r="CL7" s="473"/>
      <c r="CM7" s="473"/>
      <c r="CN7" s="473"/>
    </row>
    <row r="8" spans="1:92" x14ac:dyDescent="0.25">
      <c r="A8" s="476"/>
      <c r="B8" s="477" t="s">
        <v>118</v>
      </c>
      <c r="C8" s="477" t="s">
        <v>119</v>
      </c>
      <c r="D8" s="478" t="s">
        <v>120</v>
      </c>
      <c r="E8" s="478" t="s">
        <v>121</v>
      </c>
      <c r="F8" s="478" t="s">
        <v>122</v>
      </c>
      <c r="G8" s="35" t="s">
        <v>123</v>
      </c>
      <c r="H8" s="35"/>
      <c r="I8" s="472" t="s">
        <v>124</v>
      </c>
      <c r="J8" s="472"/>
      <c r="K8" s="472"/>
      <c r="L8" s="472" t="s">
        <v>125</v>
      </c>
      <c r="M8" s="472"/>
      <c r="N8" s="472"/>
      <c r="O8" s="472" t="s">
        <v>126</v>
      </c>
      <c r="P8" s="472"/>
      <c r="Q8" s="472"/>
      <c r="R8" s="472" t="s">
        <v>127</v>
      </c>
      <c r="S8" s="472"/>
      <c r="T8" s="472"/>
      <c r="U8" s="472" t="s">
        <v>124</v>
      </c>
      <c r="V8" s="472"/>
      <c r="W8" s="472"/>
      <c r="X8" s="472" t="s">
        <v>125</v>
      </c>
      <c r="Y8" s="472"/>
      <c r="Z8" s="472"/>
      <c r="AA8" s="472" t="s">
        <v>126</v>
      </c>
      <c r="AB8" s="472"/>
      <c r="AC8" s="472"/>
      <c r="AD8" s="472" t="s">
        <v>127</v>
      </c>
      <c r="AE8" s="472"/>
      <c r="AF8" s="472"/>
      <c r="AG8" s="472" t="s">
        <v>124</v>
      </c>
      <c r="AH8" s="472"/>
      <c r="AI8" s="472"/>
      <c r="AJ8" s="472" t="s">
        <v>125</v>
      </c>
      <c r="AK8" s="472"/>
      <c r="AL8" s="472"/>
      <c r="AM8" s="472" t="s">
        <v>126</v>
      </c>
      <c r="AN8" s="472"/>
      <c r="AO8" s="472"/>
      <c r="AP8" s="472" t="s">
        <v>127</v>
      </c>
      <c r="AQ8" s="472"/>
      <c r="AR8" s="472"/>
      <c r="AS8" s="472" t="s">
        <v>124</v>
      </c>
      <c r="AT8" s="472"/>
      <c r="AU8" s="472"/>
      <c r="AV8" s="472" t="s">
        <v>125</v>
      </c>
      <c r="AW8" s="472"/>
      <c r="AX8" s="472"/>
      <c r="AY8" s="472" t="s">
        <v>126</v>
      </c>
      <c r="AZ8" s="472"/>
      <c r="BA8" s="472"/>
      <c r="BB8" s="472" t="s">
        <v>127</v>
      </c>
      <c r="BC8" s="472"/>
      <c r="BD8" s="472"/>
      <c r="BE8" s="472" t="s">
        <v>124</v>
      </c>
      <c r="BF8" s="472"/>
      <c r="BG8" s="472"/>
      <c r="BH8" s="472" t="s">
        <v>125</v>
      </c>
      <c r="BI8" s="472"/>
      <c r="BJ8" s="472"/>
      <c r="BK8" s="472" t="s">
        <v>126</v>
      </c>
      <c r="BL8" s="472"/>
      <c r="BM8" s="472"/>
      <c r="BN8" s="472" t="s">
        <v>127</v>
      </c>
      <c r="BO8" s="472"/>
      <c r="BP8" s="472"/>
      <c r="BQ8" s="472" t="s">
        <v>124</v>
      </c>
      <c r="BR8" s="472"/>
      <c r="BS8" s="472"/>
      <c r="BT8" s="472" t="s">
        <v>125</v>
      </c>
      <c r="BU8" s="472"/>
      <c r="BV8" s="472"/>
      <c r="BW8" s="472" t="s">
        <v>126</v>
      </c>
      <c r="BX8" s="472"/>
      <c r="BY8" s="472"/>
      <c r="BZ8" s="472" t="s">
        <v>127</v>
      </c>
      <c r="CA8" s="472"/>
      <c r="CB8" s="472"/>
      <c r="CC8" s="472" t="s">
        <v>124</v>
      </c>
      <c r="CD8" s="472"/>
      <c r="CE8" s="472"/>
      <c r="CF8" s="472" t="s">
        <v>125</v>
      </c>
      <c r="CG8" s="472"/>
      <c r="CH8" s="472"/>
      <c r="CI8" s="472" t="s">
        <v>126</v>
      </c>
      <c r="CJ8" s="472"/>
      <c r="CK8" s="472"/>
      <c r="CL8" s="472" t="s">
        <v>127</v>
      </c>
      <c r="CM8" s="472"/>
      <c r="CN8" s="472"/>
    </row>
    <row r="9" spans="1:92" x14ac:dyDescent="0.25">
      <c r="A9" s="476"/>
      <c r="B9" s="477"/>
      <c r="C9" s="477"/>
      <c r="D9" s="478"/>
      <c r="E9" s="478"/>
      <c r="F9" s="478"/>
      <c r="G9" s="35"/>
      <c r="H9" s="35"/>
      <c r="I9" s="425">
        <v>1</v>
      </c>
      <c r="J9" s="425">
        <v>2</v>
      </c>
      <c r="K9" s="425">
        <v>3</v>
      </c>
      <c r="L9" s="425">
        <v>4</v>
      </c>
      <c r="M9" s="425">
        <v>5</v>
      </c>
      <c r="N9" s="425">
        <v>6</v>
      </c>
      <c r="O9" s="425">
        <v>7</v>
      </c>
      <c r="P9" s="425">
        <v>8</v>
      </c>
      <c r="Q9" s="425">
        <v>9</v>
      </c>
      <c r="R9" s="425">
        <v>10</v>
      </c>
      <c r="S9" s="425">
        <v>11</v>
      </c>
      <c r="T9" s="425">
        <v>12</v>
      </c>
      <c r="U9" s="425">
        <v>13</v>
      </c>
      <c r="V9" s="425">
        <v>14</v>
      </c>
      <c r="W9" s="425">
        <v>15</v>
      </c>
      <c r="X9" s="425">
        <v>16</v>
      </c>
      <c r="Y9" s="425">
        <v>17</v>
      </c>
      <c r="Z9" s="425">
        <v>18</v>
      </c>
      <c r="AA9" s="425">
        <v>19</v>
      </c>
      <c r="AB9" s="425">
        <v>20</v>
      </c>
      <c r="AC9" s="425">
        <v>21</v>
      </c>
      <c r="AD9" s="425">
        <v>22</v>
      </c>
      <c r="AE9" s="425">
        <v>23</v>
      </c>
      <c r="AF9" s="425">
        <v>24</v>
      </c>
      <c r="AG9" s="425">
        <v>25</v>
      </c>
      <c r="AH9" s="425">
        <v>26</v>
      </c>
      <c r="AI9" s="425">
        <v>27</v>
      </c>
      <c r="AJ9" s="425">
        <v>28</v>
      </c>
      <c r="AK9" s="425">
        <v>29</v>
      </c>
      <c r="AL9" s="425">
        <v>30</v>
      </c>
      <c r="AM9" s="425">
        <v>31</v>
      </c>
      <c r="AN9" s="425">
        <v>32</v>
      </c>
      <c r="AO9" s="425">
        <v>33</v>
      </c>
      <c r="AP9" s="425">
        <v>34</v>
      </c>
      <c r="AQ9" s="425">
        <v>35</v>
      </c>
      <c r="AR9" s="425">
        <v>36</v>
      </c>
      <c r="AS9" s="425">
        <v>37</v>
      </c>
      <c r="AT9" s="425">
        <v>38</v>
      </c>
      <c r="AU9" s="425">
        <v>39</v>
      </c>
      <c r="AV9" s="425">
        <v>40</v>
      </c>
      <c r="AW9" s="425">
        <v>41</v>
      </c>
      <c r="AX9" s="425">
        <v>42</v>
      </c>
      <c r="AY9" s="425">
        <v>43</v>
      </c>
      <c r="AZ9" s="425">
        <v>44</v>
      </c>
      <c r="BA9" s="425">
        <v>45</v>
      </c>
      <c r="BB9" s="425">
        <v>46</v>
      </c>
      <c r="BC9" s="425">
        <v>47</v>
      </c>
      <c r="BD9" s="425">
        <v>48</v>
      </c>
      <c r="BE9" s="425">
        <v>49</v>
      </c>
      <c r="BF9" s="425">
        <v>50</v>
      </c>
      <c r="BG9" s="425">
        <v>51</v>
      </c>
      <c r="BH9" s="425">
        <v>52</v>
      </c>
      <c r="BI9" s="425">
        <v>53</v>
      </c>
      <c r="BJ9" s="425">
        <v>54</v>
      </c>
      <c r="BK9" s="425">
        <v>55</v>
      </c>
      <c r="BL9" s="425">
        <v>56</v>
      </c>
      <c r="BM9" s="425">
        <v>57</v>
      </c>
      <c r="BN9" s="425">
        <v>58</v>
      </c>
      <c r="BO9" s="425">
        <v>59</v>
      </c>
      <c r="BP9" s="425">
        <v>60</v>
      </c>
      <c r="BQ9" s="425">
        <v>61</v>
      </c>
      <c r="BR9" s="425">
        <v>62</v>
      </c>
      <c r="BS9" s="425">
        <v>63</v>
      </c>
      <c r="BT9" s="425">
        <v>64</v>
      </c>
      <c r="BU9" s="425">
        <v>65</v>
      </c>
      <c r="BV9" s="425">
        <v>66</v>
      </c>
      <c r="BW9" s="425">
        <v>67</v>
      </c>
      <c r="BX9" s="425">
        <v>68</v>
      </c>
      <c r="BY9" s="425">
        <v>69</v>
      </c>
      <c r="BZ9" s="425">
        <v>70</v>
      </c>
      <c r="CA9" s="425">
        <v>71</v>
      </c>
      <c r="CB9" s="425">
        <v>72</v>
      </c>
      <c r="CC9" s="425">
        <v>73</v>
      </c>
      <c r="CD9" s="425">
        <v>74</v>
      </c>
      <c r="CE9" s="425">
        <v>75</v>
      </c>
      <c r="CF9" s="425">
        <v>76</v>
      </c>
      <c r="CG9" s="425">
        <v>77</v>
      </c>
      <c r="CH9" s="425">
        <v>78</v>
      </c>
      <c r="CI9" s="425">
        <v>79</v>
      </c>
      <c r="CJ9" s="425">
        <v>80</v>
      </c>
      <c r="CK9" s="425">
        <v>81</v>
      </c>
      <c r="CL9" s="425">
        <v>82</v>
      </c>
      <c r="CM9" s="425">
        <v>83</v>
      </c>
      <c r="CN9" s="425">
        <v>84</v>
      </c>
    </row>
    <row r="10" spans="1:92" hidden="1" x14ac:dyDescent="0.25">
      <c r="A10" s="36"/>
      <c r="B10" s="37" t="s">
        <v>128</v>
      </c>
      <c r="C10" s="38"/>
      <c r="D10" s="39"/>
      <c r="E10" s="40"/>
      <c r="F10" s="40"/>
      <c r="G10" s="41"/>
      <c r="H10" s="41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3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</row>
    <row r="11" spans="1:92" ht="13.95" hidden="1" customHeight="1" x14ac:dyDescent="0.25">
      <c r="A11" s="44" t="s">
        <v>129</v>
      </c>
      <c r="B11" s="45" t="s">
        <v>130</v>
      </c>
      <c r="C11" s="46"/>
      <c r="D11" s="47"/>
      <c r="E11" s="48"/>
      <c r="F11" s="48"/>
      <c r="G11" s="49"/>
      <c r="H11" s="49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43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</row>
    <row r="12" spans="1:92" ht="13.95" hidden="1" customHeight="1" x14ac:dyDescent="0.25">
      <c r="A12" s="51" t="s">
        <v>131</v>
      </c>
      <c r="B12" s="52" t="s">
        <v>132</v>
      </c>
      <c r="C12" s="53"/>
      <c r="D12" s="54"/>
      <c r="E12" s="55"/>
      <c r="F12" s="55"/>
      <c r="G12" s="56"/>
      <c r="H12" s="56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43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</row>
    <row r="13" spans="1:92" ht="13.95" hidden="1" customHeight="1" x14ac:dyDescent="0.25">
      <c r="A13" s="51" t="s">
        <v>133</v>
      </c>
      <c r="B13" s="52" t="s">
        <v>134</v>
      </c>
      <c r="C13" s="53"/>
      <c r="D13" s="54"/>
      <c r="E13" s="55"/>
      <c r="F13" s="55"/>
      <c r="G13" s="56"/>
      <c r="H13" s="56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43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</row>
    <row r="14" spans="1:92" ht="13.95" hidden="1" customHeight="1" x14ac:dyDescent="0.25">
      <c r="A14" s="51" t="s">
        <v>135</v>
      </c>
      <c r="B14" s="52" t="s">
        <v>136</v>
      </c>
      <c r="C14" s="53"/>
      <c r="D14" s="54"/>
      <c r="E14" s="55"/>
      <c r="F14" s="55"/>
      <c r="G14" s="56"/>
      <c r="H14" s="56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43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</row>
    <row r="15" spans="1:92" ht="13.95" hidden="1" customHeight="1" x14ac:dyDescent="0.25">
      <c r="A15" s="51" t="s">
        <v>137</v>
      </c>
      <c r="B15" s="52" t="s">
        <v>138</v>
      </c>
      <c r="C15" s="53"/>
      <c r="D15" s="54"/>
      <c r="E15" s="55"/>
      <c r="F15" s="55"/>
      <c r="G15" s="56"/>
      <c r="H15" s="56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43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</row>
    <row r="16" spans="1:92" ht="13.95" hidden="1" customHeight="1" x14ac:dyDescent="0.25">
      <c r="A16" s="51" t="s">
        <v>139</v>
      </c>
      <c r="B16" s="52" t="s">
        <v>140</v>
      </c>
      <c r="C16" s="53"/>
      <c r="D16" s="54"/>
      <c r="E16" s="55"/>
      <c r="F16" s="55"/>
      <c r="G16" s="56"/>
      <c r="H16" s="56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43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</row>
    <row r="17" spans="1:92" ht="13.95" hidden="1" customHeight="1" x14ac:dyDescent="0.25">
      <c r="A17" s="51" t="s">
        <v>141</v>
      </c>
      <c r="B17" s="52" t="s">
        <v>142</v>
      </c>
      <c r="C17" s="53"/>
      <c r="D17" s="54"/>
      <c r="E17" s="55"/>
      <c r="F17" s="55"/>
      <c r="G17" s="56"/>
      <c r="H17" s="56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43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</row>
    <row r="18" spans="1:92" ht="13.95" hidden="1" customHeight="1" x14ac:dyDescent="0.25">
      <c r="A18" s="44"/>
      <c r="B18" s="45" t="s">
        <v>143</v>
      </c>
      <c r="C18" s="46"/>
      <c r="D18" s="47"/>
      <c r="E18" s="48"/>
      <c r="F18" s="48"/>
      <c r="G18" s="49"/>
      <c r="H18" s="49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43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</row>
    <row r="19" spans="1:92" ht="13.95" hidden="1" customHeight="1" x14ac:dyDescent="0.25">
      <c r="A19" s="51" t="s">
        <v>144</v>
      </c>
      <c r="B19" s="52" t="s">
        <v>145</v>
      </c>
      <c r="C19" s="53"/>
      <c r="D19" s="54"/>
      <c r="E19" s="55"/>
      <c r="F19" s="55"/>
      <c r="G19" s="56"/>
      <c r="H19" s="56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43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</row>
    <row r="20" spans="1:92" ht="13.95" hidden="1" customHeight="1" x14ac:dyDescent="0.25">
      <c r="A20" s="51" t="s">
        <v>146</v>
      </c>
      <c r="B20" s="52" t="s">
        <v>147</v>
      </c>
      <c r="C20" s="53"/>
      <c r="D20" s="54"/>
      <c r="E20" s="55"/>
      <c r="F20" s="55"/>
      <c r="G20" s="56"/>
      <c r="H20" s="56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43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</row>
    <row r="21" spans="1:92" ht="13.95" hidden="1" customHeight="1" x14ac:dyDescent="0.25">
      <c r="A21" s="51" t="s">
        <v>148</v>
      </c>
      <c r="B21" s="52" t="s">
        <v>149</v>
      </c>
      <c r="C21" s="53"/>
      <c r="D21" s="54"/>
      <c r="E21" s="55"/>
      <c r="F21" s="55"/>
      <c r="G21" s="56"/>
      <c r="H21" s="56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43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</row>
    <row r="22" spans="1:92" ht="13.95" hidden="1" customHeight="1" x14ac:dyDescent="0.25">
      <c r="A22" s="51" t="s">
        <v>150</v>
      </c>
      <c r="B22" s="52" t="s">
        <v>151</v>
      </c>
      <c r="C22" s="53"/>
      <c r="D22" s="54"/>
      <c r="E22" s="55"/>
      <c r="F22" s="55"/>
      <c r="G22" s="56"/>
      <c r="H22" s="56"/>
      <c r="I22" s="50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</row>
    <row r="23" spans="1:92" ht="13.95" hidden="1" customHeight="1" x14ac:dyDescent="0.25">
      <c r="A23" s="51" t="s">
        <v>152</v>
      </c>
      <c r="B23" s="52" t="s">
        <v>153</v>
      </c>
      <c r="C23" s="53"/>
      <c r="D23" s="54"/>
      <c r="E23" s="55"/>
      <c r="F23" s="55"/>
      <c r="G23" s="56"/>
      <c r="H23" s="56"/>
      <c r="I23" s="60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</row>
    <row r="24" spans="1:92" s="69" customFormat="1" x14ac:dyDescent="0.25">
      <c r="A24" s="62"/>
      <c r="B24" s="63" t="s">
        <v>154</v>
      </c>
      <c r="C24" s="64"/>
      <c r="D24" s="65"/>
      <c r="E24" s="65"/>
      <c r="F24" s="65"/>
      <c r="G24" s="66"/>
      <c r="H24" s="66"/>
      <c r="I24" s="67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</row>
    <row r="25" spans="1:92" s="69" customFormat="1" x14ac:dyDescent="0.25">
      <c r="A25" s="70">
        <v>1</v>
      </c>
      <c r="B25" s="71" t="str">
        <f>+A4</f>
        <v>Proyecto de Habilitación de la ruta Nº9</v>
      </c>
      <c r="C25" s="72"/>
      <c r="D25" s="73"/>
      <c r="E25" s="73"/>
      <c r="F25" s="73"/>
      <c r="G25" s="74">
        <f>+'CC D'!I8</f>
        <v>560000000</v>
      </c>
      <c r="H25" s="74">
        <f>'[2]4. CC D'!G8</f>
        <v>0</v>
      </c>
      <c r="I25" s="67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</row>
    <row r="26" spans="1:92" s="69" customFormat="1" ht="20.25" customHeight="1" x14ac:dyDescent="0.25">
      <c r="A26" s="94">
        <f>+'CC D'!A9</f>
        <v>1</v>
      </c>
      <c r="B26" s="75" t="str">
        <f>+'Cuadro de Costos'!B8</f>
        <v>Componente Unico Obras civiles</v>
      </c>
      <c r="C26" s="76"/>
      <c r="D26" s="77"/>
      <c r="E26" s="77"/>
      <c r="F26" s="77"/>
      <c r="G26" s="78">
        <f>+'CC D'!I9</f>
        <v>549450000</v>
      </c>
      <c r="H26" s="78">
        <f>'[2]4. CC D'!G9</f>
        <v>0</v>
      </c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</row>
    <row r="27" spans="1:92" s="69" customFormat="1" x14ac:dyDescent="0.25">
      <c r="A27" s="91">
        <f>+'CC D'!A10</f>
        <v>1.1000000000000001</v>
      </c>
      <c r="B27" s="79" t="str">
        <f>+'CC D'!B10</f>
        <v>Obras de Rehabilitación y Mantenimiento</v>
      </c>
      <c r="C27" s="80"/>
      <c r="D27" s="81"/>
      <c r="E27" s="81"/>
      <c r="F27" s="81"/>
      <c r="G27" s="82">
        <f>+'CC D'!I10</f>
        <v>493000000</v>
      </c>
      <c r="H27" s="82" t="str">
        <f>+'CC D'!G10</f>
        <v>ECATEF/DV</v>
      </c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</row>
    <row r="28" spans="1:92" s="69" customFormat="1" x14ac:dyDescent="0.25">
      <c r="A28" s="83" t="str">
        <f>+'CC D'!A11</f>
        <v>1.1.1</v>
      </c>
      <c r="B28" s="84" t="str">
        <f>+'CC D'!B11</f>
        <v>Contratación de Firma Constructora para la rehabilitación y mantenimiento del tramo 1: km 50 - km 173 (123 Km) - Lote 1</v>
      </c>
      <c r="C28" s="85" t="str">
        <f>+'CC D'!H11</f>
        <v>72 meses</v>
      </c>
      <c r="D28" s="85" t="s">
        <v>155</v>
      </c>
      <c r="E28" s="85" t="s">
        <v>156</v>
      </c>
      <c r="F28" s="85" t="s">
        <v>157</v>
      </c>
      <c r="G28" s="86">
        <f>+'CC D'!I11</f>
        <v>104000000</v>
      </c>
      <c r="H28" s="86"/>
      <c r="I28" s="86"/>
      <c r="J28" s="86"/>
      <c r="K28" s="86"/>
      <c r="M28" s="87"/>
      <c r="N28" s="87"/>
      <c r="O28" s="87"/>
      <c r="P28" s="88"/>
      <c r="Q28" s="88"/>
      <c r="R28" s="88"/>
      <c r="S28" s="88"/>
      <c r="T28" s="88"/>
      <c r="U28" s="89">
        <v>1</v>
      </c>
      <c r="V28" s="89">
        <v>2</v>
      </c>
      <c r="W28" s="89">
        <v>3</v>
      </c>
      <c r="X28" s="89">
        <v>4</v>
      </c>
      <c r="Y28" s="89">
        <v>5</v>
      </c>
      <c r="Z28" s="89">
        <v>6</v>
      </c>
      <c r="AA28" s="89">
        <v>7</v>
      </c>
      <c r="AB28" s="89">
        <v>8</v>
      </c>
      <c r="AC28" s="89">
        <v>9</v>
      </c>
      <c r="AD28" s="89">
        <v>10</v>
      </c>
      <c r="AE28" s="89">
        <v>11</v>
      </c>
      <c r="AF28" s="89">
        <v>12</v>
      </c>
      <c r="AG28" s="89">
        <v>13</v>
      </c>
      <c r="AH28" s="89">
        <v>14</v>
      </c>
      <c r="AI28" s="89">
        <v>15</v>
      </c>
      <c r="AJ28" s="89">
        <v>16</v>
      </c>
      <c r="AK28" s="89">
        <v>17</v>
      </c>
      <c r="AL28" s="89">
        <v>18</v>
      </c>
      <c r="AM28" s="89">
        <v>19</v>
      </c>
      <c r="AN28" s="89">
        <v>20</v>
      </c>
      <c r="AO28" s="89">
        <v>21</v>
      </c>
      <c r="AP28" s="89">
        <v>22</v>
      </c>
      <c r="AQ28" s="89">
        <v>23</v>
      </c>
      <c r="AR28" s="89">
        <v>24</v>
      </c>
      <c r="AS28" s="397">
        <v>25</v>
      </c>
      <c r="AT28" s="397">
        <v>26</v>
      </c>
      <c r="AU28" s="397">
        <v>27</v>
      </c>
      <c r="AV28" s="397">
        <v>28</v>
      </c>
      <c r="AW28" s="397">
        <v>29</v>
      </c>
      <c r="AX28" s="397">
        <v>30</v>
      </c>
      <c r="AY28" s="397">
        <v>31</v>
      </c>
      <c r="AZ28" s="397">
        <v>32</v>
      </c>
      <c r="BA28" s="397">
        <v>33</v>
      </c>
      <c r="BB28" s="397">
        <v>34</v>
      </c>
      <c r="BC28" s="397">
        <v>35</v>
      </c>
      <c r="BD28" s="397">
        <v>36</v>
      </c>
      <c r="BE28" s="397">
        <v>37</v>
      </c>
      <c r="BF28" s="397">
        <v>38</v>
      </c>
      <c r="BG28" s="397">
        <v>39</v>
      </c>
      <c r="BH28" s="397">
        <v>40</v>
      </c>
      <c r="BI28" s="397">
        <v>41</v>
      </c>
      <c r="BJ28" s="397">
        <v>42</v>
      </c>
      <c r="BK28" s="397">
        <v>43</v>
      </c>
      <c r="BL28" s="397">
        <v>44</v>
      </c>
      <c r="BM28" s="397">
        <v>45</v>
      </c>
      <c r="BN28" s="397">
        <v>46</v>
      </c>
      <c r="BO28" s="397">
        <v>47</v>
      </c>
      <c r="BP28" s="397">
        <v>48</v>
      </c>
      <c r="BQ28" s="397">
        <v>49</v>
      </c>
      <c r="BR28" s="397">
        <v>50</v>
      </c>
      <c r="BS28" s="397">
        <v>51</v>
      </c>
      <c r="BT28" s="397">
        <v>52</v>
      </c>
      <c r="BU28" s="397">
        <v>53</v>
      </c>
      <c r="BV28" s="397">
        <v>54</v>
      </c>
      <c r="BW28" s="397">
        <v>55</v>
      </c>
      <c r="BX28" s="397">
        <v>56</v>
      </c>
      <c r="BY28" s="397">
        <v>57</v>
      </c>
      <c r="BZ28" s="397">
        <v>58</v>
      </c>
      <c r="CA28" s="397">
        <v>59</v>
      </c>
      <c r="CB28" s="397">
        <v>60</v>
      </c>
      <c r="CC28" s="397">
        <v>61</v>
      </c>
      <c r="CD28" s="397">
        <v>62</v>
      </c>
      <c r="CE28" s="397">
        <v>63</v>
      </c>
      <c r="CF28" s="397">
        <v>64</v>
      </c>
      <c r="CG28" s="397">
        <v>65</v>
      </c>
      <c r="CH28" s="397">
        <v>66</v>
      </c>
      <c r="CI28" s="397">
        <v>67</v>
      </c>
      <c r="CJ28" s="397">
        <v>68</v>
      </c>
      <c r="CK28" s="397">
        <v>69</v>
      </c>
      <c r="CL28" s="397">
        <v>70</v>
      </c>
      <c r="CM28" s="397">
        <v>71</v>
      </c>
      <c r="CN28" s="397">
        <v>72</v>
      </c>
    </row>
    <row r="29" spans="1:92" s="69" customFormat="1" x14ac:dyDescent="0.25">
      <c r="A29" s="83" t="str">
        <f>+'CC D'!A12</f>
        <v>1.1.2</v>
      </c>
      <c r="B29" s="84" t="str">
        <f>+'CC D'!B12</f>
        <v>Contratación de Firma Constructora para la rehabilitación y mantenimiento del tramo 2: km 173 - km 326 (153 Km) - Lote 2</v>
      </c>
      <c r="C29" s="85" t="str">
        <f>+'CC D'!H12</f>
        <v>72 meses</v>
      </c>
      <c r="D29" s="85" t="s">
        <v>155</v>
      </c>
      <c r="E29" s="85" t="s">
        <v>156</v>
      </c>
      <c r="F29" s="85" t="s">
        <v>157</v>
      </c>
      <c r="G29" s="86">
        <f>+'CC D'!I12</f>
        <v>142000000</v>
      </c>
      <c r="H29" s="86"/>
      <c r="I29" s="86"/>
      <c r="J29" s="86"/>
      <c r="K29" s="86"/>
      <c r="L29" s="86"/>
      <c r="M29" s="87"/>
      <c r="N29" s="87"/>
      <c r="O29" s="87"/>
      <c r="P29" s="88"/>
      <c r="Q29" s="88"/>
      <c r="R29" s="88"/>
      <c r="S29" s="88"/>
      <c r="T29" s="88"/>
      <c r="U29" s="89">
        <v>1</v>
      </c>
      <c r="V29" s="89">
        <v>2</v>
      </c>
      <c r="W29" s="89">
        <v>3</v>
      </c>
      <c r="X29" s="89">
        <v>4</v>
      </c>
      <c r="Y29" s="89">
        <v>5</v>
      </c>
      <c r="Z29" s="89">
        <v>6</v>
      </c>
      <c r="AA29" s="89">
        <v>7</v>
      </c>
      <c r="AB29" s="89">
        <v>8</v>
      </c>
      <c r="AC29" s="89">
        <v>9</v>
      </c>
      <c r="AD29" s="89">
        <v>10</v>
      </c>
      <c r="AE29" s="89">
        <v>11</v>
      </c>
      <c r="AF29" s="89">
        <v>12</v>
      </c>
      <c r="AG29" s="89">
        <v>13</v>
      </c>
      <c r="AH29" s="89">
        <v>14</v>
      </c>
      <c r="AI29" s="89">
        <v>15</v>
      </c>
      <c r="AJ29" s="89">
        <v>16</v>
      </c>
      <c r="AK29" s="89">
        <v>17</v>
      </c>
      <c r="AL29" s="89">
        <v>18</v>
      </c>
      <c r="AM29" s="89">
        <v>19</v>
      </c>
      <c r="AN29" s="89">
        <v>20</v>
      </c>
      <c r="AO29" s="89">
        <v>21</v>
      </c>
      <c r="AP29" s="89">
        <v>22</v>
      </c>
      <c r="AQ29" s="89">
        <v>23</v>
      </c>
      <c r="AR29" s="89">
        <v>24</v>
      </c>
      <c r="AS29" s="397">
        <v>25</v>
      </c>
      <c r="AT29" s="397">
        <v>26</v>
      </c>
      <c r="AU29" s="397">
        <v>27</v>
      </c>
      <c r="AV29" s="397">
        <v>28</v>
      </c>
      <c r="AW29" s="397">
        <v>29</v>
      </c>
      <c r="AX29" s="397">
        <v>30</v>
      </c>
      <c r="AY29" s="397">
        <v>31</v>
      </c>
      <c r="AZ29" s="397">
        <v>32</v>
      </c>
      <c r="BA29" s="397">
        <v>33</v>
      </c>
      <c r="BB29" s="397">
        <v>34</v>
      </c>
      <c r="BC29" s="397">
        <v>35</v>
      </c>
      <c r="BD29" s="397">
        <v>36</v>
      </c>
      <c r="BE29" s="397">
        <v>37</v>
      </c>
      <c r="BF29" s="397">
        <v>38</v>
      </c>
      <c r="BG29" s="397">
        <v>39</v>
      </c>
      <c r="BH29" s="397">
        <v>40</v>
      </c>
      <c r="BI29" s="397">
        <v>41</v>
      </c>
      <c r="BJ29" s="397">
        <v>42</v>
      </c>
      <c r="BK29" s="397">
        <v>43</v>
      </c>
      <c r="BL29" s="397">
        <v>44</v>
      </c>
      <c r="BM29" s="397">
        <v>45</v>
      </c>
      <c r="BN29" s="397">
        <v>46</v>
      </c>
      <c r="BO29" s="397">
        <v>47</v>
      </c>
      <c r="BP29" s="397">
        <v>48</v>
      </c>
      <c r="BQ29" s="397">
        <v>49</v>
      </c>
      <c r="BR29" s="397">
        <v>50</v>
      </c>
      <c r="BS29" s="397">
        <v>51</v>
      </c>
      <c r="BT29" s="397">
        <v>52</v>
      </c>
      <c r="BU29" s="397">
        <v>53</v>
      </c>
      <c r="BV29" s="397">
        <v>54</v>
      </c>
      <c r="BW29" s="397">
        <v>55</v>
      </c>
      <c r="BX29" s="397">
        <v>56</v>
      </c>
      <c r="BY29" s="397">
        <v>57</v>
      </c>
      <c r="BZ29" s="397">
        <v>58</v>
      </c>
      <c r="CA29" s="397">
        <v>59</v>
      </c>
      <c r="CB29" s="397">
        <v>60</v>
      </c>
      <c r="CC29" s="397">
        <v>61</v>
      </c>
      <c r="CD29" s="397">
        <v>62</v>
      </c>
      <c r="CE29" s="397">
        <v>63</v>
      </c>
      <c r="CF29" s="397">
        <v>64</v>
      </c>
      <c r="CG29" s="397">
        <v>65</v>
      </c>
      <c r="CH29" s="397">
        <v>66</v>
      </c>
      <c r="CI29" s="397">
        <v>67</v>
      </c>
      <c r="CJ29" s="397">
        <v>68</v>
      </c>
      <c r="CK29" s="397">
        <v>69</v>
      </c>
      <c r="CL29" s="397">
        <v>70</v>
      </c>
      <c r="CM29" s="397">
        <v>71</v>
      </c>
      <c r="CN29" s="397">
        <v>72</v>
      </c>
    </row>
    <row r="30" spans="1:92" s="69" customFormat="1" x14ac:dyDescent="0.25">
      <c r="A30" s="83" t="str">
        <f>+'CC D'!A13</f>
        <v>1.1.3</v>
      </c>
      <c r="B30" s="84" t="str">
        <f>+'CC D'!B13</f>
        <v>Contratación de Firma Constructora para la rehabilitación y mantenimiento del tramo 3: km 326 - km 450 (124 Km) - Lote 3</v>
      </c>
      <c r="C30" s="85" t="str">
        <f>+'CC D'!H13</f>
        <v>72 meses</v>
      </c>
      <c r="D30" s="85" t="s">
        <v>155</v>
      </c>
      <c r="E30" s="85" t="s">
        <v>156</v>
      </c>
      <c r="F30" s="85" t="s">
        <v>157</v>
      </c>
      <c r="G30" s="86">
        <f>+'CC D'!I13</f>
        <v>131000000</v>
      </c>
      <c r="H30" s="86"/>
      <c r="I30" s="86"/>
      <c r="J30" s="86"/>
      <c r="K30" s="86"/>
      <c r="L30" s="86"/>
      <c r="M30" s="87"/>
      <c r="N30" s="87"/>
      <c r="O30" s="87"/>
      <c r="P30" s="88"/>
      <c r="Q30" s="88"/>
      <c r="R30" s="88"/>
      <c r="S30" s="88"/>
      <c r="T30" s="88"/>
      <c r="U30" s="89">
        <v>1</v>
      </c>
      <c r="V30" s="89">
        <v>2</v>
      </c>
      <c r="W30" s="89">
        <v>3</v>
      </c>
      <c r="X30" s="89">
        <v>4</v>
      </c>
      <c r="Y30" s="89">
        <v>5</v>
      </c>
      <c r="Z30" s="89">
        <v>6</v>
      </c>
      <c r="AA30" s="89">
        <v>7</v>
      </c>
      <c r="AB30" s="89">
        <v>8</v>
      </c>
      <c r="AC30" s="89">
        <v>9</v>
      </c>
      <c r="AD30" s="89">
        <v>10</v>
      </c>
      <c r="AE30" s="89">
        <v>11</v>
      </c>
      <c r="AF30" s="89">
        <v>12</v>
      </c>
      <c r="AG30" s="89">
        <v>13</v>
      </c>
      <c r="AH30" s="89">
        <v>14</v>
      </c>
      <c r="AI30" s="89">
        <v>15</v>
      </c>
      <c r="AJ30" s="89">
        <v>16</v>
      </c>
      <c r="AK30" s="89">
        <v>17</v>
      </c>
      <c r="AL30" s="89">
        <v>18</v>
      </c>
      <c r="AM30" s="89">
        <v>19</v>
      </c>
      <c r="AN30" s="89">
        <v>20</v>
      </c>
      <c r="AO30" s="89">
        <v>21</v>
      </c>
      <c r="AP30" s="89">
        <v>22</v>
      </c>
      <c r="AQ30" s="89">
        <v>23</v>
      </c>
      <c r="AR30" s="89">
        <v>24</v>
      </c>
      <c r="AS30" s="397">
        <v>25</v>
      </c>
      <c r="AT30" s="397">
        <v>26</v>
      </c>
      <c r="AU30" s="397">
        <v>27</v>
      </c>
      <c r="AV30" s="397">
        <v>28</v>
      </c>
      <c r="AW30" s="397">
        <v>29</v>
      </c>
      <c r="AX30" s="397">
        <v>30</v>
      </c>
      <c r="AY30" s="397">
        <v>31</v>
      </c>
      <c r="AZ30" s="397">
        <v>32</v>
      </c>
      <c r="BA30" s="397">
        <v>33</v>
      </c>
      <c r="BB30" s="397">
        <v>34</v>
      </c>
      <c r="BC30" s="397">
        <v>35</v>
      </c>
      <c r="BD30" s="397">
        <v>36</v>
      </c>
      <c r="BE30" s="397">
        <v>37</v>
      </c>
      <c r="BF30" s="397">
        <v>38</v>
      </c>
      <c r="BG30" s="397">
        <v>39</v>
      </c>
      <c r="BH30" s="397">
        <v>40</v>
      </c>
      <c r="BI30" s="397">
        <v>41</v>
      </c>
      <c r="BJ30" s="397">
        <v>42</v>
      </c>
      <c r="BK30" s="397">
        <v>43</v>
      </c>
      <c r="BL30" s="397">
        <v>44</v>
      </c>
      <c r="BM30" s="397">
        <v>45</v>
      </c>
      <c r="BN30" s="397">
        <v>46</v>
      </c>
      <c r="BO30" s="397">
        <v>47</v>
      </c>
      <c r="BP30" s="397">
        <v>48</v>
      </c>
      <c r="BQ30" s="397">
        <v>49</v>
      </c>
      <c r="BR30" s="397">
        <v>50</v>
      </c>
      <c r="BS30" s="397">
        <v>51</v>
      </c>
      <c r="BT30" s="397">
        <v>52</v>
      </c>
      <c r="BU30" s="397">
        <v>53</v>
      </c>
      <c r="BV30" s="397">
        <v>54</v>
      </c>
      <c r="BW30" s="397">
        <v>55</v>
      </c>
      <c r="BX30" s="397">
        <v>56</v>
      </c>
      <c r="BY30" s="397">
        <v>57</v>
      </c>
      <c r="BZ30" s="397">
        <v>58</v>
      </c>
      <c r="CA30" s="397">
        <v>59</v>
      </c>
      <c r="CB30" s="397">
        <v>60</v>
      </c>
      <c r="CC30" s="397">
        <v>61</v>
      </c>
      <c r="CD30" s="397">
        <v>62</v>
      </c>
      <c r="CE30" s="397">
        <v>63</v>
      </c>
      <c r="CF30" s="397">
        <v>64</v>
      </c>
      <c r="CG30" s="397">
        <v>65</v>
      </c>
      <c r="CH30" s="397">
        <v>66</v>
      </c>
      <c r="CI30" s="397">
        <v>67</v>
      </c>
      <c r="CJ30" s="397">
        <v>68</v>
      </c>
      <c r="CK30" s="397">
        <v>69</v>
      </c>
      <c r="CL30" s="397">
        <v>70</v>
      </c>
      <c r="CM30" s="397">
        <v>71</v>
      </c>
      <c r="CN30" s="397">
        <v>72</v>
      </c>
    </row>
    <row r="31" spans="1:92" s="69" customFormat="1" ht="27.6" x14ac:dyDescent="0.25">
      <c r="A31" s="83" t="str">
        <f>+'CC D'!A14</f>
        <v>1.1.4</v>
      </c>
      <c r="B31" s="84" t="str">
        <f>+'CC D'!B14</f>
        <v>Contratación de Firma Constructora para la rehabilitación y mantenimiento del tramo 4: km 450 - km 525, accesos y linea 1 - Lote 4</v>
      </c>
      <c r="C31" s="85" t="str">
        <f>+'CC D'!H14</f>
        <v>72 meses</v>
      </c>
      <c r="D31" s="85" t="s">
        <v>155</v>
      </c>
      <c r="E31" s="85" t="s">
        <v>156</v>
      </c>
      <c r="F31" s="85" t="s">
        <v>157</v>
      </c>
      <c r="G31" s="86">
        <f>+'CC D'!I14</f>
        <v>116000000</v>
      </c>
      <c r="H31" s="86"/>
      <c r="I31" s="86"/>
      <c r="J31" s="86"/>
      <c r="K31" s="86"/>
      <c r="L31" s="86"/>
      <c r="M31" s="87"/>
      <c r="N31" s="87"/>
      <c r="O31" s="87"/>
      <c r="P31" s="88"/>
      <c r="Q31" s="88"/>
      <c r="R31" s="88"/>
      <c r="S31" s="88"/>
      <c r="T31" s="88"/>
      <c r="U31" s="89">
        <v>1</v>
      </c>
      <c r="V31" s="89">
        <v>2</v>
      </c>
      <c r="W31" s="89">
        <v>3</v>
      </c>
      <c r="X31" s="89">
        <v>4</v>
      </c>
      <c r="Y31" s="89">
        <v>5</v>
      </c>
      <c r="Z31" s="89">
        <v>6</v>
      </c>
      <c r="AA31" s="89">
        <v>7</v>
      </c>
      <c r="AB31" s="89">
        <v>8</v>
      </c>
      <c r="AC31" s="89">
        <v>9</v>
      </c>
      <c r="AD31" s="89">
        <v>10</v>
      </c>
      <c r="AE31" s="89">
        <v>11</v>
      </c>
      <c r="AF31" s="89">
        <v>12</v>
      </c>
      <c r="AG31" s="89">
        <v>13</v>
      </c>
      <c r="AH31" s="89">
        <v>14</v>
      </c>
      <c r="AI31" s="89">
        <v>15</v>
      </c>
      <c r="AJ31" s="89">
        <v>16</v>
      </c>
      <c r="AK31" s="89">
        <v>17</v>
      </c>
      <c r="AL31" s="89">
        <v>18</v>
      </c>
      <c r="AM31" s="89">
        <v>19</v>
      </c>
      <c r="AN31" s="89">
        <v>20</v>
      </c>
      <c r="AO31" s="89">
        <v>21</v>
      </c>
      <c r="AP31" s="89">
        <v>22</v>
      </c>
      <c r="AQ31" s="89">
        <v>23</v>
      </c>
      <c r="AR31" s="89">
        <v>24</v>
      </c>
      <c r="AS31" s="397">
        <v>25</v>
      </c>
      <c r="AT31" s="397">
        <v>26</v>
      </c>
      <c r="AU31" s="397">
        <v>27</v>
      </c>
      <c r="AV31" s="397">
        <v>28</v>
      </c>
      <c r="AW31" s="397">
        <v>29</v>
      </c>
      <c r="AX31" s="397">
        <v>30</v>
      </c>
      <c r="AY31" s="397">
        <v>31</v>
      </c>
      <c r="AZ31" s="397">
        <v>32</v>
      </c>
      <c r="BA31" s="397">
        <v>33</v>
      </c>
      <c r="BB31" s="397">
        <v>34</v>
      </c>
      <c r="BC31" s="397">
        <v>35</v>
      </c>
      <c r="BD31" s="397">
        <v>36</v>
      </c>
      <c r="BE31" s="397">
        <v>37</v>
      </c>
      <c r="BF31" s="397">
        <v>38</v>
      </c>
      <c r="BG31" s="397">
        <v>39</v>
      </c>
      <c r="BH31" s="397">
        <v>40</v>
      </c>
      <c r="BI31" s="397">
        <v>41</v>
      </c>
      <c r="BJ31" s="397">
        <v>42</v>
      </c>
      <c r="BK31" s="397">
        <v>43</v>
      </c>
      <c r="BL31" s="397">
        <v>44</v>
      </c>
      <c r="BM31" s="397">
        <v>45</v>
      </c>
      <c r="BN31" s="397">
        <v>46</v>
      </c>
      <c r="BO31" s="397">
        <v>47</v>
      </c>
      <c r="BP31" s="397">
        <v>48</v>
      </c>
      <c r="BQ31" s="397">
        <v>49</v>
      </c>
      <c r="BR31" s="397">
        <v>50</v>
      </c>
      <c r="BS31" s="397">
        <v>51</v>
      </c>
      <c r="BT31" s="397">
        <v>52</v>
      </c>
      <c r="BU31" s="397">
        <v>53</v>
      </c>
      <c r="BV31" s="397">
        <v>54</v>
      </c>
      <c r="BW31" s="397">
        <v>55</v>
      </c>
      <c r="BX31" s="397">
        <v>56</v>
      </c>
      <c r="BY31" s="397">
        <v>57</v>
      </c>
      <c r="BZ31" s="397">
        <v>58</v>
      </c>
      <c r="CA31" s="397">
        <v>59</v>
      </c>
      <c r="CB31" s="397">
        <v>60</v>
      </c>
      <c r="CC31" s="397">
        <v>61</v>
      </c>
      <c r="CD31" s="397">
        <v>62</v>
      </c>
      <c r="CE31" s="397">
        <v>63</v>
      </c>
      <c r="CF31" s="397">
        <v>64</v>
      </c>
      <c r="CG31" s="397">
        <v>65</v>
      </c>
      <c r="CH31" s="397">
        <v>66</v>
      </c>
      <c r="CI31" s="397">
        <v>67</v>
      </c>
      <c r="CJ31" s="397">
        <v>68</v>
      </c>
      <c r="CK31" s="397">
        <v>69</v>
      </c>
      <c r="CL31" s="397">
        <v>70</v>
      </c>
      <c r="CM31" s="397">
        <v>71</v>
      </c>
      <c r="CN31" s="397">
        <v>72</v>
      </c>
    </row>
    <row r="32" spans="1:92" s="69" customFormat="1" x14ac:dyDescent="0.25">
      <c r="A32" s="91">
        <f>+'CC D'!A15</f>
        <v>1.2</v>
      </c>
      <c r="B32" s="79" t="str">
        <f>+'CC D'!B15</f>
        <v>Fiscalización</v>
      </c>
      <c r="C32" s="80"/>
      <c r="D32" s="81"/>
      <c r="E32" s="81"/>
      <c r="F32" s="81"/>
      <c r="G32" s="82">
        <f>+'CC D'!I15</f>
        <v>20000000</v>
      </c>
      <c r="H32" s="82" t="str">
        <f>+'CC D'!G15</f>
        <v>ECATEF/DV</v>
      </c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</row>
    <row r="33" spans="1:92" s="69" customFormat="1" x14ac:dyDescent="0.25">
      <c r="A33" s="83" t="str">
        <f>+'CC D'!A16</f>
        <v>1.2.1</v>
      </c>
      <c r="B33" s="84" t="str">
        <f>+'CC D'!B16</f>
        <v>Contratación de Firma Consultora para la fiscalización de la rehabilitación y mantenimiento de lotes 1 y 2</v>
      </c>
      <c r="C33" s="85" t="str">
        <f>+'CC D'!H16</f>
        <v>74 meses</v>
      </c>
      <c r="D33" s="90" t="s">
        <v>158</v>
      </c>
      <c r="E33" s="90" t="s">
        <v>159</v>
      </c>
      <c r="F33" s="85" t="s">
        <v>157</v>
      </c>
      <c r="G33" s="86">
        <f>+'CC D'!I16</f>
        <v>9500000</v>
      </c>
      <c r="H33" s="86"/>
      <c r="J33" s="87"/>
      <c r="K33" s="87"/>
      <c r="L33" s="87"/>
      <c r="M33" s="87"/>
      <c r="N33" s="88"/>
      <c r="O33" s="88"/>
      <c r="P33" s="88"/>
      <c r="Q33" s="88"/>
      <c r="R33" s="88"/>
      <c r="S33" s="89">
        <v>1</v>
      </c>
      <c r="T33" s="89">
        <v>2</v>
      </c>
      <c r="U33" s="89">
        <v>3</v>
      </c>
      <c r="V33" s="89">
        <v>4</v>
      </c>
      <c r="W33" s="89">
        <v>5</v>
      </c>
      <c r="X33" s="89">
        <v>6</v>
      </c>
      <c r="Y33" s="89">
        <v>7</v>
      </c>
      <c r="Z33" s="89">
        <v>8</v>
      </c>
      <c r="AA33" s="89">
        <v>9</v>
      </c>
      <c r="AB33" s="89">
        <v>10</v>
      </c>
      <c r="AC33" s="89">
        <v>11</v>
      </c>
      <c r="AD33" s="89">
        <v>12</v>
      </c>
      <c r="AE33" s="89">
        <v>13</v>
      </c>
      <c r="AF33" s="89">
        <v>14</v>
      </c>
      <c r="AG33" s="89">
        <v>15</v>
      </c>
      <c r="AH33" s="89">
        <v>16</v>
      </c>
      <c r="AI33" s="89">
        <v>17</v>
      </c>
      <c r="AJ33" s="89">
        <v>18</v>
      </c>
      <c r="AK33" s="89">
        <v>19</v>
      </c>
      <c r="AL33" s="89">
        <v>20</v>
      </c>
      <c r="AM33" s="89">
        <v>21</v>
      </c>
      <c r="AN33" s="89">
        <v>22</v>
      </c>
      <c r="AO33" s="89">
        <v>23</v>
      </c>
      <c r="AP33" s="89">
        <v>24</v>
      </c>
      <c r="AQ33" s="89">
        <v>25</v>
      </c>
      <c r="AR33" s="89">
        <v>26</v>
      </c>
      <c r="AS33" s="397">
        <v>27</v>
      </c>
      <c r="AT33" s="397">
        <v>28</v>
      </c>
      <c r="AU33" s="397">
        <v>29</v>
      </c>
      <c r="AV33" s="397">
        <v>30</v>
      </c>
      <c r="AW33" s="397">
        <v>31</v>
      </c>
      <c r="AX33" s="397">
        <v>32</v>
      </c>
      <c r="AY33" s="397">
        <v>33</v>
      </c>
      <c r="AZ33" s="397">
        <v>34</v>
      </c>
      <c r="BA33" s="397">
        <v>35</v>
      </c>
      <c r="BB33" s="397">
        <v>36</v>
      </c>
      <c r="BC33" s="397">
        <v>37</v>
      </c>
      <c r="BD33" s="397">
        <v>38</v>
      </c>
      <c r="BE33" s="397">
        <v>39</v>
      </c>
      <c r="BF33" s="397">
        <v>40</v>
      </c>
      <c r="BG33" s="397">
        <v>41</v>
      </c>
      <c r="BH33" s="397">
        <v>42</v>
      </c>
      <c r="BI33" s="397">
        <v>43</v>
      </c>
      <c r="BJ33" s="397">
        <v>44</v>
      </c>
      <c r="BK33" s="397">
        <v>45</v>
      </c>
      <c r="BL33" s="397">
        <v>46</v>
      </c>
      <c r="BM33" s="397">
        <v>47</v>
      </c>
      <c r="BN33" s="397">
        <v>48</v>
      </c>
      <c r="BO33" s="397">
        <v>49</v>
      </c>
      <c r="BP33" s="397">
        <v>50</v>
      </c>
      <c r="BQ33" s="397">
        <v>51</v>
      </c>
      <c r="BR33" s="397">
        <v>52</v>
      </c>
      <c r="BS33" s="397">
        <v>53</v>
      </c>
      <c r="BT33" s="397">
        <v>54</v>
      </c>
      <c r="BU33" s="397">
        <v>55</v>
      </c>
      <c r="BV33" s="397">
        <v>56</v>
      </c>
      <c r="BW33" s="397">
        <v>57</v>
      </c>
      <c r="BX33" s="397">
        <v>58</v>
      </c>
      <c r="BY33" s="397">
        <v>59</v>
      </c>
      <c r="BZ33" s="397">
        <v>60</v>
      </c>
      <c r="CA33" s="397">
        <v>61</v>
      </c>
      <c r="CB33" s="397">
        <v>62</v>
      </c>
      <c r="CC33" s="397">
        <v>63</v>
      </c>
      <c r="CD33" s="397">
        <v>64</v>
      </c>
      <c r="CE33" s="397">
        <v>65</v>
      </c>
      <c r="CF33" s="397">
        <v>66</v>
      </c>
      <c r="CG33" s="397">
        <v>67</v>
      </c>
      <c r="CH33" s="397">
        <v>68</v>
      </c>
      <c r="CI33" s="397">
        <v>69</v>
      </c>
      <c r="CJ33" s="397">
        <v>70</v>
      </c>
      <c r="CK33" s="397">
        <v>71</v>
      </c>
      <c r="CL33" s="397">
        <v>72</v>
      </c>
      <c r="CM33" s="397">
        <v>73</v>
      </c>
      <c r="CN33" s="397">
        <v>74</v>
      </c>
    </row>
    <row r="34" spans="1:92" s="69" customFormat="1" x14ac:dyDescent="0.25">
      <c r="A34" s="83" t="str">
        <f>+'CC D'!A17</f>
        <v>1.2.2</v>
      </c>
      <c r="B34" s="84" t="str">
        <f>+'CC D'!B17</f>
        <v>Contratación de Firma Consultora para la fiscalización de la rehabilitación y mantenimiento de lotes 3 y 4</v>
      </c>
      <c r="C34" s="85" t="str">
        <f>+'CC D'!H17</f>
        <v>74 meses</v>
      </c>
      <c r="D34" s="90" t="s">
        <v>158</v>
      </c>
      <c r="E34" s="90" t="s">
        <v>159</v>
      </c>
      <c r="F34" s="85" t="s">
        <v>157</v>
      </c>
      <c r="G34" s="86">
        <f>+'CC D'!I17</f>
        <v>10500000</v>
      </c>
      <c r="H34" s="86"/>
      <c r="I34" s="86"/>
      <c r="J34" s="87"/>
      <c r="K34" s="87"/>
      <c r="L34" s="87"/>
      <c r="M34" s="87"/>
      <c r="N34" s="88"/>
      <c r="O34" s="88"/>
      <c r="P34" s="88"/>
      <c r="Q34" s="88"/>
      <c r="R34" s="88"/>
      <c r="S34" s="89">
        <v>1</v>
      </c>
      <c r="T34" s="89">
        <v>2</v>
      </c>
      <c r="U34" s="89">
        <v>3</v>
      </c>
      <c r="V34" s="89">
        <v>4</v>
      </c>
      <c r="W34" s="89">
        <v>5</v>
      </c>
      <c r="X34" s="89">
        <v>6</v>
      </c>
      <c r="Y34" s="89">
        <v>7</v>
      </c>
      <c r="Z34" s="89">
        <v>8</v>
      </c>
      <c r="AA34" s="89">
        <v>9</v>
      </c>
      <c r="AB34" s="89">
        <v>10</v>
      </c>
      <c r="AC34" s="89">
        <v>11</v>
      </c>
      <c r="AD34" s="89">
        <v>12</v>
      </c>
      <c r="AE34" s="89">
        <v>13</v>
      </c>
      <c r="AF34" s="89">
        <v>14</v>
      </c>
      <c r="AG34" s="89">
        <v>15</v>
      </c>
      <c r="AH34" s="89">
        <v>16</v>
      </c>
      <c r="AI34" s="89">
        <v>17</v>
      </c>
      <c r="AJ34" s="89">
        <v>18</v>
      </c>
      <c r="AK34" s="89">
        <v>19</v>
      </c>
      <c r="AL34" s="89">
        <v>20</v>
      </c>
      <c r="AM34" s="89">
        <v>21</v>
      </c>
      <c r="AN34" s="89">
        <v>22</v>
      </c>
      <c r="AO34" s="89">
        <v>23</v>
      </c>
      <c r="AP34" s="89">
        <v>24</v>
      </c>
      <c r="AQ34" s="89">
        <v>25</v>
      </c>
      <c r="AR34" s="89">
        <v>26</v>
      </c>
      <c r="AS34" s="397">
        <v>27</v>
      </c>
      <c r="AT34" s="397">
        <v>28</v>
      </c>
      <c r="AU34" s="397">
        <v>29</v>
      </c>
      <c r="AV34" s="397">
        <v>30</v>
      </c>
      <c r="AW34" s="397">
        <v>31</v>
      </c>
      <c r="AX34" s="397">
        <v>32</v>
      </c>
      <c r="AY34" s="397">
        <v>33</v>
      </c>
      <c r="AZ34" s="397">
        <v>34</v>
      </c>
      <c r="BA34" s="397">
        <v>35</v>
      </c>
      <c r="BB34" s="397">
        <v>36</v>
      </c>
      <c r="BC34" s="397">
        <v>37</v>
      </c>
      <c r="BD34" s="397">
        <v>38</v>
      </c>
      <c r="BE34" s="397">
        <v>39</v>
      </c>
      <c r="BF34" s="397">
        <v>40</v>
      </c>
      <c r="BG34" s="397">
        <v>41</v>
      </c>
      <c r="BH34" s="397">
        <v>42</v>
      </c>
      <c r="BI34" s="397">
        <v>43</v>
      </c>
      <c r="BJ34" s="397">
        <v>44</v>
      </c>
      <c r="BK34" s="397">
        <v>45</v>
      </c>
      <c r="BL34" s="397">
        <v>46</v>
      </c>
      <c r="BM34" s="397">
        <v>47</v>
      </c>
      <c r="BN34" s="397">
        <v>48</v>
      </c>
      <c r="BO34" s="397">
        <v>49</v>
      </c>
      <c r="BP34" s="397">
        <v>50</v>
      </c>
      <c r="BQ34" s="397">
        <v>51</v>
      </c>
      <c r="BR34" s="397">
        <v>52</v>
      </c>
      <c r="BS34" s="397">
        <v>53</v>
      </c>
      <c r="BT34" s="397">
        <v>54</v>
      </c>
      <c r="BU34" s="397">
        <v>55</v>
      </c>
      <c r="BV34" s="397">
        <v>56</v>
      </c>
      <c r="BW34" s="397">
        <v>57</v>
      </c>
      <c r="BX34" s="397">
        <v>58</v>
      </c>
      <c r="BY34" s="397">
        <v>59</v>
      </c>
      <c r="BZ34" s="397">
        <v>60</v>
      </c>
      <c r="CA34" s="397">
        <v>61</v>
      </c>
      <c r="CB34" s="397">
        <v>62</v>
      </c>
      <c r="CC34" s="397">
        <v>63</v>
      </c>
      <c r="CD34" s="397">
        <v>64</v>
      </c>
      <c r="CE34" s="397">
        <v>65</v>
      </c>
      <c r="CF34" s="397">
        <v>66</v>
      </c>
      <c r="CG34" s="397">
        <v>67</v>
      </c>
      <c r="CH34" s="397">
        <v>68</v>
      </c>
      <c r="CI34" s="397">
        <v>69</v>
      </c>
      <c r="CJ34" s="397">
        <v>70</v>
      </c>
      <c r="CK34" s="397">
        <v>71</v>
      </c>
      <c r="CL34" s="397">
        <v>72</v>
      </c>
      <c r="CM34" s="397">
        <v>73</v>
      </c>
      <c r="CN34" s="397">
        <v>74</v>
      </c>
    </row>
    <row r="35" spans="1:92" s="69" customFormat="1" x14ac:dyDescent="0.25">
      <c r="A35" s="91">
        <f>+'CC D'!A18</f>
        <v>1.3</v>
      </c>
      <c r="B35" s="79" t="str">
        <f>+'CC D'!B18</f>
        <v xml:space="preserve">Plan de Gestión Ambiental y Social </v>
      </c>
      <c r="C35" s="80"/>
      <c r="D35" s="81"/>
      <c r="E35" s="81"/>
      <c r="F35" s="81"/>
      <c r="G35" s="82">
        <f>+'CC D'!I18</f>
        <v>7630000</v>
      </c>
      <c r="H35" s="82" t="str">
        <f>+'CC D'!G18</f>
        <v>ECATEF/DV</v>
      </c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</row>
    <row r="36" spans="1:92" s="69" customFormat="1" x14ac:dyDescent="0.25">
      <c r="A36" s="83" t="str">
        <f>+'CC D'!A19</f>
        <v>1.3.1</v>
      </c>
      <c r="B36" s="84" t="str">
        <f>+'CC D'!B19</f>
        <v>Monitoreo y Evaluación Socio Ambiental</v>
      </c>
      <c r="C36" s="100" t="str">
        <f>+'CC D'!H19</f>
        <v>50 meses</v>
      </c>
      <c r="D36" s="90" t="s">
        <v>160</v>
      </c>
      <c r="E36" s="90" t="s">
        <v>161</v>
      </c>
      <c r="F36" s="90" t="s">
        <v>162</v>
      </c>
      <c r="G36" s="101">
        <f>+'CC D'!I19</f>
        <v>1919000</v>
      </c>
      <c r="H36" s="101"/>
      <c r="I36" s="101"/>
      <c r="J36" s="101"/>
      <c r="K36" s="101"/>
      <c r="L36" s="101"/>
      <c r="M36" s="101"/>
      <c r="N36" s="87"/>
      <c r="O36" s="87"/>
      <c r="P36" s="87"/>
      <c r="Q36" s="88"/>
      <c r="R36" s="88"/>
      <c r="S36" s="88"/>
      <c r="T36" s="88"/>
      <c r="U36" s="88"/>
      <c r="V36" s="88"/>
      <c r="W36" s="88"/>
      <c r="X36" s="89">
        <v>1</v>
      </c>
      <c r="Y36" s="89">
        <v>2</v>
      </c>
      <c r="Z36" s="89">
        <v>3</v>
      </c>
      <c r="AA36" s="89">
        <v>4</v>
      </c>
      <c r="AB36" s="89">
        <v>5</v>
      </c>
      <c r="AC36" s="89">
        <v>6</v>
      </c>
      <c r="AD36" s="89">
        <v>7</v>
      </c>
      <c r="AE36" s="89">
        <v>8</v>
      </c>
      <c r="AF36" s="89">
        <v>9</v>
      </c>
      <c r="AG36" s="89">
        <v>10</v>
      </c>
      <c r="AH36" s="89">
        <v>11</v>
      </c>
      <c r="AI36" s="89">
        <v>12</v>
      </c>
      <c r="AJ36" s="89">
        <v>13</v>
      </c>
      <c r="AK36" s="89">
        <v>14</v>
      </c>
      <c r="AL36" s="89">
        <v>15</v>
      </c>
      <c r="AM36" s="89">
        <v>16</v>
      </c>
      <c r="AN36" s="89">
        <v>17</v>
      </c>
      <c r="AO36" s="89">
        <v>18</v>
      </c>
      <c r="AP36" s="89">
        <v>19</v>
      </c>
      <c r="AQ36" s="89">
        <v>20</v>
      </c>
      <c r="AR36" s="89">
        <v>21</v>
      </c>
      <c r="AS36" s="89">
        <v>22</v>
      </c>
      <c r="AT36" s="89">
        <v>23</v>
      </c>
      <c r="AU36" s="89">
        <v>24</v>
      </c>
      <c r="AV36" s="89">
        <v>25</v>
      </c>
      <c r="AW36" s="89">
        <v>26</v>
      </c>
      <c r="AX36" s="89">
        <v>27</v>
      </c>
      <c r="AY36" s="89">
        <v>28</v>
      </c>
      <c r="AZ36" s="89">
        <v>29</v>
      </c>
      <c r="BA36" s="89">
        <v>30</v>
      </c>
      <c r="BB36" s="89">
        <v>31</v>
      </c>
      <c r="BC36" s="89">
        <v>32</v>
      </c>
      <c r="BD36" s="89">
        <v>33</v>
      </c>
      <c r="BE36" s="89">
        <v>34</v>
      </c>
      <c r="BF36" s="89">
        <v>35</v>
      </c>
      <c r="BG36" s="89">
        <v>36</v>
      </c>
      <c r="BH36" s="89">
        <v>37</v>
      </c>
      <c r="BI36" s="89">
        <v>38</v>
      </c>
      <c r="BJ36" s="89">
        <v>39</v>
      </c>
      <c r="BK36" s="89">
        <v>40</v>
      </c>
      <c r="BL36" s="89">
        <v>41</v>
      </c>
      <c r="BM36" s="89">
        <v>42</v>
      </c>
      <c r="BN36" s="89">
        <v>43</v>
      </c>
      <c r="BO36" s="89">
        <v>44</v>
      </c>
      <c r="BP36" s="89">
        <v>45</v>
      </c>
      <c r="BQ36" s="89">
        <v>46</v>
      </c>
      <c r="BR36" s="89">
        <v>47</v>
      </c>
      <c r="BS36" s="89">
        <v>48</v>
      </c>
      <c r="BT36" s="89">
        <v>49</v>
      </c>
      <c r="BU36" s="89">
        <v>50</v>
      </c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</row>
    <row r="37" spans="1:92" s="69" customFormat="1" x14ac:dyDescent="0.25">
      <c r="A37" s="83" t="str">
        <f>+'CC D'!A20</f>
        <v>1.3.2</v>
      </c>
      <c r="B37" s="84" t="str">
        <f>+'CC D'!B20</f>
        <v>Contratación Firma Consultora para el Monitoreo de las áreas inundadas por efecto de la barrera de la Ruta</v>
      </c>
      <c r="C37" s="100" t="str">
        <f>+'CC D'!H20</f>
        <v>12 meses</v>
      </c>
      <c r="D37" s="90" t="s">
        <v>158</v>
      </c>
      <c r="E37" s="90" t="s">
        <v>163</v>
      </c>
      <c r="F37" s="97" t="s">
        <v>164</v>
      </c>
      <c r="G37" s="101">
        <f>+'CC D'!I20</f>
        <v>82000</v>
      </c>
      <c r="H37" s="101"/>
      <c r="I37" s="101"/>
      <c r="J37" s="101"/>
      <c r="K37" s="87"/>
      <c r="L37" s="87"/>
      <c r="M37" s="87"/>
      <c r="N37" s="88"/>
      <c r="O37" s="88"/>
      <c r="P37" s="88"/>
      <c r="Q37" s="88"/>
      <c r="R37" s="88"/>
      <c r="S37" s="88"/>
      <c r="T37" s="88"/>
      <c r="U37" s="89">
        <v>1</v>
      </c>
      <c r="V37" s="89">
        <v>2</v>
      </c>
      <c r="W37" s="89">
        <v>3</v>
      </c>
      <c r="X37" s="89">
        <v>4</v>
      </c>
      <c r="Y37" s="89">
        <v>5</v>
      </c>
      <c r="Z37" s="89">
        <v>6</v>
      </c>
      <c r="AA37" s="89">
        <v>7</v>
      </c>
      <c r="AB37" s="89">
        <v>8</v>
      </c>
      <c r="AC37" s="89">
        <v>9</v>
      </c>
      <c r="AD37" s="89">
        <v>10</v>
      </c>
      <c r="AE37" s="89">
        <v>11</v>
      </c>
      <c r="AF37" s="89">
        <v>12</v>
      </c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</row>
    <row r="38" spans="1:92" s="69" customFormat="1" x14ac:dyDescent="0.25">
      <c r="A38" s="83" t="str">
        <f>+'CC D'!A21</f>
        <v>1.3.3</v>
      </c>
      <c r="B38" s="84" t="str">
        <f>+'CC D'!B21</f>
        <v>Implementación del Plan de Gestión Socio Ambiental</v>
      </c>
      <c r="C38" s="100" t="str">
        <f>+'CC D'!H21</f>
        <v>48 meses</v>
      </c>
      <c r="D38" s="90" t="s">
        <v>158</v>
      </c>
      <c r="E38" s="90" t="s">
        <v>163</v>
      </c>
      <c r="F38" s="97" t="s">
        <v>165</v>
      </c>
      <c r="G38" s="101">
        <f>+'CC D'!I21</f>
        <v>770000</v>
      </c>
      <c r="H38" s="101"/>
      <c r="I38" s="101"/>
      <c r="J38" s="101"/>
      <c r="K38" s="87"/>
      <c r="L38" s="87"/>
      <c r="M38" s="87"/>
      <c r="N38" s="88"/>
      <c r="O38" s="88"/>
      <c r="P38" s="88"/>
      <c r="Q38" s="88"/>
      <c r="R38" s="88"/>
      <c r="S38" s="88"/>
      <c r="T38" s="88"/>
      <c r="U38" s="89">
        <v>1</v>
      </c>
      <c r="V38" s="89">
        <v>2</v>
      </c>
      <c r="W38" s="89">
        <v>3</v>
      </c>
      <c r="X38" s="89">
        <v>4</v>
      </c>
      <c r="Y38" s="89">
        <v>5</v>
      </c>
      <c r="Z38" s="89">
        <v>6</v>
      </c>
      <c r="AA38" s="89">
        <v>7</v>
      </c>
      <c r="AB38" s="89">
        <v>8</v>
      </c>
      <c r="AC38" s="89">
        <v>9</v>
      </c>
      <c r="AD38" s="89">
        <v>10</v>
      </c>
      <c r="AE38" s="89">
        <v>11</v>
      </c>
      <c r="AF38" s="89">
        <v>12</v>
      </c>
      <c r="AG38" s="89">
        <v>13</v>
      </c>
      <c r="AH38" s="89">
        <v>14</v>
      </c>
      <c r="AI38" s="89">
        <v>15</v>
      </c>
      <c r="AJ38" s="89">
        <v>16</v>
      </c>
      <c r="AK38" s="89">
        <v>17</v>
      </c>
      <c r="AL38" s="89">
        <v>18</v>
      </c>
      <c r="AM38" s="89">
        <v>19</v>
      </c>
      <c r="AN38" s="89">
        <v>20</v>
      </c>
      <c r="AO38" s="89">
        <v>21</v>
      </c>
      <c r="AP38" s="89">
        <v>22</v>
      </c>
      <c r="AQ38" s="89">
        <v>23</v>
      </c>
      <c r="AR38" s="89">
        <v>24</v>
      </c>
      <c r="AS38" s="89">
        <v>25</v>
      </c>
      <c r="AT38" s="89">
        <v>26</v>
      </c>
      <c r="AU38" s="89">
        <v>27</v>
      </c>
      <c r="AV38" s="89">
        <v>28</v>
      </c>
      <c r="AW38" s="89">
        <v>29</v>
      </c>
      <c r="AX38" s="89">
        <v>30</v>
      </c>
      <c r="AY38" s="89">
        <v>31</v>
      </c>
      <c r="AZ38" s="89">
        <v>32</v>
      </c>
      <c r="BA38" s="89">
        <v>33</v>
      </c>
      <c r="BB38" s="89">
        <v>34</v>
      </c>
      <c r="BC38" s="89">
        <v>35</v>
      </c>
      <c r="BD38" s="89">
        <v>36</v>
      </c>
      <c r="BE38" s="89">
        <v>37</v>
      </c>
      <c r="BF38" s="89">
        <v>38</v>
      </c>
      <c r="BG38" s="89">
        <v>39</v>
      </c>
      <c r="BH38" s="89">
        <v>40</v>
      </c>
      <c r="BI38" s="89">
        <v>41</v>
      </c>
      <c r="BJ38" s="89">
        <v>42</v>
      </c>
      <c r="BK38" s="89">
        <v>43</v>
      </c>
      <c r="BL38" s="89">
        <v>44</v>
      </c>
      <c r="BM38" s="89">
        <v>45</v>
      </c>
      <c r="BN38" s="89">
        <v>46</v>
      </c>
      <c r="BO38" s="89">
        <v>47</v>
      </c>
      <c r="BP38" s="89">
        <v>48</v>
      </c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</row>
    <row r="39" spans="1:92" s="69" customFormat="1" x14ac:dyDescent="0.25">
      <c r="A39" s="83" t="str">
        <f>+'CC D'!A22</f>
        <v>1.3.4</v>
      </c>
      <c r="B39" s="84" t="str">
        <f>+'CC D'!B22</f>
        <v>Plan de Reasentamiento</v>
      </c>
      <c r="C39" s="100" t="str">
        <f>+'CC D'!H22</f>
        <v>48 meses</v>
      </c>
      <c r="D39" s="90" t="s">
        <v>158</v>
      </c>
      <c r="E39" s="90" t="s">
        <v>163</v>
      </c>
      <c r="F39" s="97" t="s">
        <v>165</v>
      </c>
      <c r="G39" s="101">
        <f>+'CC D'!I22</f>
        <v>4360000</v>
      </c>
      <c r="H39" s="101"/>
      <c r="I39" s="101"/>
      <c r="J39" s="101"/>
      <c r="K39" s="87"/>
      <c r="L39" s="87"/>
      <c r="M39" s="87"/>
      <c r="N39" s="88"/>
      <c r="O39" s="88"/>
      <c r="P39" s="88"/>
      <c r="Q39" s="88"/>
      <c r="R39" s="88"/>
      <c r="S39" s="88"/>
      <c r="T39" s="88"/>
      <c r="U39" s="89">
        <v>1</v>
      </c>
      <c r="V39" s="89">
        <v>2</v>
      </c>
      <c r="W39" s="89">
        <v>3</v>
      </c>
      <c r="X39" s="89">
        <v>4</v>
      </c>
      <c r="Y39" s="89">
        <v>5</v>
      </c>
      <c r="Z39" s="89">
        <v>6</v>
      </c>
      <c r="AA39" s="89">
        <v>7</v>
      </c>
      <c r="AB39" s="89">
        <v>8</v>
      </c>
      <c r="AC39" s="89">
        <v>9</v>
      </c>
      <c r="AD39" s="89">
        <v>10</v>
      </c>
      <c r="AE39" s="89">
        <v>11</v>
      </c>
      <c r="AF39" s="89">
        <v>12</v>
      </c>
      <c r="AG39" s="89">
        <v>13</v>
      </c>
      <c r="AH39" s="89">
        <v>14</v>
      </c>
      <c r="AI39" s="89">
        <v>15</v>
      </c>
      <c r="AJ39" s="89">
        <v>16</v>
      </c>
      <c r="AK39" s="89">
        <v>17</v>
      </c>
      <c r="AL39" s="89">
        <v>18</v>
      </c>
      <c r="AM39" s="89">
        <v>19</v>
      </c>
      <c r="AN39" s="89">
        <v>20</v>
      </c>
      <c r="AO39" s="89">
        <v>21</v>
      </c>
      <c r="AP39" s="89">
        <v>22</v>
      </c>
      <c r="AQ39" s="89">
        <v>23</v>
      </c>
      <c r="AR39" s="89">
        <v>24</v>
      </c>
      <c r="AS39" s="89">
        <v>25</v>
      </c>
      <c r="AT39" s="89">
        <v>26</v>
      </c>
      <c r="AU39" s="89">
        <v>27</v>
      </c>
      <c r="AV39" s="89">
        <v>28</v>
      </c>
      <c r="AW39" s="89">
        <v>29</v>
      </c>
      <c r="AX39" s="89">
        <v>30</v>
      </c>
      <c r="AY39" s="89">
        <v>31</v>
      </c>
      <c r="AZ39" s="89">
        <v>32</v>
      </c>
      <c r="BA39" s="89">
        <v>33</v>
      </c>
      <c r="BB39" s="89">
        <v>34</v>
      </c>
      <c r="BC39" s="89">
        <v>35</v>
      </c>
      <c r="BD39" s="89">
        <v>36</v>
      </c>
      <c r="BE39" s="89">
        <v>37</v>
      </c>
      <c r="BF39" s="89">
        <v>38</v>
      </c>
      <c r="BG39" s="89">
        <v>39</v>
      </c>
      <c r="BH39" s="89">
        <v>40</v>
      </c>
      <c r="BI39" s="89">
        <v>41</v>
      </c>
      <c r="BJ39" s="89">
        <v>42</v>
      </c>
      <c r="BK39" s="89">
        <v>43</v>
      </c>
      <c r="BL39" s="89">
        <v>44</v>
      </c>
      <c r="BM39" s="89">
        <v>45</v>
      </c>
      <c r="BN39" s="89">
        <v>46</v>
      </c>
      <c r="BO39" s="89">
        <v>47</v>
      </c>
      <c r="BP39" s="89">
        <v>48</v>
      </c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</row>
    <row r="40" spans="1:92" s="69" customFormat="1" x14ac:dyDescent="0.25">
      <c r="A40" s="83" t="str">
        <f>+'CC D'!A23</f>
        <v>1.3.5</v>
      </c>
      <c r="B40" s="84" t="str">
        <f>+'CC D'!B23</f>
        <v>Contratación Firma Consultora para el Apoyo a la Gestión Institucional de Supervisión del PGAS</v>
      </c>
      <c r="C40" s="100" t="str">
        <f>+'CC D'!H23</f>
        <v>6 meses</v>
      </c>
      <c r="D40" s="90" t="s">
        <v>158</v>
      </c>
      <c r="E40" s="90" t="s">
        <v>163</v>
      </c>
      <c r="F40" s="90" t="s">
        <v>166</v>
      </c>
      <c r="G40" s="101">
        <f>+'CC D'!I23</f>
        <v>189000</v>
      </c>
      <c r="H40" s="101"/>
      <c r="I40" s="101"/>
      <c r="J40" s="101"/>
      <c r="K40" s="87"/>
      <c r="L40" s="87"/>
      <c r="M40" s="87"/>
      <c r="N40" s="88"/>
      <c r="O40" s="88"/>
      <c r="P40" s="88"/>
      <c r="Q40" s="88"/>
      <c r="R40" s="88"/>
      <c r="S40" s="88"/>
      <c r="T40" s="88"/>
      <c r="U40" s="89">
        <v>1</v>
      </c>
      <c r="V40" s="89">
        <v>2</v>
      </c>
      <c r="W40" s="89">
        <v>3</v>
      </c>
      <c r="X40" s="89">
        <v>4</v>
      </c>
      <c r="Y40" s="89">
        <v>5</v>
      </c>
      <c r="Z40" s="89">
        <v>6</v>
      </c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</row>
    <row r="41" spans="1:92" s="69" customFormat="1" x14ac:dyDescent="0.25">
      <c r="A41" s="83" t="str">
        <f>+'CC D'!A24</f>
        <v>1.3.6</v>
      </c>
      <c r="B41" s="84" t="str">
        <f>+'CC D'!B24</f>
        <v>Contratación Firma Consultora para el Apoyo a la Gestión de los Municipios en los Proyectos Viales</v>
      </c>
      <c r="C41" s="100" t="str">
        <f>+'CC D'!H24</f>
        <v>12 meses</v>
      </c>
      <c r="D41" s="90" t="s">
        <v>158</v>
      </c>
      <c r="E41" s="90" t="s">
        <v>163</v>
      </c>
      <c r="F41" s="90" t="s">
        <v>164</v>
      </c>
      <c r="G41" s="101">
        <f>+'CC D'!I24</f>
        <v>310000</v>
      </c>
      <c r="H41" s="101"/>
      <c r="I41" s="414"/>
      <c r="J41" s="414"/>
      <c r="K41" s="87"/>
      <c r="L41" s="87"/>
      <c r="M41" s="87"/>
      <c r="N41" s="88"/>
      <c r="O41" s="88"/>
      <c r="P41" s="88"/>
      <c r="Q41" s="88"/>
      <c r="R41" s="88"/>
      <c r="S41" s="88"/>
      <c r="T41" s="88"/>
      <c r="U41" s="89">
        <v>1</v>
      </c>
      <c r="V41" s="89">
        <v>2</v>
      </c>
      <c r="W41" s="89">
        <v>3</v>
      </c>
      <c r="X41" s="89">
        <v>4</v>
      </c>
      <c r="Y41" s="89">
        <v>5</v>
      </c>
      <c r="Z41" s="89">
        <v>6</v>
      </c>
      <c r="AA41" s="89">
        <v>7</v>
      </c>
      <c r="AB41" s="89">
        <v>8</v>
      </c>
      <c r="AC41" s="89">
        <v>9</v>
      </c>
      <c r="AD41" s="89">
        <v>10</v>
      </c>
      <c r="AE41" s="89">
        <v>11</v>
      </c>
      <c r="AF41" s="89">
        <v>12</v>
      </c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</row>
    <row r="42" spans="1:92" s="69" customFormat="1" x14ac:dyDescent="0.25">
      <c r="A42" s="91">
        <f>+'CC D'!A25</f>
        <v>1.4</v>
      </c>
      <c r="B42" s="79" t="str">
        <f>+'CC D'!B25</f>
        <v>Pago por Servicios Ambientales</v>
      </c>
      <c r="C42" s="80"/>
      <c r="D42" s="80"/>
      <c r="E42" s="80"/>
      <c r="F42" s="80"/>
      <c r="G42" s="82">
        <f>+G43</f>
        <v>4930000</v>
      </c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</row>
    <row r="43" spans="1:92" s="69" customFormat="1" x14ac:dyDescent="0.25">
      <c r="A43" s="83" t="str">
        <f>+'CC D'!A26</f>
        <v>1.4.1</v>
      </c>
      <c r="B43" s="84" t="str">
        <f>+'CC D'!B26</f>
        <v>Pagos por Servicios Ambientales</v>
      </c>
      <c r="C43" s="100" t="s">
        <v>75</v>
      </c>
      <c r="D43" s="90"/>
      <c r="E43" s="90" t="s">
        <v>163</v>
      </c>
      <c r="F43" s="97" t="s">
        <v>165</v>
      </c>
      <c r="G43" s="101">
        <f>+'CC D'!I26</f>
        <v>4930000</v>
      </c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89">
        <v>1</v>
      </c>
      <c r="V43" s="89">
        <v>2</v>
      </c>
      <c r="W43" s="89">
        <v>3</v>
      </c>
      <c r="X43" s="89">
        <v>4</v>
      </c>
      <c r="Y43" s="89">
        <v>5</v>
      </c>
      <c r="Z43" s="89">
        <v>6</v>
      </c>
      <c r="AA43" s="89">
        <v>7</v>
      </c>
      <c r="AB43" s="89">
        <v>8</v>
      </c>
      <c r="AC43" s="89">
        <v>9</v>
      </c>
      <c r="AD43" s="89">
        <v>10</v>
      </c>
      <c r="AE43" s="89">
        <v>11</v>
      </c>
      <c r="AF43" s="89">
        <v>12</v>
      </c>
      <c r="AG43" s="89">
        <v>13</v>
      </c>
      <c r="AH43" s="89">
        <v>14</v>
      </c>
      <c r="AI43" s="89">
        <v>15</v>
      </c>
      <c r="AJ43" s="89">
        <v>16</v>
      </c>
      <c r="AK43" s="89">
        <v>17</v>
      </c>
      <c r="AL43" s="89">
        <v>18</v>
      </c>
      <c r="AM43" s="89">
        <v>19</v>
      </c>
      <c r="AN43" s="89">
        <v>20</v>
      </c>
      <c r="AO43" s="89">
        <v>21</v>
      </c>
      <c r="AP43" s="89">
        <v>22</v>
      </c>
      <c r="AQ43" s="89">
        <v>23</v>
      </c>
      <c r="AR43" s="89">
        <v>24</v>
      </c>
      <c r="AS43" s="89">
        <v>25</v>
      </c>
      <c r="AT43" s="89">
        <v>26</v>
      </c>
      <c r="AU43" s="89">
        <v>27</v>
      </c>
      <c r="AV43" s="89">
        <v>28</v>
      </c>
      <c r="AW43" s="89">
        <v>29</v>
      </c>
      <c r="AX43" s="89">
        <v>30</v>
      </c>
      <c r="AY43" s="89">
        <v>31</v>
      </c>
      <c r="AZ43" s="89">
        <v>32</v>
      </c>
      <c r="BA43" s="89">
        <v>33</v>
      </c>
      <c r="BB43" s="89">
        <v>34</v>
      </c>
      <c r="BC43" s="89">
        <v>35</v>
      </c>
      <c r="BD43" s="89">
        <v>36</v>
      </c>
      <c r="BE43" s="89">
        <v>37</v>
      </c>
      <c r="BF43" s="89">
        <v>38</v>
      </c>
      <c r="BG43" s="89">
        <v>39</v>
      </c>
      <c r="BH43" s="89">
        <v>40</v>
      </c>
      <c r="BI43" s="89">
        <v>41</v>
      </c>
      <c r="BJ43" s="89">
        <v>42</v>
      </c>
      <c r="BK43" s="89">
        <v>43</v>
      </c>
      <c r="BL43" s="89">
        <v>44</v>
      </c>
      <c r="BM43" s="89">
        <v>45</v>
      </c>
      <c r="BN43" s="89">
        <v>46</v>
      </c>
      <c r="BO43" s="89">
        <v>47</v>
      </c>
      <c r="BP43" s="89">
        <v>48</v>
      </c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</row>
    <row r="44" spans="1:92" s="69" customFormat="1" x14ac:dyDescent="0.25">
      <c r="A44" s="91">
        <f>+'CC D'!A27</f>
        <v>1.5</v>
      </c>
      <c r="B44" s="79" t="str">
        <f>+'CC D'!B27</f>
        <v>Escalamientos e Imprevistos</v>
      </c>
      <c r="C44" s="80"/>
      <c r="D44" s="81"/>
      <c r="E44" s="81"/>
      <c r="F44" s="81"/>
      <c r="G44" s="82">
        <f>+'CC D'!I27</f>
        <v>23890000</v>
      </c>
      <c r="H44" s="82" t="str">
        <f>+'CC D'!G27</f>
        <v>ECATEF/DV</v>
      </c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</row>
    <row r="45" spans="1:92" s="69" customFormat="1" ht="17.25" customHeight="1" x14ac:dyDescent="0.25">
      <c r="A45" s="94">
        <f>+'CC D'!A28</f>
        <v>2</v>
      </c>
      <c r="B45" s="75" t="str">
        <f>+'CC D'!B28</f>
        <v>Otros Costos</v>
      </c>
      <c r="C45" s="76"/>
      <c r="D45" s="77"/>
      <c r="E45" s="77"/>
      <c r="F45" s="77"/>
      <c r="G45" s="78">
        <f>+'CC D'!I28</f>
        <v>10550000</v>
      </c>
      <c r="H45" s="78">
        <f>'[2]4. CC D'!G32</f>
        <v>0</v>
      </c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</row>
    <row r="46" spans="1:92" x14ac:dyDescent="0.25">
      <c r="A46" s="91">
        <f>+'CC D'!A29</f>
        <v>2.1</v>
      </c>
      <c r="B46" s="79" t="str">
        <f>+'CC D'!B29</f>
        <v>Administración del Programa</v>
      </c>
      <c r="C46" s="92"/>
      <c r="D46" s="92"/>
      <c r="E46" s="92"/>
      <c r="F46" s="92"/>
      <c r="G46" s="93">
        <f>+'CC D'!I29</f>
        <v>6000000</v>
      </c>
      <c r="H46" s="93" t="str">
        <f>'[2]4. CC D'!G33</f>
        <v>ECATEF/DCV</v>
      </c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3"/>
      <c r="BR46" s="93"/>
      <c r="BS46" s="93"/>
      <c r="BT46" s="93"/>
      <c r="BU46" s="93"/>
      <c r="BV46" s="93"/>
      <c r="BW46" s="93"/>
      <c r="BX46" s="93"/>
      <c r="BY46" s="93"/>
      <c r="BZ46" s="93"/>
      <c r="CA46" s="93"/>
      <c r="CB46" s="93"/>
      <c r="CC46" s="93"/>
      <c r="CD46" s="93"/>
      <c r="CE46" s="93"/>
      <c r="CF46" s="93"/>
      <c r="CG46" s="93"/>
      <c r="CH46" s="93"/>
      <c r="CI46" s="93"/>
      <c r="CJ46" s="93"/>
      <c r="CK46" s="93"/>
      <c r="CL46" s="93"/>
      <c r="CM46" s="93"/>
      <c r="CN46" s="93"/>
    </row>
    <row r="47" spans="1:92" ht="21.75" customHeight="1" x14ac:dyDescent="0.25">
      <c r="A47" s="95" t="str">
        <f>+'CC D'!A30</f>
        <v>2.1.1</v>
      </c>
      <c r="B47" s="96" t="str">
        <f>+'CC D'!B30</f>
        <v xml:space="preserve">Contratación de la ECATEF para apoyo en la ejecución del Programa </v>
      </c>
      <c r="C47" s="97" t="str">
        <f>+'CC D'!H30</f>
        <v>84 meses</v>
      </c>
      <c r="D47" s="393"/>
      <c r="E47" s="97" t="s">
        <v>158</v>
      </c>
      <c r="F47" s="97" t="s">
        <v>157</v>
      </c>
      <c r="G47" s="98">
        <f>+'CC D'!I30</f>
        <v>6000000</v>
      </c>
      <c r="H47" s="98"/>
      <c r="I47" s="99">
        <v>1</v>
      </c>
      <c r="J47" s="99">
        <v>2</v>
      </c>
      <c r="K47" s="99">
        <v>3</v>
      </c>
      <c r="L47" s="99">
        <v>4</v>
      </c>
      <c r="M47" s="99">
        <v>5</v>
      </c>
      <c r="N47" s="99">
        <v>6</v>
      </c>
      <c r="O47" s="99">
        <v>7</v>
      </c>
      <c r="P47" s="99">
        <v>8</v>
      </c>
      <c r="Q47" s="99">
        <v>9</v>
      </c>
      <c r="R47" s="99">
        <v>10</v>
      </c>
      <c r="S47" s="99">
        <v>11</v>
      </c>
      <c r="T47" s="99">
        <v>12</v>
      </c>
      <c r="U47" s="99">
        <v>13</v>
      </c>
      <c r="V47" s="99">
        <v>14</v>
      </c>
      <c r="W47" s="99">
        <v>15</v>
      </c>
      <c r="X47" s="99">
        <v>16</v>
      </c>
      <c r="Y47" s="99">
        <v>17</v>
      </c>
      <c r="Z47" s="99">
        <v>18</v>
      </c>
      <c r="AA47" s="99">
        <v>19</v>
      </c>
      <c r="AB47" s="99">
        <v>20</v>
      </c>
      <c r="AC47" s="99">
        <v>21</v>
      </c>
      <c r="AD47" s="99">
        <v>22</v>
      </c>
      <c r="AE47" s="99">
        <v>23</v>
      </c>
      <c r="AF47" s="99">
        <v>24</v>
      </c>
      <c r="AG47" s="99">
        <v>25</v>
      </c>
      <c r="AH47" s="99">
        <v>26</v>
      </c>
      <c r="AI47" s="99">
        <v>27</v>
      </c>
      <c r="AJ47" s="99">
        <v>28</v>
      </c>
      <c r="AK47" s="99">
        <v>29</v>
      </c>
      <c r="AL47" s="99">
        <v>30</v>
      </c>
      <c r="AM47" s="99">
        <v>31</v>
      </c>
      <c r="AN47" s="99">
        <v>32</v>
      </c>
      <c r="AO47" s="99">
        <v>33</v>
      </c>
      <c r="AP47" s="99">
        <v>34</v>
      </c>
      <c r="AQ47" s="99">
        <v>35</v>
      </c>
      <c r="AR47" s="99">
        <v>36</v>
      </c>
      <c r="AS47" s="99">
        <v>37</v>
      </c>
      <c r="AT47" s="99">
        <v>38</v>
      </c>
      <c r="AU47" s="99">
        <v>39</v>
      </c>
      <c r="AV47" s="99">
        <v>40</v>
      </c>
      <c r="AW47" s="99">
        <v>41</v>
      </c>
      <c r="AX47" s="99">
        <v>42</v>
      </c>
      <c r="AY47" s="99">
        <v>43</v>
      </c>
      <c r="AZ47" s="99">
        <v>44</v>
      </c>
      <c r="BA47" s="99">
        <v>45</v>
      </c>
      <c r="BB47" s="99">
        <v>46</v>
      </c>
      <c r="BC47" s="99">
        <v>47</v>
      </c>
      <c r="BD47" s="99">
        <v>48</v>
      </c>
      <c r="BE47" s="99">
        <v>49</v>
      </c>
      <c r="BF47" s="99">
        <v>50</v>
      </c>
      <c r="BG47" s="99">
        <v>51</v>
      </c>
      <c r="BH47" s="99">
        <v>52</v>
      </c>
      <c r="BI47" s="99">
        <v>53</v>
      </c>
      <c r="BJ47" s="99">
        <v>54</v>
      </c>
      <c r="BK47" s="99">
        <v>55</v>
      </c>
      <c r="BL47" s="99">
        <v>56</v>
      </c>
      <c r="BM47" s="99">
        <v>57</v>
      </c>
      <c r="BN47" s="99">
        <v>58</v>
      </c>
      <c r="BO47" s="99">
        <v>59</v>
      </c>
      <c r="BP47" s="99">
        <v>60</v>
      </c>
      <c r="BQ47" s="99">
        <v>61</v>
      </c>
      <c r="BR47" s="99">
        <v>62</v>
      </c>
      <c r="BS47" s="99">
        <v>63</v>
      </c>
      <c r="BT47" s="99">
        <v>64</v>
      </c>
      <c r="BU47" s="99">
        <v>65</v>
      </c>
      <c r="BV47" s="99">
        <v>66</v>
      </c>
      <c r="BW47" s="99">
        <v>67</v>
      </c>
      <c r="BX47" s="99">
        <v>68</v>
      </c>
      <c r="BY47" s="99">
        <v>69</v>
      </c>
      <c r="BZ47" s="99">
        <v>70</v>
      </c>
      <c r="CA47" s="99">
        <v>71</v>
      </c>
      <c r="CB47" s="99">
        <v>72</v>
      </c>
      <c r="CC47" s="99">
        <v>73</v>
      </c>
      <c r="CD47" s="99">
        <v>74</v>
      </c>
      <c r="CE47" s="99">
        <v>75</v>
      </c>
      <c r="CF47" s="99">
        <v>76</v>
      </c>
      <c r="CG47" s="99">
        <v>77</v>
      </c>
      <c r="CH47" s="99">
        <v>78</v>
      </c>
      <c r="CI47" s="99">
        <v>79</v>
      </c>
      <c r="CJ47" s="99">
        <v>80</v>
      </c>
      <c r="CK47" s="99">
        <v>81</v>
      </c>
      <c r="CL47" s="99">
        <v>82</v>
      </c>
      <c r="CM47" s="99">
        <v>83</v>
      </c>
      <c r="CN47" s="99">
        <v>84</v>
      </c>
    </row>
    <row r="48" spans="1:92" x14ac:dyDescent="0.25">
      <c r="A48" s="91">
        <f>+'CC D'!A31</f>
        <v>2.2000000000000002</v>
      </c>
      <c r="B48" s="79" t="str">
        <f>+'CC D'!B31</f>
        <v>Auditoria, Monitoreo y Evaluación desarrollados</v>
      </c>
      <c r="C48" s="92"/>
      <c r="D48" s="92"/>
      <c r="E48" s="92"/>
      <c r="F48" s="92"/>
      <c r="G48" s="93">
        <f>+'CC D'!I31</f>
        <v>1100000</v>
      </c>
      <c r="H48" s="93" t="str">
        <f>'[2]4. CC D'!G35</f>
        <v>ECATEF/DCV</v>
      </c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93"/>
      <c r="BX48" s="93"/>
      <c r="BY48" s="93"/>
      <c r="BZ48" s="93"/>
      <c r="CA48" s="93"/>
      <c r="CB48" s="93"/>
      <c r="CC48" s="93"/>
      <c r="CD48" s="93"/>
      <c r="CE48" s="93"/>
      <c r="CF48" s="93"/>
      <c r="CG48" s="93"/>
      <c r="CH48" s="93"/>
      <c r="CI48" s="93"/>
      <c r="CJ48" s="93"/>
      <c r="CK48" s="93"/>
      <c r="CL48" s="93"/>
      <c r="CM48" s="93"/>
      <c r="CN48" s="93"/>
    </row>
    <row r="49" spans="1:92" x14ac:dyDescent="0.25">
      <c r="A49" s="95" t="str">
        <f>+'CC D'!A32</f>
        <v>2.2.1</v>
      </c>
      <c r="B49" s="96" t="str">
        <f>+'CC D'!B32</f>
        <v>Contratación de Firma Consultora para la Auditoria Externa del Proyecto PR-L1145</v>
      </c>
      <c r="C49" s="100" t="str">
        <f>+'CC D'!H32</f>
        <v>74 meses</v>
      </c>
      <c r="D49" s="97" t="s">
        <v>155</v>
      </c>
      <c r="E49" s="97" t="s">
        <v>159</v>
      </c>
      <c r="F49" s="97" t="s">
        <v>157</v>
      </c>
      <c r="G49" s="101">
        <f>+'CC D'!I32</f>
        <v>500000</v>
      </c>
      <c r="H49" s="101"/>
      <c r="I49" s="101"/>
      <c r="J49" s="101"/>
      <c r="K49" s="101"/>
      <c r="L49" s="101"/>
      <c r="M49" s="102"/>
      <c r="N49" s="102"/>
      <c r="O49" s="102"/>
      <c r="P49" s="88"/>
      <c r="Q49" s="88"/>
      <c r="R49" s="88"/>
      <c r="S49" s="89">
        <v>1</v>
      </c>
      <c r="T49" s="89">
        <v>2</v>
      </c>
      <c r="U49" s="89">
        <v>3</v>
      </c>
      <c r="V49" s="89">
        <v>4</v>
      </c>
      <c r="W49" s="89">
        <v>5</v>
      </c>
      <c r="X49" s="89">
        <v>6</v>
      </c>
      <c r="Y49" s="89">
        <v>7</v>
      </c>
      <c r="Z49" s="89">
        <v>8</v>
      </c>
      <c r="AA49" s="89">
        <v>9</v>
      </c>
      <c r="AB49" s="89">
        <v>10</v>
      </c>
      <c r="AC49" s="89">
        <v>11</v>
      </c>
      <c r="AD49" s="89">
        <v>12</v>
      </c>
      <c r="AE49" s="89">
        <v>13</v>
      </c>
      <c r="AF49" s="89">
        <v>14</v>
      </c>
      <c r="AG49" s="89">
        <v>15</v>
      </c>
      <c r="AH49" s="89">
        <v>16</v>
      </c>
      <c r="AI49" s="89">
        <v>17</v>
      </c>
      <c r="AJ49" s="89">
        <v>18</v>
      </c>
      <c r="AK49" s="89">
        <v>19</v>
      </c>
      <c r="AL49" s="89">
        <v>20</v>
      </c>
      <c r="AM49" s="89">
        <v>21</v>
      </c>
      <c r="AN49" s="89">
        <v>22</v>
      </c>
      <c r="AO49" s="89">
        <v>23</v>
      </c>
      <c r="AP49" s="89">
        <v>24</v>
      </c>
      <c r="AQ49" s="89">
        <v>25</v>
      </c>
      <c r="AR49" s="89">
        <v>26</v>
      </c>
      <c r="AS49" s="89">
        <v>27</v>
      </c>
      <c r="AT49" s="89">
        <v>28</v>
      </c>
      <c r="AU49" s="89">
        <v>29</v>
      </c>
      <c r="AV49" s="89">
        <v>30</v>
      </c>
      <c r="AW49" s="89">
        <v>31</v>
      </c>
      <c r="AX49" s="89">
        <v>32</v>
      </c>
      <c r="AY49" s="89">
        <v>33</v>
      </c>
      <c r="AZ49" s="89">
        <v>34</v>
      </c>
      <c r="BA49" s="89">
        <v>35</v>
      </c>
      <c r="BB49" s="89">
        <v>36</v>
      </c>
      <c r="BC49" s="89">
        <v>37</v>
      </c>
      <c r="BD49" s="89">
        <v>38</v>
      </c>
      <c r="BE49" s="89">
        <v>39</v>
      </c>
      <c r="BF49" s="89">
        <v>40</v>
      </c>
      <c r="BG49" s="89">
        <v>41</v>
      </c>
      <c r="BH49" s="89">
        <v>42</v>
      </c>
      <c r="BI49" s="89">
        <v>43</v>
      </c>
      <c r="BJ49" s="89">
        <v>44</v>
      </c>
      <c r="BK49" s="89">
        <v>45</v>
      </c>
      <c r="BL49" s="89">
        <v>46</v>
      </c>
      <c r="BM49" s="89">
        <v>47</v>
      </c>
      <c r="BN49" s="89">
        <v>48</v>
      </c>
      <c r="BO49" s="89">
        <v>49</v>
      </c>
      <c r="BP49" s="89">
        <v>50</v>
      </c>
      <c r="BQ49" s="89">
        <v>51</v>
      </c>
      <c r="BR49" s="89">
        <v>52</v>
      </c>
      <c r="BS49" s="89">
        <v>53</v>
      </c>
      <c r="BT49" s="89">
        <v>54</v>
      </c>
      <c r="BU49" s="89">
        <v>55</v>
      </c>
      <c r="BV49" s="89">
        <v>56</v>
      </c>
      <c r="BW49" s="89">
        <v>57</v>
      </c>
      <c r="BX49" s="89">
        <v>58</v>
      </c>
      <c r="BY49" s="89">
        <v>59</v>
      </c>
      <c r="BZ49" s="89">
        <v>60</v>
      </c>
      <c r="CA49" s="89">
        <v>61</v>
      </c>
      <c r="CB49" s="89">
        <v>62</v>
      </c>
      <c r="CC49" s="89">
        <v>63</v>
      </c>
      <c r="CD49" s="89">
        <v>64</v>
      </c>
      <c r="CE49" s="89">
        <v>65</v>
      </c>
      <c r="CF49" s="89">
        <v>66</v>
      </c>
      <c r="CG49" s="89">
        <v>67</v>
      </c>
      <c r="CH49" s="89">
        <v>68</v>
      </c>
      <c r="CI49" s="89">
        <v>69</v>
      </c>
      <c r="CJ49" s="89">
        <v>70</v>
      </c>
      <c r="CK49" s="89">
        <v>71</v>
      </c>
      <c r="CL49" s="89">
        <v>72</v>
      </c>
      <c r="CM49" s="89">
        <v>73</v>
      </c>
      <c r="CN49" s="89">
        <v>74</v>
      </c>
    </row>
    <row r="50" spans="1:92" ht="21" customHeight="1" x14ac:dyDescent="0.25">
      <c r="A50" s="95" t="str">
        <f>+'CC D'!A33</f>
        <v>2.2.2</v>
      </c>
      <c r="B50" s="96" t="str">
        <f>+'CC D'!B34</f>
        <v>Contratíon Firma Consultora para la Capacitación de Funcionarios en Gestión de contratos CREMA</v>
      </c>
      <c r="C50" s="100" t="str">
        <f>+'CC D'!H34</f>
        <v>6 meses</v>
      </c>
      <c r="D50" s="97" t="s">
        <v>167</v>
      </c>
      <c r="E50" s="90" t="s">
        <v>168</v>
      </c>
      <c r="F50" s="90" t="s">
        <v>166</v>
      </c>
      <c r="G50" s="101">
        <f>+'CC D'!I34</f>
        <v>100000</v>
      </c>
      <c r="H50" s="101"/>
      <c r="I50" s="87"/>
      <c r="J50" s="87"/>
      <c r="K50" s="87"/>
      <c r="L50" s="88"/>
      <c r="M50" s="88"/>
      <c r="N50" s="88"/>
      <c r="O50" s="88"/>
      <c r="P50" s="88"/>
      <c r="Q50" s="88"/>
      <c r="R50" s="88"/>
      <c r="S50" s="89">
        <v>1</v>
      </c>
      <c r="T50" s="89">
        <v>2</v>
      </c>
      <c r="U50" s="89">
        <v>3</v>
      </c>
      <c r="V50" s="89">
        <v>4</v>
      </c>
      <c r="W50" s="89">
        <v>5</v>
      </c>
      <c r="X50" s="89">
        <v>6</v>
      </c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</row>
    <row r="51" spans="1:92" x14ac:dyDescent="0.25">
      <c r="A51" s="95" t="str">
        <f>+'CC D'!A34</f>
        <v>2.2.3</v>
      </c>
      <c r="B51" s="96" t="str">
        <f>+'CC D'!B36</f>
        <v xml:space="preserve">Contratación Firma Consultora para Innovación tecnológica de red vial secundaria del Chaco y alimentadoras de la Ruta 9 </v>
      </c>
      <c r="C51" s="100" t="str">
        <f>+'CC D'!H36</f>
        <v>6 meses</v>
      </c>
      <c r="D51" s="97" t="s">
        <v>169</v>
      </c>
      <c r="E51" s="90" t="s">
        <v>168</v>
      </c>
      <c r="F51" s="90" t="s">
        <v>166</v>
      </c>
      <c r="G51" s="101">
        <f>+'CC D'!I36</f>
        <v>150000</v>
      </c>
      <c r="H51" s="101"/>
      <c r="I51" s="87"/>
      <c r="J51" s="87"/>
      <c r="K51" s="87"/>
      <c r="L51" s="88"/>
      <c r="M51" s="88"/>
      <c r="N51" s="88"/>
      <c r="O51" s="88"/>
      <c r="P51" s="88"/>
      <c r="Q51" s="88"/>
      <c r="R51" s="88"/>
      <c r="S51" s="89">
        <v>1</v>
      </c>
      <c r="T51" s="89">
        <v>2</v>
      </c>
      <c r="U51" s="89">
        <v>3</v>
      </c>
      <c r="V51" s="89">
        <v>4</v>
      </c>
      <c r="W51" s="89">
        <v>5</v>
      </c>
      <c r="X51" s="89">
        <v>6</v>
      </c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</row>
    <row r="52" spans="1:92" x14ac:dyDescent="0.25">
      <c r="A52" s="95" t="str">
        <f>+'CC D'!A35</f>
        <v>2.2.4</v>
      </c>
      <c r="B52" s="96" t="str">
        <f>+'CC D'!B38</f>
        <v>Contratación Firma Consultora para el  Estudio de viabilidad de uso de bitrenes en la Ruta 9</v>
      </c>
      <c r="C52" s="100" t="str">
        <f>+'CC D'!H37</f>
        <v>6 meses</v>
      </c>
      <c r="D52" s="97" t="s">
        <v>169</v>
      </c>
      <c r="E52" s="90" t="s">
        <v>164</v>
      </c>
      <c r="F52" s="90" t="s">
        <v>170</v>
      </c>
      <c r="G52" s="101">
        <f>+'CC D'!I38</f>
        <v>100000</v>
      </c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87"/>
      <c r="V52" s="87"/>
      <c r="W52" s="87"/>
      <c r="X52" s="88"/>
      <c r="Y52" s="88"/>
      <c r="Z52" s="88"/>
      <c r="AA52" s="88"/>
      <c r="AB52" s="88"/>
      <c r="AC52" s="88"/>
      <c r="AD52" s="88"/>
      <c r="AE52" s="89">
        <v>1</v>
      </c>
      <c r="AF52" s="89">
        <v>2</v>
      </c>
      <c r="AG52" s="89">
        <v>3</v>
      </c>
      <c r="AH52" s="89">
        <v>4</v>
      </c>
      <c r="AI52" s="89">
        <v>5</v>
      </c>
      <c r="AJ52" s="89">
        <v>6</v>
      </c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</row>
    <row r="53" spans="1:92" x14ac:dyDescent="0.25">
      <c r="A53" s="95" t="str">
        <f>+'CC D'!A36</f>
        <v>2.2.5</v>
      </c>
      <c r="B53" s="96" t="str">
        <f>+'CC D'!B37</f>
        <v>Contratación Firma Consultora para el Estudio de alternativas de mantenimiento de red vial en el Chaco</v>
      </c>
      <c r="C53" s="100" t="str">
        <f>+'CC D'!H37</f>
        <v>6 meses</v>
      </c>
      <c r="D53" s="97" t="s">
        <v>171</v>
      </c>
      <c r="E53" s="90" t="s">
        <v>172</v>
      </c>
      <c r="F53" s="90" t="s">
        <v>173</v>
      </c>
      <c r="G53" s="101">
        <f>+'CC D'!I37</f>
        <v>100000</v>
      </c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87"/>
      <c r="AD53" s="87"/>
      <c r="AE53" s="87"/>
      <c r="AF53" s="88"/>
      <c r="AG53" s="88"/>
      <c r="AH53" s="88"/>
      <c r="AI53" s="88"/>
      <c r="AJ53" s="88"/>
      <c r="AK53" s="88"/>
      <c r="AL53" s="88"/>
      <c r="AM53" s="89">
        <v>1</v>
      </c>
      <c r="AN53" s="89">
        <v>2</v>
      </c>
      <c r="AO53" s="89">
        <v>3</v>
      </c>
      <c r="AP53" s="89">
        <v>4</v>
      </c>
      <c r="AQ53" s="89">
        <v>5</v>
      </c>
      <c r="AR53" s="89">
        <v>6</v>
      </c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</row>
    <row r="54" spans="1:92" x14ac:dyDescent="0.25">
      <c r="A54" s="95" t="str">
        <f>+'CC D'!A37</f>
        <v>2.2.6</v>
      </c>
      <c r="B54" s="96" t="str">
        <f>+'CC D'!B35</f>
        <v>Contratación Firma Consultora para la Inspección de Seguridad vial en obras concluidas</v>
      </c>
      <c r="C54" s="100" t="str">
        <f>+'CC D'!H35</f>
        <v>6 meses</v>
      </c>
      <c r="D54" s="97" t="s">
        <v>174</v>
      </c>
      <c r="E54" s="97" t="s">
        <v>175</v>
      </c>
      <c r="F54" s="97" t="s">
        <v>176</v>
      </c>
      <c r="G54" s="101">
        <f>+'CC D'!I35</f>
        <v>50000</v>
      </c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87"/>
      <c r="AJ54" s="87"/>
      <c r="AK54" s="87"/>
      <c r="AL54" s="88"/>
      <c r="AM54" s="88"/>
      <c r="AN54" s="88"/>
      <c r="AO54" s="88"/>
      <c r="AP54" s="88"/>
      <c r="AQ54" s="88"/>
      <c r="AR54" s="88"/>
      <c r="AS54" s="89">
        <v>1</v>
      </c>
      <c r="AT54" s="89">
        <v>2</v>
      </c>
      <c r="AU54" s="89">
        <v>3</v>
      </c>
      <c r="AV54" s="89">
        <v>4</v>
      </c>
      <c r="AW54" s="89">
        <v>5</v>
      </c>
      <c r="AX54" s="89">
        <v>6</v>
      </c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</row>
    <row r="55" spans="1:92" ht="20.25" customHeight="1" x14ac:dyDescent="0.25">
      <c r="A55" s="95" t="str">
        <f>+'CC D'!A38</f>
        <v>2.2.7</v>
      </c>
      <c r="B55" s="96" t="str">
        <f>+'CC D'!B33</f>
        <v>Contratación de Firma Consultora para la Evaluación Final del Proyecto</v>
      </c>
      <c r="C55" s="100" t="str">
        <f>+'CC D'!H33</f>
        <v>6 meses</v>
      </c>
      <c r="D55" s="97" t="s">
        <v>177</v>
      </c>
      <c r="E55" s="97" t="s">
        <v>178</v>
      </c>
      <c r="F55" s="97" t="s">
        <v>157</v>
      </c>
      <c r="G55" s="101">
        <f>+'CC D'!I33</f>
        <v>100000</v>
      </c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2"/>
      <c r="BX55" s="102"/>
      <c r="BY55" s="102"/>
      <c r="BZ55" s="102"/>
      <c r="CA55" s="88"/>
      <c r="CB55" s="88"/>
      <c r="CC55" s="88"/>
      <c r="CD55" s="88"/>
      <c r="CE55" s="88"/>
      <c r="CF55" s="88"/>
      <c r="CG55" s="103">
        <v>1</v>
      </c>
      <c r="CH55" s="103">
        <v>2</v>
      </c>
      <c r="CI55" s="103">
        <v>3</v>
      </c>
      <c r="CJ55" s="103">
        <v>4</v>
      </c>
      <c r="CK55" s="103">
        <v>5</v>
      </c>
      <c r="CL55" s="103">
        <v>6</v>
      </c>
      <c r="CM55" s="101"/>
      <c r="CN55" s="101"/>
    </row>
    <row r="56" spans="1:92" s="69" customFormat="1" ht="17.25" customHeight="1" x14ac:dyDescent="0.25">
      <c r="A56" s="91">
        <f>+'CC D'!A39</f>
        <v>2.2999999999999998</v>
      </c>
      <c r="B56" s="79" t="str">
        <f>+'CC D'!B39</f>
        <v>Comisión de Financiamiento (CAF)</v>
      </c>
      <c r="C56" s="92"/>
      <c r="D56" s="92"/>
      <c r="E56" s="92"/>
      <c r="F56" s="92"/>
      <c r="G56" s="93">
        <f>+'CC D'!I39</f>
        <v>3400000</v>
      </c>
      <c r="H56" s="92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3"/>
      <c r="BX56" s="93"/>
      <c r="BY56" s="93"/>
      <c r="BZ56" s="93"/>
      <c r="CA56" s="93"/>
      <c r="CB56" s="93"/>
      <c r="CC56" s="93"/>
      <c r="CD56" s="93"/>
      <c r="CE56" s="93"/>
      <c r="CF56" s="93"/>
      <c r="CG56" s="93"/>
      <c r="CH56" s="93"/>
      <c r="CI56" s="93"/>
      <c r="CJ56" s="93"/>
      <c r="CK56" s="93"/>
      <c r="CL56" s="93"/>
      <c r="CM56" s="93"/>
      <c r="CN56" s="93"/>
    </row>
    <row r="57" spans="1:92" s="69" customFormat="1" ht="17.25" customHeight="1" x14ac:dyDescent="0.25">
      <c r="A57" s="91">
        <f>+'CC D'!A40</f>
        <v>2.4</v>
      </c>
      <c r="B57" s="79" t="str">
        <f>+'CC D'!B40</f>
        <v>Gastos de Evaluación (CAF)</v>
      </c>
      <c r="C57" s="92"/>
      <c r="D57" s="92"/>
      <c r="E57" s="92"/>
      <c r="F57" s="92"/>
      <c r="G57" s="93">
        <f>+'CC D'!I40</f>
        <v>50000</v>
      </c>
      <c r="H57" s="92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P57" s="93"/>
      <c r="BQ57" s="93"/>
      <c r="BR57" s="93"/>
      <c r="BS57" s="93"/>
      <c r="BT57" s="93"/>
      <c r="BU57" s="93"/>
      <c r="BV57" s="93"/>
      <c r="BW57" s="93"/>
      <c r="BX57" s="93"/>
      <c r="BY57" s="93"/>
      <c r="BZ57" s="93"/>
      <c r="CA57" s="93"/>
      <c r="CB57" s="93"/>
      <c r="CC57" s="93"/>
      <c r="CD57" s="93"/>
      <c r="CE57" s="93"/>
      <c r="CF57" s="93"/>
      <c r="CG57" s="93"/>
      <c r="CH57" s="93"/>
      <c r="CI57" s="93"/>
      <c r="CJ57" s="93"/>
      <c r="CK57" s="93"/>
      <c r="CL57" s="93"/>
      <c r="CM57" s="93"/>
      <c r="CN57" s="93"/>
    </row>
  </sheetData>
  <mergeCells count="45">
    <mergeCell ref="AM8:AO8"/>
    <mergeCell ref="AP8:AR8"/>
    <mergeCell ref="BN8:BP8"/>
    <mergeCell ref="AV8:AX8"/>
    <mergeCell ref="AY8:BA8"/>
    <mergeCell ref="BB8:BD8"/>
    <mergeCell ref="BE8:BG8"/>
    <mergeCell ref="BH8:BJ8"/>
    <mergeCell ref="BK8:BM8"/>
    <mergeCell ref="X8:Z8"/>
    <mergeCell ref="AA8:AC8"/>
    <mergeCell ref="AD8:AF8"/>
    <mergeCell ref="AG8:AI8"/>
    <mergeCell ref="AJ8:AL8"/>
    <mergeCell ref="AG7:AR7"/>
    <mergeCell ref="AS7:BD7"/>
    <mergeCell ref="BE7:BP7"/>
    <mergeCell ref="A8:A9"/>
    <mergeCell ref="B8:B9"/>
    <mergeCell ref="C8:C9"/>
    <mergeCell ref="D8:D9"/>
    <mergeCell ref="E8:E9"/>
    <mergeCell ref="F8:F9"/>
    <mergeCell ref="I8:K8"/>
    <mergeCell ref="U7:AF7"/>
    <mergeCell ref="AS8:AU8"/>
    <mergeCell ref="L8:N8"/>
    <mergeCell ref="O8:Q8"/>
    <mergeCell ref="R8:T8"/>
    <mergeCell ref="U8:W8"/>
    <mergeCell ref="A1:B1"/>
    <mergeCell ref="A2:B2"/>
    <mergeCell ref="A4:B4"/>
    <mergeCell ref="A6:B6"/>
    <mergeCell ref="I7:T7"/>
    <mergeCell ref="BQ7:CB7"/>
    <mergeCell ref="BQ8:BS8"/>
    <mergeCell ref="BT8:BV8"/>
    <mergeCell ref="BW8:BY8"/>
    <mergeCell ref="BZ8:CB8"/>
    <mergeCell ref="CC8:CE8"/>
    <mergeCell ref="CF8:CH8"/>
    <mergeCell ref="CI8:CK8"/>
    <mergeCell ref="CL8:CN8"/>
    <mergeCell ref="CC7:CN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3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T57"/>
  <sheetViews>
    <sheetView showGridLines="0" topLeftCell="A9" zoomScale="70" zoomScaleNormal="70" workbookViewId="0">
      <selection activeCell="G51" sqref="G51"/>
    </sheetView>
  </sheetViews>
  <sheetFormatPr defaultColWidth="11.44140625" defaultRowHeight="13.8" x14ac:dyDescent="0.25"/>
  <cols>
    <col min="1" max="1" width="12.44140625" style="104" customWidth="1"/>
    <col min="2" max="2" width="117.6640625" style="29" customWidth="1"/>
    <col min="3" max="3" width="15.5546875" style="24" hidden="1" customWidth="1"/>
    <col min="4" max="4" width="17.88671875" style="25" hidden="1" customWidth="1"/>
    <col min="5" max="5" width="36.44140625" style="26" customWidth="1"/>
    <col min="6" max="6" width="31.6640625" style="26" customWidth="1"/>
    <col min="7" max="7" width="10" style="27" customWidth="1"/>
    <col min="8" max="8" width="14.88671875" style="27" customWidth="1"/>
    <col min="9" max="20" width="4.5546875" style="23" customWidth="1"/>
    <col min="21" max="168" width="11.44140625" style="23"/>
    <col min="169" max="169" width="44.44140625" style="23" customWidth="1"/>
    <col min="170" max="170" width="13" style="23" customWidth="1"/>
    <col min="171" max="176" width="2" style="23" customWidth="1"/>
    <col min="177" max="177" width="2.44140625" style="23" customWidth="1"/>
    <col min="178" max="178" width="3" style="23" customWidth="1"/>
    <col min="179" max="181" width="2" style="23" customWidth="1"/>
    <col min="182" max="182" width="2.88671875" style="23" customWidth="1"/>
    <col min="183" max="183" width="3" style="23" customWidth="1"/>
    <col min="184" max="184" width="2.6640625" style="23" customWidth="1"/>
    <col min="185" max="185" width="2.44140625" style="23" customWidth="1"/>
    <col min="186" max="186" width="3.33203125" style="23" customWidth="1"/>
    <col min="187" max="187" width="3.5546875" style="23" customWidth="1"/>
    <col min="188" max="188" width="4" style="23" customWidth="1"/>
    <col min="189" max="189" width="3.44140625" style="23" customWidth="1"/>
    <col min="190" max="190" width="3" style="23" customWidth="1"/>
    <col min="191" max="424" width="11.44140625" style="23"/>
    <col min="425" max="425" width="44.44140625" style="23" customWidth="1"/>
    <col min="426" max="426" width="13" style="23" customWidth="1"/>
    <col min="427" max="432" width="2" style="23" customWidth="1"/>
    <col min="433" max="433" width="2.44140625" style="23" customWidth="1"/>
    <col min="434" max="434" width="3" style="23" customWidth="1"/>
    <col min="435" max="437" width="2" style="23" customWidth="1"/>
    <col min="438" max="438" width="2.88671875" style="23" customWidth="1"/>
    <col min="439" max="439" width="3" style="23" customWidth="1"/>
    <col min="440" max="440" width="2.6640625" style="23" customWidth="1"/>
    <col min="441" max="441" width="2.44140625" style="23" customWidth="1"/>
    <col min="442" max="442" width="3.33203125" style="23" customWidth="1"/>
    <col min="443" max="443" width="3.5546875" style="23" customWidth="1"/>
    <col min="444" max="444" width="4" style="23" customWidth="1"/>
    <col min="445" max="445" width="3.44140625" style="23" customWidth="1"/>
    <col min="446" max="446" width="3" style="23" customWidth="1"/>
    <col min="447" max="680" width="11.44140625" style="23"/>
    <col min="681" max="681" width="44.44140625" style="23" customWidth="1"/>
    <col min="682" max="682" width="13" style="23" customWidth="1"/>
    <col min="683" max="688" width="2" style="23" customWidth="1"/>
    <col min="689" max="689" width="2.44140625" style="23" customWidth="1"/>
    <col min="690" max="690" width="3" style="23" customWidth="1"/>
    <col min="691" max="693" width="2" style="23" customWidth="1"/>
    <col min="694" max="694" width="2.88671875" style="23" customWidth="1"/>
    <col min="695" max="695" width="3" style="23" customWidth="1"/>
    <col min="696" max="696" width="2.6640625" style="23" customWidth="1"/>
    <col min="697" max="697" width="2.44140625" style="23" customWidth="1"/>
    <col min="698" max="698" width="3.33203125" style="23" customWidth="1"/>
    <col min="699" max="699" width="3.5546875" style="23" customWidth="1"/>
    <col min="700" max="700" width="4" style="23" customWidth="1"/>
    <col min="701" max="701" width="3.44140625" style="23" customWidth="1"/>
    <col min="702" max="702" width="3" style="23" customWidth="1"/>
    <col min="703" max="936" width="11.44140625" style="23"/>
    <col min="937" max="937" width="44.44140625" style="23" customWidth="1"/>
    <col min="938" max="938" width="13" style="23" customWidth="1"/>
    <col min="939" max="944" width="2" style="23" customWidth="1"/>
    <col min="945" max="945" width="2.44140625" style="23" customWidth="1"/>
    <col min="946" max="946" width="3" style="23" customWidth="1"/>
    <col min="947" max="949" width="2" style="23" customWidth="1"/>
    <col min="950" max="950" width="2.88671875" style="23" customWidth="1"/>
    <col min="951" max="951" width="3" style="23" customWidth="1"/>
    <col min="952" max="952" width="2.6640625" style="23" customWidth="1"/>
    <col min="953" max="953" width="2.44140625" style="23" customWidth="1"/>
    <col min="954" max="954" width="3.33203125" style="23" customWidth="1"/>
    <col min="955" max="955" width="3.5546875" style="23" customWidth="1"/>
    <col min="956" max="956" width="4" style="23" customWidth="1"/>
    <col min="957" max="957" width="3.44140625" style="23" customWidth="1"/>
    <col min="958" max="958" width="3" style="23" customWidth="1"/>
    <col min="959" max="1192" width="11.44140625" style="23"/>
    <col min="1193" max="1193" width="44.44140625" style="23" customWidth="1"/>
    <col min="1194" max="1194" width="13" style="23" customWidth="1"/>
    <col min="1195" max="1200" width="2" style="23" customWidth="1"/>
    <col min="1201" max="1201" width="2.44140625" style="23" customWidth="1"/>
    <col min="1202" max="1202" width="3" style="23" customWidth="1"/>
    <col min="1203" max="1205" width="2" style="23" customWidth="1"/>
    <col min="1206" max="1206" width="2.88671875" style="23" customWidth="1"/>
    <col min="1207" max="1207" width="3" style="23" customWidth="1"/>
    <col min="1208" max="1208" width="2.6640625" style="23" customWidth="1"/>
    <col min="1209" max="1209" width="2.44140625" style="23" customWidth="1"/>
    <col min="1210" max="1210" width="3.33203125" style="23" customWidth="1"/>
    <col min="1211" max="1211" width="3.5546875" style="23" customWidth="1"/>
    <col min="1212" max="1212" width="4" style="23" customWidth="1"/>
    <col min="1213" max="1213" width="3.44140625" style="23" customWidth="1"/>
    <col min="1214" max="1214" width="3" style="23" customWidth="1"/>
    <col min="1215" max="1448" width="11.44140625" style="23"/>
    <col min="1449" max="1449" width="44.44140625" style="23" customWidth="1"/>
    <col min="1450" max="1450" width="13" style="23" customWidth="1"/>
    <col min="1451" max="1456" width="2" style="23" customWidth="1"/>
    <col min="1457" max="1457" width="2.44140625" style="23" customWidth="1"/>
    <col min="1458" max="1458" width="3" style="23" customWidth="1"/>
    <col min="1459" max="1461" width="2" style="23" customWidth="1"/>
    <col min="1462" max="1462" width="2.88671875" style="23" customWidth="1"/>
    <col min="1463" max="1463" width="3" style="23" customWidth="1"/>
    <col min="1464" max="1464" width="2.6640625" style="23" customWidth="1"/>
    <col min="1465" max="1465" width="2.44140625" style="23" customWidth="1"/>
    <col min="1466" max="1466" width="3.33203125" style="23" customWidth="1"/>
    <col min="1467" max="1467" width="3.5546875" style="23" customWidth="1"/>
    <col min="1468" max="1468" width="4" style="23" customWidth="1"/>
    <col min="1469" max="1469" width="3.44140625" style="23" customWidth="1"/>
    <col min="1470" max="1470" width="3" style="23" customWidth="1"/>
    <col min="1471" max="1704" width="11.44140625" style="23"/>
    <col min="1705" max="1705" width="44.44140625" style="23" customWidth="1"/>
    <col min="1706" max="1706" width="13" style="23" customWidth="1"/>
    <col min="1707" max="1712" width="2" style="23" customWidth="1"/>
    <col min="1713" max="1713" width="2.44140625" style="23" customWidth="1"/>
    <col min="1714" max="1714" width="3" style="23" customWidth="1"/>
    <col min="1715" max="1717" width="2" style="23" customWidth="1"/>
    <col min="1718" max="1718" width="2.88671875" style="23" customWidth="1"/>
    <col min="1719" max="1719" width="3" style="23" customWidth="1"/>
    <col min="1720" max="1720" width="2.6640625" style="23" customWidth="1"/>
    <col min="1721" max="1721" width="2.44140625" style="23" customWidth="1"/>
    <col min="1722" max="1722" width="3.33203125" style="23" customWidth="1"/>
    <col min="1723" max="1723" width="3.5546875" style="23" customWidth="1"/>
    <col min="1724" max="1724" width="4" style="23" customWidth="1"/>
    <col min="1725" max="1725" width="3.44140625" style="23" customWidth="1"/>
    <col min="1726" max="1726" width="3" style="23" customWidth="1"/>
    <col min="1727" max="1960" width="11.44140625" style="23"/>
    <col min="1961" max="1961" width="44.44140625" style="23" customWidth="1"/>
    <col min="1962" max="1962" width="13" style="23" customWidth="1"/>
    <col min="1963" max="1968" width="2" style="23" customWidth="1"/>
    <col min="1969" max="1969" width="2.44140625" style="23" customWidth="1"/>
    <col min="1970" max="1970" width="3" style="23" customWidth="1"/>
    <col min="1971" max="1973" width="2" style="23" customWidth="1"/>
    <col min="1974" max="1974" width="2.88671875" style="23" customWidth="1"/>
    <col min="1975" max="1975" width="3" style="23" customWidth="1"/>
    <col min="1976" max="1976" width="2.6640625" style="23" customWidth="1"/>
    <col min="1977" max="1977" width="2.44140625" style="23" customWidth="1"/>
    <col min="1978" max="1978" width="3.33203125" style="23" customWidth="1"/>
    <col min="1979" max="1979" width="3.5546875" style="23" customWidth="1"/>
    <col min="1980" max="1980" width="4" style="23" customWidth="1"/>
    <col min="1981" max="1981" width="3.44140625" style="23" customWidth="1"/>
    <col min="1982" max="1982" width="3" style="23" customWidth="1"/>
    <col min="1983" max="2216" width="11.44140625" style="23"/>
    <col min="2217" max="2217" width="44.44140625" style="23" customWidth="1"/>
    <col min="2218" max="2218" width="13" style="23" customWidth="1"/>
    <col min="2219" max="2224" width="2" style="23" customWidth="1"/>
    <col min="2225" max="2225" width="2.44140625" style="23" customWidth="1"/>
    <col min="2226" max="2226" width="3" style="23" customWidth="1"/>
    <col min="2227" max="2229" width="2" style="23" customWidth="1"/>
    <col min="2230" max="2230" width="2.88671875" style="23" customWidth="1"/>
    <col min="2231" max="2231" width="3" style="23" customWidth="1"/>
    <col min="2232" max="2232" width="2.6640625" style="23" customWidth="1"/>
    <col min="2233" max="2233" width="2.44140625" style="23" customWidth="1"/>
    <col min="2234" max="2234" width="3.33203125" style="23" customWidth="1"/>
    <col min="2235" max="2235" width="3.5546875" style="23" customWidth="1"/>
    <col min="2236" max="2236" width="4" style="23" customWidth="1"/>
    <col min="2237" max="2237" width="3.44140625" style="23" customWidth="1"/>
    <col min="2238" max="2238" width="3" style="23" customWidth="1"/>
    <col min="2239" max="2472" width="11.44140625" style="23"/>
    <col min="2473" max="2473" width="44.44140625" style="23" customWidth="1"/>
    <col min="2474" max="2474" width="13" style="23" customWidth="1"/>
    <col min="2475" max="2480" width="2" style="23" customWidth="1"/>
    <col min="2481" max="2481" width="2.44140625" style="23" customWidth="1"/>
    <col min="2482" max="2482" width="3" style="23" customWidth="1"/>
    <col min="2483" max="2485" width="2" style="23" customWidth="1"/>
    <col min="2486" max="2486" width="2.88671875" style="23" customWidth="1"/>
    <col min="2487" max="2487" width="3" style="23" customWidth="1"/>
    <col min="2488" max="2488" width="2.6640625" style="23" customWidth="1"/>
    <col min="2489" max="2489" width="2.44140625" style="23" customWidth="1"/>
    <col min="2490" max="2490" width="3.33203125" style="23" customWidth="1"/>
    <col min="2491" max="2491" width="3.5546875" style="23" customWidth="1"/>
    <col min="2492" max="2492" width="4" style="23" customWidth="1"/>
    <col min="2493" max="2493" width="3.44140625" style="23" customWidth="1"/>
    <col min="2494" max="2494" width="3" style="23" customWidth="1"/>
    <col min="2495" max="2728" width="11.44140625" style="23"/>
    <col min="2729" max="2729" width="44.44140625" style="23" customWidth="1"/>
    <col min="2730" max="2730" width="13" style="23" customWidth="1"/>
    <col min="2731" max="2736" width="2" style="23" customWidth="1"/>
    <col min="2737" max="2737" width="2.44140625" style="23" customWidth="1"/>
    <col min="2738" max="2738" width="3" style="23" customWidth="1"/>
    <col min="2739" max="2741" width="2" style="23" customWidth="1"/>
    <col min="2742" max="2742" width="2.88671875" style="23" customWidth="1"/>
    <col min="2743" max="2743" width="3" style="23" customWidth="1"/>
    <col min="2744" max="2744" width="2.6640625" style="23" customWidth="1"/>
    <col min="2745" max="2745" width="2.44140625" style="23" customWidth="1"/>
    <col min="2746" max="2746" width="3.33203125" style="23" customWidth="1"/>
    <col min="2747" max="2747" width="3.5546875" style="23" customWidth="1"/>
    <col min="2748" max="2748" width="4" style="23" customWidth="1"/>
    <col min="2749" max="2749" width="3.44140625" style="23" customWidth="1"/>
    <col min="2750" max="2750" width="3" style="23" customWidth="1"/>
    <col min="2751" max="2984" width="11.44140625" style="23"/>
    <col min="2985" max="2985" width="44.44140625" style="23" customWidth="1"/>
    <col min="2986" max="2986" width="13" style="23" customWidth="1"/>
    <col min="2987" max="2992" width="2" style="23" customWidth="1"/>
    <col min="2993" max="2993" width="2.44140625" style="23" customWidth="1"/>
    <col min="2994" max="2994" width="3" style="23" customWidth="1"/>
    <col min="2995" max="2997" width="2" style="23" customWidth="1"/>
    <col min="2998" max="2998" width="2.88671875" style="23" customWidth="1"/>
    <col min="2999" max="2999" width="3" style="23" customWidth="1"/>
    <col min="3000" max="3000" width="2.6640625" style="23" customWidth="1"/>
    <col min="3001" max="3001" width="2.44140625" style="23" customWidth="1"/>
    <col min="3002" max="3002" width="3.33203125" style="23" customWidth="1"/>
    <col min="3003" max="3003" width="3.5546875" style="23" customWidth="1"/>
    <col min="3004" max="3004" width="4" style="23" customWidth="1"/>
    <col min="3005" max="3005" width="3.44140625" style="23" customWidth="1"/>
    <col min="3006" max="3006" width="3" style="23" customWidth="1"/>
    <col min="3007" max="3240" width="11.44140625" style="23"/>
    <col min="3241" max="3241" width="44.44140625" style="23" customWidth="1"/>
    <col min="3242" max="3242" width="13" style="23" customWidth="1"/>
    <col min="3243" max="3248" width="2" style="23" customWidth="1"/>
    <col min="3249" max="3249" width="2.44140625" style="23" customWidth="1"/>
    <col min="3250" max="3250" width="3" style="23" customWidth="1"/>
    <col min="3251" max="3253" width="2" style="23" customWidth="1"/>
    <col min="3254" max="3254" width="2.88671875" style="23" customWidth="1"/>
    <col min="3255" max="3255" width="3" style="23" customWidth="1"/>
    <col min="3256" max="3256" width="2.6640625" style="23" customWidth="1"/>
    <col min="3257" max="3257" width="2.44140625" style="23" customWidth="1"/>
    <col min="3258" max="3258" width="3.33203125" style="23" customWidth="1"/>
    <col min="3259" max="3259" width="3.5546875" style="23" customWidth="1"/>
    <col min="3260" max="3260" width="4" style="23" customWidth="1"/>
    <col min="3261" max="3261" width="3.44140625" style="23" customWidth="1"/>
    <col min="3262" max="3262" width="3" style="23" customWidth="1"/>
    <col min="3263" max="3496" width="11.44140625" style="23"/>
    <col min="3497" max="3497" width="44.44140625" style="23" customWidth="1"/>
    <col min="3498" max="3498" width="13" style="23" customWidth="1"/>
    <col min="3499" max="3504" width="2" style="23" customWidth="1"/>
    <col min="3505" max="3505" width="2.44140625" style="23" customWidth="1"/>
    <col min="3506" max="3506" width="3" style="23" customWidth="1"/>
    <col min="3507" max="3509" width="2" style="23" customWidth="1"/>
    <col min="3510" max="3510" width="2.88671875" style="23" customWidth="1"/>
    <col min="3511" max="3511" width="3" style="23" customWidth="1"/>
    <col min="3512" max="3512" width="2.6640625" style="23" customWidth="1"/>
    <col min="3513" max="3513" width="2.44140625" style="23" customWidth="1"/>
    <col min="3514" max="3514" width="3.33203125" style="23" customWidth="1"/>
    <col min="3515" max="3515" width="3.5546875" style="23" customWidth="1"/>
    <col min="3516" max="3516" width="4" style="23" customWidth="1"/>
    <col min="3517" max="3517" width="3.44140625" style="23" customWidth="1"/>
    <col min="3518" max="3518" width="3" style="23" customWidth="1"/>
    <col min="3519" max="3752" width="11.44140625" style="23"/>
    <col min="3753" max="3753" width="44.44140625" style="23" customWidth="1"/>
    <col min="3754" max="3754" width="13" style="23" customWidth="1"/>
    <col min="3755" max="3760" width="2" style="23" customWidth="1"/>
    <col min="3761" max="3761" width="2.44140625" style="23" customWidth="1"/>
    <col min="3762" max="3762" width="3" style="23" customWidth="1"/>
    <col min="3763" max="3765" width="2" style="23" customWidth="1"/>
    <col min="3766" max="3766" width="2.88671875" style="23" customWidth="1"/>
    <col min="3767" max="3767" width="3" style="23" customWidth="1"/>
    <col min="3768" max="3768" width="2.6640625" style="23" customWidth="1"/>
    <col min="3769" max="3769" width="2.44140625" style="23" customWidth="1"/>
    <col min="3770" max="3770" width="3.33203125" style="23" customWidth="1"/>
    <col min="3771" max="3771" width="3.5546875" style="23" customWidth="1"/>
    <col min="3772" max="3772" width="4" style="23" customWidth="1"/>
    <col min="3773" max="3773" width="3.44140625" style="23" customWidth="1"/>
    <col min="3774" max="3774" width="3" style="23" customWidth="1"/>
    <col min="3775" max="4008" width="11.44140625" style="23"/>
    <col min="4009" max="4009" width="44.44140625" style="23" customWidth="1"/>
    <col min="4010" max="4010" width="13" style="23" customWidth="1"/>
    <col min="4011" max="4016" width="2" style="23" customWidth="1"/>
    <col min="4017" max="4017" width="2.44140625" style="23" customWidth="1"/>
    <col min="4018" max="4018" width="3" style="23" customWidth="1"/>
    <col min="4019" max="4021" width="2" style="23" customWidth="1"/>
    <col min="4022" max="4022" width="2.88671875" style="23" customWidth="1"/>
    <col min="4023" max="4023" width="3" style="23" customWidth="1"/>
    <col min="4024" max="4024" width="2.6640625" style="23" customWidth="1"/>
    <col min="4025" max="4025" width="2.44140625" style="23" customWidth="1"/>
    <col min="4026" max="4026" width="3.33203125" style="23" customWidth="1"/>
    <col min="4027" max="4027" width="3.5546875" style="23" customWidth="1"/>
    <col min="4028" max="4028" width="4" style="23" customWidth="1"/>
    <col min="4029" max="4029" width="3.44140625" style="23" customWidth="1"/>
    <col min="4030" max="4030" width="3" style="23" customWidth="1"/>
    <col min="4031" max="4264" width="11.44140625" style="23"/>
    <col min="4265" max="4265" width="44.44140625" style="23" customWidth="1"/>
    <col min="4266" max="4266" width="13" style="23" customWidth="1"/>
    <col min="4267" max="4272" width="2" style="23" customWidth="1"/>
    <col min="4273" max="4273" width="2.44140625" style="23" customWidth="1"/>
    <col min="4274" max="4274" width="3" style="23" customWidth="1"/>
    <col min="4275" max="4277" width="2" style="23" customWidth="1"/>
    <col min="4278" max="4278" width="2.88671875" style="23" customWidth="1"/>
    <col min="4279" max="4279" width="3" style="23" customWidth="1"/>
    <col min="4280" max="4280" width="2.6640625" style="23" customWidth="1"/>
    <col min="4281" max="4281" width="2.44140625" style="23" customWidth="1"/>
    <col min="4282" max="4282" width="3.33203125" style="23" customWidth="1"/>
    <col min="4283" max="4283" width="3.5546875" style="23" customWidth="1"/>
    <col min="4284" max="4284" width="4" style="23" customWidth="1"/>
    <col min="4285" max="4285" width="3.44140625" style="23" customWidth="1"/>
    <col min="4286" max="4286" width="3" style="23" customWidth="1"/>
    <col min="4287" max="4520" width="11.44140625" style="23"/>
    <col min="4521" max="4521" width="44.44140625" style="23" customWidth="1"/>
    <col min="4522" max="4522" width="13" style="23" customWidth="1"/>
    <col min="4523" max="4528" width="2" style="23" customWidth="1"/>
    <col min="4529" max="4529" width="2.44140625" style="23" customWidth="1"/>
    <col min="4530" max="4530" width="3" style="23" customWidth="1"/>
    <col min="4531" max="4533" width="2" style="23" customWidth="1"/>
    <col min="4534" max="4534" width="2.88671875" style="23" customWidth="1"/>
    <col min="4535" max="4535" width="3" style="23" customWidth="1"/>
    <col min="4536" max="4536" width="2.6640625" style="23" customWidth="1"/>
    <col min="4537" max="4537" width="2.44140625" style="23" customWidth="1"/>
    <col min="4538" max="4538" width="3.33203125" style="23" customWidth="1"/>
    <col min="4539" max="4539" width="3.5546875" style="23" customWidth="1"/>
    <col min="4540" max="4540" width="4" style="23" customWidth="1"/>
    <col min="4541" max="4541" width="3.44140625" style="23" customWidth="1"/>
    <col min="4542" max="4542" width="3" style="23" customWidth="1"/>
    <col min="4543" max="4776" width="11.44140625" style="23"/>
    <col min="4777" max="4777" width="44.44140625" style="23" customWidth="1"/>
    <col min="4778" max="4778" width="13" style="23" customWidth="1"/>
    <col min="4779" max="4784" width="2" style="23" customWidth="1"/>
    <col min="4785" max="4785" width="2.44140625" style="23" customWidth="1"/>
    <col min="4786" max="4786" width="3" style="23" customWidth="1"/>
    <col min="4787" max="4789" width="2" style="23" customWidth="1"/>
    <col min="4790" max="4790" width="2.88671875" style="23" customWidth="1"/>
    <col min="4791" max="4791" width="3" style="23" customWidth="1"/>
    <col min="4792" max="4792" width="2.6640625" style="23" customWidth="1"/>
    <col min="4793" max="4793" width="2.44140625" style="23" customWidth="1"/>
    <col min="4794" max="4794" width="3.33203125" style="23" customWidth="1"/>
    <col min="4795" max="4795" width="3.5546875" style="23" customWidth="1"/>
    <col min="4796" max="4796" width="4" style="23" customWidth="1"/>
    <col min="4797" max="4797" width="3.44140625" style="23" customWidth="1"/>
    <col min="4798" max="4798" width="3" style="23" customWidth="1"/>
    <col min="4799" max="5032" width="11.44140625" style="23"/>
    <col min="5033" max="5033" width="44.44140625" style="23" customWidth="1"/>
    <col min="5034" max="5034" width="13" style="23" customWidth="1"/>
    <col min="5035" max="5040" width="2" style="23" customWidth="1"/>
    <col min="5041" max="5041" width="2.44140625" style="23" customWidth="1"/>
    <col min="5042" max="5042" width="3" style="23" customWidth="1"/>
    <col min="5043" max="5045" width="2" style="23" customWidth="1"/>
    <col min="5046" max="5046" width="2.88671875" style="23" customWidth="1"/>
    <col min="5047" max="5047" width="3" style="23" customWidth="1"/>
    <col min="5048" max="5048" width="2.6640625" style="23" customWidth="1"/>
    <col min="5049" max="5049" width="2.44140625" style="23" customWidth="1"/>
    <col min="5050" max="5050" width="3.33203125" style="23" customWidth="1"/>
    <col min="5051" max="5051" width="3.5546875" style="23" customWidth="1"/>
    <col min="5052" max="5052" width="4" style="23" customWidth="1"/>
    <col min="5053" max="5053" width="3.44140625" style="23" customWidth="1"/>
    <col min="5054" max="5054" width="3" style="23" customWidth="1"/>
    <col min="5055" max="5288" width="11.44140625" style="23"/>
    <col min="5289" max="5289" width="44.44140625" style="23" customWidth="1"/>
    <col min="5290" max="5290" width="13" style="23" customWidth="1"/>
    <col min="5291" max="5296" width="2" style="23" customWidth="1"/>
    <col min="5297" max="5297" width="2.44140625" style="23" customWidth="1"/>
    <col min="5298" max="5298" width="3" style="23" customWidth="1"/>
    <col min="5299" max="5301" width="2" style="23" customWidth="1"/>
    <col min="5302" max="5302" width="2.88671875" style="23" customWidth="1"/>
    <col min="5303" max="5303" width="3" style="23" customWidth="1"/>
    <col min="5304" max="5304" width="2.6640625" style="23" customWidth="1"/>
    <col min="5305" max="5305" width="2.44140625" style="23" customWidth="1"/>
    <col min="5306" max="5306" width="3.33203125" style="23" customWidth="1"/>
    <col min="5307" max="5307" width="3.5546875" style="23" customWidth="1"/>
    <col min="5308" max="5308" width="4" style="23" customWidth="1"/>
    <col min="5309" max="5309" width="3.44140625" style="23" customWidth="1"/>
    <col min="5310" max="5310" width="3" style="23" customWidth="1"/>
    <col min="5311" max="5544" width="11.44140625" style="23"/>
    <col min="5545" max="5545" width="44.44140625" style="23" customWidth="1"/>
    <col min="5546" max="5546" width="13" style="23" customWidth="1"/>
    <col min="5547" max="5552" width="2" style="23" customWidth="1"/>
    <col min="5553" max="5553" width="2.44140625" style="23" customWidth="1"/>
    <col min="5554" max="5554" width="3" style="23" customWidth="1"/>
    <col min="5555" max="5557" width="2" style="23" customWidth="1"/>
    <col min="5558" max="5558" width="2.88671875" style="23" customWidth="1"/>
    <col min="5559" max="5559" width="3" style="23" customWidth="1"/>
    <col min="5560" max="5560" width="2.6640625" style="23" customWidth="1"/>
    <col min="5561" max="5561" width="2.44140625" style="23" customWidth="1"/>
    <col min="5562" max="5562" width="3.33203125" style="23" customWidth="1"/>
    <col min="5563" max="5563" width="3.5546875" style="23" customWidth="1"/>
    <col min="5564" max="5564" width="4" style="23" customWidth="1"/>
    <col min="5565" max="5565" width="3.44140625" style="23" customWidth="1"/>
    <col min="5566" max="5566" width="3" style="23" customWidth="1"/>
    <col min="5567" max="5800" width="11.44140625" style="23"/>
    <col min="5801" max="5801" width="44.44140625" style="23" customWidth="1"/>
    <col min="5802" max="5802" width="13" style="23" customWidth="1"/>
    <col min="5803" max="5808" width="2" style="23" customWidth="1"/>
    <col min="5809" max="5809" width="2.44140625" style="23" customWidth="1"/>
    <col min="5810" max="5810" width="3" style="23" customWidth="1"/>
    <col min="5811" max="5813" width="2" style="23" customWidth="1"/>
    <col min="5814" max="5814" width="2.88671875" style="23" customWidth="1"/>
    <col min="5815" max="5815" width="3" style="23" customWidth="1"/>
    <col min="5816" max="5816" width="2.6640625" style="23" customWidth="1"/>
    <col min="5817" max="5817" width="2.44140625" style="23" customWidth="1"/>
    <col min="5818" max="5818" width="3.33203125" style="23" customWidth="1"/>
    <col min="5819" max="5819" width="3.5546875" style="23" customWidth="1"/>
    <col min="5820" max="5820" width="4" style="23" customWidth="1"/>
    <col min="5821" max="5821" width="3.44140625" style="23" customWidth="1"/>
    <col min="5822" max="5822" width="3" style="23" customWidth="1"/>
    <col min="5823" max="6056" width="11.44140625" style="23"/>
    <col min="6057" max="6057" width="44.44140625" style="23" customWidth="1"/>
    <col min="6058" max="6058" width="13" style="23" customWidth="1"/>
    <col min="6059" max="6064" width="2" style="23" customWidth="1"/>
    <col min="6065" max="6065" width="2.44140625" style="23" customWidth="1"/>
    <col min="6066" max="6066" width="3" style="23" customWidth="1"/>
    <col min="6067" max="6069" width="2" style="23" customWidth="1"/>
    <col min="6070" max="6070" width="2.88671875" style="23" customWidth="1"/>
    <col min="6071" max="6071" width="3" style="23" customWidth="1"/>
    <col min="6072" max="6072" width="2.6640625" style="23" customWidth="1"/>
    <col min="6073" max="6073" width="2.44140625" style="23" customWidth="1"/>
    <col min="6074" max="6074" width="3.33203125" style="23" customWidth="1"/>
    <col min="6075" max="6075" width="3.5546875" style="23" customWidth="1"/>
    <col min="6076" max="6076" width="4" style="23" customWidth="1"/>
    <col min="6077" max="6077" width="3.44140625" style="23" customWidth="1"/>
    <col min="6078" max="6078" width="3" style="23" customWidth="1"/>
    <col min="6079" max="6312" width="11.44140625" style="23"/>
    <col min="6313" max="6313" width="44.44140625" style="23" customWidth="1"/>
    <col min="6314" max="6314" width="13" style="23" customWidth="1"/>
    <col min="6315" max="6320" width="2" style="23" customWidth="1"/>
    <col min="6321" max="6321" width="2.44140625" style="23" customWidth="1"/>
    <col min="6322" max="6322" width="3" style="23" customWidth="1"/>
    <col min="6323" max="6325" width="2" style="23" customWidth="1"/>
    <col min="6326" max="6326" width="2.88671875" style="23" customWidth="1"/>
    <col min="6327" max="6327" width="3" style="23" customWidth="1"/>
    <col min="6328" max="6328" width="2.6640625" style="23" customWidth="1"/>
    <col min="6329" max="6329" width="2.44140625" style="23" customWidth="1"/>
    <col min="6330" max="6330" width="3.33203125" style="23" customWidth="1"/>
    <col min="6331" max="6331" width="3.5546875" style="23" customWidth="1"/>
    <col min="6332" max="6332" width="4" style="23" customWidth="1"/>
    <col min="6333" max="6333" width="3.44140625" style="23" customWidth="1"/>
    <col min="6334" max="6334" width="3" style="23" customWidth="1"/>
    <col min="6335" max="6568" width="11.44140625" style="23"/>
    <col min="6569" max="6569" width="44.44140625" style="23" customWidth="1"/>
    <col min="6570" max="6570" width="13" style="23" customWidth="1"/>
    <col min="6571" max="6576" width="2" style="23" customWidth="1"/>
    <col min="6577" max="6577" width="2.44140625" style="23" customWidth="1"/>
    <col min="6578" max="6578" width="3" style="23" customWidth="1"/>
    <col min="6579" max="6581" width="2" style="23" customWidth="1"/>
    <col min="6582" max="6582" width="2.88671875" style="23" customWidth="1"/>
    <col min="6583" max="6583" width="3" style="23" customWidth="1"/>
    <col min="6584" max="6584" width="2.6640625" style="23" customWidth="1"/>
    <col min="6585" max="6585" width="2.44140625" style="23" customWidth="1"/>
    <col min="6586" max="6586" width="3.33203125" style="23" customWidth="1"/>
    <col min="6587" max="6587" width="3.5546875" style="23" customWidth="1"/>
    <col min="6588" max="6588" width="4" style="23" customWidth="1"/>
    <col min="6589" max="6589" width="3.44140625" style="23" customWidth="1"/>
    <col min="6590" max="6590" width="3" style="23" customWidth="1"/>
    <col min="6591" max="6824" width="11.44140625" style="23"/>
    <col min="6825" max="6825" width="44.44140625" style="23" customWidth="1"/>
    <col min="6826" max="6826" width="13" style="23" customWidth="1"/>
    <col min="6827" max="6832" width="2" style="23" customWidth="1"/>
    <col min="6833" max="6833" width="2.44140625" style="23" customWidth="1"/>
    <col min="6834" max="6834" width="3" style="23" customWidth="1"/>
    <col min="6835" max="6837" width="2" style="23" customWidth="1"/>
    <col min="6838" max="6838" width="2.88671875" style="23" customWidth="1"/>
    <col min="6839" max="6839" width="3" style="23" customWidth="1"/>
    <col min="6840" max="6840" width="2.6640625" style="23" customWidth="1"/>
    <col min="6841" max="6841" width="2.44140625" style="23" customWidth="1"/>
    <col min="6842" max="6842" width="3.33203125" style="23" customWidth="1"/>
    <col min="6843" max="6843" width="3.5546875" style="23" customWidth="1"/>
    <col min="6844" max="6844" width="4" style="23" customWidth="1"/>
    <col min="6845" max="6845" width="3.44140625" style="23" customWidth="1"/>
    <col min="6846" max="6846" width="3" style="23" customWidth="1"/>
    <col min="6847" max="7080" width="11.44140625" style="23"/>
    <col min="7081" max="7081" width="44.44140625" style="23" customWidth="1"/>
    <col min="7082" max="7082" width="13" style="23" customWidth="1"/>
    <col min="7083" max="7088" width="2" style="23" customWidth="1"/>
    <col min="7089" max="7089" width="2.44140625" style="23" customWidth="1"/>
    <col min="7090" max="7090" width="3" style="23" customWidth="1"/>
    <col min="7091" max="7093" width="2" style="23" customWidth="1"/>
    <col min="7094" max="7094" width="2.88671875" style="23" customWidth="1"/>
    <col min="7095" max="7095" width="3" style="23" customWidth="1"/>
    <col min="7096" max="7096" width="2.6640625" style="23" customWidth="1"/>
    <col min="7097" max="7097" width="2.44140625" style="23" customWidth="1"/>
    <col min="7098" max="7098" width="3.33203125" style="23" customWidth="1"/>
    <col min="7099" max="7099" width="3.5546875" style="23" customWidth="1"/>
    <col min="7100" max="7100" width="4" style="23" customWidth="1"/>
    <col min="7101" max="7101" width="3.44140625" style="23" customWidth="1"/>
    <col min="7102" max="7102" width="3" style="23" customWidth="1"/>
    <col min="7103" max="7336" width="11.44140625" style="23"/>
    <col min="7337" max="7337" width="44.44140625" style="23" customWidth="1"/>
    <col min="7338" max="7338" width="13" style="23" customWidth="1"/>
    <col min="7339" max="7344" width="2" style="23" customWidth="1"/>
    <col min="7345" max="7345" width="2.44140625" style="23" customWidth="1"/>
    <col min="7346" max="7346" width="3" style="23" customWidth="1"/>
    <col min="7347" max="7349" width="2" style="23" customWidth="1"/>
    <col min="7350" max="7350" width="2.88671875" style="23" customWidth="1"/>
    <col min="7351" max="7351" width="3" style="23" customWidth="1"/>
    <col min="7352" max="7352" width="2.6640625" style="23" customWidth="1"/>
    <col min="7353" max="7353" width="2.44140625" style="23" customWidth="1"/>
    <col min="7354" max="7354" width="3.33203125" style="23" customWidth="1"/>
    <col min="7355" max="7355" width="3.5546875" style="23" customWidth="1"/>
    <col min="7356" max="7356" width="4" style="23" customWidth="1"/>
    <col min="7357" max="7357" width="3.44140625" style="23" customWidth="1"/>
    <col min="7358" max="7358" width="3" style="23" customWidth="1"/>
    <col min="7359" max="7592" width="11.44140625" style="23"/>
    <col min="7593" max="7593" width="44.44140625" style="23" customWidth="1"/>
    <col min="7594" max="7594" width="13" style="23" customWidth="1"/>
    <col min="7595" max="7600" width="2" style="23" customWidth="1"/>
    <col min="7601" max="7601" width="2.44140625" style="23" customWidth="1"/>
    <col min="7602" max="7602" width="3" style="23" customWidth="1"/>
    <col min="7603" max="7605" width="2" style="23" customWidth="1"/>
    <col min="7606" max="7606" width="2.88671875" style="23" customWidth="1"/>
    <col min="7607" max="7607" width="3" style="23" customWidth="1"/>
    <col min="7608" max="7608" width="2.6640625" style="23" customWidth="1"/>
    <col min="7609" max="7609" width="2.44140625" style="23" customWidth="1"/>
    <col min="7610" max="7610" width="3.33203125" style="23" customWidth="1"/>
    <col min="7611" max="7611" width="3.5546875" style="23" customWidth="1"/>
    <col min="7612" max="7612" width="4" style="23" customWidth="1"/>
    <col min="7613" max="7613" width="3.44140625" style="23" customWidth="1"/>
    <col min="7614" max="7614" width="3" style="23" customWidth="1"/>
    <col min="7615" max="7848" width="11.44140625" style="23"/>
    <col min="7849" max="7849" width="44.44140625" style="23" customWidth="1"/>
    <col min="7850" max="7850" width="13" style="23" customWidth="1"/>
    <col min="7851" max="7856" width="2" style="23" customWidth="1"/>
    <col min="7857" max="7857" width="2.44140625" style="23" customWidth="1"/>
    <col min="7858" max="7858" width="3" style="23" customWidth="1"/>
    <col min="7859" max="7861" width="2" style="23" customWidth="1"/>
    <col min="7862" max="7862" width="2.88671875" style="23" customWidth="1"/>
    <col min="7863" max="7863" width="3" style="23" customWidth="1"/>
    <col min="7864" max="7864" width="2.6640625" style="23" customWidth="1"/>
    <col min="7865" max="7865" width="2.44140625" style="23" customWidth="1"/>
    <col min="7866" max="7866" width="3.33203125" style="23" customWidth="1"/>
    <col min="7867" max="7867" width="3.5546875" style="23" customWidth="1"/>
    <col min="7868" max="7868" width="4" style="23" customWidth="1"/>
    <col min="7869" max="7869" width="3.44140625" style="23" customWidth="1"/>
    <col min="7870" max="7870" width="3" style="23" customWidth="1"/>
    <col min="7871" max="8104" width="11.44140625" style="23"/>
    <col min="8105" max="8105" width="44.44140625" style="23" customWidth="1"/>
    <col min="8106" max="8106" width="13" style="23" customWidth="1"/>
    <col min="8107" max="8112" width="2" style="23" customWidth="1"/>
    <col min="8113" max="8113" width="2.44140625" style="23" customWidth="1"/>
    <col min="8114" max="8114" width="3" style="23" customWidth="1"/>
    <col min="8115" max="8117" width="2" style="23" customWidth="1"/>
    <col min="8118" max="8118" width="2.88671875" style="23" customWidth="1"/>
    <col min="8119" max="8119" width="3" style="23" customWidth="1"/>
    <col min="8120" max="8120" width="2.6640625" style="23" customWidth="1"/>
    <col min="8121" max="8121" width="2.44140625" style="23" customWidth="1"/>
    <col min="8122" max="8122" width="3.33203125" style="23" customWidth="1"/>
    <col min="8123" max="8123" width="3.5546875" style="23" customWidth="1"/>
    <col min="8124" max="8124" width="4" style="23" customWidth="1"/>
    <col min="8125" max="8125" width="3.44140625" style="23" customWidth="1"/>
    <col min="8126" max="8126" width="3" style="23" customWidth="1"/>
    <col min="8127" max="8360" width="11.44140625" style="23"/>
    <col min="8361" max="8361" width="44.44140625" style="23" customWidth="1"/>
    <col min="8362" max="8362" width="13" style="23" customWidth="1"/>
    <col min="8363" max="8368" width="2" style="23" customWidth="1"/>
    <col min="8369" max="8369" width="2.44140625" style="23" customWidth="1"/>
    <col min="8370" max="8370" width="3" style="23" customWidth="1"/>
    <col min="8371" max="8373" width="2" style="23" customWidth="1"/>
    <col min="8374" max="8374" width="2.88671875" style="23" customWidth="1"/>
    <col min="8375" max="8375" width="3" style="23" customWidth="1"/>
    <col min="8376" max="8376" width="2.6640625" style="23" customWidth="1"/>
    <col min="8377" max="8377" width="2.44140625" style="23" customWidth="1"/>
    <col min="8378" max="8378" width="3.33203125" style="23" customWidth="1"/>
    <col min="8379" max="8379" width="3.5546875" style="23" customWidth="1"/>
    <col min="8380" max="8380" width="4" style="23" customWidth="1"/>
    <col min="8381" max="8381" width="3.44140625" style="23" customWidth="1"/>
    <col min="8382" max="8382" width="3" style="23" customWidth="1"/>
    <col min="8383" max="8616" width="11.44140625" style="23"/>
    <col min="8617" max="8617" width="44.44140625" style="23" customWidth="1"/>
    <col min="8618" max="8618" width="13" style="23" customWidth="1"/>
    <col min="8619" max="8624" width="2" style="23" customWidth="1"/>
    <col min="8625" max="8625" width="2.44140625" style="23" customWidth="1"/>
    <col min="8626" max="8626" width="3" style="23" customWidth="1"/>
    <col min="8627" max="8629" width="2" style="23" customWidth="1"/>
    <col min="8630" max="8630" width="2.88671875" style="23" customWidth="1"/>
    <col min="8631" max="8631" width="3" style="23" customWidth="1"/>
    <col min="8632" max="8632" width="2.6640625" style="23" customWidth="1"/>
    <col min="8633" max="8633" width="2.44140625" style="23" customWidth="1"/>
    <col min="8634" max="8634" width="3.33203125" style="23" customWidth="1"/>
    <col min="8635" max="8635" width="3.5546875" style="23" customWidth="1"/>
    <col min="8636" max="8636" width="4" style="23" customWidth="1"/>
    <col min="8637" max="8637" width="3.44140625" style="23" customWidth="1"/>
    <col min="8638" max="8638" width="3" style="23" customWidth="1"/>
    <col min="8639" max="8872" width="11.44140625" style="23"/>
    <col min="8873" max="8873" width="44.44140625" style="23" customWidth="1"/>
    <col min="8874" max="8874" width="13" style="23" customWidth="1"/>
    <col min="8875" max="8880" width="2" style="23" customWidth="1"/>
    <col min="8881" max="8881" width="2.44140625" style="23" customWidth="1"/>
    <col min="8882" max="8882" width="3" style="23" customWidth="1"/>
    <col min="8883" max="8885" width="2" style="23" customWidth="1"/>
    <col min="8886" max="8886" width="2.88671875" style="23" customWidth="1"/>
    <col min="8887" max="8887" width="3" style="23" customWidth="1"/>
    <col min="8888" max="8888" width="2.6640625" style="23" customWidth="1"/>
    <col min="8889" max="8889" width="2.44140625" style="23" customWidth="1"/>
    <col min="8890" max="8890" width="3.33203125" style="23" customWidth="1"/>
    <col min="8891" max="8891" width="3.5546875" style="23" customWidth="1"/>
    <col min="8892" max="8892" width="4" style="23" customWidth="1"/>
    <col min="8893" max="8893" width="3.44140625" style="23" customWidth="1"/>
    <col min="8894" max="8894" width="3" style="23" customWidth="1"/>
    <col min="8895" max="9128" width="11.44140625" style="23"/>
    <col min="9129" max="9129" width="44.44140625" style="23" customWidth="1"/>
    <col min="9130" max="9130" width="13" style="23" customWidth="1"/>
    <col min="9131" max="9136" width="2" style="23" customWidth="1"/>
    <col min="9137" max="9137" width="2.44140625" style="23" customWidth="1"/>
    <col min="9138" max="9138" width="3" style="23" customWidth="1"/>
    <col min="9139" max="9141" width="2" style="23" customWidth="1"/>
    <col min="9142" max="9142" width="2.88671875" style="23" customWidth="1"/>
    <col min="9143" max="9143" width="3" style="23" customWidth="1"/>
    <col min="9144" max="9144" width="2.6640625" style="23" customWidth="1"/>
    <col min="9145" max="9145" width="2.44140625" style="23" customWidth="1"/>
    <col min="9146" max="9146" width="3.33203125" style="23" customWidth="1"/>
    <col min="9147" max="9147" width="3.5546875" style="23" customWidth="1"/>
    <col min="9148" max="9148" width="4" style="23" customWidth="1"/>
    <col min="9149" max="9149" width="3.44140625" style="23" customWidth="1"/>
    <col min="9150" max="9150" width="3" style="23" customWidth="1"/>
    <col min="9151" max="9384" width="11.44140625" style="23"/>
    <col min="9385" max="9385" width="44.44140625" style="23" customWidth="1"/>
    <col min="9386" max="9386" width="13" style="23" customWidth="1"/>
    <col min="9387" max="9392" width="2" style="23" customWidth="1"/>
    <col min="9393" max="9393" width="2.44140625" style="23" customWidth="1"/>
    <col min="9394" max="9394" width="3" style="23" customWidth="1"/>
    <col min="9395" max="9397" width="2" style="23" customWidth="1"/>
    <col min="9398" max="9398" width="2.88671875" style="23" customWidth="1"/>
    <col min="9399" max="9399" width="3" style="23" customWidth="1"/>
    <col min="9400" max="9400" width="2.6640625" style="23" customWidth="1"/>
    <col min="9401" max="9401" width="2.44140625" style="23" customWidth="1"/>
    <col min="9402" max="9402" width="3.33203125" style="23" customWidth="1"/>
    <col min="9403" max="9403" width="3.5546875" style="23" customWidth="1"/>
    <col min="9404" max="9404" width="4" style="23" customWidth="1"/>
    <col min="9405" max="9405" width="3.44140625" style="23" customWidth="1"/>
    <col min="9406" max="9406" width="3" style="23" customWidth="1"/>
    <col min="9407" max="9640" width="11.44140625" style="23"/>
    <col min="9641" max="9641" width="44.44140625" style="23" customWidth="1"/>
    <col min="9642" max="9642" width="13" style="23" customWidth="1"/>
    <col min="9643" max="9648" width="2" style="23" customWidth="1"/>
    <col min="9649" max="9649" width="2.44140625" style="23" customWidth="1"/>
    <col min="9650" max="9650" width="3" style="23" customWidth="1"/>
    <col min="9651" max="9653" width="2" style="23" customWidth="1"/>
    <col min="9654" max="9654" width="2.88671875" style="23" customWidth="1"/>
    <col min="9655" max="9655" width="3" style="23" customWidth="1"/>
    <col min="9656" max="9656" width="2.6640625" style="23" customWidth="1"/>
    <col min="9657" max="9657" width="2.44140625" style="23" customWidth="1"/>
    <col min="9658" max="9658" width="3.33203125" style="23" customWidth="1"/>
    <col min="9659" max="9659" width="3.5546875" style="23" customWidth="1"/>
    <col min="9660" max="9660" width="4" style="23" customWidth="1"/>
    <col min="9661" max="9661" width="3.44140625" style="23" customWidth="1"/>
    <col min="9662" max="9662" width="3" style="23" customWidth="1"/>
    <col min="9663" max="9896" width="11.44140625" style="23"/>
    <col min="9897" max="9897" width="44.44140625" style="23" customWidth="1"/>
    <col min="9898" max="9898" width="13" style="23" customWidth="1"/>
    <col min="9899" max="9904" width="2" style="23" customWidth="1"/>
    <col min="9905" max="9905" width="2.44140625" style="23" customWidth="1"/>
    <col min="9906" max="9906" width="3" style="23" customWidth="1"/>
    <col min="9907" max="9909" width="2" style="23" customWidth="1"/>
    <col min="9910" max="9910" width="2.88671875" style="23" customWidth="1"/>
    <col min="9911" max="9911" width="3" style="23" customWidth="1"/>
    <col min="9912" max="9912" width="2.6640625" style="23" customWidth="1"/>
    <col min="9913" max="9913" width="2.44140625" style="23" customWidth="1"/>
    <col min="9914" max="9914" width="3.33203125" style="23" customWidth="1"/>
    <col min="9915" max="9915" width="3.5546875" style="23" customWidth="1"/>
    <col min="9916" max="9916" width="4" style="23" customWidth="1"/>
    <col min="9917" max="9917" width="3.44140625" style="23" customWidth="1"/>
    <col min="9918" max="9918" width="3" style="23" customWidth="1"/>
    <col min="9919" max="10152" width="11.44140625" style="23"/>
    <col min="10153" max="10153" width="44.44140625" style="23" customWidth="1"/>
    <col min="10154" max="10154" width="13" style="23" customWidth="1"/>
    <col min="10155" max="10160" width="2" style="23" customWidth="1"/>
    <col min="10161" max="10161" width="2.44140625" style="23" customWidth="1"/>
    <col min="10162" max="10162" width="3" style="23" customWidth="1"/>
    <col min="10163" max="10165" width="2" style="23" customWidth="1"/>
    <col min="10166" max="10166" width="2.88671875" style="23" customWidth="1"/>
    <col min="10167" max="10167" width="3" style="23" customWidth="1"/>
    <col min="10168" max="10168" width="2.6640625" style="23" customWidth="1"/>
    <col min="10169" max="10169" width="2.44140625" style="23" customWidth="1"/>
    <col min="10170" max="10170" width="3.33203125" style="23" customWidth="1"/>
    <col min="10171" max="10171" width="3.5546875" style="23" customWidth="1"/>
    <col min="10172" max="10172" width="4" style="23" customWidth="1"/>
    <col min="10173" max="10173" width="3.44140625" style="23" customWidth="1"/>
    <col min="10174" max="10174" width="3" style="23" customWidth="1"/>
    <col min="10175" max="10408" width="11.44140625" style="23"/>
    <col min="10409" max="10409" width="44.44140625" style="23" customWidth="1"/>
    <col min="10410" max="10410" width="13" style="23" customWidth="1"/>
    <col min="10411" max="10416" width="2" style="23" customWidth="1"/>
    <col min="10417" max="10417" width="2.44140625" style="23" customWidth="1"/>
    <col min="10418" max="10418" width="3" style="23" customWidth="1"/>
    <col min="10419" max="10421" width="2" style="23" customWidth="1"/>
    <col min="10422" max="10422" width="2.88671875" style="23" customWidth="1"/>
    <col min="10423" max="10423" width="3" style="23" customWidth="1"/>
    <col min="10424" max="10424" width="2.6640625" style="23" customWidth="1"/>
    <col min="10425" max="10425" width="2.44140625" style="23" customWidth="1"/>
    <col min="10426" max="10426" width="3.33203125" style="23" customWidth="1"/>
    <col min="10427" max="10427" width="3.5546875" style="23" customWidth="1"/>
    <col min="10428" max="10428" width="4" style="23" customWidth="1"/>
    <col min="10429" max="10429" width="3.44140625" style="23" customWidth="1"/>
    <col min="10430" max="10430" width="3" style="23" customWidth="1"/>
    <col min="10431" max="10664" width="11.44140625" style="23"/>
    <col min="10665" max="10665" width="44.44140625" style="23" customWidth="1"/>
    <col min="10666" max="10666" width="13" style="23" customWidth="1"/>
    <col min="10667" max="10672" width="2" style="23" customWidth="1"/>
    <col min="10673" max="10673" width="2.44140625" style="23" customWidth="1"/>
    <col min="10674" max="10674" width="3" style="23" customWidth="1"/>
    <col min="10675" max="10677" width="2" style="23" customWidth="1"/>
    <col min="10678" max="10678" width="2.88671875" style="23" customWidth="1"/>
    <col min="10679" max="10679" width="3" style="23" customWidth="1"/>
    <col min="10680" max="10680" width="2.6640625" style="23" customWidth="1"/>
    <col min="10681" max="10681" width="2.44140625" style="23" customWidth="1"/>
    <col min="10682" max="10682" width="3.33203125" style="23" customWidth="1"/>
    <col min="10683" max="10683" width="3.5546875" style="23" customWidth="1"/>
    <col min="10684" max="10684" width="4" style="23" customWidth="1"/>
    <col min="10685" max="10685" width="3.44140625" style="23" customWidth="1"/>
    <col min="10686" max="10686" width="3" style="23" customWidth="1"/>
    <col min="10687" max="10920" width="11.44140625" style="23"/>
    <col min="10921" max="10921" width="44.44140625" style="23" customWidth="1"/>
    <col min="10922" max="10922" width="13" style="23" customWidth="1"/>
    <col min="10923" max="10928" width="2" style="23" customWidth="1"/>
    <col min="10929" max="10929" width="2.44140625" style="23" customWidth="1"/>
    <col min="10930" max="10930" width="3" style="23" customWidth="1"/>
    <col min="10931" max="10933" width="2" style="23" customWidth="1"/>
    <col min="10934" max="10934" width="2.88671875" style="23" customWidth="1"/>
    <col min="10935" max="10935" width="3" style="23" customWidth="1"/>
    <col min="10936" max="10936" width="2.6640625" style="23" customWidth="1"/>
    <col min="10937" max="10937" width="2.44140625" style="23" customWidth="1"/>
    <col min="10938" max="10938" width="3.33203125" style="23" customWidth="1"/>
    <col min="10939" max="10939" width="3.5546875" style="23" customWidth="1"/>
    <col min="10940" max="10940" width="4" style="23" customWidth="1"/>
    <col min="10941" max="10941" width="3.44140625" style="23" customWidth="1"/>
    <col min="10942" max="10942" width="3" style="23" customWidth="1"/>
    <col min="10943" max="11176" width="11.44140625" style="23"/>
    <col min="11177" max="11177" width="44.44140625" style="23" customWidth="1"/>
    <col min="11178" max="11178" width="13" style="23" customWidth="1"/>
    <col min="11179" max="11184" width="2" style="23" customWidth="1"/>
    <col min="11185" max="11185" width="2.44140625" style="23" customWidth="1"/>
    <col min="11186" max="11186" width="3" style="23" customWidth="1"/>
    <col min="11187" max="11189" width="2" style="23" customWidth="1"/>
    <col min="11190" max="11190" width="2.88671875" style="23" customWidth="1"/>
    <col min="11191" max="11191" width="3" style="23" customWidth="1"/>
    <col min="11192" max="11192" width="2.6640625" style="23" customWidth="1"/>
    <col min="11193" max="11193" width="2.44140625" style="23" customWidth="1"/>
    <col min="11194" max="11194" width="3.33203125" style="23" customWidth="1"/>
    <col min="11195" max="11195" width="3.5546875" style="23" customWidth="1"/>
    <col min="11196" max="11196" width="4" style="23" customWidth="1"/>
    <col min="11197" max="11197" width="3.44140625" style="23" customWidth="1"/>
    <col min="11198" max="11198" width="3" style="23" customWidth="1"/>
    <col min="11199" max="11432" width="11.44140625" style="23"/>
    <col min="11433" max="11433" width="44.44140625" style="23" customWidth="1"/>
    <col min="11434" max="11434" width="13" style="23" customWidth="1"/>
    <col min="11435" max="11440" width="2" style="23" customWidth="1"/>
    <col min="11441" max="11441" width="2.44140625" style="23" customWidth="1"/>
    <col min="11442" max="11442" width="3" style="23" customWidth="1"/>
    <col min="11443" max="11445" width="2" style="23" customWidth="1"/>
    <col min="11446" max="11446" width="2.88671875" style="23" customWidth="1"/>
    <col min="11447" max="11447" width="3" style="23" customWidth="1"/>
    <col min="11448" max="11448" width="2.6640625" style="23" customWidth="1"/>
    <col min="11449" max="11449" width="2.44140625" style="23" customWidth="1"/>
    <col min="11450" max="11450" width="3.33203125" style="23" customWidth="1"/>
    <col min="11451" max="11451" width="3.5546875" style="23" customWidth="1"/>
    <col min="11452" max="11452" width="4" style="23" customWidth="1"/>
    <col min="11453" max="11453" width="3.44140625" style="23" customWidth="1"/>
    <col min="11454" max="11454" width="3" style="23" customWidth="1"/>
    <col min="11455" max="11688" width="11.44140625" style="23"/>
    <col min="11689" max="11689" width="44.44140625" style="23" customWidth="1"/>
    <col min="11690" max="11690" width="13" style="23" customWidth="1"/>
    <col min="11691" max="11696" width="2" style="23" customWidth="1"/>
    <col min="11697" max="11697" width="2.44140625" style="23" customWidth="1"/>
    <col min="11698" max="11698" width="3" style="23" customWidth="1"/>
    <col min="11699" max="11701" width="2" style="23" customWidth="1"/>
    <col min="11702" max="11702" width="2.88671875" style="23" customWidth="1"/>
    <col min="11703" max="11703" width="3" style="23" customWidth="1"/>
    <col min="11704" max="11704" width="2.6640625" style="23" customWidth="1"/>
    <col min="11705" max="11705" width="2.44140625" style="23" customWidth="1"/>
    <col min="11706" max="11706" width="3.33203125" style="23" customWidth="1"/>
    <col min="11707" max="11707" width="3.5546875" style="23" customWidth="1"/>
    <col min="11708" max="11708" width="4" style="23" customWidth="1"/>
    <col min="11709" max="11709" width="3.44140625" style="23" customWidth="1"/>
    <col min="11710" max="11710" width="3" style="23" customWidth="1"/>
    <col min="11711" max="11944" width="11.44140625" style="23"/>
    <col min="11945" max="11945" width="44.44140625" style="23" customWidth="1"/>
    <col min="11946" max="11946" width="13" style="23" customWidth="1"/>
    <col min="11947" max="11952" width="2" style="23" customWidth="1"/>
    <col min="11953" max="11953" width="2.44140625" style="23" customWidth="1"/>
    <col min="11954" max="11954" width="3" style="23" customWidth="1"/>
    <col min="11955" max="11957" width="2" style="23" customWidth="1"/>
    <col min="11958" max="11958" width="2.88671875" style="23" customWidth="1"/>
    <col min="11959" max="11959" width="3" style="23" customWidth="1"/>
    <col min="11960" max="11960" width="2.6640625" style="23" customWidth="1"/>
    <col min="11961" max="11961" width="2.44140625" style="23" customWidth="1"/>
    <col min="11962" max="11962" width="3.33203125" style="23" customWidth="1"/>
    <col min="11963" max="11963" width="3.5546875" style="23" customWidth="1"/>
    <col min="11964" max="11964" width="4" style="23" customWidth="1"/>
    <col min="11965" max="11965" width="3.44140625" style="23" customWidth="1"/>
    <col min="11966" max="11966" width="3" style="23" customWidth="1"/>
    <col min="11967" max="12200" width="11.44140625" style="23"/>
    <col min="12201" max="12201" width="44.44140625" style="23" customWidth="1"/>
    <col min="12202" max="12202" width="13" style="23" customWidth="1"/>
    <col min="12203" max="12208" width="2" style="23" customWidth="1"/>
    <col min="12209" max="12209" width="2.44140625" style="23" customWidth="1"/>
    <col min="12210" max="12210" width="3" style="23" customWidth="1"/>
    <col min="12211" max="12213" width="2" style="23" customWidth="1"/>
    <col min="12214" max="12214" width="2.88671875" style="23" customWidth="1"/>
    <col min="12215" max="12215" width="3" style="23" customWidth="1"/>
    <col min="12216" max="12216" width="2.6640625" style="23" customWidth="1"/>
    <col min="12217" max="12217" width="2.44140625" style="23" customWidth="1"/>
    <col min="12218" max="12218" width="3.33203125" style="23" customWidth="1"/>
    <col min="12219" max="12219" width="3.5546875" style="23" customWidth="1"/>
    <col min="12220" max="12220" width="4" style="23" customWidth="1"/>
    <col min="12221" max="12221" width="3.44140625" style="23" customWidth="1"/>
    <col min="12222" max="12222" width="3" style="23" customWidth="1"/>
    <col min="12223" max="12456" width="11.44140625" style="23"/>
    <col min="12457" max="12457" width="44.44140625" style="23" customWidth="1"/>
    <col min="12458" max="12458" width="13" style="23" customWidth="1"/>
    <col min="12459" max="12464" width="2" style="23" customWidth="1"/>
    <col min="12465" max="12465" width="2.44140625" style="23" customWidth="1"/>
    <col min="12466" max="12466" width="3" style="23" customWidth="1"/>
    <col min="12467" max="12469" width="2" style="23" customWidth="1"/>
    <col min="12470" max="12470" width="2.88671875" style="23" customWidth="1"/>
    <col min="12471" max="12471" width="3" style="23" customWidth="1"/>
    <col min="12472" max="12472" width="2.6640625" style="23" customWidth="1"/>
    <col min="12473" max="12473" width="2.44140625" style="23" customWidth="1"/>
    <col min="12474" max="12474" width="3.33203125" style="23" customWidth="1"/>
    <col min="12475" max="12475" width="3.5546875" style="23" customWidth="1"/>
    <col min="12476" max="12476" width="4" style="23" customWidth="1"/>
    <col min="12477" max="12477" width="3.44140625" style="23" customWidth="1"/>
    <col min="12478" max="12478" width="3" style="23" customWidth="1"/>
    <col min="12479" max="12712" width="11.44140625" style="23"/>
    <col min="12713" max="12713" width="44.44140625" style="23" customWidth="1"/>
    <col min="12714" max="12714" width="13" style="23" customWidth="1"/>
    <col min="12715" max="12720" width="2" style="23" customWidth="1"/>
    <col min="12721" max="12721" width="2.44140625" style="23" customWidth="1"/>
    <col min="12722" max="12722" width="3" style="23" customWidth="1"/>
    <col min="12723" max="12725" width="2" style="23" customWidth="1"/>
    <col min="12726" max="12726" width="2.88671875" style="23" customWidth="1"/>
    <col min="12727" max="12727" width="3" style="23" customWidth="1"/>
    <col min="12728" max="12728" width="2.6640625" style="23" customWidth="1"/>
    <col min="12729" max="12729" width="2.44140625" style="23" customWidth="1"/>
    <col min="12730" max="12730" width="3.33203125" style="23" customWidth="1"/>
    <col min="12731" max="12731" width="3.5546875" style="23" customWidth="1"/>
    <col min="12732" max="12732" width="4" style="23" customWidth="1"/>
    <col min="12733" max="12733" width="3.44140625" style="23" customWidth="1"/>
    <col min="12734" max="12734" width="3" style="23" customWidth="1"/>
    <col min="12735" max="12968" width="11.44140625" style="23"/>
    <col min="12969" max="12969" width="44.44140625" style="23" customWidth="1"/>
    <col min="12970" max="12970" width="13" style="23" customWidth="1"/>
    <col min="12971" max="12976" width="2" style="23" customWidth="1"/>
    <col min="12977" max="12977" width="2.44140625" style="23" customWidth="1"/>
    <col min="12978" max="12978" width="3" style="23" customWidth="1"/>
    <col min="12979" max="12981" width="2" style="23" customWidth="1"/>
    <col min="12982" max="12982" width="2.88671875" style="23" customWidth="1"/>
    <col min="12983" max="12983" width="3" style="23" customWidth="1"/>
    <col min="12984" max="12984" width="2.6640625" style="23" customWidth="1"/>
    <col min="12985" max="12985" width="2.44140625" style="23" customWidth="1"/>
    <col min="12986" max="12986" width="3.33203125" style="23" customWidth="1"/>
    <col min="12987" max="12987" width="3.5546875" style="23" customWidth="1"/>
    <col min="12988" max="12988" width="4" style="23" customWidth="1"/>
    <col min="12989" max="12989" width="3.44140625" style="23" customWidth="1"/>
    <col min="12990" max="12990" width="3" style="23" customWidth="1"/>
    <col min="12991" max="13224" width="11.44140625" style="23"/>
    <col min="13225" max="13225" width="44.44140625" style="23" customWidth="1"/>
    <col min="13226" max="13226" width="13" style="23" customWidth="1"/>
    <col min="13227" max="13232" width="2" style="23" customWidth="1"/>
    <col min="13233" max="13233" width="2.44140625" style="23" customWidth="1"/>
    <col min="13234" max="13234" width="3" style="23" customWidth="1"/>
    <col min="13235" max="13237" width="2" style="23" customWidth="1"/>
    <col min="13238" max="13238" width="2.88671875" style="23" customWidth="1"/>
    <col min="13239" max="13239" width="3" style="23" customWidth="1"/>
    <col min="13240" max="13240" width="2.6640625" style="23" customWidth="1"/>
    <col min="13241" max="13241" width="2.44140625" style="23" customWidth="1"/>
    <col min="13242" max="13242" width="3.33203125" style="23" customWidth="1"/>
    <col min="13243" max="13243" width="3.5546875" style="23" customWidth="1"/>
    <col min="13244" max="13244" width="4" style="23" customWidth="1"/>
    <col min="13245" max="13245" width="3.44140625" style="23" customWidth="1"/>
    <col min="13246" max="13246" width="3" style="23" customWidth="1"/>
    <col min="13247" max="13480" width="11.44140625" style="23"/>
    <col min="13481" max="13481" width="44.44140625" style="23" customWidth="1"/>
    <col min="13482" max="13482" width="13" style="23" customWidth="1"/>
    <col min="13483" max="13488" width="2" style="23" customWidth="1"/>
    <col min="13489" max="13489" width="2.44140625" style="23" customWidth="1"/>
    <col min="13490" max="13490" width="3" style="23" customWidth="1"/>
    <col min="13491" max="13493" width="2" style="23" customWidth="1"/>
    <col min="13494" max="13494" width="2.88671875" style="23" customWidth="1"/>
    <col min="13495" max="13495" width="3" style="23" customWidth="1"/>
    <col min="13496" max="13496" width="2.6640625" style="23" customWidth="1"/>
    <col min="13497" max="13497" width="2.44140625" style="23" customWidth="1"/>
    <col min="13498" max="13498" width="3.33203125" style="23" customWidth="1"/>
    <col min="13499" max="13499" width="3.5546875" style="23" customWidth="1"/>
    <col min="13500" max="13500" width="4" style="23" customWidth="1"/>
    <col min="13501" max="13501" width="3.44140625" style="23" customWidth="1"/>
    <col min="13502" max="13502" width="3" style="23" customWidth="1"/>
    <col min="13503" max="13736" width="11.44140625" style="23"/>
    <col min="13737" max="13737" width="44.44140625" style="23" customWidth="1"/>
    <col min="13738" max="13738" width="13" style="23" customWidth="1"/>
    <col min="13739" max="13744" width="2" style="23" customWidth="1"/>
    <col min="13745" max="13745" width="2.44140625" style="23" customWidth="1"/>
    <col min="13746" max="13746" width="3" style="23" customWidth="1"/>
    <col min="13747" max="13749" width="2" style="23" customWidth="1"/>
    <col min="13750" max="13750" width="2.88671875" style="23" customWidth="1"/>
    <col min="13751" max="13751" width="3" style="23" customWidth="1"/>
    <col min="13752" max="13752" width="2.6640625" style="23" customWidth="1"/>
    <col min="13753" max="13753" width="2.44140625" style="23" customWidth="1"/>
    <col min="13754" max="13754" width="3.33203125" style="23" customWidth="1"/>
    <col min="13755" max="13755" width="3.5546875" style="23" customWidth="1"/>
    <col min="13756" max="13756" width="4" style="23" customWidth="1"/>
    <col min="13757" max="13757" width="3.44140625" style="23" customWidth="1"/>
    <col min="13758" max="13758" width="3" style="23" customWidth="1"/>
    <col min="13759" max="13992" width="11.44140625" style="23"/>
    <col min="13993" max="13993" width="44.44140625" style="23" customWidth="1"/>
    <col min="13994" max="13994" width="13" style="23" customWidth="1"/>
    <col min="13995" max="14000" width="2" style="23" customWidth="1"/>
    <col min="14001" max="14001" width="2.44140625" style="23" customWidth="1"/>
    <col min="14002" max="14002" width="3" style="23" customWidth="1"/>
    <col min="14003" max="14005" width="2" style="23" customWidth="1"/>
    <col min="14006" max="14006" width="2.88671875" style="23" customWidth="1"/>
    <col min="14007" max="14007" width="3" style="23" customWidth="1"/>
    <col min="14008" max="14008" width="2.6640625" style="23" customWidth="1"/>
    <col min="14009" max="14009" width="2.44140625" style="23" customWidth="1"/>
    <col min="14010" max="14010" width="3.33203125" style="23" customWidth="1"/>
    <col min="14011" max="14011" width="3.5546875" style="23" customWidth="1"/>
    <col min="14012" max="14012" width="4" style="23" customWidth="1"/>
    <col min="14013" max="14013" width="3.44140625" style="23" customWidth="1"/>
    <col min="14014" max="14014" width="3" style="23" customWidth="1"/>
    <col min="14015" max="14248" width="11.44140625" style="23"/>
    <col min="14249" max="14249" width="44.44140625" style="23" customWidth="1"/>
    <col min="14250" max="14250" width="13" style="23" customWidth="1"/>
    <col min="14251" max="14256" width="2" style="23" customWidth="1"/>
    <col min="14257" max="14257" width="2.44140625" style="23" customWidth="1"/>
    <col min="14258" max="14258" width="3" style="23" customWidth="1"/>
    <col min="14259" max="14261" width="2" style="23" customWidth="1"/>
    <col min="14262" max="14262" width="2.88671875" style="23" customWidth="1"/>
    <col min="14263" max="14263" width="3" style="23" customWidth="1"/>
    <col min="14264" max="14264" width="2.6640625" style="23" customWidth="1"/>
    <col min="14265" max="14265" width="2.44140625" style="23" customWidth="1"/>
    <col min="14266" max="14266" width="3.33203125" style="23" customWidth="1"/>
    <col min="14267" max="14267" width="3.5546875" style="23" customWidth="1"/>
    <col min="14268" max="14268" width="4" style="23" customWidth="1"/>
    <col min="14269" max="14269" width="3.44140625" style="23" customWidth="1"/>
    <col min="14270" max="14270" width="3" style="23" customWidth="1"/>
    <col min="14271" max="14504" width="11.44140625" style="23"/>
    <col min="14505" max="14505" width="44.44140625" style="23" customWidth="1"/>
    <col min="14506" max="14506" width="13" style="23" customWidth="1"/>
    <col min="14507" max="14512" width="2" style="23" customWidth="1"/>
    <col min="14513" max="14513" width="2.44140625" style="23" customWidth="1"/>
    <col min="14514" max="14514" width="3" style="23" customWidth="1"/>
    <col min="14515" max="14517" width="2" style="23" customWidth="1"/>
    <col min="14518" max="14518" width="2.88671875" style="23" customWidth="1"/>
    <col min="14519" max="14519" width="3" style="23" customWidth="1"/>
    <col min="14520" max="14520" width="2.6640625" style="23" customWidth="1"/>
    <col min="14521" max="14521" width="2.44140625" style="23" customWidth="1"/>
    <col min="14522" max="14522" width="3.33203125" style="23" customWidth="1"/>
    <col min="14523" max="14523" width="3.5546875" style="23" customWidth="1"/>
    <col min="14524" max="14524" width="4" style="23" customWidth="1"/>
    <col min="14525" max="14525" width="3.44140625" style="23" customWidth="1"/>
    <col min="14526" max="14526" width="3" style="23" customWidth="1"/>
    <col min="14527" max="14760" width="11.44140625" style="23"/>
    <col min="14761" max="14761" width="44.44140625" style="23" customWidth="1"/>
    <col min="14762" max="14762" width="13" style="23" customWidth="1"/>
    <col min="14763" max="14768" width="2" style="23" customWidth="1"/>
    <col min="14769" max="14769" width="2.44140625" style="23" customWidth="1"/>
    <col min="14770" max="14770" width="3" style="23" customWidth="1"/>
    <col min="14771" max="14773" width="2" style="23" customWidth="1"/>
    <col min="14774" max="14774" width="2.88671875" style="23" customWidth="1"/>
    <col min="14775" max="14775" width="3" style="23" customWidth="1"/>
    <col min="14776" max="14776" width="2.6640625" style="23" customWidth="1"/>
    <col min="14777" max="14777" width="2.44140625" style="23" customWidth="1"/>
    <col min="14778" max="14778" width="3.33203125" style="23" customWidth="1"/>
    <col min="14779" max="14779" width="3.5546875" style="23" customWidth="1"/>
    <col min="14780" max="14780" width="4" style="23" customWidth="1"/>
    <col min="14781" max="14781" width="3.44140625" style="23" customWidth="1"/>
    <col min="14782" max="14782" width="3" style="23" customWidth="1"/>
    <col min="14783" max="15016" width="11.44140625" style="23"/>
    <col min="15017" max="15017" width="44.44140625" style="23" customWidth="1"/>
    <col min="15018" max="15018" width="13" style="23" customWidth="1"/>
    <col min="15019" max="15024" width="2" style="23" customWidth="1"/>
    <col min="15025" max="15025" width="2.44140625" style="23" customWidth="1"/>
    <col min="15026" max="15026" width="3" style="23" customWidth="1"/>
    <col min="15027" max="15029" width="2" style="23" customWidth="1"/>
    <col min="15030" max="15030" width="2.88671875" style="23" customWidth="1"/>
    <col min="15031" max="15031" width="3" style="23" customWidth="1"/>
    <col min="15032" max="15032" width="2.6640625" style="23" customWidth="1"/>
    <col min="15033" max="15033" width="2.44140625" style="23" customWidth="1"/>
    <col min="15034" max="15034" width="3.33203125" style="23" customWidth="1"/>
    <col min="15035" max="15035" width="3.5546875" style="23" customWidth="1"/>
    <col min="15036" max="15036" width="4" style="23" customWidth="1"/>
    <col min="15037" max="15037" width="3.44140625" style="23" customWidth="1"/>
    <col min="15038" max="15038" width="3" style="23" customWidth="1"/>
    <col min="15039" max="15272" width="11.44140625" style="23"/>
    <col min="15273" max="15273" width="44.44140625" style="23" customWidth="1"/>
    <col min="15274" max="15274" width="13" style="23" customWidth="1"/>
    <col min="15275" max="15280" width="2" style="23" customWidth="1"/>
    <col min="15281" max="15281" width="2.44140625" style="23" customWidth="1"/>
    <col min="15282" max="15282" width="3" style="23" customWidth="1"/>
    <col min="15283" max="15285" width="2" style="23" customWidth="1"/>
    <col min="15286" max="15286" width="2.88671875" style="23" customWidth="1"/>
    <col min="15287" max="15287" width="3" style="23" customWidth="1"/>
    <col min="15288" max="15288" width="2.6640625" style="23" customWidth="1"/>
    <col min="15289" max="15289" width="2.44140625" style="23" customWidth="1"/>
    <col min="15290" max="15290" width="3.33203125" style="23" customWidth="1"/>
    <col min="15291" max="15291" width="3.5546875" style="23" customWidth="1"/>
    <col min="15292" max="15292" width="4" style="23" customWidth="1"/>
    <col min="15293" max="15293" width="3.44140625" style="23" customWidth="1"/>
    <col min="15294" max="15294" width="3" style="23" customWidth="1"/>
    <col min="15295" max="15528" width="11.44140625" style="23"/>
    <col min="15529" max="15529" width="44.44140625" style="23" customWidth="1"/>
    <col min="15530" max="15530" width="13" style="23" customWidth="1"/>
    <col min="15531" max="15536" width="2" style="23" customWidth="1"/>
    <col min="15537" max="15537" width="2.44140625" style="23" customWidth="1"/>
    <col min="15538" max="15538" width="3" style="23" customWidth="1"/>
    <col min="15539" max="15541" width="2" style="23" customWidth="1"/>
    <col min="15542" max="15542" width="2.88671875" style="23" customWidth="1"/>
    <col min="15543" max="15543" width="3" style="23" customWidth="1"/>
    <col min="15544" max="15544" width="2.6640625" style="23" customWidth="1"/>
    <col min="15545" max="15545" width="2.44140625" style="23" customWidth="1"/>
    <col min="15546" max="15546" width="3.33203125" style="23" customWidth="1"/>
    <col min="15547" max="15547" width="3.5546875" style="23" customWidth="1"/>
    <col min="15548" max="15548" width="4" style="23" customWidth="1"/>
    <col min="15549" max="15549" width="3.44140625" style="23" customWidth="1"/>
    <col min="15550" max="15550" width="3" style="23" customWidth="1"/>
    <col min="15551" max="15784" width="11.44140625" style="23"/>
    <col min="15785" max="15785" width="44.44140625" style="23" customWidth="1"/>
    <col min="15786" max="15786" width="13" style="23" customWidth="1"/>
    <col min="15787" max="15792" width="2" style="23" customWidth="1"/>
    <col min="15793" max="15793" width="2.44140625" style="23" customWidth="1"/>
    <col min="15794" max="15794" width="3" style="23" customWidth="1"/>
    <col min="15795" max="15797" width="2" style="23" customWidth="1"/>
    <col min="15798" max="15798" width="2.88671875" style="23" customWidth="1"/>
    <col min="15799" max="15799" width="3" style="23" customWidth="1"/>
    <col min="15800" max="15800" width="2.6640625" style="23" customWidth="1"/>
    <col min="15801" max="15801" width="2.44140625" style="23" customWidth="1"/>
    <col min="15802" max="15802" width="3.33203125" style="23" customWidth="1"/>
    <col min="15803" max="15803" width="3.5546875" style="23" customWidth="1"/>
    <col min="15804" max="15804" width="4" style="23" customWidth="1"/>
    <col min="15805" max="15805" width="3.44140625" style="23" customWidth="1"/>
    <col min="15806" max="15806" width="3" style="23" customWidth="1"/>
    <col min="15807" max="16040" width="11.44140625" style="23"/>
    <col min="16041" max="16041" width="44.44140625" style="23" customWidth="1"/>
    <col min="16042" max="16042" width="13" style="23" customWidth="1"/>
    <col min="16043" max="16048" width="2" style="23" customWidth="1"/>
    <col min="16049" max="16049" width="2.44140625" style="23" customWidth="1"/>
    <col min="16050" max="16050" width="3" style="23" customWidth="1"/>
    <col min="16051" max="16053" width="2" style="23" customWidth="1"/>
    <col min="16054" max="16054" width="2.88671875" style="23" customWidth="1"/>
    <col min="16055" max="16055" width="3" style="23" customWidth="1"/>
    <col min="16056" max="16056" width="2.6640625" style="23" customWidth="1"/>
    <col min="16057" max="16057" width="2.44140625" style="23" customWidth="1"/>
    <col min="16058" max="16058" width="3.33203125" style="23" customWidth="1"/>
    <col min="16059" max="16059" width="3.5546875" style="23" customWidth="1"/>
    <col min="16060" max="16060" width="4" style="23" customWidth="1"/>
    <col min="16061" max="16061" width="3.44140625" style="23" customWidth="1"/>
    <col min="16062" max="16062" width="3" style="23" customWidth="1"/>
    <col min="16063" max="16384" width="11.44140625" style="23"/>
  </cols>
  <sheetData>
    <row r="1" spans="1:20" x14ac:dyDescent="0.25">
      <c r="A1" s="474" t="s">
        <v>179</v>
      </c>
      <c r="B1" s="474"/>
      <c r="C1" s="19"/>
      <c r="D1" s="20"/>
      <c r="E1" s="20"/>
      <c r="F1" s="20"/>
      <c r="G1" s="21"/>
      <c r="H1" s="21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 x14ac:dyDescent="0.3">
      <c r="A2" s="471" t="s">
        <v>35</v>
      </c>
      <c r="B2" s="471"/>
    </row>
    <row r="3" spans="1:20" x14ac:dyDescent="0.3">
      <c r="A3" s="28"/>
    </row>
    <row r="4" spans="1:20" x14ac:dyDescent="0.3">
      <c r="A4" s="471" t="str">
        <f>+'[3]Cuadro de Costos'!A1:G1</f>
        <v>Proyecto de Habilitación de la ruta Nº9</v>
      </c>
      <c r="B4" s="471"/>
    </row>
    <row r="5" spans="1:20" x14ac:dyDescent="0.3">
      <c r="A5" s="28"/>
    </row>
    <row r="6" spans="1:20" x14ac:dyDescent="0.3">
      <c r="A6" s="475" t="s">
        <v>37</v>
      </c>
      <c r="B6" s="475"/>
    </row>
    <row r="7" spans="1:20" s="22" customFormat="1" ht="13.95" customHeight="1" x14ac:dyDescent="0.25">
      <c r="A7" s="30"/>
      <c r="B7" s="31"/>
      <c r="C7" s="32"/>
      <c r="D7" s="32"/>
      <c r="E7" s="479" t="s">
        <v>180</v>
      </c>
      <c r="F7" s="480"/>
      <c r="G7" s="34" t="s">
        <v>109</v>
      </c>
      <c r="H7" s="34" t="s">
        <v>110</v>
      </c>
      <c r="I7" s="473" t="s">
        <v>111</v>
      </c>
      <c r="J7" s="473"/>
      <c r="K7" s="473"/>
      <c r="L7" s="473"/>
      <c r="M7" s="473"/>
      <c r="N7" s="473"/>
      <c r="O7" s="473"/>
      <c r="P7" s="473"/>
      <c r="Q7" s="473"/>
      <c r="R7" s="473"/>
      <c r="S7" s="473"/>
      <c r="T7" s="473"/>
    </row>
    <row r="8" spans="1:20" x14ac:dyDescent="0.25">
      <c r="A8" s="476"/>
      <c r="B8" s="477" t="s">
        <v>118</v>
      </c>
      <c r="C8" s="477" t="s">
        <v>119</v>
      </c>
      <c r="D8" s="478" t="s">
        <v>120</v>
      </c>
      <c r="E8" s="478" t="s">
        <v>181</v>
      </c>
      <c r="F8" s="478" t="s">
        <v>182</v>
      </c>
      <c r="G8" s="35" t="s">
        <v>123</v>
      </c>
      <c r="H8" s="35"/>
      <c r="I8" s="472" t="s">
        <v>124</v>
      </c>
      <c r="J8" s="472"/>
      <c r="K8" s="472"/>
      <c r="L8" s="472" t="s">
        <v>125</v>
      </c>
      <c r="M8" s="472"/>
      <c r="N8" s="472"/>
      <c r="O8" s="472" t="s">
        <v>126</v>
      </c>
      <c r="P8" s="472"/>
      <c r="Q8" s="472"/>
      <c r="R8" s="472" t="s">
        <v>127</v>
      </c>
      <c r="S8" s="472"/>
      <c r="T8" s="472"/>
    </row>
    <row r="9" spans="1:20" x14ac:dyDescent="0.25">
      <c r="A9" s="476"/>
      <c r="B9" s="477"/>
      <c r="C9" s="477"/>
      <c r="D9" s="478"/>
      <c r="E9" s="478"/>
      <c r="F9" s="478"/>
      <c r="G9" s="35"/>
      <c r="H9" s="35"/>
      <c r="I9" s="425">
        <v>1</v>
      </c>
      <c r="J9" s="425">
        <v>2</v>
      </c>
      <c r="K9" s="425">
        <v>3</v>
      </c>
      <c r="L9" s="425">
        <v>4</v>
      </c>
      <c r="M9" s="425">
        <v>5</v>
      </c>
      <c r="N9" s="425">
        <v>6</v>
      </c>
      <c r="O9" s="425">
        <v>7</v>
      </c>
      <c r="P9" s="425">
        <v>8</v>
      </c>
      <c r="Q9" s="425">
        <v>9</v>
      </c>
      <c r="R9" s="425">
        <v>10</v>
      </c>
      <c r="S9" s="425">
        <v>11</v>
      </c>
      <c r="T9" s="425">
        <v>12</v>
      </c>
    </row>
    <row r="10" spans="1:20" hidden="1" x14ac:dyDescent="0.25">
      <c r="A10" s="36"/>
      <c r="B10" s="37" t="s">
        <v>128</v>
      </c>
      <c r="C10" s="38"/>
      <c r="D10" s="39"/>
      <c r="E10" s="40"/>
      <c r="F10" s="40"/>
      <c r="G10" s="41"/>
      <c r="H10" s="41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</row>
    <row r="11" spans="1:20" ht="13.95" hidden="1" customHeight="1" x14ac:dyDescent="0.25">
      <c r="A11" s="44" t="s">
        <v>129</v>
      </c>
      <c r="B11" s="462" t="s">
        <v>130</v>
      </c>
      <c r="C11" s="461"/>
      <c r="D11" s="47"/>
      <c r="E11" s="48"/>
      <c r="F11" s="48"/>
      <c r="G11" s="49"/>
      <c r="H11" s="49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</row>
    <row r="12" spans="1:20" ht="13.95" hidden="1" customHeight="1" x14ac:dyDescent="0.25">
      <c r="A12" s="51" t="s">
        <v>131</v>
      </c>
      <c r="B12" s="52" t="s">
        <v>132</v>
      </c>
      <c r="C12" s="53"/>
      <c r="D12" s="54"/>
      <c r="E12" s="55"/>
      <c r="F12" s="55"/>
      <c r="G12" s="56"/>
      <c r="H12" s="56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</row>
    <row r="13" spans="1:20" ht="13.95" hidden="1" customHeight="1" x14ac:dyDescent="0.25">
      <c r="A13" s="51" t="s">
        <v>133</v>
      </c>
      <c r="B13" s="52" t="s">
        <v>134</v>
      </c>
      <c r="C13" s="53"/>
      <c r="D13" s="54"/>
      <c r="E13" s="55"/>
      <c r="F13" s="55"/>
      <c r="G13" s="56"/>
      <c r="H13" s="56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</row>
    <row r="14" spans="1:20" ht="13.95" hidden="1" customHeight="1" x14ac:dyDescent="0.25">
      <c r="A14" s="51" t="s">
        <v>135</v>
      </c>
      <c r="B14" s="52" t="s">
        <v>136</v>
      </c>
      <c r="C14" s="53"/>
      <c r="D14" s="54"/>
      <c r="E14" s="55"/>
      <c r="F14" s="55"/>
      <c r="G14" s="56"/>
      <c r="H14" s="56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</row>
    <row r="15" spans="1:20" ht="13.95" hidden="1" customHeight="1" x14ac:dyDescent="0.25">
      <c r="A15" s="51" t="s">
        <v>137</v>
      </c>
      <c r="B15" s="52" t="s">
        <v>138</v>
      </c>
      <c r="C15" s="53"/>
      <c r="D15" s="54"/>
      <c r="E15" s="55"/>
      <c r="F15" s="55"/>
      <c r="G15" s="56"/>
      <c r="H15" s="56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</row>
    <row r="16" spans="1:20" ht="13.95" hidden="1" customHeight="1" x14ac:dyDescent="0.25">
      <c r="A16" s="51" t="s">
        <v>139</v>
      </c>
      <c r="B16" s="52" t="s">
        <v>140</v>
      </c>
      <c r="C16" s="53"/>
      <c r="D16" s="54"/>
      <c r="E16" s="55"/>
      <c r="F16" s="55"/>
      <c r="G16" s="56"/>
      <c r="H16" s="56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</row>
    <row r="17" spans="1:20" ht="13.95" hidden="1" customHeight="1" x14ac:dyDescent="0.25">
      <c r="A17" s="51" t="s">
        <v>141</v>
      </c>
      <c r="B17" s="52" t="s">
        <v>142</v>
      </c>
      <c r="C17" s="53"/>
      <c r="D17" s="54"/>
      <c r="E17" s="55"/>
      <c r="F17" s="55"/>
      <c r="G17" s="56"/>
      <c r="H17" s="56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</row>
    <row r="18" spans="1:20" ht="13.95" hidden="1" customHeight="1" x14ac:dyDescent="0.25">
      <c r="A18" s="44"/>
      <c r="B18" s="462" t="s">
        <v>143</v>
      </c>
      <c r="C18" s="461"/>
      <c r="D18" s="47"/>
      <c r="E18" s="48"/>
      <c r="F18" s="48"/>
      <c r="G18" s="49"/>
      <c r="H18" s="49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</row>
    <row r="19" spans="1:20" ht="13.95" hidden="1" customHeight="1" x14ac:dyDescent="0.25">
      <c r="A19" s="51" t="s">
        <v>144</v>
      </c>
      <c r="B19" s="52" t="s">
        <v>145</v>
      </c>
      <c r="C19" s="53"/>
      <c r="D19" s="54"/>
      <c r="E19" s="55"/>
      <c r="F19" s="55"/>
      <c r="G19" s="56"/>
      <c r="H19" s="56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</row>
    <row r="20" spans="1:20" ht="13.95" hidden="1" customHeight="1" x14ac:dyDescent="0.25">
      <c r="A20" s="51" t="s">
        <v>146</v>
      </c>
      <c r="B20" s="52" t="s">
        <v>147</v>
      </c>
      <c r="C20" s="53"/>
      <c r="D20" s="54"/>
      <c r="E20" s="55"/>
      <c r="F20" s="55"/>
      <c r="G20" s="56"/>
      <c r="H20" s="56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3.95" hidden="1" customHeight="1" x14ac:dyDescent="0.25">
      <c r="A21" s="51" t="s">
        <v>148</v>
      </c>
      <c r="B21" s="52" t="s">
        <v>149</v>
      </c>
      <c r="C21" s="53"/>
      <c r="D21" s="54"/>
      <c r="E21" s="55"/>
      <c r="F21" s="55"/>
      <c r="G21" s="56"/>
      <c r="H21" s="56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</row>
    <row r="22" spans="1:20" ht="13.95" hidden="1" customHeight="1" x14ac:dyDescent="0.25">
      <c r="A22" s="51" t="s">
        <v>150</v>
      </c>
      <c r="B22" s="52" t="s">
        <v>151</v>
      </c>
      <c r="C22" s="53"/>
      <c r="D22" s="54"/>
      <c r="E22" s="55"/>
      <c r="F22" s="55"/>
      <c r="G22" s="56"/>
      <c r="H22" s="56"/>
      <c r="I22" s="50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</row>
    <row r="23" spans="1:20" ht="13.95" hidden="1" customHeight="1" x14ac:dyDescent="0.25">
      <c r="A23" s="51" t="s">
        <v>152</v>
      </c>
      <c r="B23" s="52" t="s">
        <v>153</v>
      </c>
      <c r="C23" s="53"/>
      <c r="D23" s="54"/>
      <c r="E23" s="55"/>
      <c r="F23" s="55"/>
      <c r="G23" s="56"/>
      <c r="H23" s="56"/>
      <c r="I23" s="60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</row>
    <row r="24" spans="1:20" s="69" customFormat="1" x14ac:dyDescent="0.25">
      <c r="A24" s="62"/>
      <c r="B24" s="63" t="s">
        <v>154</v>
      </c>
      <c r="C24" s="64"/>
      <c r="D24" s="65"/>
      <c r="E24" s="65"/>
      <c r="F24" s="65"/>
      <c r="G24" s="66"/>
      <c r="H24" s="66"/>
      <c r="I24" s="67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</row>
    <row r="25" spans="1:20" s="69" customFormat="1" x14ac:dyDescent="0.25">
      <c r="A25" s="70">
        <v>1</v>
      </c>
      <c r="B25" s="71" t="str">
        <f>+A4</f>
        <v>Proyecto de Habilitación de la ruta Nº9</v>
      </c>
      <c r="C25" s="72"/>
      <c r="D25" s="73"/>
      <c r="E25" s="73"/>
      <c r="F25" s="73"/>
      <c r="G25" s="74">
        <v>3227857.1428571432</v>
      </c>
      <c r="H25" s="74">
        <f>'[2]4. CC D'!G8</f>
        <v>0</v>
      </c>
      <c r="I25" s="67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</row>
    <row r="26" spans="1:20" s="69" customFormat="1" ht="20.25" customHeight="1" x14ac:dyDescent="0.25">
      <c r="A26" s="448">
        <f>+'[3]CC D'!A9</f>
        <v>1</v>
      </c>
      <c r="B26" s="447" t="str">
        <f>+'[3]Cuadro de Costos'!B8</f>
        <v>Componente Unico Obras civiles</v>
      </c>
      <c r="C26" s="446"/>
      <c r="D26" s="445"/>
      <c r="E26" s="445"/>
      <c r="F26" s="445"/>
      <c r="G26" s="78">
        <v>1810000</v>
      </c>
      <c r="H26" s="78">
        <f>'[2]4. CC D'!G9</f>
        <v>0</v>
      </c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</row>
    <row r="27" spans="1:20" s="69" customFormat="1" x14ac:dyDescent="0.25">
      <c r="A27" s="91">
        <f>+'[3]CC D'!A10</f>
        <v>1.1000000000000001</v>
      </c>
      <c r="B27" s="79" t="str">
        <f>+'[3]CC D'!B10</f>
        <v>Obras de Rehabilitación y Mantenimiento</v>
      </c>
      <c r="C27" s="457"/>
      <c r="D27" s="456"/>
      <c r="E27" s="456"/>
      <c r="F27" s="456"/>
      <c r="G27" s="82">
        <v>0</v>
      </c>
      <c r="H27" s="82" t="str">
        <f>+'[3]CC D'!G10</f>
        <v>ECATEF/DV</v>
      </c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</row>
    <row r="28" spans="1:20" s="69" customFormat="1" x14ac:dyDescent="0.25">
      <c r="A28" s="83" t="str">
        <f>+'[3]CC D'!A11</f>
        <v>1.1.1</v>
      </c>
      <c r="B28" s="84" t="str">
        <f>+'[3]CC D'!B11</f>
        <v>Contratación de Firma Constructora para la rehabilitación y mantenimiento del tramo 1: km 50 - km 173 (123 Km) - Lote 1</v>
      </c>
      <c r="C28" s="85" t="str">
        <f>+'[3]CC D'!H11</f>
        <v>72 meses</v>
      </c>
      <c r="D28" s="85" t="s">
        <v>155</v>
      </c>
      <c r="E28" s="460" t="s">
        <v>183</v>
      </c>
      <c r="F28" s="452" t="s">
        <v>184</v>
      </c>
      <c r="G28" s="458">
        <v>0</v>
      </c>
      <c r="H28" s="86"/>
      <c r="I28" s="86"/>
      <c r="J28" s="86"/>
      <c r="K28" s="86"/>
      <c r="M28" s="87"/>
      <c r="N28" s="87"/>
      <c r="O28" s="87"/>
      <c r="P28" s="88"/>
      <c r="Q28" s="88"/>
      <c r="R28" s="88"/>
      <c r="S28" s="88"/>
      <c r="T28" s="88"/>
    </row>
    <row r="29" spans="1:20" s="69" customFormat="1" x14ac:dyDescent="0.25">
      <c r="A29" s="83" t="str">
        <f>+'[3]CC D'!A12</f>
        <v>1.1.2</v>
      </c>
      <c r="B29" s="84" t="str">
        <f>+'[3]CC D'!B12</f>
        <v>Contratación de Firma Constructora para la rehabilitación y mantenimiento del tramo 2: km 173 - km 326 (153 Km) - Lote 2</v>
      </c>
      <c r="C29" s="85" t="str">
        <f>+'[3]CC D'!H12</f>
        <v>73 meses</v>
      </c>
      <c r="D29" s="85" t="s">
        <v>155</v>
      </c>
      <c r="E29" s="460" t="s">
        <v>183</v>
      </c>
      <c r="F29" s="452" t="s">
        <v>184</v>
      </c>
      <c r="G29" s="458">
        <v>0</v>
      </c>
      <c r="H29" s="86"/>
      <c r="I29" s="86"/>
      <c r="J29" s="86"/>
      <c r="K29" s="86"/>
      <c r="L29" s="86"/>
      <c r="M29" s="87"/>
      <c r="N29" s="87"/>
      <c r="O29" s="87"/>
      <c r="P29" s="88"/>
      <c r="Q29" s="88"/>
      <c r="R29" s="88"/>
      <c r="S29" s="88"/>
      <c r="T29" s="88"/>
    </row>
    <row r="30" spans="1:20" s="69" customFormat="1" x14ac:dyDescent="0.25">
      <c r="A30" s="83" t="str">
        <f>+'[3]CC D'!A13</f>
        <v>1.1.3</v>
      </c>
      <c r="B30" s="84" t="str">
        <f>+'[3]CC D'!B13</f>
        <v>Contratación de Firma Constructora para la rehabilitación y mantenimiento del tramo 3: km 326 - km 450 (124 Km) - Lote 3</v>
      </c>
      <c r="C30" s="85" t="str">
        <f>+'[3]CC D'!H13</f>
        <v>74 meses</v>
      </c>
      <c r="D30" s="85" t="s">
        <v>155</v>
      </c>
      <c r="E30" s="460" t="s">
        <v>183</v>
      </c>
      <c r="F30" s="452" t="s">
        <v>184</v>
      </c>
      <c r="G30" s="458">
        <v>0</v>
      </c>
      <c r="H30" s="86"/>
      <c r="I30" s="86"/>
      <c r="J30" s="86"/>
      <c r="K30" s="86"/>
      <c r="L30" s="86"/>
      <c r="M30" s="87"/>
      <c r="N30" s="87"/>
      <c r="O30" s="87"/>
      <c r="P30" s="88"/>
      <c r="Q30" s="88"/>
      <c r="R30" s="88"/>
      <c r="S30" s="88"/>
      <c r="T30" s="88"/>
    </row>
    <row r="31" spans="1:20" s="69" customFormat="1" ht="28.2" customHeight="1" x14ac:dyDescent="0.25">
      <c r="A31" s="83" t="str">
        <f>+'[3]CC D'!A14</f>
        <v>1.1.4</v>
      </c>
      <c r="B31" s="84" t="str">
        <f>+'[3]CC D'!B14</f>
        <v>Contratación de Firma Constructora para la rehabilitación y mantenimiento del tramo 4: km 450 - km 525, accesos y linea 1 - Lote  4</v>
      </c>
      <c r="C31" s="85" t="str">
        <f>+'[3]CC D'!H14</f>
        <v>75 meses</v>
      </c>
      <c r="D31" s="85" t="s">
        <v>155</v>
      </c>
      <c r="E31" s="460" t="s">
        <v>183</v>
      </c>
      <c r="F31" s="452" t="s">
        <v>184</v>
      </c>
      <c r="G31" s="458">
        <v>0</v>
      </c>
      <c r="H31" s="86"/>
      <c r="I31" s="86"/>
      <c r="J31" s="86"/>
      <c r="K31" s="86"/>
      <c r="L31" s="86"/>
      <c r="M31" s="87"/>
      <c r="N31" s="87"/>
      <c r="O31" s="87"/>
      <c r="P31" s="88"/>
      <c r="Q31" s="88"/>
      <c r="R31" s="88"/>
      <c r="S31" s="88"/>
      <c r="T31" s="88"/>
    </row>
    <row r="32" spans="1:20" s="69" customFormat="1" x14ac:dyDescent="0.25">
      <c r="A32" s="91">
        <f>+'[3]CC D'!A15</f>
        <v>1.2</v>
      </c>
      <c r="B32" s="79" t="str">
        <f>+'[3]CC D'!B15</f>
        <v>Fiscalización</v>
      </c>
      <c r="C32" s="457"/>
      <c r="D32" s="456"/>
      <c r="E32" s="456"/>
      <c r="F32" s="456"/>
      <c r="G32" s="82">
        <v>1810000</v>
      </c>
      <c r="H32" s="82" t="str">
        <f>+'[3]CC D'!G15</f>
        <v>ECATEF/DV</v>
      </c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</row>
    <row r="33" spans="1:20" s="69" customFormat="1" ht="27.6" x14ac:dyDescent="0.25">
      <c r="A33" s="83" t="str">
        <f>+'[3]CC D'!A16</f>
        <v>1.2.1</v>
      </c>
      <c r="B33" s="84" t="str">
        <f>+'[3]CC D'!B16</f>
        <v>Contratación de Firma Consultora para la fiscalización de la rehabilitación y mantenimiento de Lotes 1 y 2</v>
      </c>
      <c r="C33" s="85" t="str">
        <f>+'[3]CC D'!H16</f>
        <v>74 meses</v>
      </c>
      <c r="D33" s="90" t="s">
        <v>158</v>
      </c>
      <c r="E33" s="459" t="s">
        <v>185</v>
      </c>
      <c r="F33" s="452" t="s">
        <v>186</v>
      </c>
      <c r="G33" s="458">
        <v>860000</v>
      </c>
      <c r="H33" s="86"/>
      <c r="J33" s="87"/>
      <c r="K33" s="87"/>
      <c r="L33" s="87"/>
      <c r="M33" s="87"/>
      <c r="N33" s="88"/>
      <c r="O33" s="88"/>
      <c r="P33" s="88"/>
      <c r="Q33" s="88"/>
      <c r="R33" s="88"/>
      <c r="S33" s="89">
        <v>1</v>
      </c>
      <c r="T33" s="89">
        <v>2</v>
      </c>
    </row>
    <row r="34" spans="1:20" s="69" customFormat="1" ht="27.6" x14ac:dyDescent="0.25">
      <c r="A34" s="83" t="str">
        <f>+'[3]CC D'!A17</f>
        <v>1.2.2</v>
      </c>
      <c r="B34" s="84" t="str">
        <f>+'[3]CC D'!B17</f>
        <v>Contratación de Firma Consultora para la fiscalización de la rehabilitación y mantenimiento de lotes 3 y 4</v>
      </c>
      <c r="C34" s="85" t="str">
        <f>+'[3]CC D'!H17</f>
        <v>75 meses</v>
      </c>
      <c r="D34" s="90" t="s">
        <v>158</v>
      </c>
      <c r="E34" s="453" t="s">
        <v>185</v>
      </c>
      <c r="F34" s="452" t="s">
        <v>186</v>
      </c>
      <c r="G34" s="458">
        <v>950000</v>
      </c>
      <c r="H34" s="86"/>
      <c r="I34" s="86"/>
      <c r="J34" s="87"/>
      <c r="K34" s="87"/>
      <c r="L34" s="87"/>
      <c r="M34" s="87"/>
      <c r="N34" s="88"/>
      <c r="O34" s="88"/>
      <c r="P34" s="88"/>
      <c r="Q34" s="88"/>
      <c r="R34" s="88"/>
      <c r="S34" s="89">
        <v>1</v>
      </c>
      <c r="T34" s="89">
        <v>2</v>
      </c>
    </row>
    <row r="35" spans="1:20" s="69" customFormat="1" x14ac:dyDescent="0.25">
      <c r="A35" s="91">
        <f>+'[3]CC D'!A18</f>
        <v>1.3</v>
      </c>
      <c r="B35" s="79" t="str">
        <f>+'[3]CC D'!B18</f>
        <v xml:space="preserve">Plan de Gestión Ambiental y Social </v>
      </c>
      <c r="C35" s="457"/>
      <c r="D35" s="456"/>
      <c r="E35" s="456"/>
      <c r="F35" s="456"/>
      <c r="G35" s="82">
        <v>0</v>
      </c>
      <c r="H35" s="82" t="str">
        <f>+'[3]CC D'!G18</f>
        <v>ECATEF/DV</v>
      </c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</row>
    <row r="36" spans="1:20" s="69" customFormat="1" x14ac:dyDescent="0.25">
      <c r="A36" s="83" t="str">
        <f>+'[3]CC D'!A19</f>
        <v>1.3.1</v>
      </c>
      <c r="B36" s="84" t="str">
        <f>+'[3]CC D'!B19</f>
        <v>Monitoreo y Evaluación Socio Ambiental</v>
      </c>
      <c r="C36" s="451" t="str">
        <f>+'[3]CC D'!H19</f>
        <v>50 meses</v>
      </c>
      <c r="D36" s="90" t="s">
        <v>160</v>
      </c>
      <c r="E36" s="453" t="s">
        <v>183</v>
      </c>
      <c r="F36" s="452" t="s">
        <v>184</v>
      </c>
      <c r="G36" s="449">
        <v>0</v>
      </c>
      <c r="H36" s="101"/>
      <c r="I36" s="101"/>
      <c r="J36" s="101"/>
      <c r="K36" s="101"/>
      <c r="L36" s="101"/>
      <c r="M36" s="101"/>
      <c r="N36" s="87"/>
      <c r="O36" s="87"/>
      <c r="P36" s="87"/>
      <c r="Q36" s="88"/>
      <c r="R36" s="88"/>
      <c r="S36" s="88"/>
      <c r="T36" s="88"/>
    </row>
    <row r="37" spans="1:20" s="69" customFormat="1" x14ac:dyDescent="0.25">
      <c r="A37" s="83" t="str">
        <f>+'[3]CC D'!A20</f>
        <v>1.3.2</v>
      </c>
      <c r="B37" s="84" t="str">
        <f>+'[3]CC D'!B20</f>
        <v>Contratación Firma Consultora para el Monitoreo de las áreas inundadas por efecto de la barrera de la Ruta</v>
      </c>
      <c r="C37" s="451" t="str">
        <f>+'[3]CC D'!H20</f>
        <v>12 meses</v>
      </c>
      <c r="D37" s="90" t="s">
        <v>158</v>
      </c>
      <c r="E37" s="453" t="s">
        <v>183</v>
      </c>
      <c r="F37" s="452" t="s">
        <v>184</v>
      </c>
      <c r="G37" s="449">
        <v>0</v>
      </c>
      <c r="H37" s="101"/>
      <c r="I37" s="101"/>
      <c r="J37" s="101"/>
      <c r="K37" s="87"/>
      <c r="L37" s="87"/>
      <c r="M37" s="87"/>
      <c r="N37" s="88"/>
      <c r="O37" s="88"/>
      <c r="P37" s="88"/>
      <c r="Q37" s="88"/>
      <c r="R37" s="88"/>
      <c r="S37" s="88"/>
      <c r="T37" s="88"/>
    </row>
    <row r="38" spans="1:20" s="69" customFormat="1" x14ac:dyDescent="0.25">
      <c r="A38" s="83" t="str">
        <f>+'[3]CC D'!A21</f>
        <v>1.3.3</v>
      </c>
      <c r="B38" s="84" t="str">
        <f>+'[3]CC D'!B21</f>
        <v>Implementación del Plan de Gestión Socio Ambiental</v>
      </c>
      <c r="C38" s="451" t="str">
        <f>+'[3]CC D'!H21</f>
        <v>48 meses</v>
      </c>
      <c r="D38" s="90" t="s">
        <v>158</v>
      </c>
      <c r="E38" s="453" t="s">
        <v>183</v>
      </c>
      <c r="F38" s="452" t="s">
        <v>184</v>
      </c>
      <c r="G38" s="449">
        <v>0</v>
      </c>
      <c r="H38" s="101"/>
      <c r="I38" s="101"/>
      <c r="J38" s="101"/>
      <c r="K38" s="87"/>
      <c r="L38" s="87"/>
      <c r="M38" s="87"/>
      <c r="N38" s="88"/>
      <c r="O38" s="88"/>
      <c r="P38" s="88"/>
      <c r="Q38" s="88"/>
      <c r="R38" s="88"/>
      <c r="S38" s="88"/>
      <c r="T38" s="88"/>
    </row>
    <row r="39" spans="1:20" s="69" customFormat="1" x14ac:dyDescent="0.25">
      <c r="A39" s="83" t="str">
        <f>+'[3]CC D'!A22</f>
        <v>1.3.4</v>
      </c>
      <c r="B39" s="84" t="str">
        <f>+'[3]CC D'!B22</f>
        <v>Plan de Reasentamiento</v>
      </c>
      <c r="C39" s="451" t="str">
        <f>+'[3]CC D'!H22</f>
        <v>48 meses</v>
      </c>
      <c r="D39" s="90" t="s">
        <v>158</v>
      </c>
      <c r="E39" s="453" t="s">
        <v>183</v>
      </c>
      <c r="F39" s="452" t="s">
        <v>184</v>
      </c>
      <c r="G39" s="449">
        <v>0</v>
      </c>
      <c r="H39" s="101"/>
      <c r="I39" s="101"/>
      <c r="J39" s="101"/>
      <c r="K39" s="87"/>
      <c r="L39" s="87"/>
      <c r="M39" s="87"/>
      <c r="N39" s="88"/>
      <c r="O39" s="88"/>
      <c r="P39" s="88"/>
      <c r="Q39" s="88"/>
      <c r="R39" s="88"/>
      <c r="S39" s="88"/>
      <c r="T39" s="88"/>
    </row>
    <row r="40" spans="1:20" s="69" customFormat="1" x14ac:dyDescent="0.25">
      <c r="A40" s="83" t="str">
        <f>+'[3]CC D'!A23</f>
        <v>1.3.5</v>
      </c>
      <c r="B40" s="84" t="str">
        <f>+'[3]CC D'!B23</f>
        <v>Contratación Firma Consultora para el Apoyo a la Gestión Institucional de Supervisión del PGAS</v>
      </c>
      <c r="C40" s="451" t="str">
        <f>+'[3]CC D'!H23</f>
        <v>6 meses</v>
      </c>
      <c r="D40" s="90" t="s">
        <v>158</v>
      </c>
      <c r="E40" s="453" t="s">
        <v>183</v>
      </c>
      <c r="F40" s="452" t="s">
        <v>184</v>
      </c>
      <c r="G40" s="449">
        <v>0</v>
      </c>
      <c r="H40" s="101"/>
      <c r="I40" s="101"/>
      <c r="J40" s="101"/>
      <c r="K40" s="87"/>
      <c r="L40" s="87"/>
      <c r="M40" s="87"/>
      <c r="N40" s="88"/>
      <c r="O40" s="88"/>
      <c r="P40" s="88"/>
      <c r="Q40" s="88"/>
      <c r="R40" s="88"/>
      <c r="S40" s="88"/>
      <c r="T40" s="88"/>
    </row>
    <row r="41" spans="1:20" s="69" customFormat="1" x14ac:dyDescent="0.25">
      <c r="A41" s="83" t="str">
        <f>+'[3]CC D'!A24</f>
        <v>1.3.6</v>
      </c>
      <c r="B41" s="84" t="str">
        <f>+'[3]CC D'!B24</f>
        <v>Contratación Firma Consultora para el Apoyo a la Gestión de los Municipios en los Proyectos Viales</v>
      </c>
      <c r="C41" s="451" t="str">
        <f>+'[3]CC D'!H24</f>
        <v>12 meses</v>
      </c>
      <c r="D41" s="90" t="s">
        <v>158</v>
      </c>
      <c r="E41" s="453" t="s">
        <v>183</v>
      </c>
      <c r="F41" s="452" t="s">
        <v>184</v>
      </c>
      <c r="G41" s="449">
        <v>0</v>
      </c>
      <c r="H41" s="101"/>
      <c r="I41" s="414"/>
      <c r="J41" s="414"/>
      <c r="K41" s="87"/>
      <c r="L41" s="87"/>
      <c r="M41" s="87"/>
      <c r="N41" s="88"/>
      <c r="O41" s="88"/>
      <c r="P41" s="88"/>
      <c r="Q41" s="88"/>
      <c r="R41" s="88"/>
      <c r="S41" s="88"/>
      <c r="T41" s="88"/>
    </row>
    <row r="42" spans="1:20" s="69" customFormat="1" x14ac:dyDescent="0.25">
      <c r="A42" s="91">
        <f>+'[3]CC D'!A25</f>
        <v>1.4</v>
      </c>
      <c r="B42" s="79" t="str">
        <f>+'[3]CC D'!B25</f>
        <v>Pago por Servicios Ambientales</v>
      </c>
      <c r="C42" s="457"/>
      <c r="D42" s="457"/>
      <c r="E42" s="457"/>
      <c r="F42" s="457"/>
      <c r="G42" s="82">
        <v>0</v>
      </c>
      <c r="H42" s="457"/>
      <c r="I42" s="457"/>
      <c r="J42" s="457"/>
      <c r="K42" s="457"/>
      <c r="L42" s="457"/>
      <c r="M42" s="457"/>
      <c r="N42" s="457"/>
      <c r="O42" s="457"/>
      <c r="P42" s="457"/>
      <c r="Q42" s="457"/>
      <c r="R42" s="457"/>
      <c r="S42" s="457"/>
      <c r="T42" s="457"/>
    </row>
    <row r="43" spans="1:20" s="69" customFormat="1" hidden="1" x14ac:dyDescent="0.25">
      <c r="A43" s="83" t="str">
        <f>+'[3]CC D'!A26</f>
        <v>1.4.1</v>
      </c>
      <c r="B43" s="84" t="str">
        <f>+'[3]CC D'!B26</f>
        <v>Pagos por Servicios Ambientales</v>
      </c>
      <c r="C43" s="451" t="s">
        <v>75</v>
      </c>
      <c r="D43" s="90"/>
      <c r="E43" s="90" t="s">
        <v>163</v>
      </c>
      <c r="F43" s="450" t="s">
        <v>165</v>
      </c>
      <c r="G43" s="449">
        <v>0</v>
      </c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</row>
    <row r="44" spans="1:20" s="69" customFormat="1" x14ac:dyDescent="0.25">
      <c r="A44" s="91">
        <f>+'[3]CC D'!A27</f>
        <v>1.5</v>
      </c>
      <c r="B44" s="79" t="str">
        <f>+'[3]CC D'!B27</f>
        <v>Escalamientos e Imprevistos</v>
      </c>
      <c r="C44" s="457"/>
      <c r="D44" s="456"/>
      <c r="E44" s="456"/>
      <c r="F44" s="456"/>
      <c r="G44" s="82">
        <v>0</v>
      </c>
      <c r="H44" s="82" t="str">
        <f>+'[3]CC D'!G27</f>
        <v>ECATEF/DV</v>
      </c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</row>
    <row r="45" spans="1:20" s="69" customFormat="1" ht="17.25" customHeight="1" x14ac:dyDescent="0.25">
      <c r="A45" s="448">
        <f>+'[3]CC D'!A28</f>
        <v>2</v>
      </c>
      <c r="B45" s="447" t="str">
        <f>+'[3]CC D'!B28</f>
        <v>Otros Costos</v>
      </c>
      <c r="C45" s="446"/>
      <c r="D45" s="445"/>
      <c r="E45" s="445"/>
      <c r="F45" s="445"/>
      <c r="G45" s="78">
        <v>932142.85714285716</v>
      </c>
      <c r="H45" s="78">
        <f>'[2]4. CC D'!G32</f>
        <v>0</v>
      </c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</row>
    <row r="46" spans="1:20" x14ac:dyDescent="0.25">
      <c r="A46" s="91">
        <f>+'[3]CC D'!A29</f>
        <v>2.1</v>
      </c>
      <c r="B46" s="79" t="str">
        <f>+'[3]CC D'!B29</f>
        <v>Administración del Programa</v>
      </c>
      <c r="C46" s="444"/>
      <c r="D46" s="444"/>
      <c r="E46" s="444"/>
      <c r="F46" s="444"/>
      <c r="G46" s="93">
        <v>857142.85714285716</v>
      </c>
      <c r="H46" s="93" t="str">
        <f>'[2]4. CC D'!G33</f>
        <v>ECATEF/DCV</v>
      </c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</row>
    <row r="47" spans="1:20" ht="21.75" customHeight="1" x14ac:dyDescent="0.25">
      <c r="A47" s="95" t="str">
        <f>+'[3]CC D'!A30</f>
        <v>2.1.1</v>
      </c>
      <c r="B47" s="96" t="str">
        <f>+'[3]CC D'!B30</f>
        <v xml:space="preserve">Contratación de la ECATEF para apoyo en la ejecución del Programa </v>
      </c>
      <c r="C47" s="450" t="str">
        <f>+'[3]CC D'!H30</f>
        <v>84 meses</v>
      </c>
      <c r="D47" s="455"/>
      <c r="E47" s="450" t="s">
        <v>187</v>
      </c>
      <c r="F47" s="450" t="s">
        <v>188</v>
      </c>
      <c r="G47" s="454">
        <v>857142.85714285716</v>
      </c>
      <c r="H47" s="98"/>
      <c r="I47" s="99">
        <v>1</v>
      </c>
      <c r="J47" s="99">
        <v>2</v>
      </c>
      <c r="K47" s="99">
        <v>3</v>
      </c>
      <c r="L47" s="99">
        <v>4</v>
      </c>
      <c r="M47" s="99">
        <v>5</v>
      </c>
      <c r="N47" s="99">
        <v>6</v>
      </c>
      <c r="O47" s="99">
        <v>7</v>
      </c>
      <c r="P47" s="99">
        <v>8</v>
      </c>
      <c r="Q47" s="99">
        <v>9</v>
      </c>
      <c r="R47" s="99">
        <v>10</v>
      </c>
      <c r="S47" s="99">
        <v>11</v>
      </c>
      <c r="T47" s="99">
        <v>12</v>
      </c>
    </row>
    <row r="48" spans="1:20" x14ac:dyDescent="0.25">
      <c r="A48" s="91">
        <f>+'[3]CC D'!A31</f>
        <v>2.2000000000000002</v>
      </c>
      <c r="B48" s="79" t="str">
        <f>+'[3]CC D'!B31</f>
        <v>Auditoria, Monitoreo y Evaluación desarrollados</v>
      </c>
      <c r="C48" s="444"/>
      <c r="D48" s="444"/>
      <c r="E48" s="444"/>
      <c r="F48" s="444"/>
      <c r="G48" s="93">
        <v>75000</v>
      </c>
      <c r="H48" s="93" t="str">
        <f>'[2]4. CC D'!G35</f>
        <v>ECATEF/DCV</v>
      </c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</row>
    <row r="49" spans="1:20" ht="27.6" x14ac:dyDescent="0.25">
      <c r="A49" s="95" t="str">
        <f>+'[3]CC D'!A32</f>
        <v>2.2.1</v>
      </c>
      <c r="B49" s="96" t="str">
        <f>+'[3]CC D'!B32</f>
        <v>Contratación de Firma Consultora para la Auditoria Externa del Proyecto PR-L1145</v>
      </c>
      <c r="C49" s="451" t="str">
        <f>+'[3]CC D'!H32</f>
        <v>74 meses</v>
      </c>
      <c r="D49" s="450" t="s">
        <v>155</v>
      </c>
      <c r="E49" s="453" t="s">
        <v>185</v>
      </c>
      <c r="F49" s="452" t="s">
        <v>186</v>
      </c>
      <c r="G49" s="449">
        <v>0</v>
      </c>
      <c r="H49" s="101"/>
      <c r="I49" s="101"/>
      <c r="J49" s="101"/>
      <c r="K49" s="101"/>
      <c r="L49" s="101"/>
      <c r="M49" s="102"/>
      <c r="N49" s="102"/>
      <c r="O49" s="102"/>
      <c r="P49" s="88"/>
      <c r="Q49" s="88"/>
      <c r="R49" s="88"/>
      <c r="S49" s="89">
        <v>1</v>
      </c>
      <c r="T49" s="89">
        <v>2</v>
      </c>
    </row>
    <row r="50" spans="1:20" ht="27.6" x14ac:dyDescent="0.25">
      <c r="A50" s="95" t="str">
        <f>+'[3]CC D'!A33</f>
        <v>2.2.2</v>
      </c>
      <c r="B50" s="96" t="str">
        <f>+'[3]CC D'!B34</f>
        <v>Contratíon Firma Consultora para la Capacitación de Funcionarios en Gestión de contratos CREMA</v>
      </c>
      <c r="C50" s="451" t="str">
        <f>+'[3]CC D'!H34</f>
        <v>6 meses</v>
      </c>
      <c r="D50" s="450" t="s">
        <v>167</v>
      </c>
      <c r="E50" s="453" t="s">
        <v>185</v>
      </c>
      <c r="F50" s="452" t="s">
        <v>186</v>
      </c>
      <c r="G50" s="449">
        <v>30000</v>
      </c>
      <c r="H50" s="101"/>
      <c r="I50" s="87"/>
      <c r="J50" s="87"/>
      <c r="K50" s="87"/>
      <c r="L50" s="88"/>
      <c r="M50" s="88"/>
      <c r="N50" s="88"/>
      <c r="O50" s="88"/>
      <c r="P50" s="88"/>
      <c r="Q50" s="88"/>
      <c r="R50" s="88"/>
      <c r="S50" s="89">
        <v>1</v>
      </c>
      <c r="T50" s="89">
        <v>2</v>
      </c>
    </row>
    <row r="51" spans="1:20" ht="27.6" x14ac:dyDescent="0.25">
      <c r="A51" s="95" t="str">
        <f>+'[3]CC D'!A34</f>
        <v>2.2.3</v>
      </c>
      <c r="B51" s="96" t="str">
        <f>+'[3]CC D'!B36</f>
        <v xml:space="preserve">Contratación Firma Consultora para Innovación tecnológica de red vial secundaria del Chaco y alimentadoras de la Ruta 9 </v>
      </c>
      <c r="C51" s="451" t="str">
        <f>+'[3]CC D'!H36</f>
        <v>6 meses</v>
      </c>
      <c r="D51" s="450" t="s">
        <v>169</v>
      </c>
      <c r="E51" s="453" t="s">
        <v>185</v>
      </c>
      <c r="F51" s="452" t="s">
        <v>186</v>
      </c>
      <c r="G51" s="449">
        <v>45000</v>
      </c>
      <c r="H51" s="101"/>
      <c r="I51" s="87"/>
      <c r="J51" s="87"/>
      <c r="K51" s="87"/>
      <c r="L51" s="88"/>
      <c r="M51" s="88"/>
      <c r="N51" s="88"/>
      <c r="O51" s="88"/>
      <c r="P51" s="88"/>
      <c r="Q51" s="88"/>
      <c r="R51" s="88"/>
      <c r="S51" s="89">
        <v>1</v>
      </c>
      <c r="T51" s="89">
        <v>2</v>
      </c>
    </row>
    <row r="52" spans="1:20" hidden="1" x14ac:dyDescent="0.25">
      <c r="A52" s="95" t="str">
        <f>+'[3]CC D'!A35</f>
        <v>2.2.4</v>
      </c>
      <c r="B52" s="96" t="str">
        <f>+'[3]CC D'!B38</f>
        <v>Contratación Firma Consultora para el  Estudio de viabilidad de uso de bitrenes en la Ruta 9</v>
      </c>
      <c r="C52" s="451" t="str">
        <f>+'[3]CC D'!H37</f>
        <v>6 meses</v>
      </c>
      <c r="D52" s="450" t="s">
        <v>169</v>
      </c>
      <c r="E52" s="90"/>
      <c r="F52" s="90"/>
      <c r="G52" s="449">
        <v>0</v>
      </c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</row>
    <row r="53" spans="1:20" hidden="1" x14ac:dyDescent="0.25">
      <c r="A53" s="95" t="str">
        <f>+'[3]CC D'!A36</f>
        <v>2.2.5</v>
      </c>
      <c r="B53" s="96" t="str">
        <f>+'[3]CC D'!B37</f>
        <v>Contratación Firma Consultora para el Estudio de alternativas de mantenimiento de red vial en el Chaco</v>
      </c>
      <c r="C53" s="451" t="str">
        <f>+'[3]CC D'!H37</f>
        <v>6 meses</v>
      </c>
      <c r="D53" s="450" t="s">
        <v>171</v>
      </c>
      <c r="E53" s="90"/>
      <c r="F53" s="90"/>
      <c r="G53" s="449">
        <v>0</v>
      </c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</row>
    <row r="54" spans="1:20" hidden="1" x14ac:dyDescent="0.25">
      <c r="A54" s="95" t="str">
        <f>+'[3]CC D'!A37</f>
        <v>2.2.6</v>
      </c>
      <c r="B54" s="96" t="str">
        <f>+'[3]CC D'!B35</f>
        <v>Contratación Firma Consultora para la Inspección de Seguridad vial en obras concluidas</v>
      </c>
      <c r="C54" s="451" t="str">
        <f>+'[3]CC D'!H35</f>
        <v>6 meses</v>
      </c>
      <c r="D54" s="450" t="s">
        <v>174</v>
      </c>
      <c r="E54" s="450"/>
      <c r="F54" s="450"/>
      <c r="G54" s="449">
        <v>0</v>
      </c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</row>
    <row r="55" spans="1:20" ht="20.25" hidden="1" customHeight="1" x14ac:dyDescent="0.25">
      <c r="A55" s="95" t="str">
        <f>+'[3]CC D'!A38</f>
        <v>2.2.7</v>
      </c>
      <c r="B55" s="96" t="str">
        <f>+'[3]CC D'!B33</f>
        <v>Contratación de Firma Consultora para la Evaluación Final del Proyecto</v>
      </c>
      <c r="C55" s="451" t="str">
        <f>+'[3]CC D'!H33</f>
        <v>6 meses</v>
      </c>
      <c r="D55" s="450" t="s">
        <v>177</v>
      </c>
      <c r="E55" s="450"/>
      <c r="F55" s="450"/>
      <c r="G55" s="449">
        <v>0</v>
      </c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</row>
    <row r="56" spans="1:20" s="69" customFormat="1" ht="17.25" customHeight="1" x14ac:dyDescent="0.25">
      <c r="A56" s="91">
        <f>+PEP!A56</f>
        <v>2.2999999999999998</v>
      </c>
      <c r="B56" s="79" t="str">
        <f>+'[3]CC D'!B40</f>
        <v>Comisión de Financiamiento (CAF)</v>
      </c>
      <c r="C56" s="444"/>
      <c r="D56" s="444"/>
      <c r="E56" s="444"/>
      <c r="F56" s="444"/>
      <c r="G56" s="93">
        <v>485714.28571428574</v>
      </c>
      <c r="H56" s="444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</row>
    <row r="57" spans="1:20" s="69" customFormat="1" ht="17.25" customHeight="1" x14ac:dyDescent="0.25">
      <c r="A57" s="91">
        <f>+PEP!A57</f>
        <v>2.4</v>
      </c>
      <c r="B57" s="79" t="str">
        <f>+'[3]CC D'!B41</f>
        <v>Gastos de Evaluación (CAF)</v>
      </c>
      <c r="C57" s="444"/>
      <c r="D57" s="444"/>
      <c r="E57" s="444"/>
      <c r="F57" s="444"/>
      <c r="G57" s="93">
        <v>0</v>
      </c>
      <c r="H57" s="444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</row>
  </sheetData>
  <mergeCells count="16">
    <mergeCell ref="A1:B1"/>
    <mergeCell ref="A2:B2"/>
    <mergeCell ref="A4:B4"/>
    <mergeCell ref="A6:B6"/>
    <mergeCell ref="I7:T7"/>
    <mergeCell ref="E7:F7"/>
    <mergeCell ref="A8:A9"/>
    <mergeCell ref="B8:B9"/>
    <mergeCell ref="C8:C9"/>
    <mergeCell ref="D8:D9"/>
    <mergeCell ref="E8:E9"/>
    <mergeCell ref="F8:F9"/>
    <mergeCell ref="I8:K8"/>
    <mergeCell ref="L8:N8"/>
    <mergeCell ref="O8:Q8"/>
    <mergeCell ref="R8:T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3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K44"/>
  <sheetViews>
    <sheetView showGridLines="0" zoomScale="70" zoomScaleNormal="70" workbookViewId="0">
      <pane xSplit="2" ySplit="9" topLeftCell="C16" activePane="bottomRight" state="frozen"/>
      <selection pane="topRight" activeCell="C1" sqref="C1"/>
      <selection pane="bottomLeft" activeCell="A10" sqref="A10"/>
      <selection pane="bottomRight" activeCell="CL42" sqref="CL42"/>
    </sheetView>
  </sheetViews>
  <sheetFormatPr defaultColWidth="9.109375" defaultRowHeight="13.8" x14ac:dyDescent="0.3"/>
  <cols>
    <col min="1" max="1" width="8.88671875" style="164" customWidth="1"/>
    <col min="2" max="2" width="96.5546875" style="165" customWidth="1"/>
    <col min="3" max="3" width="21.6640625" style="166" bestFit="1" customWidth="1"/>
    <col min="4" max="4" width="10" style="147" bestFit="1" customWidth="1"/>
    <col min="5" max="5" width="8.88671875" style="147" bestFit="1" customWidth="1"/>
    <col min="6" max="6" width="12.44140625" style="147" bestFit="1" customWidth="1"/>
    <col min="7" max="7" width="8.88671875" style="147" bestFit="1" customWidth="1"/>
    <col min="8" max="8" width="9.6640625" style="147" bestFit="1" customWidth="1"/>
    <col min="9" max="9" width="12" style="147" bestFit="1" customWidth="1"/>
    <col min="10" max="10" width="8.109375" style="147" bestFit="1" customWidth="1"/>
    <col min="11" max="11" width="9.44140625" style="147" bestFit="1" customWidth="1"/>
    <col min="12" max="12" width="12" style="147" bestFit="1" customWidth="1"/>
    <col min="13" max="13" width="9.6640625" style="147" bestFit="1" customWidth="1"/>
    <col min="14" max="14" width="10" style="147" bestFit="1" customWidth="1"/>
    <col min="15" max="15" width="12" style="147" bestFit="1" customWidth="1"/>
    <col min="16" max="16" width="14.5546875" style="147" bestFit="1" customWidth="1"/>
    <col min="17" max="17" width="12.44140625" style="147" bestFit="1" customWidth="1"/>
    <col min="18" max="19" width="13.88671875" style="147" bestFit="1" customWidth="1"/>
    <col min="20" max="20" width="12.44140625" style="147" bestFit="1" customWidth="1"/>
    <col min="21" max="22" width="14.33203125" style="147" bestFit="1" customWidth="1"/>
    <col min="23" max="23" width="13.44140625" style="147" bestFit="1" customWidth="1"/>
    <col min="24" max="24" width="13.88671875" style="147" bestFit="1" customWidth="1"/>
    <col min="25" max="25" width="14.33203125" style="147" bestFit="1" customWidth="1"/>
    <col min="26" max="27" width="13.88671875" style="147" bestFit="1" customWidth="1"/>
    <col min="28" max="32" width="14.33203125" style="147" bestFit="1" customWidth="1"/>
    <col min="33" max="33" width="13.88671875" style="147" bestFit="1" customWidth="1"/>
    <col min="34" max="35" width="14.33203125" style="147" bestFit="1" customWidth="1"/>
    <col min="36" max="37" width="12.44140625" style="147" bestFit="1" customWidth="1"/>
    <col min="38" max="38" width="11.6640625" style="147" bestFit="1" customWidth="1"/>
    <col min="39" max="39" width="12" style="147" bestFit="1" customWidth="1"/>
    <col min="40" max="40" width="14.5546875" style="147" bestFit="1" customWidth="1"/>
    <col min="41" max="41" width="12" style="147" bestFit="1" customWidth="1"/>
    <col min="42" max="42" width="13" style="147" bestFit="1" customWidth="1"/>
    <col min="43" max="43" width="14.33203125" style="147" bestFit="1" customWidth="1"/>
    <col min="44" max="44" width="13" style="147" bestFit="1" customWidth="1"/>
    <col min="45" max="45" width="14.33203125" style="147" bestFit="1" customWidth="1"/>
    <col min="46" max="48" width="13.88671875" style="147" bestFit="1" customWidth="1"/>
    <col min="49" max="49" width="14.5546875" style="147" bestFit="1" customWidth="1"/>
    <col min="50" max="51" width="13.88671875" style="147" bestFit="1" customWidth="1"/>
    <col min="52" max="52" width="14.33203125" style="148" bestFit="1" customWidth="1"/>
    <col min="53" max="53" width="13.88671875" style="148" bestFit="1" customWidth="1"/>
    <col min="54" max="54" width="14.33203125" style="148" bestFit="1" customWidth="1"/>
    <col min="55" max="55" width="14.5546875" style="148" bestFit="1" customWidth="1"/>
    <col min="56" max="56" width="14.33203125" style="148" bestFit="1" customWidth="1"/>
    <col min="57" max="57" width="13.88671875" style="148" bestFit="1" customWidth="1"/>
    <col min="58" max="58" width="14.5546875" style="148" bestFit="1" customWidth="1"/>
    <col min="59" max="59" width="14.33203125" style="148" bestFit="1" customWidth="1"/>
    <col min="60" max="60" width="12" style="148" bestFit="1" customWidth="1"/>
    <col min="61" max="61" width="12.44140625" style="148" bestFit="1" customWidth="1"/>
    <col min="62" max="62" width="12" style="148" bestFit="1" customWidth="1"/>
    <col min="63" max="63" width="12.44140625" style="148" bestFit="1" customWidth="1"/>
    <col min="64" max="64" width="12.44140625" style="149" bestFit="1" customWidth="1"/>
    <col min="65" max="65" width="9.6640625" style="149" bestFit="1" customWidth="1"/>
    <col min="66" max="66" width="12" style="150" bestFit="1" customWidth="1"/>
    <col min="67" max="67" width="12.44140625" style="147" bestFit="1" customWidth="1"/>
    <col min="68" max="68" width="9.109375" style="147"/>
    <col min="69" max="69" width="12" style="147" bestFit="1" customWidth="1"/>
    <col min="70" max="70" width="12.44140625" style="147" bestFit="1" customWidth="1"/>
    <col min="71" max="71" width="9.44140625" style="147" bestFit="1" customWidth="1"/>
    <col min="72" max="72" width="12" style="147" bestFit="1" customWidth="1"/>
    <col min="73" max="73" width="12.44140625" style="147" bestFit="1" customWidth="1"/>
    <col min="74" max="74" width="9.109375" style="147"/>
    <col min="75" max="75" width="12" style="147" bestFit="1" customWidth="1"/>
    <col min="76" max="76" width="12.44140625" style="147" bestFit="1" customWidth="1"/>
    <col min="77" max="77" width="9.6640625" style="147" bestFit="1" customWidth="1"/>
    <col min="78" max="78" width="12" style="147" bestFit="1" customWidth="1"/>
    <col min="79" max="79" width="12.44140625" style="147" bestFit="1" customWidth="1"/>
    <col min="80" max="80" width="11" style="147" bestFit="1" customWidth="1"/>
    <col min="81" max="81" width="12" style="147" bestFit="1" customWidth="1"/>
    <col min="82" max="82" width="12.44140625" style="147" bestFit="1" customWidth="1"/>
    <col min="83" max="83" width="10.6640625" style="147" bestFit="1" customWidth="1"/>
    <col min="84" max="84" width="12" style="147" bestFit="1" customWidth="1"/>
    <col min="85" max="85" width="12.44140625" style="147" bestFit="1" customWidth="1"/>
    <col min="86" max="86" width="9.109375" style="147"/>
    <col min="87" max="87" width="14.5546875" style="147" bestFit="1" customWidth="1"/>
    <col min="88" max="88" width="16.33203125" style="147" bestFit="1" customWidth="1"/>
    <col min="89" max="89" width="14.33203125" style="147" bestFit="1" customWidth="1"/>
    <col min="90" max="16384" width="9.109375" style="147"/>
  </cols>
  <sheetData>
    <row r="1" spans="1:89" x14ac:dyDescent="0.3">
      <c r="A1" s="145" t="s">
        <v>189</v>
      </c>
      <c r="B1" s="145"/>
      <c r="C1" s="146"/>
    </row>
    <row r="2" spans="1:89" x14ac:dyDescent="0.3">
      <c r="A2" s="145" t="s">
        <v>35</v>
      </c>
      <c r="B2" s="145"/>
      <c r="C2" s="146"/>
    </row>
    <row r="3" spans="1:89" x14ac:dyDescent="0.3">
      <c r="A3" s="145"/>
      <c r="B3" s="145"/>
      <c r="C3" s="151"/>
    </row>
    <row r="4" spans="1:89" x14ac:dyDescent="0.3">
      <c r="A4" s="488" t="s">
        <v>190</v>
      </c>
      <c r="B4" s="488"/>
      <c r="C4" s="146"/>
    </row>
    <row r="5" spans="1:89" x14ac:dyDescent="0.3">
      <c r="A5" s="145"/>
      <c r="B5" s="145"/>
      <c r="C5" s="146"/>
    </row>
    <row r="6" spans="1:89" x14ac:dyDescent="0.3">
      <c r="A6" s="145" t="s">
        <v>37</v>
      </c>
      <c r="B6" s="145"/>
      <c r="C6" s="146"/>
    </row>
    <row r="7" spans="1:89" s="154" customFormat="1" x14ac:dyDescent="0.3">
      <c r="A7" s="481" t="s">
        <v>191</v>
      </c>
      <c r="B7" s="482"/>
      <c r="C7" s="152"/>
      <c r="D7" s="473" t="s">
        <v>111</v>
      </c>
      <c r="E7" s="473"/>
      <c r="F7" s="473"/>
      <c r="G7" s="473"/>
      <c r="H7" s="473"/>
      <c r="I7" s="473"/>
      <c r="J7" s="473"/>
      <c r="K7" s="473"/>
      <c r="L7" s="473"/>
      <c r="M7" s="473"/>
      <c r="N7" s="473"/>
      <c r="O7" s="473"/>
      <c r="P7" s="473" t="s">
        <v>112</v>
      </c>
      <c r="Q7" s="473"/>
      <c r="R7" s="473"/>
      <c r="S7" s="473"/>
      <c r="T7" s="473"/>
      <c r="U7" s="473"/>
      <c r="V7" s="473"/>
      <c r="W7" s="473"/>
      <c r="X7" s="473"/>
      <c r="Y7" s="473"/>
      <c r="Z7" s="473"/>
      <c r="AA7" s="473"/>
      <c r="AB7" s="473" t="s">
        <v>113</v>
      </c>
      <c r="AC7" s="473"/>
      <c r="AD7" s="473"/>
      <c r="AE7" s="473"/>
      <c r="AF7" s="473"/>
      <c r="AG7" s="473"/>
      <c r="AH7" s="473"/>
      <c r="AI7" s="473"/>
      <c r="AJ7" s="473"/>
      <c r="AK7" s="473"/>
      <c r="AL7" s="473"/>
      <c r="AM7" s="473"/>
      <c r="AN7" s="473" t="s">
        <v>114</v>
      </c>
      <c r="AO7" s="473"/>
      <c r="AP7" s="473"/>
      <c r="AQ7" s="473"/>
      <c r="AR7" s="473"/>
      <c r="AS7" s="473"/>
      <c r="AT7" s="473"/>
      <c r="AU7" s="473"/>
      <c r="AV7" s="473"/>
      <c r="AW7" s="473"/>
      <c r="AX7" s="473"/>
      <c r="AY7" s="473"/>
      <c r="AZ7" s="473" t="s">
        <v>115</v>
      </c>
      <c r="BA7" s="473"/>
      <c r="BB7" s="473"/>
      <c r="BC7" s="473"/>
      <c r="BD7" s="473"/>
      <c r="BE7" s="473"/>
      <c r="BF7" s="473"/>
      <c r="BG7" s="473"/>
      <c r="BH7" s="473"/>
      <c r="BI7" s="473"/>
      <c r="BJ7" s="473"/>
      <c r="BK7" s="473"/>
      <c r="BL7" s="485" t="s">
        <v>116</v>
      </c>
      <c r="BM7" s="486"/>
      <c r="BN7" s="486"/>
      <c r="BO7" s="486"/>
      <c r="BP7" s="486"/>
      <c r="BQ7" s="486"/>
      <c r="BR7" s="486"/>
      <c r="BS7" s="486"/>
      <c r="BT7" s="486"/>
      <c r="BU7" s="486"/>
      <c r="BV7" s="486"/>
      <c r="BW7" s="487"/>
      <c r="BX7" s="485" t="s">
        <v>117</v>
      </c>
      <c r="BY7" s="486"/>
      <c r="BZ7" s="486"/>
      <c r="CA7" s="486"/>
      <c r="CB7" s="486"/>
      <c r="CC7" s="486"/>
      <c r="CD7" s="486"/>
      <c r="CE7" s="486"/>
      <c r="CF7" s="486"/>
      <c r="CG7" s="486"/>
      <c r="CH7" s="486"/>
      <c r="CI7" s="487"/>
    </row>
    <row r="8" spans="1:89" s="154" customFormat="1" x14ac:dyDescent="0.3">
      <c r="A8" s="483"/>
      <c r="B8" s="484"/>
      <c r="C8" s="152"/>
      <c r="D8" s="473" t="s">
        <v>192</v>
      </c>
      <c r="E8" s="473"/>
      <c r="F8" s="473"/>
      <c r="G8" s="473" t="s">
        <v>193</v>
      </c>
      <c r="H8" s="473"/>
      <c r="I8" s="473"/>
      <c r="J8" s="473" t="s">
        <v>194</v>
      </c>
      <c r="K8" s="473"/>
      <c r="L8" s="473"/>
      <c r="M8" s="473" t="s">
        <v>195</v>
      </c>
      <c r="N8" s="473"/>
      <c r="O8" s="473"/>
      <c r="P8" s="473" t="s">
        <v>192</v>
      </c>
      <c r="Q8" s="473"/>
      <c r="R8" s="473"/>
      <c r="S8" s="473" t="s">
        <v>193</v>
      </c>
      <c r="T8" s="473"/>
      <c r="U8" s="473"/>
      <c r="V8" s="473" t="s">
        <v>194</v>
      </c>
      <c r="W8" s="473"/>
      <c r="X8" s="473"/>
      <c r="Y8" s="473" t="s">
        <v>195</v>
      </c>
      <c r="Z8" s="473"/>
      <c r="AA8" s="473"/>
      <c r="AB8" s="473" t="s">
        <v>192</v>
      </c>
      <c r="AC8" s="473"/>
      <c r="AD8" s="473"/>
      <c r="AE8" s="473" t="s">
        <v>193</v>
      </c>
      <c r="AF8" s="473"/>
      <c r="AG8" s="473"/>
      <c r="AH8" s="473" t="s">
        <v>194</v>
      </c>
      <c r="AI8" s="473"/>
      <c r="AJ8" s="473"/>
      <c r="AK8" s="473" t="s">
        <v>195</v>
      </c>
      <c r="AL8" s="473"/>
      <c r="AM8" s="473"/>
      <c r="AN8" s="473" t="s">
        <v>192</v>
      </c>
      <c r="AO8" s="473"/>
      <c r="AP8" s="473"/>
      <c r="AQ8" s="473" t="s">
        <v>193</v>
      </c>
      <c r="AR8" s="473"/>
      <c r="AS8" s="473"/>
      <c r="AT8" s="473" t="s">
        <v>194</v>
      </c>
      <c r="AU8" s="473"/>
      <c r="AV8" s="473"/>
      <c r="AW8" s="473" t="s">
        <v>195</v>
      </c>
      <c r="AX8" s="473"/>
      <c r="AY8" s="473"/>
      <c r="AZ8" s="473" t="s">
        <v>192</v>
      </c>
      <c r="BA8" s="473"/>
      <c r="BB8" s="473"/>
      <c r="BC8" s="473" t="s">
        <v>193</v>
      </c>
      <c r="BD8" s="473"/>
      <c r="BE8" s="473"/>
      <c r="BF8" s="473" t="s">
        <v>194</v>
      </c>
      <c r="BG8" s="473"/>
      <c r="BH8" s="473"/>
      <c r="BI8" s="473" t="s">
        <v>195</v>
      </c>
      <c r="BJ8" s="473"/>
      <c r="BK8" s="473"/>
      <c r="BL8" s="473" t="s">
        <v>192</v>
      </c>
      <c r="BM8" s="473"/>
      <c r="BN8" s="473"/>
      <c r="BO8" s="473" t="s">
        <v>193</v>
      </c>
      <c r="BP8" s="473"/>
      <c r="BQ8" s="473"/>
      <c r="BR8" s="473" t="s">
        <v>194</v>
      </c>
      <c r="BS8" s="473"/>
      <c r="BT8" s="473"/>
      <c r="BU8" s="473" t="s">
        <v>195</v>
      </c>
      <c r="BV8" s="473"/>
      <c r="BW8" s="473"/>
      <c r="BX8" s="473" t="s">
        <v>192</v>
      </c>
      <c r="BY8" s="473"/>
      <c r="BZ8" s="473"/>
      <c r="CA8" s="473" t="s">
        <v>193</v>
      </c>
      <c r="CB8" s="473"/>
      <c r="CC8" s="473"/>
      <c r="CD8" s="473" t="s">
        <v>194</v>
      </c>
      <c r="CE8" s="473"/>
      <c r="CF8" s="473"/>
      <c r="CG8" s="473" t="s">
        <v>195</v>
      </c>
      <c r="CH8" s="473"/>
      <c r="CI8" s="473"/>
    </row>
    <row r="9" spans="1:89" s="154" customFormat="1" x14ac:dyDescent="0.3">
      <c r="A9" s="483"/>
      <c r="B9" s="484"/>
      <c r="C9" s="152"/>
      <c r="D9" s="426" t="s">
        <v>196</v>
      </c>
      <c r="E9" s="426" t="s">
        <v>197</v>
      </c>
      <c r="F9" s="426" t="s">
        <v>198</v>
      </c>
      <c r="G9" s="426" t="s">
        <v>199</v>
      </c>
      <c r="H9" s="426" t="s">
        <v>200</v>
      </c>
      <c r="I9" s="426" t="s">
        <v>201</v>
      </c>
      <c r="J9" s="426" t="s">
        <v>202</v>
      </c>
      <c r="K9" s="426" t="s">
        <v>203</v>
      </c>
      <c r="L9" s="426" t="s">
        <v>204</v>
      </c>
      <c r="M9" s="426" t="s">
        <v>205</v>
      </c>
      <c r="N9" s="426" t="s">
        <v>206</v>
      </c>
      <c r="O9" s="426" t="s">
        <v>207</v>
      </c>
      <c r="P9" s="426" t="s">
        <v>208</v>
      </c>
      <c r="Q9" s="426" t="s">
        <v>209</v>
      </c>
      <c r="R9" s="426" t="s">
        <v>210</v>
      </c>
      <c r="S9" s="426" t="s">
        <v>211</v>
      </c>
      <c r="T9" s="426" t="s">
        <v>212</v>
      </c>
      <c r="U9" s="426" t="s">
        <v>213</v>
      </c>
      <c r="V9" s="426" t="s">
        <v>214</v>
      </c>
      <c r="W9" s="426" t="s">
        <v>215</v>
      </c>
      <c r="X9" s="426" t="s">
        <v>216</v>
      </c>
      <c r="Y9" s="426" t="s">
        <v>217</v>
      </c>
      <c r="Z9" s="426" t="s">
        <v>218</v>
      </c>
      <c r="AA9" s="426" t="s">
        <v>219</v>
      </c>
      <c r="AB9" s="426" t="s">
        <v>220</v>
      </c>
      <c r="AC9" s="426" t="s">
        <v>221</v>
      </c>
      <c r="AD9" s="426" t="s">
        <v>222</v>
      </c>
      <c r="AE9" s="426" t="s">
        <v>223</v>
      </c>
      <c r="AF9" s="426" t="s">
        <v>224</v>
      </c>
      <c r="AG9" s="426" t="s">
        <v>225</v>
      </c>
      <c r="AH9" s="426" t="s">
        <v>226</v>
      </c>
      <c r="AI9" s="426" t="s">
        <v>227</v>
      </c>
      <c r="AJ9" s="426" t="s">
        <v>228</v>
      </c>
      <c r="AK9" s="426" t="s">
        <v>229</v>
      </c>
      <c r="AL9" s="426" t="s">
        <v>230</v>
      </c>
      <c r="AM9" s="426" t="s">
        <v>231</v>
      </c>
      <c r="AN9" s="426" t="s">
        <v>232</v>
      </c>
      <c r="AO9" s="426" t="s">
        <v>233</v>
      </c>
      <c r="AP9" s="426" t="s">
        <v>234</v>
      </c>
      <c r="AQ9" s="426" t="s">
        <v>235</v>
      </c>
      <c r="AR9" s="426" t="s">
        <v>236</v>
      </c>
      <c r="AS9" s="426" t="s">
        <v>237</v>
      </c>
      <c r="AT9" s="426" t="s">
        <v>238</v>
      </c>
      <c r="AU9" s="426" t="s">
        <v>239</v>
      </c>
      <c r="AV9" s="426" t="s">
        <v>240</v>
      </c>
      <c r="AW9" s="426" t="s">
        <v>241</v>
      </c>
      <c r="AX9" s="426" t="s">
        <v>242</v>
      </c>
      <c r="AY9" s="426" t="s">
        <v>243</v>
      </c>
      <c r="AZ9" s="426" t="s">
        <v>244</v>
      </c>
      <c r="BA9" s="426" t="s">
        <v>245</v>
      </c>
      <c r="BB9" s="426" t="s">
        <v>246</v>
      </c>
      <c r="BC9" s="426" t="s">
        <v>247</v>
      </c>
      <c r="BD9" s="426" t="s">
        <v>248</v>
      </c>
      <c r="BE9" s="426" t="s">
        <v>249</v>
      </c>
      <c r="BF9" s="426" t="s">
        <v>250</v>
      </c>
      <c r="BG9" s="426" t="s">
        <v>251</v>
      </c>
      <c r="BH9" s="426" t="s">
        <v>252</v>
      </c>
      <c r="BI9" s="426" t="s">
        <v>253</v>
      </c>
      <c r="BJ9" s="426" t="s">
        <v>254</v>
      </c>
      <c r="BK9" s="426" t="s">
        <v>255</v>
      </c>
      <c r="BL9" s="426" t="s">
        <v>256</v>
      </c>
      <c r="BM9" s="426" t="s">
        <v>257</v>
      </c>
      <c r="BN9" s="426" t="s">
        <v>258</v>
      </c>
      <c r="BO9" s="426" t="s">
        <v>259</v>
      </c>
      <c r="BP9" s="426" t="s">
        <v>260</v>
      </c>
      <c r="BQ9" s="426" t="s">
        <v>261</v>
      </c>
      <c r="BR9" s="426" t="s">
        <v>262</v>
      </c>
      <c r="BS9" s="426" t="s">
        <v>263</v>
      </c>
      <c r="BT9" s="426" t="s">
        <v>264</v>
      </c>
      <c r="BU9" s="426" t="s">
        <v>265</v>
      </c>
      <c r="BV9" s="426" t="s">
        <v>266</v>
      </c>
      <c r="BW9" s="426" t="s">
        <v>267</v>
      </c>
      <c r="BX9" s="426" t="s">
        <v>268</v>
      </c>
      <c r="BY9" s="426" t="s">
        <v>269</v>
      </c>
      <c r="BZ9" s="426" t="s">
        <v>270</v>
      </c>
      <c r="CA9" s="426" t="s">
        <v>271</v>
      </c>
      <c r="CB9" s="426" t="s">
        <v>272</v>
      </c>
      <c r="CC9" s="426" t="s">
        <v>273</v>
      </c>
      <c r="CD9" s="426" t="s">
        <v>274</v>
      </c>
      <c r="CE9" s="426" t="s">
        <v>275</v>
      </c>
      <c r="CF9" s="426" t="s">
        <v>276</v>
      </c>
      <c r="CG9" s="426" t="s">
        <v>277</v>
      </c>
      <c r="CH9" s="426" t="s">
        <v>278</v>
      </c>
      <c r="CI9" s="426" t="s">
        <v>279</v>
      </c>
    </row>
    <row r="10" spans="1:89" s="154" customFormat="1" x14ac:dyDescent="0.3">
      <c r="A10" s="483"/>
      <c r="B10" s="484"/>
      <c r="C10" s="155" t="s">
        <v>280</v>
      </c>
      <c r="D10" s="156">
        <v>43466</v>
      </c>
      <c r="E10" s="156">
        <v>43497</v>
      </c>
      <c r="F10" s="156">
        <v>43525</v>
      </c>
      <c r="G10" s="156">
        <v>43556</v>
      </c>
      <c r="H10" s="156">
        <v>43586</v>
      </c>
      <c r="I10" s="156">
        <v>43617</v>
      </c>
      <c r="J10" s="156">
        <v>43647</v>
      </c>
      <c r="K10" s="156">
        <v>43678</v>
      </c>
      <c r="L10" s="156">
        <v>43709</v>
      </c>
      <c r="M10" s="156">
        <v>43739</v>
      </c>
      <c r="N10" s="156">
        <v>43770</v>
      </c>
      <c r="O10" s="156">
        <v>43800</v>
      </c>
      <c r="P10" s="156">
        <v>43831</v>
      </c>
      <c r="Q10" s="156">
        <v>43862</v>
      </c>
      <c r="R10" s="156">
        <v>43891</v>
      </c>
      <c r="S10" s="156">
        <v>43922</v>
      </c>
      <c r="T10" s="156">
        <v>43952</v>
      </c>
      <c r="U10" s="156">
        <v>43983</v>
      </c>
      <c r="V10" s="156">
        <v>44013</v>
      </c>
      <c r="W10" s="156">
        <v>44044</v>
      </c>
      <c r="X10" s="156">
        <v>44075</v>
      </c>
      <c r="Y10" s="156">
        <v>44105</v>
      </c>
      <c r="Z10" s="156">
        <v>44136</v>
      </c>
      <c r="AA10" s="156">
        <v>44166</v>
      </c>
      <c r="AB10" s="156">
        <v>44197</v>
      </c>
      <c r="AC10" s="156">
        <v>44228</v>
      </c>
      <c r="AD10" s="156">
        <v>44256</v>
      </c>
      <c r="AE10" s="156">
        <v>44287</v>
      </c>
      <c r="AF10" s="156">
        <v>44317</v>
      </c>
      <c r="AG10" s="156">
        <v>44348</v>
      </c>
      <c r="AH10" s="156">
        <v>44378</v>
      </c>
      <c r="AI10" s="156">
        <v>44409</v>
      </c>
      <c r="AJ10" s="156">
        <v>44440</v>
      </c>
      <c r="AK10" s="156">
        <v>44470</v>
      </c>
      <c r="AL10" s="156">
        <v>44501</v>
      </c>
      <c r="AM10" s="156">
        <v>44531</v>
      </c>
      <c r="AN10" s="156">
        <v>44562</v>
      </c>
      <c r="AO10" s="156">
        <v>44593</v>
      </c>
      <c r="AP10" s="156">
        <v>44621</v>
      </c>
      <c r="AQ10" s="156">
        <v>44652</v>
      </c>
      <c r="AR10" s="156">
        <v>44682</v>
      </c>
      <c r="AS10" s="156">
        <v>44713</v>
      </c>
      <c r="AT10" s="156">
        <v>44743</v>
      </c>
      <c r="AU10" s="156">
        <v>44774</v>
      </c>
      <c r="AV10" s="156">
        <v>44805</v>
      </c>
      <c r="AW10" s="156">
        <v>44835</v>
      </c>
      <c r="AX10" s="156">
        <v>44866</v>
      </c>
      <c r="AY10" s="156">
        <v>44896</v>
      </c>
      <c r="AZ10" s="156">
        <v>44927</v>
      </c>
      <c r="BA10" s="156">
        <v>44958</v>
      </c>
      <c r="BB10" s="156">
        <v>44986</v>
      </c>
      <c r="BC10" s="156">
        <v>45017</v>
      </c>
      <c r="BD10" s="156">
        <v>45047</v>
      </c>
      <c r="BE10" s="156">
        <v>45078</v>
      </c>
      <c r="BF10" s="156">
        <v>45108</v>
      </c>
      <c r="BG10" s="156">
        <v>45139</v>
      </c>
      <c r="BH10" s="156">
        <v>45170</v>
      </c>
      <c r="BI10" s="156">
        <v>45200</v>
      </c>
      <c r="BJ10" s="156">
        <v>45231</v>
      </c>
      <c r="BK10" s="156">
        <v>45261</v>
      </c>
      <c r="BL10" s="156">
        <v>45292</v>
      </c>
      <c r="BM10" s="156">
        <v>45323</v>
      </c>
      <c r="BN10" s="156">
        <v>45352</v>
      </c>
      <c r="BO10" s="156">
        <v>45383</v>
      </c>
      <c r="BP10" s="156">
        <v>45413</v>
      </c>
      <c r="BQ10" s="156">
        <v>45444</v>
      </c>
      <c r="BR10" s="156">
        <v>45474</v>
      </c>
      <c r="BS10" s="156">
        <v>45505</v>
      </c>
      <c r="BT10" s="156">
        <v>45536</v>
      </c>
      <c r="BU10" s="156">
        <v>45566</v>
      </c>
      <c r="BV10" s="156">
        <v>45597</v>
      </c>
      <c r="BW10" s="156">
        <v>45627</v>
      </c>
      <c r="BX10" s="156">
        <v>45658</v>
      </c>
      <c r="BY10" s="156">
        <v>45689</v>
      </c>
      <c r="BZ10" s="156">
        <v>45717</v>
      </c>
      <c r="CA10" s="156">
        <v>45748</v>
      </c>
      <c r="CB10" s="156">
        <v>45778</v>
      </c>
      <c r="CC10" s="156">
        <v>45809</v>
      </c>
      <c r="CD10" s="156">
        <v>45839</v>
      </c>
      <c r="CE10" s="156">
        <v>45870</v>
      </c>
      <c r="CF10" s="156">
        <v>45901</v>
      </c>
      <c r="CG10" s="156">
        <v>45931</v>
      </c>
      <c r="CH10" s="156">
        <v>45962</v>
      </c>
      <c r="CI10" s="156">
        <v>45992</v>
      </c>
      <c r="CJ10" s="149"/>
    </row>
    <row r="11" spans="1:89" s="157" customFormat="1" x14ac:dyDescent="0.3">
      <c r="A11" s="70">
        <f>+'CC D'!A8</f>
        <v>0</v>
      </c>
      <c r="B11" s="71" t="str">
        <f>+'CC D'!B8</f>
        <v>Proyecto de Habilitación de la ruta Nº9</v>
      </c>
      <c r="C11" s="74">
        <f>+PEP!G25</f>
        <v>560000000</v>
      </c>
      <c r="D11" s="74">
        <f>+D12+D31</f>
        <v>0</v>
      </c>
      <c r="E11" s="74">
        <f t="shared" ref="E11:BP11" si="0">+E12+E31</f>
        <v>0</v>
      </c>
      <c r="F11" s="74">
        <f t="shared" si="0"/>
        <v>214285.71428571429</v>
      </c>
      <c r="G11" s="74">
        <f t="shared" si="0"/>
        <v>0</v>
      </c>
      <c r="H11" s="74">
        <f t="shared" si="0"/>
        <v>0</v>
      </c>
      <c r="I11" s="74">
        <f t="shared" si="0"/>
        <v>214285.71428571429</v>
      </c>
      <c r="J11" s="74">
        <f t="shared" si="0"/>
        <v>0</v>
      </c>
      <c r="K11" s="74">
        <f t="shared" si="0"/>
        <v>0</v>
      </c>
      <c r="L11" s="74">
        <f t="shared" si="0"/>
        <v>214285.71428571429</v>
      </c>
      <c r="M11" s="74">
        <f t="shared" si="0"/>
        <v>0</v>
      </c>
      <c r="N11" s="74">
        <f t="shared" si="0"/>
        <v>0</v>
      </c>
      <c r="O11" s="74">
        <f t="shared" si="0"/>
        <v>2585000</v>
      </c>
      <c r="P11" s="74">
        <f t="shared" si="0"/>
        <v>95028200</v>
      </c>
      <c r="Q11" s="74">
        <f t="shared" si="0"/>
        <v>10048944.047619049</v>
      </c>
      <c r="R11" s="74">
        <f t="shared" si="0"/>
        <v>12977085.714285715</v>
      </c>
      <c r="S11" s="74">
        <f t="shared" si="0"/>
        <v>13879954.761904763</v>
      </c>
      <c r="T11" s="74">
        <f t="shared" si="0"/>
        <v>14147346.428571429</v>
      </c>
      <c r="U11" s="74">
        <f t="shared" si="0"/>
        <v>16783806.547619049</v>
      </c>
      <c r="V11" s="74">
        <f t="shared" si="0"/>
        <v>17759900</v>
      </c>
      <c r="W11" s="74">
        <f t="shared" si="0"/>
        <v>17749558.333333332</v>
      </c>
      <c r="X11" s="74">
        <f t="shared" si="0"/>
        <v>20692323.214285713</v>
      </c>
      <c r="Y11" s="74">
        <f t="shared" si="0"/>
        <v>21596283.333333332</v>
      </c>
      <c r="Z11" s="74">
        <f t="shared" si="0"/>
        <v>21555350</v>
      </c>
      <c r="AA11" s="74">
        <f t="shared" si="0"/>
        <v>23117695.833333332</v>
      </c>
      <c r="AB11" s="74">
        <f t="shared" si="0"/>
        <v>23595525</v>
      </c>
      <c r="AC11" s="74">
        <f t="shared" si="0"/>
        <v>27355810.714285713</v>
      </c>
      <c r="AD11" s="74">
        <f t="shared" si="0"/>
        <v>28303773.214285713</v>
      </c>
      <c r="AE11" s="74">
        <f t="shared" si="0"/>
        <v>25441371.428571429</v>
      </c>
      <c r="AF11" s="74">
        <f t="shared" si="0"/>
        <v>25319196.428571429</v>
      </c>
      <c r="AG11" s="74">
        <f t="shared" si="0"/>
        <v>20619598.214285713</v>
      </c>
      <c r="AH11" s="74">
        <f t="shared" si="0"/>
        <v>19545175</v>
      </c>
      <c r="AI11" s="74">
        <f t="shared" si="0"/>
        <v>15606275</v>
      </c>
      <c r="AJ11" s="74">
        <f t="shared" si="0"/>
        <v>8965798.2142857146</v>
      </c>
      <c r="AK11" s="74">
        <f t="shared" si="0"/>
        <v>4196825</v>
      </c>
      <c r="AL11" s="74">
        <f t="shared" si="0"/>
        <v>4236825</v>
      </c>
      <c r="AM11" s="74">
        <f t="shared" si="0"/>
        <v>13623845.833333332</v>
      </c>
      <c r="AN11" s="74">
        <f t="shared" si="0"/>
        <v>4253083.3333333321</v>
      </c>
      <c r="AO11" s="74">
        <f t="shared" si="0"/>
        <v>491369.04761904752</v>
      </c>
      <c r="AP11" s="74">
        <f t="shared" si="0"/>
        <v>1455056.5476190476</v>
      </c>
      <c r="AQ11" s="74">
        <f t="shared" si="0"/>
        <v>505654.76190476184</v>
      </c>
      <c r="AR11" s="74">
        <f t="shared" si="0"/>
        <v>525654.76190476189</v>
      </c>
      <c r="AS11" s="74">
        <f t="shared" si="0"/>
        <v>9403389.8809523806</v>
      </c>
      <c r="AT11" s="74">
        <f t="shared" si="0"/>
        <v>477083.33333333326</v>
      </c>
      <c r="AU11" s="74">
        <f t="shared" si="0"/>
        <v>477083.33333333326</v>
      </c>
      <c r="AV11" s="74">
        <f t="shared" si="0"/>
        <v>9403389.8809523806</v>
      </c>
      <c r="AW11" s="74">
        <f t="shared" si="0"/>
        <v>477083.33333333326</v>
      </c>
      <c r="AX11" s="74">
        <f t="shared" si="0"/>
        <v>477083.33333333326</v>
      </c>
      <c r="AY11" s="74">
        <f t="shared" si="0"/>
        <v>1925770.8333333333</v>
      </c>
      <c r="AZ11" s="74">
        <f t="shared" si="0"/>
        <v>477083.33333333326</v>
      </c>
      <c r="BA11" s="74">
        <f t="shared" si="0"/>
        <v>491369.04761904752</v>
      </c>
      <c r="BB11" s="74">
        <f t="shared" si="0"/>
        <v>1440056.5476190476</v>
      </c>
      <c r="BC11" s="74">
        <f t="shared" si="0"/>
        <v>505654.76190476184</v>
      </c>
      <c r="BD11" s="74">
        <f t="shared" si="0"/>
        <v>505654.76190476184</v>
      </c>
      <c r="BE11" s="74">
        <f t="shared" si="0"/>
        <v>1440056.5476190476</v>
      </c>
      <c r="BF11" s="74">
        <f t="shared" si="0"/>
        <v>477083.33333333326</v>
      </c>
      <c r="BG11" s="74">
        <f t="shared" si="0"/>
        <v>477083.33333333326</v>
      </c>
      <c r="BH11" s="74">
        <f t="shared" si="0"/>
        <v>1440056.5476190476</v>
      </c>
      <c r="BI11" s="74">
        <f t="shared" si="0"/>
        <v>477083.33333333326</v>
      </c>
      <c r="BJ11" s="74">
        <f t="shared" si="0"/>
        <v>477083.33333333326</v>
      </c>
      <c r="BK11" s="74">
        <f t="shared" si="0"/>
        <v>1925770.8333333333</v>
      </c>
      <c r="BL11" s="74">
        <f t="shared" si="0"/>
        <v>477083.33333333326</v>
      </c>
      <c r="BM11" s="74">
        <f t="shared" si="0"/>
        <v>491369.04761904752</v>
      </c>
      <c r="BN11" s="74">
        <f t="shared" si="0"/>
        <v>811306.54761904757</v>
      </c>
      <c r="BO11" s="74">
        <f t="shared" si="0"/>
        <v>505654.76190476184</v>
      </c>
      <c r="BP11" s="74">
        <f t="shared" si="0"/>
        <v>505654.76190476184</v>
      </c>
      <c r="BQ11" s="74">
        <f t="shared" ref="BQ11:CJ11" si="1">+BQ12+BQ31</f>
        <v>691369.04761904757</v>
      </c>
      <c r="BR11" s="74">
        <f t="shared" si="1"/>
        <v>477083.33333333326</v>
      </c>
      <c r="BS11" s="74">
        <f t="shared" si="1"/>
        <v>477083.33333333326</v>
      </c>
      <c r="BT11" s="74">
        <f t="shared" si="1"/>
        <v>691369.04761904757</v>
      </c>
      <c r="BU11" s="74">
        <f t="shared" si="1"/>
        <v>477083.33333333326</v>
      </c>
      <c r="BV11" s="74">
        <f t="shared" si="1"/>
        <v>477083.33333333326</v>
      </c>
      <c r="BW11" s="74">
        <f t="shared" si="1"/>
        <v>1177083.3333333333</v>
      </c>
      <c r="BX11" s="74">
        <f t="shared" si="1"/>
        <v>477083.33333333326</v>
      </c>
      <c r="BY11" s="74">
        <f t="shared" si="1"/>
        <v>491369.04761904752</v>
      </c>
      <c r="BZ11" s="74">
        <f t="shared" si="1"/>
        <v>691369.04761904757</v>
      </c>
      <c r="CA11" s="74">
        <f t="shared" si="1"/>
        <v>505654.76190476184</v>
      </c>
      <c r="CB11" s="74">
        <f t="shared" si="1"/>
        <v>535654.76190476189</v>
      </c>
      <c r="CC11" s="74">
        <f t="shared" si="1"/>
        <v>691369.04761904757</v>
      </c>
      <c r="CD11" s="74">
        <f t="shared" si="1"/>
        <v>477083.33333333326</v>
      </c>
      <c r="CE11" s="74">
        <f t="shared" si="1"/>
        <v>521369.04761904757</v>
      </c>
      <c r="CF11" s="74">
        <f t="shared" si="1"/>
        <v>691369.04761904757</v>
      </c>
      <c r="CG11" s="74">
        <f t="shared" si="1"/>
        <v>545654.76190476189</v>
      </c>
      <c r="CH11" s="74">
        <f t="shared" si="1"/>
        <v>505654.76190476184</v>
      </c>
      <c r="CI11" s="74">
        <f t="shared" si="1"/>
        <v>1227083.3333333333</v>
      </c>
      <c r="CJ11" s="74">
        <f t="shared" si="1"/>
        <v>560000000</v>
      </c>
      <c r="CK11" s="74">
        <f>C11-CJ11</f>
        <v>0</v>
      </c>
    </row>
    <row r="12" spans="1:89" s="159" customFormat="1" x14ac:dyDescent="0.3">
      <c r="A12" s="160">
        <f>+'CC D'!A9</f>
        <v>1</v>
      </c>
      <c r="B12" s="158" t="str">
        <f>+'CC D'!B9</f>
        <v>Componente Unico Obras civiles</v>
      </c>
      <c r="C12" s="78">
        <f>+PEP!G26</f>
        <v>549450000</v>
      </c>
      <c r="D12" s="78">
        <f t="shared" ref="D12:BO12" si="2">+D13+D18+D21+D28+D30</f>
        <v>0</v>
      </c>
      <c r="E12" s="78">
        <f t="shared" si="2"/>
        <v>0</v>
      </c>
      <c r="F12" s="78">
        <f t="shared" si="2"/>
        <v>0</v>
      </c>
      <c r="G12" s="78">
        <f t="shared" si="2"/>
        <v>0</v>
      </c>
      <c r="H12" s="78">
        <f t="shared" si="2"/>
        <v>0</v>
      </c>
      <c r="I12" s="78">
        <f t="shared" si="2"/>
        <v>0</v>
      </c>
      <c r="J12" s="78">
        <f t="shared" si="2"/>
        <v>0</v>
      </c>
      <c r="K12" s="78">
        <f t="shared" si="2"/>
        <v>0</v>
      </c>
      <c r="L12" s="78">
        <f t="shared" si="2"/>
        <v>0</v>
      </c>
      <c r="M12" s="78">
        <f t="shared" si="2"/>
        <v>0</v>
      </c>
      <c r="N12" s="78">
        <f t="shared" si="2"/>
        <v>0</v>
      </c>
      <c r="O12" s="78">
        <f t="shared" si="2"/>
        <v>1810000</v>
      </c>
      <c r="P12" s="78">
        <f t="shared" si="2"/>
        <v>95028200</v>
      </c>
      <c r="Q12" s="78">
        <f t="shared" si="2"/>
        <v>10034658.333333334</v>
      </c>
      <c r="R12" s="78">
        <f t="shared" si="2"/>
        <v>12687800</v>
      </c>
      <c r="S12" s="78">
        <f t="shared" si="2"/>
        <v>13851383.333333334</v>
      </c>
      <c r="T12" s="78">
        <f t="shared" si="2"/>
        <v>14018775</v>
      </c>
      <c r="U12" s="78">
        <f t="shared" si="2"/>
        <v>16569520.833333334</v>
      </c>
      <c r="V12" s="78">
        <f t="shared" si="2"/>
        <v>17759900</v>
      </c>
      <c r="W12" s="78">
        <f t="shared" si="2"/>
        <v>17749558.333333332</v>
      </c>
      <c r="X12" s="78">
        <f t="shared" si="2"/>
        <v>20478037.5</v>
      </c>
      <c r="Y12" s="78">
        <f t="shared" si="2"/>
        <v>21566283.333333332</v>
      </c>
      <c r="Z12" s="78">
        <f t="shared" si="2"/>
        <v>21555350</v>
      </c>
      <c r="AA12" s="78">
        <f t="shared" si="2"/>
        <v>22417695.833333332</v>
      </c>
      <c r="AB12" s="78">
        <f t="shared" si="2"/>
        <v>23565525</v>
      </c>
      <c r="AC12" s="78">
        <f t="shared" si="2"/>
        <v>27341525</v>
      </c>
      <c r="AD12" s="78">
        <f t="shared" si="2"/>
        <v>28049487.5</v>
      </c>
      <c r="AE12" s="78">
        <f t="shared" si="2"/>
        <v>25412800</v>
      </c>
      <c r="AF12" s="78">
        <f t="shared" si="2"/>
        <v>25290625</v>
      </c>
      <c r="AG12" s="78">
        <f t="shared" si="2"/>
        <v>20375312.5</v>
      </c>
      <c r="AH12" s="78">
        <f t="shared" si="2"/>
        <v>19545175</v>
      </c>
      <c r="AI12" s="78">
        <f t="shared" si="2"/>
        <v>15606275</v>
      </c>
      <c r="AJ12" s="78">
        <f t="shared" si="2"/>
        <v>8721512.5</v>
      </c>
      <c r="AK12" s="78">
        <f t="shared" si="2"/>
        <v>4196825</v>
      </c>
      <c r="AL12" s="78">
        <f t="shared" si="2"/>
        <v>4196825</v>
      </c>
      <c r="AM12" s="78">
        <f t="shared" si="2"/>
        <v>12908845.833333332</v>
      </c>
      <c r="AN12" s="78">
        <f t="shared" si="2"/>
        <v>4253083.3333333321</v>
      </c>
      <c r="AO12" s="78">
        <f t="shared" si="2"/>
        <v>477083.33333333326</v>
      </c>
      <c r="AP12" s="78">
        <f t="shared" si="2"/>
        <v>1225770.8333333333</v>
      </c>
      <c r="AQ12" s="78">
        <f t="shared" si="2"/>
        <v>477083.33333333326</v>
      </c>
      <c r="AR12" s="78">
        <f t="shared" si="2"/>
        <v>477083.33333333326</v>
      </c>
      <c r="AS12" s="78">
        <f t="shared" si="2"/>
        <v>9189104.166666666</v>
      </c>
      <c r="AT12" s="78">
        <f t="shared" si="2"/>
        <v>477083.33333333326</v>
      </c>
      <c r="AU12" s="78">
        <f t="shared" si="2"/>
        <v>477083.33333333326</v>
      </c>
      <c r="AV12" s="78">
        <f t="shared" si="2"/>
        <v>9189104.166666666</v>
      </c>
      <c r="AW12" s="78">
        <f t="shared" si="2"/>
        <v>477083.33333333326</v>
      </c>
      <c r="AX12" s="78">
        <f t="shared" si="2"/>
        <v>477083.33333333326</v>
      </c>
      <c r="AY12" s="78">
        <f t="shared" si="2"/>
        <v>1225770.8333333333</v>
      </c>
      <c r="AZ12" s="78">
        <f t="shared" si="2"/>
        <v>477083.33333333326</v>
      </c>
      <c r="BA12" s="78">
        <f t="shared" si="2"/>
        <v>477083.33333333326</v>
      </c>
      <c r="BB12" s="78">
        <f t="shared" si="2"/>
        <v>1225770.8333333333</v>
      </c>
      <c r="BC12" s="78">
        <f t="shared" si="2"/>
        <v>477083.33333333326</v>
      </c>
      <c r="BD12" s="78">
        <f t="shared" si="2"/>
        <v>477083.33333333326</v>
      </c>
      <c r="BE12" s="78">
        <f t="shared" si="2"/>
        <v>1225770.8333333333</v>
      </c>
      <c r="BF12" s="78">
        <f t="shared" si="2"/>
        <v>477083.33333333326</v>
      </c>
      <c r="BG12" s="78">
        <f t="shared" si="2"/>
        <v>477083.33333333326</v>
      </c>
      <c r="BH12" s="78">
        <f t="shared" si="2"/>
        <v>1225770.8333333333</v>
      </c>
      <c r="BI12" s="78">
        <f t="shared" si="2"/>
        <v>477083.33333333326</v>
      </c>
      <c r="BJ12" s="78">
        <f t="shared" si="2"/>
        <v>477083.33333333326</v>
      </c>
      <c r="BK12" s="78">
        <f t="shared" si="2"/>
        <v>1225770.8333333333</v>
      </c>
      <c r="BL12" s="78">
        <f t="shared" si="2"/>
        <v>477083.33333333326</v>
      </c>
      <c r="BM12" s="78">
        <f t="shared" si="2"/>
        <v>477083.33333333326</v>
      </c>
      <c r="BN12" s="78">
        <f t="shared" si="2"/>
        <v>597020.83333333326</v>
      </c>
      <c r="BO12" s="78">
        <f t="shared" si="2"/>
        <v>477083.33333333326</v>
      </c>
      <c r="BP12" s="78">
        <f t="shared" ref="BP12:CH12" si="3">+BP13+BP18+BP21+BP28+BP30</f>
        <v>477083.33333333326</v>
      </c>
      <c r="BQ12" s="78">
        <f t="shared" si="3"/>
        <v>477083.33333333326</v>
      </c>
      <c r="BR12" s="78">
        <f t="shared" si="3"/>
        <v>477083.33333333326</v>
      </c>
      <c r="BS12" s="78">
        <f t="shared" si="3"/>
        <v>477083.33333333326</v>
      </c>
      <c r="BT12" s="78">
        <f t="shared" si="3"/>
        <v>477083.33333333326</v>
      </c>
      <c r="BU12" s="78">
        <f t="shared" si="3"/>
        <v>477083.33333333326</v>
      </c>
      <c r="BV12" s="78">
        <f t="shared" si="3"/>
        <v>477083.33333333326</v>
      </c>
      <c r="BW12" s="78">
        <f t="shared" si="3"/>
        <v>477083.33333333326</v>
      </c>
      <c r="BX12" s="78">
        <f t="shared" si="3"/>
        <v>477083.33333333326</v>
      </c>
      <c r="BY12" s="78">
        <f t="shared" si="3"/>
        <v>477083.33333333326</v>
      </c>
      <c r="BZ12" s="78">
        <f t="shared" si="3"/>
        <v>477083.33333333326</v>
      </c>
      <c r="CA12" s="78">
        <f t="shared" si="3"/>
        <v>477083.33333333326</v>
      </c>
      <c r="CB12" s="78">
        <f t="shared" si="3"/>
        <v>477083.33333333326</v>
      </c>
      <c r="CC12" s="78">
        <f t="shared" si="3"/>
        <v>477083.33333333326</v>
      </c>
      <c r="CD12" s="78">
        <f t="shared" si="3"/>
        <v>477083.33333333326</v>
      </c>
      <c r="CE12" s="78">
        <f t="shared" si="3"/>
        <v>477083.33333333326</v>
      </c>
      <c r="CF12" s="78">
        <f t="shared" si="3"/>
        <v>477083.33333333326</v>
      </c>
      <c r="CG12" s="78">
        <f t="shared" si="3"/>
        <v>477083.33333333326</v>
      </c>
      <c r="CH12" s="78">
        <f t="shared" si="3"/>
        <v>477083.33333333326</v>
      </c>
      <c r="CI12" s="78">
        <f>+CI13+CI18+CI21+CI28+CI30</f>
        <v>477083.33333333326</v>
      </c>
      <c r="CJ12" s="78">
        <f>+CJ13+CJ18+CJ21+CJ28+CJ30</f>
        <v>549450000</v>
      </c>
    </row>
    <row r="13" spans="1:89" s="159" customFormat="1" x14ac:dyDescent="0.3">
      <c r="A13" s="91">
        <f>+'CC D'!A10</f>
        <v>1.1000000000000001</v>
      </c>
      <c r="B13" s="79" t="str">
        <f>+'CC D'!B10</f>
        <v>Obras de Rehabilitación y Mantenimiento</v>
      </c>
      <c r="C13" s="82">
        <f>+PEP!G27</f>
        <v>493000000</v>
      </c>
      <c r="D13" s="82">
        <f>+D14+D15+D16+D17+D19+D20+D21+D22</f>
        <v>0</v>
      </c>
      <c r="E13" s="82">
        <f t="shared" ref="E13:AJ13" si="4">+E14+E15+E16+E17</f>
        <v>0</v>
      </c>
      <c r="F13" s="82">
        <f t="shared" si="4"/>
        <v>0</v>
      </c>
      <c r="G13" s="82">
        <f t="shared" si="4"/>
        <v>0</v>
      </c>
      <c r="H13" s="82">
        <f t="shared" si="4"/>
        <v>0</v>
      </c>
      <c r="I13" s="82">
        <f t="shared" si="4"/>
        <v>0</v>
      </c>
      <c r="J13" s="82">
        <f t="shared" si="4"/>
        <v>0</v>
      </c>
      <c r="K13" s="82">
        <f t="shared" si="4"/>
        <v>0</v>
      </c>
      <c r="L13" s="82">
        <f t="shared" si="4"/>
        <v>0</v>
      </c>
      <c r="M13" s="82">
        <f t="shared" si="4"/>
        <v>0</v>
      </c>
      <c r="N13" s="82">
        <f t="shared" si="4"/>
        <v>0</v>
      </c>
      <c r="O13" s="82">
        <f t="shared" si="4"/>
        <v>0</v>
      </c>
      <c r="P13" s="82">
        <f t="shared" si="4"/>
        <v>94400000</v>
      </c>
      <c r="Q13" s="82">
        <f t="shared" si="4"/>
        <v>9440000</v>
      </c>
      <c r="R13" s="82">
        <f t="shared" si="4"/>
        <v>11328000</v>
      </c>
      <c r="S13" s="82">
        <f t="shared" si="4"/>
        <v>13216000</v>
      </c>
      <c r="T13" s="82">
        <f t="shared" si="4"/>
        <v>13216000</v>
      </c>
      <c r="U13" s="82">
        <f t="shared" si="4"/>
        <v>15104000</v>
      </c>
      <c r="V13" s="82">
        <f t="shared" si="4"/>
        <v>16992000</v>
      </c>
      <c r="W13" s="82">
        <f t="shared" si="4"/>
        <v>16992000</v>
      </c>
      <c r="X13" s="82">
        <f t="shared" si="4"/>
        <v>18880000</v>
      </c>
      <c r="Y13" s="82">
        <f t="shared" si="4"/>
        <v>20768000</v>
      </c>
      <c r="Z13" s="82">
        <f t="shared" si="4"/>
        <v>20768000</v>
      </c>
      <c r="AA13" s="82">
        <f t="shared" si="4"/>
        <v>20768000</v>
      </c>
      <c r="AB13" s="82">
        <f t="shared" si="4"/>
        <v>22656000</v>
      </c>
      <c r="AC13" s="82">
        <f t="shared" si="4"/>
        <v>26432000</v>
      </c>
      <c r="AD13" s="82">
        <f t="shared" si="4"/>
        <v>26432000</v>
      </c>
      <c r="AE13" s="82">
        <f t="shared" si="4"/>
        <v>24544000</v>
      </c>
      <c r="AF13" s="82">
        <f t="shared" si="4"/>
        <v>24544000</v>
      </c>
      <c r="AG13" s="82">
        <f t="shared" si="4"/>
        <v>18880000</v>
      </c>
      <c r="AH13" s="82">
        <f t="shared" si="4"/>
        <v>18880000</v>
      </c>
      <c r="AI13" s="82">
        <f t="shared" si="4"/>
        <v>15104000</v>
      </c>
      <c r="AJ13" s="82">
        <f t="shared" si="4"/>
        <v>7552000</v>
      </c>
      <c r="AK13" s="82">
        <f t="shared" ref="AK13:BP13" si="5">+AK14+AK15+AK16+AK17</f>
        <v>3776000</v>
      </c>
      <c r="AL13" s="82">
        <f t="shared" si="5"/>
        <v>3776000</v>
      </c>
      <c r="AM13" s="82">
        <f t="shared" si="5"/>
        <v>3776000</v>
      </c>
      <c r="AN13" s="82">
        <f t="shared" si="5"/>
        <v>4213499.9999999991</v>
      </c>
      <c r="AO13" s="82">
        <f t="shared" si="5"/>
        <v>437499.99999999994</v>
      </c>
      <c r="AP13" s="82">
        <f t="shared" si="5"/>
        <v>437499.99999999994</v>
      </c>
      <c r="AQ13" s="82">
        <f t="shared" si="5"/>
        <v>437499.99999999994</v>
      </c>
      <c r="AR13" s="82">
        <f t="shared" si="5"/>
        <v>437499.99999999994</v>
      </c>
      <c r="AS13" s="82">
        <f t="shared" si="5"/>
        <v>437499.99999999994</v>
      </c>
      <c r="AT13" s="82">
        <f t="shared" si="5"/>
        <v>437499.99999999994</v>
      </c>
      <c r="AU13" s="82">
        <f t="shared" si="5"/>
        <v>437499.99999999994</v>
      </c>
      <c r="AV13" s="82">
        <f t="shared" si="5"/>
        <v>437499.99999999994</v>
      </c>
      <c r="AW13" s="82">
        <f t="shared" si="5"/>
        <v>437499.99999999994</v>
      </c>
      <c r="AX13" s="82">
        <f t="shared" si="5"/>
        <v>437499.99999999994</v>
      </c>
      <c r="AY13" s="82">
        <f t="shared" si="5"/>
        <v>437499.99999999994</v>
      </c>
      <c r="AZ13" s="82">
        <f t="shared" si="5"/>
        <v>437499.99999999994</v>
      </c>
      <c r="BA13" s="82">
        <f t="shared" si="5"/>
        <v>437499.99999999994</v>
      </c>
      <c r="BB13" s="82">
        <f t="shared" si="5"/>
        <v>437499.99999999994</v>
      </c>
      <c r="BC13" s="82">
        <f t="shared" si="5"/>
        <v>437499.99999999994</v>
      </c>
      <c r="BD13" s="82">
        <f t="shared" si="5"/>
        <v>437499.99999999994</v>
      </c>
      <c r="BE13" s="82">
        <f t="shared" si="5"/>
        <v>437499.99999999994</v>
      </c>
      <c r="BF13" s="82">
        <f t="shared" si="5"/>
        <v>437499.99999999994</v>
      </c>
      <c r="BG13" s="82">
        <f t="shared" si="5"/>
        <v>437499.99999999994</v>
      </c>
      <c r="BH13" s="82">
        <f t="shared" si="5"/>
        <v>437499.99999999994</v>
      </c>
      <c r="BI13" s="82">
        <f t="shared" si="5"/>
        <v>437499.99999999994</v>
      </c>
      <c r="BJ13" s="82">
        <f t="shared" si="5"/>
        <v>437499.99999999994</v>
      </c>
      <c r="BK13" s="82">
        <f t="shared" si="5"/>
        <v>437499.99999999994</v>
      </c>
      <c r="BL13" s="82">
        <f t="shared" si="5"/>
        <v>437499.99999999994</v>
      </c>
      <c r="BM13" s="82">
        <f t="shared" si="5"/>
        <v>437499.99999999994</v>
      </c>
      <c r="BN13" s="82">
        <f t="shared" si="5"/>
        <v>437499.99999999994</v>
      </c>
      <c r="BO13" s="82">
        <f t="shared" si="5"/>
        <v>437499.99999999994</v>
      </c>
      <c r="BP13" s="82">
        <f t="shared" si="5"/>
        <v>437499.99999999994</v>
      </c>
      <c r="BQ13" s="82">
        <f t="shared" ref="BQ13:CJ13" si="6">+BQ14+BQ15+BQ16+BQ17</f>
        <v>437499.99999999994</v>
      </c>
      <c r="BR13" s="82">
        <f t="shared" si="6"/>
        <v>437499.99999999994</v>
      </c>
      <c r="BS13" s="82">
        <f t="shared" si="6"/>
        <v>437499.99999999994</v>
      </c>
      <c r="BT13" s="82">
        <f t="shared" si="6"/>
        <v>437499.99999999994</v>
      </c>
      <c r="BU13" s="82">
        <f t="shared" si="6"/>
        <v>437499.99999999994</v>
      </c>
      <c r="BV13" s="82">
        <f t="shared" si="6"/>
        <v>437499.99999999994</v>
      </c>
      <c r="BW13" s="82">
        <f t="shared" si="6"/>
        <v>437499.99999999994</v>
      </c>
      <c r="BX13" s="82">
        <f t="shared" si="6"/>
        <v>437499.99999999994</v>
      </c>
      <c r="BY13" s="82">
        <f t="shared" si="6"/>
        <v>437499.99999999994</v>
      </c>
      <c r="BZ13" s="82">
        <f t="shared" si="6"/>
        <v>437499.99999999994</v>
      </c>
      <c r="CA13" s="82">
        <f t="shared" si="6"/>
        <v>437499.99999999994</v>
      </c>
      <c r="CB13" s="82">
        <f t="shared" si="6"/>
        <v>437499.99999999994</v>
      </c>
      <c r="CC13" s="82">
        <f t="shared" si="6"/>
        <v>437499.99999999994</v>
      </c>
      <c r="CD13" s="82">
        <f t="shared" si="6"/>
        <v>437499.99999999994</v>
      </c>
      <c r="CE13" s="82">
        <f t="shared" si="6"/>
        <v>437499.99999999994</v>
      </c>
      <c r="CF13" s="82">
        <f t="shared" si="6"/>
        <v>437499.99999999994</v>
      </c>
      <c r="CG13" s="82">
        <f t="shared" si="6"/>
        <v>437499.99999999994</v>
      </c>
      <c r="CH13" s="82">
        <f t="shared" si="6"/>
        <v>437499.99999999994</v>
      </c>
      <c r="CI13" s="82">
        <f t="shared" si="6"/>
        <v>437499.99999999994</v>
      </c>
      <c r="CJ13" s="82">
        <f t="shared" si="6"/>
        <v>493000000</v>
      </c>
    </row>
    <row r="14" spans="1:89" s="159" customFormat="1" ht="27.6" x14ac:dyDescent="0.3">
      <c r="A14" s="167" t="str">
        <f>+'CC D'!A11</f>
        <v>1.1.1</v>
      </c>
      <c r="B14" s="84" t="str">
        <f>+'CC D'!B11</f>
        <v>Contratación de Firma Constructora para la rehabilitación y mantenimiento del tramo 1: km 50 - km 173 (123 Km) - Lote 1</v>
      </c>
      <c r="C14" s="86">
        <f>+PEP!G28</f>
        <v>104000000</v>
      </c>
      <c r="D14" s="86">
        <v>0</v>
      </c>
      <c r="E14" s="86">
        <v>0</v>
      </c>
      <c r="F14" s="86">
        <v>0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86">
        <f>+'Tramo 1'!B52</f>
        <v>19840000</v>
      </c>
      <c r="Q14" s="86">
        <f>+'Tramo 1'!C52</f>
        <v>1984000</v>
      </c>
      <c r="R14" s="86">
        <f>+'Tramo 1'!D52</f>
        <v>2380800</v>
      </c>
      <c r="S14" s="86">
        <f>+'Tramo 1'!E52</f>
        <v>2777600</v>
      </c>
      <c r="T14" s="86">
        <f>+'Tramo 1'!F52</f>
        <v>2777600</v>
      </c>
      <c r="U14" s="86">
        <f>+'Tramo 1'!G52</f>
        <v>3174400</v>
      </c>
      <c r="V14" s="86">
        <f>+'Tramo 1'!H52</f>
        <v>3571200</v>
      </c>
      <c r="W14" s="86">
        <f>+'Tramo 1'!I52</f>
        <v>3571200</v>
      </c>
      <c r="X14" s="86">
        <f>+'Tramo 1'!J52</f>
        <v>3968000</v>
      </c>
      <c r="Y14" s="86">
        <f>+'Tramo 1'!K52</f>
        <v>4364800</v>
      </c>
      <c r="Z14" s="86">
        <f>+'Tramo 1'!L52</f>
        <v>4364800</v>
      </c>
      <c r="AA14" s="86">
        <f>+'Tramo 1'!M52</f>
        <v>4364800</v>
      </c>
      <c r="AB14" s="86">
        <f>+'Tramo 1'!N52</f>
        <v>4761600</v>
      </c>
      <c r="AC14" s="86">
        <f>+'Tramo 1'!O52</f>
        <v>5555200</v>
      </c>
      <c r="AD14" s="86">
        <f>+'Tramo 1'!P52</f>
        <v>5555200</v>
      </c>
      <c r="AE14" s="86">
        <f>+'Tramo 1'!Q52</f>
        <v>5158400</v>
      </c>
      <c r="AF14" s="86">
        <f>+'Tramo 1'!R52</f>
        <v>5158400</v>
      </c>
      <c r="AG14" s="86">
        <f>+'Tramo 1'!S52</f>
        <v>3968000</v>
      </c>
      <c r="AH14" s="86">
        <f>+'Tramo 1'!T52</f>
        <v>3968000</v>
      </c>
      <c r="AI14" s="86">
        <f>+'Tramo 1'!U52</f>
        <v>3174400</v>
      </c>
      <c r="AJ14" s="86">
        <f>+'Tramo 1'!V52</f>
        <v>1587200</v>
      </c>
      <c r="AK14" s="86">
        <f>+'Tramo 1'!W52</f>
        <v>793600</v>
      </c>
      <c r="AL14" s="86">
        <f>+'Tramo 1'!X52</f>
        <v>793600</v>
      </c>
      <c r="AM14" s="86">
        <f>+'Tramo 1'!Y52</f>
        <v>793600</v>
      </c>
      <c r="AN14" s="86">
        <f>+'Tramo 1'!Z52+('Cuadro de Costos'!G$10)/48</f>
        <v>893600</v>
      </c>
      <c r="AO14" s="86">
        <f>+('Cuadro de Costos'!$G$10)/48</f>
        <v>100000</v>
      </c>
      <c r="AP14" s="86">
        <f>+('Cuadro de Costos'!$G$10)/48</f>
        <v>100000</v>
      </c>
      <c r="AQ14" s="86">
        <f>+('Cuadro de Costos'!$G$10)/48</f>
        <v>100000</v>
      </c>
      <c r="AR14" s="86">
        <f>+('Cuadro de Costos'!$G$10)/48</f>
        <v>100000</v>
      </c>
      <c r="AS14" s="86">
        <f>+('Cuadro de Costos'!$G$10)/48</f>
        <v>100000</v>
      </c>
      <c r="AT14" s="86">
        <f>+('Cuadro de Costos'!$G$10)/48</f>
        <v>100000</v>
      </c>
      <c r="AU14" s="86">
        <f>+('Cuadro de Costos'!$G$10)/48</f>
        <v>100000</v>
      </c>
      <c r="AV14" s="86">
        <f>+('Cuadro de Costos'!$G$10)/48</f>
        <v>100000</v>
      </c>
      <c r="AW14" s="86">
        <f>+('Cuadro de Costos'!$G$10)/48</f>
        <v>100000</v>
      </c>
      <c r="AX14" s="86">
        <f>+('Cuadro de Costos'!$G$10)/48</f>
        <v>100000</v>
      </c>
      <c r="AY14" s="86">
        <f>+('Cuadro de Costos'!$G$10)/48</f>
        <v>100000</v>
      </c>
      <c r="AZ14" s="86">
        <f>+('Cuadro de Costos'!$G$10)/48</f>
        <v>100000</v>
      </c>
      <c r="BA14" s="86">
        <f>+('Cuadro de Costos'!$G$10)/48</f>
        <v>100000</v>
      </c>
      <c r="BB14" s="86">
        <f>+('Cuadro de Costos'!$G$10)/48</f>
        <v>100000</v>
      </c>
      <c r="BC14" s="86">
        <f>+('Cuadro de Costos'!$G$10)/48</f>
        <v>100000</v>
      </c>
      <c r="BD14" s="86">
        <f>+('Cuadro de Costos'!$G$10)/48</f>
        <v>100000</v>
      </c>
      <c r="BE14" s="86">
        <f>+('Cuadro de Costos'!$G$10)/48</f>
        <v>100000</v>
      </c>
      <c r="BF14" s="86">
        <f>+('Cuadro de Costos'!$G$10)/48</f>
        <v>100000</v>
      </c>
      <c r="BG14" s="86">
        <f>+('Cuadro de Costos'!$G$10)/48</f>
        <v>100000</v>
      </c>
      <c r="BH14" s="86">
        <f>+('Cuadro de Costos'!$G$10)/48</f>
        <v>100000</v>
      </c>
      <c r="BI14" s="86">
        <f>+('Cuadro de Costos'!$G$10)/48</f>
        <v>100000</v>
      </c>
      <c r="BJ14" s="86">
        <f>+('Cuadro de Costos'!$G$10)/48</f>
        <v>100000</v>
      </c>
      <c r="BK14" s="86">
        <f>+('Cuadro de Costos'!$G$10)/48</f>
        <v>100000</v>
      </c>
      <c r="BL14" s="86">
        <f>+('Cuadro de Costos'!$G$10)/48</f>
        <v>100000</v>
      </c>
      <c r="BM14" s="86">
        <f>+('Cuadro de Costos'!$G$10)/48</f>
        <v>100000</v>
      </c>
      <c r="BN14" s="86">
        <f>+('Cuadro de Costos'!$G$10)/48</f>
        <v>100000</v>
      </c>
      <c r="BO14" s="86">
        <f>+('Cuadro de Costos'!$G$10)/48</f>
        <v>100000</v>
      </c>
      <c r="BP14" s="86">
        <f>+('Cuadro de Costos'!$G$10)/48</f>
        <v>100000</v>
      </c>
      <c r="BQ14" s="86">
        <f>+('Cuadro de Costos'!$G$10)/48</f>
        <v>100000</v>
      </c>
      <c r="BR14" s="86">
        <f>+('Cuadro de Costos'!$G$10)/48</f>
        <v>100000</v>
      </c>
      <c r="BS14" s="86">
        <f>+('Cuadro de Costos'!$G$10)/48</f>
        <v>100000</v>
      </c>
      <c r="BT14" s="86">
        <f>+('Cuadro de Costos'!$G$10)/48</f>
        <v>100000</v>
      </c>
      <c r="BU14" s="86">
        <f>+('Cuadro de Costos'!$G$10)/48</f>
        <v>100000</v>
      </c>
      <c r="BV14" s="86">
        <f>+('Cuadro de Costos'!$G$10)/48</f>
        <v>100000</v>
      </c>
      <c r="BW14" s="86">
        <f>+('Cuadro de Costos'!$G$10)/48</f>
        <v>100000</v>
      </c>
      <c r="BX14" s="86">
        <f>+('Cuadro de Costos'!$G$10)/48</f>
        <v>100000</v>
      </c>
      <c r="BY14" s="86">
        <f>+('Cuadro de Costos'!$G$10)/48</f>
        <v>100000</v>
      </c>
      <c r="BZ14" s="86">
        <f>+('Cuadro de Costos'!$G$10)/48</f>
        <v>100000</v>
      </c>
      <c r="CA14" s="86">
        <f>+('Cuadro de Costos'!$G$10)/48</f>
        <v>100000</v>
      </c>
      <c r="CB14" s="86">
        <f>+('Cuadro de Costos'!$G$10)/48</f>
        <v>100000</v>
      </c>
      <c r="CC14" s="86">
        <f>+('Cuadro de Costos'!$G$10)/48</f>
        <v>100000</v>
      </c>
      <c r="CD14" s="86">
        <f>+('Cuadro de Costos'!$G$10)/48</f>
        <v>100000</v>
      </c>
      <c r="CE14" s="86">
        <f>+('Cuadro de Costos'!$G$10)/48</f>
        <v>100000</v>
      </c>
      <c r="CF14" s="86">
        <f>+('Cuadro de Costos'!$G$10)/48</f>
        <v>100000</v>
      </c>
      <c r="CG14" s="86">
        <f>+('Cuadro de Costos'!$G$10)/48</f>
        <v>100000</v>
      </c>
      <c r="CH14" s="86">
        <f>+('Cuadro de Costos'!$G$10)/48</f>
        <v>100000</v>
      </c>
      <c r="CI14" s="86">
        <f>+('Cuadro de Costos'!$G$10)/48</f>
        <v>100000</v>
      </c>
      <c r="CJ14" s="86">
        <f>SUM(D14:CI14)</f>
        <v>104000000</v>
      </c>
    </row>
    <row r="15" spans="1:89" s="159" customFormat="1" ht="27.6" x14ac:dyDescent="0.3">
      <c r="A15" s="167" t="str">
        <f>+'CC D'!A12</f>
        <v>1.1.2</v>
      </c>
      <c r="B15" s="84" t="str">
        <f>+'CC D'!B12</f>
        <v>Contratación de Firma Constructora para la rehabilitación y mantenimiento del tramo 2: km 173 - km 326 (153 Km) - Lote 2</v>
      </c>
      <c r="C15" s="86">
        <f>+PEP!G29</f>
        <v>142000000</v>
      </c>
      <c r="D15" s="86">
        <v>0</v>
      </c>
      <c r="E15" s="86">
        <v>0</v>
      </c>
      <c r="F15" s="86">
        <v>0</v>
      </c>
      <c r="G15" s="86">
        <v>0</v>
      </c>
      <c r="H15" s="86">
        <v>0</v>
      </c>
      <c r="I15" s="86">
        <v>0</v>
      </c>
      <c r="J15" s="86">
        <v>0</v>
      </c>
      <c r="K15" s="86">
        <v>0</v>
      </c>
      <c r="L15" s="86">
        <v>0</v>
      </c>
      <c r="M15" s="86">
        <v>0</v>
      </c>
      <c r="N15" s="86">
        <v>0</v>
      </c>
      <c r="O15" s="86">
        <v>0</v>
      </c>
      <c r="P15" s="86">
        <f>+'Tramo 2'!B52</f>
        <v>27240000</v>
      </c>
      <c r="Q15" s="86">
        <f>+'Tramo 2'!C52</f>
        <v>2724000</v>
      </c>
      <c r="R15" s="86">
        <f>+'Tramo 2'!D52</f>
        <v>3268800</v>
      </c>
      <c r="S15" s="86">
        <f>+'Tramo 2'!E52</f>
        <v>3813600</v>
      </c>
      <c r="T15" s="86">
        <f>+'Tramo 2'!F52</f>
        <v>3813600</v>
      </c>
      <c r="U15" s="86">
        <f>+'Tramo 2'!G52</f>
        <v>4358400</v>
      </c>
      <c r="V15" s="86">
        <f>+'Tramo 2'!H52</f>
        <v>4903200</v>
      </c>
      <c r="W15" s="86">
        <f>+'Tramo 2'!I52</f>
        <v>4903200</v>
      </c>
      <c r="X15" s="86">
        <f>+'Tramo 2'!J52</f>
        <v>5448000</v>
      </c>
      <c r="Y15" s="86">
        <f>+'Tramo 2'!K52</f>
        <v>5992800</v>
      </c>
      <c r="Z15" s="86">
        <f>+'Tramo 2'!L52</f>
        <v>5992800</v>
      </c>
      <c r="AA15" s="86">
        <f>+'Tramo 2'!M52</f>
        <v>5992800</v>
      </c>
      <c r="AB15" s="86">
        <f>+'Tramo 2'!N52</f>
        <v>6537600</v>
      </c>
      <c r="AC15" s="86">
        <f>+'Tramo 2'!O52</f>
        <v>7627200</v>
      </c>
      <c r="AD15" s="86">
        <f>+'Tramo 2'!P52</f>
        <v>7627200</v>
      </c>
      <c r="AE15" s="86">
        <f>+'Tramo 2'!Q52</f>
        <v>7082400</v>
      </c>
      <c r="AF15" s="86">
        <f>+'Tramo 2'!R52</f>
        <v>7082400</v>
      </c>
      <c r="AG15" s="86">
        <f>+'Tramo 2'!S52</f>
        <v>5448000</v>
      </c>
      <c r="AH15" s="86">
        <f>+'Tramo 2'!T52</f>
        <v>5448000</v>
      </c>
      <c r="AI15" s="86">
        <f>+'Tramo 2'!U52</f>
        <v>4358400</v>
      </c>
      <c r="AJ15" s="86">
        <f>+'Tramo 2'!V52</f>
        <v>2179200</v>
      </c>
      <c r="AK15" s="86">
        <f>+'Tramo 2'!W52</f>
        <v>1089600</v>
      </c>
      <c r="AL15" s="86">
        <f>+'Tramo 2'!X52</f>
        <v>1089600</v>
      </c>
      <c r="AM15" s="86">
        <f>+'Tramo 2'!Y52</f>
        <v>1089600</v>
      </c>
      <c r="AN15" s="86">
        <f>+'Tramo 2'!Z52+'Cuadro de Costos'!$G$11/48</f>
        <v>1210433.3333333333</v>
      </c>
      <c r="AO15" s="86">
        <f>+'Cuadro de Costos'!$G$11/48</f>
        <v>120833.33333333333</v>
      </c>
      <c r="AP15" s="86">
        <f>+'Cuadro de Costos'!$G$11/48</f>
        <v>120833.33333333333</v>
      </c>
      <c r="AQ15" s="86">
        <f>+'Cuadro de Costos'!$G$11/48</f>
        <v>120833.33333333333</v>
      </c>
      <c r="AR15" s="86">
        <f>+'Cuadro de Costos'!$G$11/48</f>
        <v>120833.33333333333</v>
      </c>
      <c r="AS15" s="86">
        <f>+'Cuadro de Costos'!$G$11/48</f>
        <v>120833.33333333333</v>
      </c>
      <c r="AT15" s="86">
        <f>+'Cuadro de Costos'!$G$11/48</f>
        <v>120833.33333333333</v>
      </c>
      <c r="AU15" s="86">
        <f>+'Cuadro de Costos'!$G$11/48</f>
        <v>120833.33333333333</v>
      </c>
      <c r="AV15" s="86">
        <f>+'Cuadro de Costos'!$G$11/48</f>
        <v>120833.33333333333</v>
      </c>
      <c r="AW15" s="86">
        <f>+'Cuadro de Costos'!$G$11/48</f>
        <v>120833.33333333333</v>
      </c>
      <c r="AX15" s="86">
        <f>+'Cuadro de Costos'!$G$11/48</f>
        <v>120833.33333333333</v>
      </c>
      <c r="AY15" s="86">
        <f>+'Cuadro de Costos'!$G$11/48</f>
        <v>120833.33333333333</v>
      </c>
      <c r="AZ15" s="86">
        <f>+'Cuadro de Costos'!$G$11/48</f>
        <v>120833.33333333333</v>
      </c>
      <c r="BA15" s="86">
        <f>+'Cuadro de Costos'!$G$11/48</f>
        <v>120833.33333333333</v>
      </c>
      <c r="BB15" s="86">
        <f>+'Cuadro de Costos'!$G$11/48</f>
        <v>120833.33333333333</v>
      </c>
      <c r="BC15" s="86">
        <f>+'Cuadro de Costos'!$G$11/48</f>
        <v>120833.33333333333</v>
      </c>
      <c r="BD15" s="86">
        <f>+'Cuadro de Costos'!$G$11/48</f>
        <v>120833.33333333333</v>
      </c>
      <c r="BE15" s="86">
        <f>+'Cuadro de Costos'!$G$11/48</f>
        <v>120833.33333333333</v>
      </c>
      <c r="BF15" s="86">
        <f>+'Cuadro de Costos'!$G$11/48</f>
        <v>120833.33333333333</v>
      </c>
      <c r="BG15" s="86">
        <f>+'Cuadro de Costos'!$G$11/48</f>
        <v>120833.33333333333</v>
      </c>
      <c r="BH15" s="86">
        <f>+'Cuadro de Costos'!$G$11/48</f>
        <v>120833.33333333333</v>
      </c>
      <c r="BI15" s="86">
        <f>+'Cuadro de Costos'!$G$11/48</f>
        <v>120833.33333333333</v>
      </c>
      <c r="BJ15" s="86">
        <f>+'Cuadro de Costos'!$G$11/48</f>
        <v>120833.33333333333</v>
      </c>
      <c r="BK15" s="86">
        <f>+'Cuadro de Costos'!$G$11/48</f>
        <v>120833.33333333333</v>
      </c>
      <c r="BL15" s="86">
        <f>+'Cuadro de Costos'!$G$11/48</f>
        <v>120833.33333333333</v>
      </c>
      <c r="BM15" s="86">
        <f>+'Cuadro de Costos'!$G$11/48</f>
        <v>120833.33333333333</v>
      </c>
      <c r="BN15" s="86">
        <f>+'Cuadro de Costos'!$G$11/48</f>
        <v>120833.33333333333</v>
      </c>
      <c r="BO15" s="86">
        <f>+'Cuadro de Costos'!$G$11/48</f>
        <v>120833.33333333333</v>
      </c>
      <c r="BP15" s="86">
        <f>+'Cuadro de Costos'!$G$11/48</f>
        <v>120833.33333333333</v>
      </c>
      <c r="BQ15" s="86">
        <f>+'Cuadro de Costos'!$G$11/48</f>
        <v>120833.33333333333</v>
      </c>
      <c r="BR15" s="86">
        <f>+'Cuadro de Costos'!$G$11/48</f>
        <v>120833.33333333333</v>
      </c>
      <c r="BS15" s="86">
        <f>+'Cuadro de Costos'!$G$11/48</f>
        <v>120833.33333333333</v>
      </c>
      <c r="BT15" s="86">
        <f>+'Cuadro de Costos'!$G$11/48</f>
        <v>120833.33333333333</v>
      </c>
      <c r="BU15" s="86">
        <f>+'Cuadro de Costos'!$G$11/48</f>
        <v>120833.33333333333</v>
      </c>
      <c r="BV15" s="86">
        <f>+'Cuadro de Costos'!$G$11/48</f>
        <v>120833.33333333333</v>
      </c>
      <c r="BW15" s="86">
        <f>+'Cuadro de Costos'!$G$11/48</f>
        <v>120833.33333333333</v>
      </c>
      <c r="BX15" s="86">
        <f>+'Cuadro de Costos'!$G$11/48</f>
        <v>120833.33333333333</v>
      </c>
      <c r="BY15" s="86">
        <f>+'Cuadro de Costos'!$G$11/48</f>
        <v>120833.33333333333</v>
      </c>
      <c r="BZ15" s="86">
        <f>+'Cuadro de Costos'!$G$11/48</f>
        <v>120833.33333333333</v>
      </c>
      <c r="CA15" s="86">
        <f>+'Cuadro de Costos'!$G$11/48</f>
        <v>120833.33333333333</v>
      </c>
      <c r="CB15" s="86">
        <f>+'Cuadro de Costos'!$G$11/48</f>
        <v>120833.33333333333</v>
      </c>
      <c r="CC15" s="86">
        <f>+'Cuadro de Costos'!$G$11/48</f>
        <v>120833.33333333333</v>
      </c>
      <c r="CD15" s="86">
        <f>+'Cuadro de Costos'!$G$11/48</f>
        <v>120833.33333333333</v>
      </c>
      <c r="CE15" s="86">
        <f>+'Cuadro de Costos'!$G$11/48</f>
        <v>120833.33333333333</v>
      </c>
      <c r="CF15" s="86">
        <f>+'Cuadro de Costos'!$G$11/48</f>
        <v>120833.33333333333</v>
      </c>
      <c r="CG15" s="86">
        <f>+'Cuadro de Costos'!$G$11/48</f>
        <v>120833.33333333333</v>
      </c>
      <c r="CH15" s="86">
        <f>+'Cuadro de Costos'!$G$11/48</f>
        <v>120833.33333333333</v>
      </c>
      <c r="CI15" s="86">
        <f>+'Cuadro de Costos'!$G$11/48</f>
        <v>120833.33333333333</v>
      </c>
      <c r="CJ15" s="86">
        <f t="shared" ref="CJ15:CJ27" si="7">SUM(D15:CI15)</f>
        <v>142000000.00000048</v>
      </c>
    </row>
    <row r="16" spans="1:89" s="159" customFormat="1" ht="27.6" x14ac:dyDescent="0.3">
      <c r="A16" s="167" t="str">
        <f>+'CC D'!A13</f>
        <v>1.1.3</v>
      </c>
      <c r="B16" s="84" t="str">
        <f>+'CC D'!B13</f>
        <v>Contratación de Firma Constructora para la rehabilitación y mantenimiento del tramo 3: km 326 - km 450 (124 Km) - Lote 3</v>
      </c>
      <c r="C16" s="86">
        <f>+PEP!G30</f>
        <v>131000000</v>
      </c>
      <c r="D16" s="86">
        <v>0</v>
      </c>
      <c r="E16" s="86">
        <v>0</v>
      </c>
      <c r="F16" s="86">
        <v>0</v>
      </c>
      <c r="G16" s="86">
        <v>0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86">
        <f>+Tramo3!B52</f>
        <v>25280000</v>
      </c>
      <c r="Q16" s="86">
        <f>+Tramo3!C52</f>
        <v>2528000</v>
      </c>
      <c r="R16" s="86">
        <f>+Tramo3!D52</f>
        <v>3033600</v>
      </c>
      <c r="S16" s="86">
        <f>+Tramo3!E52</f>
        <v>3539200</v>
      </c>
      <c r="T16" s="86">
        <f>+Tramo3!F52</f>
        <v>3539200</v>
      </c>
      <c r="U16" s="86">
        <f>+Tramo3!G52</f>
        <v>4044800</v>
      </c>
      <c r="V16" s="86">
        <f>+Tramo3!H52</f>
        <v>4550400</v>
      </c>
      <c r="W16" s="86">
        <f>+Tramo3!I52</f>
        <v>4550400</v>
      </c>
      <c r="X16" s="86">
        <f>+Tramo3!J52</f>
        <v>5056000</v>
      </c>
      <c r="Y16" s="86">
        <f>+Tramo3!K52</f>
        <v>5561600</v>
      </c>
      <c r="Z16" s="86">
        <f>+Tramo3!L52</f>
        <v>5561600</v>
      </c>
      <c r="AA16" s="86">
        <f>+Tramo3!M52</f>
        <v>5561600</v>
      </c>
      <c r="AB16" s="86">
        <f>+Tramo3!N52</f>
        <v>6067200</v>
      </c>
      <c r="AC16" s="86">
        <f>+Tramo3!O52</f>
        <v>7078400</v>
      </c>
      <c r="AD16" s="86">
        <f>+Tramo3!P52</f>
        <v>7078400</v>
      </c>
      <c r="AE16" s="86">
        <f>+Tramo3!Q52</f>
        <v>6572800</v>
      </c>
      <c r="AF16" s="86">
        <f>+Tramo3!R52</f>
        <v>6572800</v>
      </c>
      <c r="AG16" s="86">
        <f>+Tramo3!S52</f>
        <v>5056000</v>
      </c>
      <c r="AH16" s="86">
        <f>+Tramo3!T52</f>
        <v>5056000</v>
      </c>
      <c r="AI16" s="86">
        <f>+Tramo3!U52</f>
        <v>4044800</v>
      </c>
      <c r="AJ16" s="86">
        <f>+Tramo3!V52</f>
        <v>2022400</v>
      </c>
      <c r="AK16" s="86">
        <f>+Tramo3!W52</f>
        <v>1011200</v>
      </c>
      <c r="AL16" s="86">
        <f>+Tramo3!X52</f>
        <v>1011200</v>
      </c>
      <c r="AM16" s="86">
        <f>+Tramo3!Y52</f>
        <v>1011200</v>
      </c>
      <c r="AN16" s="86">
        <f>+Tramo3!Z52+'Cuadro de Costos'!G12/48</f>
        <v>1107033.3333333333</v>
      </c>
      <c r="AO16" s="86">
        <f>+'Cuadro de Costos'!$G$12/48</f>
        <v>95833.333333333328</v>
      </c>
      <c r="AP16" s="86">
        <f>+'Cuadro de Costos'!$G$12/48</f>
        <v>95833.333333333328</v>
      </c>
      <c r="AQ16" s="86">
        <f>+'Cuadro de Costos'!$G$12/48</f>
        <v>95833.333333333328</v>
      </c>
      <c r="AR16" s="86">
        <f>+'Cuadro de Costos'!$G$12/48</f>
        <v>95833.333333333328</v>
      </c>
      <c r="AS16" s="86">
        <f>+'Cuadro de Costos'!$G$12/48</f>
        <v>95833.333333333328</v>
      </c>
      <c r="AT16" s="86">
        <f>+'Cuadro de Costos'!$G$12/48</f>
        <v>95833.333333333328</v>
      </c>
      <c r="AU16" s="86">
        <f>+'Cuadro de Costos'!$G$12/48</f>
        <v>95833.333333333328</v>
      </c>
      <c r="AV16" s="86">
        <f>+'Cuadro de Costos'!$G$12/48</f>
        <v>95833.333333333328</v>
      </c>
      <c r="AW16" s="86">
        <f>+'Cuadro de Costos'!$G$12/48</f>
        <v>95833.333333333328</v>
      </c>
      <c r="AX16" s="86">
        <f>+'Cuadro de Costos'!$G$12/48</f>
        <v>95833.333333333328</v>
      </c>
      <c r="AY16" s="86">
        <f>+'Cuadro de Costos'!$G$12/48</f>
        <v>95833.333333333328</v>
      </c>
      <c r="AZ16" s="86">
        <f>+'Cuadro de Costos'!$G$12/48</f>
        <v>95833.333333333328</v>
      </c>
      <c r="BA16" s="86">
        <f>+'Cuadro de Costos'!$G$12/48</f>
        <v>95833.333333333328</v>
      </c>
      <c r="BB16" s="86">
        <f>+'Cuadro de Costos'!$G$12/48</f>
        <v>95833.333333333328</v>
      </c>
      <c r="BC16" s="86">
        <f>+'Cuadro de Costos'!$G$12/48</f>
        <v>95833.333333333328</v>
      </c>
      <c r="BD16" s="86">
        <f>+'Cuadro de Costos'!$G$12/48</f>
        <v>95833.333333333328</v>
      </c>
      <c r="BE16" s="86">
        <f>+'Cuadro de Costos'!$G$12/48</f>
        <v>95833.333333333328</v>
      </c>
      <c r="BF16" s="86">
        <f>+'Cuadro de Costos'!$G$12/48</f>
        <v>95833.333333333328</v>
      </c>
      <c r="BG16" s="86">
        <f>+'Cuadro de Costos'!$G$12/48</f>
        <v>95833.333333333328</v>
      </c>
      <c r="BH16" s="86">
        <f>+'Cuadro de Costos'!$G$12/48</f>
        <v>95833.333333333328</v>
      </c>
      <c r="BI16" s="86">
        <f>+'Cuadro de Costos'!$G$12/48</f>
        <v>95833.333333333328</v>
      </c>
      <c r="BJ16" s="86">
        <f>+'Cuadro de Costos'!$G$12/48</f>
        <v>95833.333333333328</v>
      </c>
      <c r="BK16" s="86">
        <f>+'Cuadro de Costos'!$G$12/48</f>
        <v>95833.333333333328</v>
      </c>
      <c r="BL16" s="86">
        <f>+'Cuadro de Costos'!$G$12/48</f>
        <v>95833.333333333328</v>
      </c>
      <c r="BM16" s="86">
        <f>+'Cuadro de Costos'!$G$12/48</f>
        <v>95833.333333333328</v>
      </c>
      <c r="BN16" s="86">
        <f>+'Cuadro de Costos'!$G$12/48</f>
        <v>95833.333333333328</v>
      </c>
      <c r="BO16" s="86">
        <f>+'Cuadro de Costos'!$G$12/48</f>
        <v>95833.333333333328</v>
      </c>
      <c r="BP16" s="86">
        <f>+'Cuadro de Costos'!$G$12/48</f>
        <v>95833.333333333328</v>
      </c>
      <c r="BQ16" s="86">
        <f>+'Cuadro de Costos'!$G$12/48</f>
        <v>95833.333333333328</v>
      </c>
      <c r="BR16" s="86">
        <f>+'Cuadro de Costos'!$G$12/48</f>
        <v>95833.333333333328</v>
      </c>
      <c r="BS16" s="86">
        <f>+'Cuadro de Costos'!$G$12/48</f>
        <v>95833.333333333328</v>
      </c>
      <c r="BT16" s="86">
        <f>+'Cuadro de Costos'!$G$12/48</f>
        <v>95833.333333333328</v>
      </c>
      <c r="BU16" s="86">
        <f>+'Cuadro de Costos'!$G$12/48</f>
        <v>95833.333333333328</v>
      </c>
      <c r="BV16" s="86">
        <f>+'Cuadro de Costos'!$G$12/48</f>
        <v>95833.333333333328</v>
      </c>
      <c r="BW16" s="86">
        <f>+'Cuadro de Costos'!$G$12/48</f>
        <v>95833.333333333328</v>
      </c>
      <c r="BX16" s="86">
        <f>+'Cuadro de Costos'!$G$12/48</f>
        <v>95833.333333333328</v>
      </c>
      <c r="BY16" s="86">
        <f>+'Cuadro de Costos'!$G$12/48</f>
        <v>95833.333333333328</v>
      </c>
      <c r="BZ16" s="86">
        <f>+'Cuadro de Costos'!$G$12/48</f>
        <v>95833.333333333328</v>
      </c>
      <c r="CA16" s="86">
        <f>+'Cuadro de Costos'!$G$12/48</f>
        <v>95833.333333333328</v>
      </c>
      <c r="CB16" s="86">
        <f>+'Cuadro de Costos'!$G$12/48</f>
        <v>95833.333333333328</v>
      </c>
      <c r="CC16" s="86">
        <f>+'Cuadro de Costos'!$G$12/48</f>
        <v>95833.333333333328</v>
      </c>
      <c r="CD16" s="86">
        <f>+'Cuadro de Costos'!$G$12/48</f>
        <v>95833.333333333328</v>
      </c>
      <c r="CE16" s="86">
        <f>+'Cuadro de Costos'!$G$12/48</f>
        <v>95833.333333333328</v>
      </c>
      <c r="CF16" s="86">
        <f>+'Cuadro de Costos'!$G$12/48</f>
        <v>95833.333333333328</v>
      </c>
      <c r="CG16" s="86">
        <f>+'Cuadro de Costos'!$G$12/48</f>
        <v>95833.333333333328</v>
      </c>
      <c r="CH16" s="86">
        <f>+'Cuadro de Costos'!$G$12/48</f>
        <v>95833.333333333328</v>
      </c>
      <c r="CI16" s="86">
        <f>+'Cuadro de Costos'!$G$12/48</f>
        <v>95833.333333333328</v>
      </c>
      <c r="CJ16" s="86">
        <f>SUM(D16:CI16)</f>
        <v>130999999.99999976</v>
      </c>
    </row>
    <row r="17" spans="1:88" s="159" customFormat="1" ht="27.6" x14ac:dyDescent="0.3">
      <c r="A17" s="167" t="str">
        <f>+'CC D'!A14</f>
        <v>1.1.4</v>
      </c>
      <c r="B17" s="84" t="str">
        <f>+'CC D'!B14</f>
        <v>Contratación de Firma Constructora para la rehabilitación y mantenimiento del tramo 4: km 450 - km 525, accesos y linea 1 - Lote 4</v>
      </c>
      <c r="C17" s="86">
        <f>+PEP!G31</f>
        <v>116000000</v>
      </c>
      <c r="D17" s="86">
        <v>0</v>
      </c>
      <c r="E17" s="86">
        <v>0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86">
        <f>+'Tramo 4'!B52</f>
        <v>22040000</v>
      </c>
      <c r="Q17" s="86">
        <f>+'Tramo 4'!C52</f>
        <v>2204000</v>
      </c>
      <c r="R17" s="86">
        <f>+'Tramo 4'!D52</f>
        <v>2644800</v>
      </c>
      <c r="S17" s="86">
        <f>+'Tramo 4'!E52</f>
        <v>3085600</v>
      </c>
      <c r="T17" s="86">
        <f>+'Tramo 4'!F52</f>
        <v>3085600</v>
      </c>
      <c r="U17" s="86">
        <f>+'Tramo 4'!G52</f>
        <v>3526400</v>
      </c>
      <c r="V17" s="86">
        <f>+'Tramo 4'!H52</f>
        <v>3967200</v>
      </c>
      <c r="W17" s="86">
        <f>+'Tramo 4'!I52</f>
        <v>3967200</v>
      </c>
      <c r="X17" s="86">
        <f>+'Tramo 4'!J52</f>
        <v>4408000</v>
      </c>
      <c r="Y17" s="86">
        <f>+'Tramo 4'!K52</f>
        <v>4848800</v>
      </c>
      <c r="Z17" s="86">
        <f>+'Tramo 4'!L52</f>
        <v>4848800</v>
      </c>
      <c r="AA17" s="86">
        <f>+'Tramo 4'!M52</f>
        <v>4848800</v>
      </c>
      <c r="AB17" s="86">
        <f>+'Tramo 4'!N52</f>
        <v>5289600</v>
      </c>
      <c r="AC17" s="86">
        <f>+'Tramo 4'!O52</f>
        <v>6171200</v>
      </c>
      <c r="AD17" s="86">
        <f>+'Tramo 4'!P52</f>
        <v>6171200</v>
      </c>
      <c r="AE17" s="86">
        <f>+'Tramo 4'!Q52</f>
        <v>5730400</v>
      </c>
      <c r="AF17" s="86">
        <f>+'Tramo 4'!R52</f>
        <v>5730400</v>
      </c>
      <c r="AG17" s="86">
        <f>+'Tramo 4'!S52</f>
        <v>4408000</v>
      </c>
      <c r="AH17" s="86">
        <f>+'Tramo 4'!T52</f>
        <v>4408000</v>
      </c>
      <c r="AI17" s="86">
        <f>+'Tramo 4'!U52</f>
        <v>3526400</v>
      </c>
      <c r="AJ17" s="86">
        <f>+'Tramo 4'!V52</f>
        <v>1763200</v>
      </c>
      <c r="AK17" s="86">
        <f>+'Tramo 4'!W52</f>
        <v>881600</v>
      </c>
      <c r="AL17" s="86">
        <f>+'Tramo 4'!X52</f>
        <v>881600</v>
      </c>
      <c r="AM17" s="86">
        <f>+'Tramo 4'!Y52</f>
        <v>881600</v>
      </c>
      <c r="AN17" s="86">
        <f>+'Tramo 4'!Z52+'Cuadro de Costos'!G13/48</f>
        <v>1002433.3333333334</v>
      </c>
      <c r="AO17" s="86">
        <f>+'Cuadro de Costos'!$G$13/48</f>
        <v>120833.33333333333</v>
      </c>
      <c r="AP17" s="86">
        <f>+'Cuadro de Costos'!$G$13/48</f>
        <v>120833.33333333333</v>
      </c>
      <c r="AQ17" s="86">
        <f>+'Cuadro de Costos'!$G$13/48</f>
        <v>120833.33333333333</v>
      </c>
      <c r="AR17" s="86">
        <f>+'Cuadro de Costos'!$G$13/48</f>
        <v>120833.33333333333</v>
      </c>
      <c r="AS17" s="86">
        <f>+'Cuadro de Costos'!$G$13/48</f>
        <v>120833.33333333333</v>
      </c>
      <c r="AT17" s="86">
        <f>+'Cuadro de Costos'!$G$13/48</f>
        <v>120833.33333333333</v>
      </c>
      <c r="AU17" s="86">
        <f>+'Cuadro de Costos'!$G$13/48</f>
        <v>120833.33333333333</v>
      </c>
      <c r="AV17" s="86">
        <f>+'Cuadro de Costos'!$G$13/48</f>
        <v>120833.33333333333</v>
      </c>
      <c r="AW17" s="86">
        <f>+'Cuadro de Costos'!$G$13/48</f>
        <v>120833.33333333333</v>
      </c>
      <c r="AX17" s="86">
        <f>+'Cuadro de Costos'!$G$13/48</f>
        <v>120833.33333333333</v>
      </c>
      <c r="AY17" s="86">
        <f>+'Cuadro de Costos'!$G$13/48</f>
        <v>120833.33333333333</v>
      </c>
      <c r="AZ17" s="86">
        <f>+'Cuadro de Costos'!$G$13/48</f>
        <v>120833.33333333333</v>
      </c>
      <c r="BA17" s="86">
        <f>+'Cuadro de Costos'!$G$13/48</f>
        <v>120833.33333333333</v>
      </c>
      <c r="BB17" s="86">
        <f>+'Cuadro de Costos'!$G$13/48</f>
        <v>120833.33333333333</v>
      </c>
      <c r="BC17" s="86">
        <f>+'Cuadro de Costos'!$G$13/48</f>
        <v>120833.33333333333</v>
      </c>
      <c r="BD17" s="86">
        <f>+'Cuadro de Costos'!$G$13/48</f>
        <v>120833.33333333333</v>
      </c>
      <c r="BE17" s="86">
        <f>+'Cuadro de Costos'!$G$13/48</f>
        <v>120833.33333333333</v>
      </c>
      <c r="BF17" s="86">
        <f>+'Cuadro de Costos'!$G$13/48</f>
        <v>120833.33333333333</v>
      </c>
      <c r="BG17" s="86">
        <f>+'Cuadro de Costos'!$G$13/48</f>
        <v>120833.33333333333</v>
      </c>
      <c r="BH17" s="86">
        <f>+'Cuadro de Costos'!$G$13/48</f>
        <v>120833.33333333333</v>
      </c>
      <c r="BI17" s="86">
        <f>+'Cuadro de Costos'!$G$13/48</f>
        <v>120833.33333333333</v>
      </c>
      <c r="BJ17" s="86">
        <f>+'Cuadro de Costos'!$G$13/48</f>
        <v>120833.33333333333</v>
      </c>
      <c r="BK17" s="86">
        <f>+'Cuadro de Costos'!$G$13/48</f>
        <v>120833.33333333333</v>
      </c>
      <c r="BL17" s="86">
        <f>+'Cuadro de Costos'!$G$13/48</f>
        <v>120833.33333333333</v>
      </c>
      <c r="BM17" s="86">
        <f>+'Cuadro de Costos'!$G$13/48</f>
        <v>120833.33333333333</v>
      </c>
      <c r="BN17" s="86">
        <f>+'Cuadro de Costos'!$G$13/48</f>
        <v>120833.33333333333</v>
      </c>
      <c r="BO17" s="86">
        <f>+'Cuadro de Costos'!$G$13/48</f>
        <v>120833.33333333333</v>
      </c>
      <c r="BP17" s="86">
        <f>+'Cuadro de Costos'!$G$13/48</f>
        <v>120833.33333333333</v>
      </c>
      <c r="BQ17" s="86">
        <f>+'Cuadro de Costos'!$G$13/48</f>
        <v>120833.33333333333</v>
      </c>
      <c r="BR17" s="86">
        <f>+'Cuadro de Costos'!$G$13/48</f>
        <v>120833.33333333333</v>
      </c>
      <c r="BS17" s="86">
        <f>+'Cuadro de Costos'!$G$13/48</f>
        <v>120833.33333333333</v>
      </c>
      <c r="BT17" s="86">
        <f>+'Cuadro de Costos'!$G$13/48</f>
        <v>120833.33333333333</v>
      </c>
      <c r="BU17" s="86">
        <f>+'Cuadro de Costos'!$G$13/48</f>
        <v>120833.33333333333</v>
      </c>
      <c r="BV17" s="86">
        <f>+'Cuadro de Costos'!$G$13/48</f>
        <v>120833.33333333333</v>
      </c>
      <c r="BW17" s="86">
        <f>+'Cuadro de Costos'!$G$13/48</f>
        <v>120833.33333333333</v>
      </c>
      <c r="BX17" s="86">
        <f>+'Cuadro de Costos'!$G$13/48</f>
        <v>120833.33333333333</v>
      </c>
      <c r="BY17" s="86">
        <f>+'Cuadro de Costos'!$G$13/48</f>
        <v>120833.33333333333</v>
      </c>
      <c r="BZ17" s="86">
        <f>+'Cuadro de Costos'!$G$13/48</f>
        <v>120833.33333333333</v>
      </c>
      <c r="CA17" s="86">
        <f>+'Cuadro de Costos'!$G$13/48</f>
        <v>120833.33333333333</v>
      </c>
      <c r="CB17" s="86">
        <f>+'Cuadro de Costos'!$G$13/48</f>
        <v>120833.33333333333</v>
      </c>
      <c r="CC17" s="86">
        <f>+'Cuadro de Costos'!$G$13/48</f>
        <v>120833.33333333333</v>
      </c>
      <c r="CD17" s="86">
        <f>+'Cuadro de Costos'!$G$13/48</f>
        <v>120833.33333333333</v>
      </c>
      <c r="CE17" s="86">
        <f>+'Cuadro de Costos'!$G$13/48</f>
        <v>120833.33333333333</v>
      </c>
      <c r="CF17" s="86">
        <f>+'Cuadro de Costos'!$G$13/48</f>
        <v>120833.33333333333</v>
      </c>
      <c r="CG17" s="86">
        <f>+'Cuadro de Costos'!$G$13/48</f>
        <v>120833.33333333333</v>
      </c>
      <c r="CH17" s="86">
        <f>+'Cuadro de Costos'!$G$13/48</f>
        <v>120833.33333333333</v>
      </c>
      <c r="CI17" s="86">
        <f>+'Cuadro de Costos'!$G$13/48</f>
        <v>120833.33333333333</v>
      </c>
      <c r="CJ17" s="86">
        <f t="shared" si="7"/>
        <v>115999999.99999976</v>
      </c>
    </row>
    <row r="18" spans="1:88" s="159" customFormat="1" x14ac:dyDescent="0.3">
      <c r="A18" s="91">
        <f>+'CC D'!A15</f>
        <v>1.2</v>
      </c>
      <c r="B18" s="79" t="str">
        <f>+'CC D'!B15</f>
        <v>Fiscalización</v>
      </c>
      <c r="C18" s="82">
        <f>+PEP!G32</f>
        <v>20000000</v>
      </c>
      <c r="D18" s="82">
        <f>+D19+D20</f>
        <v>0</v>
      </c>
      <c r="E18" s="82">
        <f t="shared" ref="E18:BP18" si="8">+E19+E20</f>
        <v>0</v>
      </c>
      <c r="F18" s="82">
        <f t="shared" si="8"/>
        <v>0</v>
      </c>
      <c r="G18" s="82">
        <f t="shared" si="8"/>
        <v>0</v>
      </c>
      <c r="H18" s="82">
        <f t="shared" si="8"/>
        <v>0</v>
      </c>
      <c r="I18" s="82">
        <f t="shared" si="8"/>
        <v>0</v>
      </c>
      <c r="J18" s="82">
        <f t="shared" si="8"/>
        <v>0</v>
      </c>
      <c r="K18" s="82">
        <f t="shared" si="8"/>
        <v>0</v>
      </c>
      <c r="L18" s="82">
        <f t="shared" si="8"/>
        <v>0</v>
      </c>
      <c r="M18" s="82">
        <f t="shared" si="8"/>
        <v>0</v>
      </c>
      <c r="N18" s="82">
        <f t="shared" si="8"/>
        <v>0</v>
      </c>
      <c r="O18" s="82">
        <f t="shared" si="8"/>
        <v>1810000</v>
      </c>
      <c r="P18" s="82">
        <f t="shared" si="8"/>
        <v>543000</v>
      </c>
      <c r="Q18" s="82">
        <f t="shared" si="8"/>
        <v>583725</v>
      </c>
      <c r="R18" s="82">
        <f t="shared" si="8"/>
        <v>624450</v>
      </c>
      <c r="S18" s="82">
        <f t="shared" si="8"/>
        <v>624450</v>
      </c>
      <c r="T18" s="82">
        <f t="shared" si="8"/>
        <v>665175</v>
      </c>
      <c r="U18" s="82">
        <f t="shared" si="8"/>
        <v>705900</v>
      </c>
      <c r="V18" s="82">
        <f t="shared" si="8"/>
        <v>705900</v>
      </c>
      <c r="W18" s="82">
        <f t="shared" si="8"/>
        <v>746625</v>
      </c>
      <c r="X18" s="82">
        <f t="shared" si="8"/>
        <v>787350</v>
      </c>
      <c r="Y18" s="82">
        <f t="shared" si="8"/>
        <v>787350</v>
      </c>
      <c r="Z18" s="82">
        <f t="shared" si="8"/>
        <v>787350</v>
      </c>
      <c r="AA18" s="82">
        <f t="shared" si="8"/>
        <v>828075</v>
      </c>
      <c r="AB18" s="82">
        <f t="shared" si="8"/>
        <v>909525</v>
      </c>
      <c r="AC18" s="82">
        <f t="shared" si="8"/>
        <v>909525</v>
      </c>
      <c r="AD18" s="82">
        <f t="shared" si="8"/>
        <v>868800</v>
      </c>
      <c r="AE18" s="82">
        <f t="shared" si="8"/>
        <v>868800</v>
      </c>
      <c r="AF18" s="82">
        <f t="shared" si="8"/>
        <v>746625</v>
      </c>
      <c r="AG18" s="82">
        <f t="shared" si="8"/>
        <v>746625</v>
      </c>
      <c r="AH18" s="82">
        <f t="shared" si="8"/>
        <v>665175</v>
      </c>
      <c r="AI18" s="82">
        <f t="shared" si="8"/>
        <v>502275</v>
      </c>
      <c r="AJ18" s="82">
        <f t="shared" si="8"/>
        <v>420825</v>
      </c>
      <c r="AK18" s="82">
        <f t="shared" si="8"/>
        <v>420825</v>
      </c>
      <c r="AL18" s="82">
        <f t="shared" si="8"/>
        <v>420825</v>
      </c>
      <c r="AM18" s="82">
        <f t="shared" si="8"/>
        <v>420825</v>
      </c>
      <c r="AN18" s="82">
        <f t="shared" si="8"/>
        <v>39583.333333333328</v>
      </c>
      <c r="AO18" s="82">
        <f t="shared" si="8"/>
        <v>39583.333333333328</v>
      </c>
      <c r="AP18" s="82">
        <f t="shared" si="8"/>
        <v>39583.333333333328</v>
      </c>
      <c r="AQ18" s="82">
        <f t="shared" si="8"/>
        <v>39583.333333333328</v>
      </c>
      <c r="AR18" s="82">
        <f t="shared" si="8"/>
        <v>39583.333333333328</v>
      </c>
      <c r="AS18" s="82">
        <f t="shared" si="8"/>
        <v>39583.333333333328</v>
      </c>
      <c r="AT18" s="82">
        <f t="shared" si="8"/>
        <v>39583.333333333328</v>
      </c>
      <c r="AU18" s="82">
        <f t="shared" si="8"/>
        <v>39583.333333333328</v>
      </c>
      <c r="AV18" s="82">
        <f t="shared" si="8"/>
        <v>39583.333333333328</v>
      </c>
      <c r="AW18" s="82">
        <f t="shared" si="8"/>
        <v>39583.333333333328</v>
      </c>
      <c r="AX18" s="82">
        <f t="shared" si="8"/>
        <v>39583.333333333328</v>
      </c>
      <c r="AY18" s="82">
        <f t="shared" si="8"/>
        <v>39583.333333333328</v>
      </c>
      <c r="AZ18" s="82">
        <f t="shared" si="8"/>
        <v>39583.333333333328</v>
      </c>
      <c r="BA18" s="82">
        <f t="shared" si="8"/>
        <v>39583.333333333328</v>
      </c>
      <c r="BB18" s="82">
        <f t="shared" si="8"/>
        <v>39583.333333333328</v>
      </c>
      <c r="BC18" s="82">
        <f t="shared" si="8"/>
        <v>39583.333333333328</v>
      </c>
      <c r="BD18" s="82">
        <f t="shared" si="8"/>
        <v>39583.333333333328</v>
      </c>
      <c r="BE18" s="82">
        <f t="shared" si="8"/>
        <v>39583.333333333328</v>
      </c>
      <c r="BF18" s="82">
        <f t="shared" si="8"/>
        <v>39583.333333333328</v>
      </c>
      <c r="BG18" s="82">
        <f t="shared" si="8"/>
        <v>39583.333333333328</v>
      </c>
      <c r="BH18" s="82">
        <f t="shared" si="8"/>
        <v>39583.333333333328</v>
      </c>
      <c r="BI18" s="82">
        <f t="shared" si="8"/>
        <v>39583.333333333328</v>
      </c>
      <c r="BJ18" s="82">
        <f t="shared" si="8"/>
        <v>39583.333333333328</v>
      </c>
      <c r="BK18" s="82">
        <f t="shared" si="8"/>
        <v>39583.333333333328</v>
      </c>
      <c r="BL18" s="82">
        <f t="shared" si="8"/>
        <v>39583.333333333328</v>
      </c>
      <c r="BM18" s="82">
        <f t="shared" si="8"/>
        <v>39583.333333333328</v>
      </c>
      <c r="BN18" s="82">
        <f t="shared" si="8"/>
        <v>39583.333333333328</v>
      </c>
      <c r="BO18" s="82">
        <f t="shared" si="8"/>
        <v>39583.333333333328</v>
      </c>
      <c r="BP18" s="82">
        <f t="shared" si="8"/>
        <v>39583.333333333328</v>
      </c>
      <c r="BQ18" s="82">
        <f t="shared" ref="BQ18:CJ18" si="9">+BQ19+BQ20</f>
        <v>39583.333333333328</v>
      </c>
      <c r="BR18" s="82">
        <f t="shared" si="9"/>
        <v>39583.333333333328</v>
      </c>
      <c r="BS18" s="82">
        <f t="shared" si="9"/>
        <v>39583.333333333328</v>
      </c>
      <c r="BT18" s="82">
        <f t="shared" si="9"/>
        <v>39583.333333333328</v>
      </c>
      <c r="BU18" s="82">
        <f t="shared" si="9"/>
        <v>39583.333333333328</v>
      </c>
      <c r="BV18" s="82">
        <f t="shared" si="9"/>
        <v>39583.333333333328</v>
      </c>
      <c r="BW18" s="82">
        <f t="shared" si="9"/>
        <v>39583.333333333328</v>
      </c>
      <c r="BX18" s="82">
        <f t="shared" si="9"/>
        <v>39583.333333333328</v>
      </c>
      <c r="BY18" s="82">
        <f t="shared" si="9"/>
        <v>39583.333333333328</v>
      </c>
      <c r="BZ18" s="82">
        <f t="shared" si="9"/>
        <v>39583.333333333328</v>
      </c>
      <c r="CA18" s="82">
        <f t="shared" si="9"/>
        <v>39583.333333333328</v>
      </c>
      <c r="CB18" s="82">
        <f t="shared" si="9"/>
        <v>39583.333333333328</v>
      </c>
      <c r="CC18" s="82">
        <f t="shared" si="9"/>
        <v>39583.333333333328</v>
      </c>
      <c r="CD18" s="82">
        <f t="shared" si="9"/>
        <v>39583.333333333328</v>
      </c>
      <c r="CE18" s="82">
        <f t="shared" si="9"/>
        <v>39583.333333333328</v>
      </c>
      <c r="CF18" s="82">
        <f t="shared" si="9"/>
        <v>39583.333333333328</v>
      </c>
      <c r="CG18" s="82">
        <f t="shared" si="9"/>
        <v>39583.333333333328</v>
      </c>
      <c r="CH18" s="82">
        <f t="shared" si="9"/>
        <v>39583.333333333328</v>
      </c>
      <c r="CI18" s="82">
        <f t="shared" si="9"/>
        <v>39583.333333333328</v>
      </c>
      <c r="CJ18" s="82">
        <f t="shared" si="9"/>
        <v>20000000.00000003</v>
      </c>
    </row>
    <row r="19" spans="1:88" s="159" customFormat="1" x14ac:dyDescent="0.3">
      <c r="A19" s="167" t="str">
        <f>+'CC D'!A16</f>
        <v>1.2.1</v>
      </c>
      <c r="B19" s="84" t="str">
        <f>+'CC D'!B16</f>
        <v>Contratación de Firma Consultora para la fiscalización de la rehabilitación y mantenimiento de lotes 1 y 2</v>
      </c>
      <c r="C19" s="86">
        <f>+PEP!G33</f>
        <v>9500000</v>
      </c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>
        <f>+'Fisc Tramo 1'!B59</f>
        <v>860000</v>
      </c>
      <c r="P19" s="86">
        <f>+'Fisc Tramo 1'!C59</f>
        <v>258000</v>
      </c>
      <c r="Q19" s="86">
        <f>+'Fisc Tramo 1'!D59</f>
        <v>277350</v>
      </c>
      <c r="R19" s="86">
        <f>+'Fisc Tramo 1'!E59</f>
        <v>296700</v>
      </c>
      <c r="S19" s="86">
        <f>+'Fisc Tramo 1'!F59</f>
        <v>296700</v>
      </c>
      <c r="T19" s="86">
        <f>+'Fisc Tramo 1'!G59</f>
        <v>316050</v>
      </c>
      <c r="U19" s="86">
        <f>+'Fisc Tramo 1'!H59</f>
        <v>335400</v>
      </c>
      <c r="V19" s="86">
        <f>+'Fisc Tramo 1'!I59</f>
        <v>335400</v>
      </c>
      <c r="W19" s="86">
        <f>+'Fisc Tramo 1'!J59</f>
        <v>354750</v>
      </c>
      <c r="X19" s="86">
        <f>+'Fisc Tramo 1'!K59</f>
        <v>374100</v>
      </c>
      <c r="Y19" s="86">
        <f>+'Fisc Tramo 1'!L59</f>
        <v>374100</v>
      </c>
      <c r="Z19" s="86">
        <f>+'Fisc Tramo 1'!M59</f>
        <v>374100</v>
      </c>
      <c r="AA19" s="86">
        <f>+'Fisc Tramo 1'!N59</f>
        <v>393450</v>
      </c>
      <c r="AB19" s="86">
        <f>+'Fisc Tramo 1'!O59</f>
        <v>432150</v>
      </c>
      <c r="AC19" s="86">
        <f>+'Fisc Tramo 1'!P59</f>
        <v>432150</v>
      </c>
      <c r="AD19" s="86">
        <f>+'Fisc Tramo 1'!Q59</f>
        <v>412800</v>
      </c>
      <c r="AE19" s="86">
        <f>+'Fisc Tramo 1'!R59</f>
        <v>412800</v>
      </c>
      <c r="AF19" s="86">
        <f>+'Fisc Tramo 1'!S59</f>
        <v>354750</v>
      </c>
      <c r="AG19" s="86">
        <f>+'Fisc Tramo 1'!T59</f>
        <v>354750</v>
      </c>
      <c r="AH19" s="86">
        <f>+'Fisc Tramo 1'!U59</f>
        <v>316050</v>
      </c>
      <c r="AI19" s="86">
        <f>+'Fisc Tramo 1'!V59</f>
        <v>238650</v>
      </c>
      <c r="AJ19" s="86">
        <f>+'Fisc Tramo 1'!W59</f>
        <v>199950</v>
      </c>
      <c r="AK19" s="86">
        <f>+'Fisc Tramo 1'!X59</f>
        <v>199950</v>
      </c>
      <c r="AL19" s="86">
        <f>+'Fisc Tramo 1'!Y59</f>
        <v>199950</v>
      </c>
      <c r="AM19" s="86">
        <f>+'Fisc Tramo 1'!Z59</f>
        <v>199950</v>
      </c>
      <c r="AN19" s="86">
        <f>+'Fisc Tramo 1'!D9/48</f>
        <v>18750</v>
      </c>
      <c r="AO19" s="86">
        <f>+AN19</f>
        <v>18750</v>
      </c>
      <c r="AP19" s="86">
        <f t="shared" ref="AP19:CI19" si="10">+AO19</f>
        <v>18750</v>
      </c>
      <c r="AQ19" s="86">
        <f t="shared" si="10"/>
        <v>18750</v>
      </c>
      <c r="AR19" s="86">
        <f t="shared" si="10"/>
        <v>18750</v>
      </c>
      <c r="AS19" s="86">
        <f t="shared" si="10"/>
        <v>18750</v>
      </c>
      <c r="AT19" s="86">
        <f t="shared" si="10"/>
        <v>18750</v>
      </c>
      <c r="AU19" s="86">
        <f t="shared" si="10"/>
        <v>18750</v>
      </c>
      <c r="AV19" s="86">
        <f t="shared" si="10"/>
        <v>18750</v>
      </c>
      <c r="AW19" s="86">
        <f t="shared" si="10"/>
        <v>18750</v>
      </c>
      <c r="AX19" s="86">
        <f t="shared" si="10"/>
        <v>18750</v>
      </c>
      <c r="AY19" s="86">
        <f t="shared" si="10"/>
        <v>18750</v>
      </c>
      <c r="AZ19" s="86">
        <f t="shared" si="10"/>
        <v>18750</v>
      </c>
      <c r="BA19" s="86">
        <f t="shared" si="10"/>
        <v>18750</v>
      </c>
      <c r="BB19" s="86">
        <f t="shared" si="10"/>
        <v>18750</v>
      </c>
      <c r="BC19" s="86">
        <f t="shared" si="10"/>
        <v>18750</v>
      </c>
      <c r="BD19" s="86">
        <f t="shared" si="10"/>
        <v>18750</v>
      </c>
      <c r="BE19" s="86">
        <f t="shared" si="10"/>
        <v>18750</v>
      </c>
      <c r="BF19" s="86">
        <f t="shared" si="10"/>
        <v>18750</v>
      </c>
      <c r="BG19" s="86">
        <f t="shared" si="10"/>
        <v>18750</v>
      </c>
      <c r="BH19" s="86">
        <f t="shared" si="10"/>
        <v>18750</v>
      </c>
      <c r="BI19" s="86">
        <f t="shared" si="10"/>
        <v>18750</v>
      </c>
      <c r="BJ19" s="86">
        <f t="shared" si="10"/>
        <v>18750</v>
      </c>
      <c r="BK19" s="86">
        <f t="shared" si="10"/>
        <v>18750</v>
      </c>
      <c r="BL19" s="86">
        <f t="shared" si="10"/>
        <v>18750</v>
      </c>
      <c r="BM19" s="86">
        <f t="shared" si="10"/>
        <v>18750</v>
      </c>
      <c r="BN19" s="86">
        <f t="shared" si="10"/>
        <v>18750</v>
      </c>
      <c r="BO19" s="86">
        <f t="shared" si="10"/>
        <v>18750</v>
      </c>
      <c r="BP19" s="86">
        <f t="shared" si="10"/>
        <v>18750</v>
      </c>
      <c r="BQ19" s="86">
        <f t="shared" si="10"/>
        <v>18750</v>
      </c>
      <c r="BR19" s="86">
        <f t="shared" si="10"/>
        <v>18750</v>
      </c>
      <c r="BS19" s="86">
        <f t="shared" si="10"/>
        <v>18750</v>
      </c>
      <c r="BT19" s="86">
        <f t="shared" si="10"/>
        <v>18750</v>
      </c>
      <c r="BU19" s="86">
        <f t="shared" si="10"/>
        <v>18750</v>
      </c>
      <c r="BV19" s="86">
        <f t="shared" si="10"/>
        <v>18750</v>
      </c>
      <c r="BW19" s="86">
        <f t="shared" si="10"/>
        <v>18750</v>
      </c>
      <c r="BX19" s="86">
        <f t="shared" si="10"/>
        <v>18750</v>
      </c>
      <c r="BY19" s="86">
        <f t="shared" si="10"/>
        <v>18750</v>
      </c>
      <c r="BZ19" s="86">
        <f t="shared" si="10"/>
        <v>18750</v>
      </c>
      <c r="CA19" s="86">
        <f t="shared" si="10"/>
        <v>18750</v>
      </c>
      <c r="CB19" s="86">
        <f t="shared" si="10"/>
        <v>18750</v>
      </c>
      <c r="CC19" s="86">
        <f t="shared" si="10"/>
        <v>18750</v>
      </c>
      <c r="CD19" s="86">
        <f t="shared" si="10"/>
        <v>18750</v>
      </c>
      <c r="CE19" s="86">
        <f t="shared" si="10"/>
        <v>18750</v>
      </c>
      <c r="CF19" s="86">
        <f t="shared" si="10"/>
        <v>18750</v>
      </c>
      <c r="CG19" s="86">
        <f t="shared" si="10"/>
        <v>18750</v>
      </c>
      <c r="CH19" s="86">
        <f t="shared" si="10"/>
        <v>18750</v>
      </c>
      <c r="CI19" s="86">
        <f t="shared" si="10"/>
        <v>18750</v>
      </c>
      <c r="CJ19" s="86">
        <f t="shared" si="7"/>
        <v>9500000</v>
      </c>
    </row>
    <row r="20" spans="1:88" s="159" customFormat="1" x14ac:dyDescent="0.3">
      <c r="A20" s="167" t="str">
        <f>+'CC D'!A17</f>
        <v>1.2.2</v>
      </c>
      <c r="B20" s="84" t="str">
        <f>+'CC D'!B17</f>
        <v>Contratación de Firma Consultora para la fiscalización de la rehabilitación y mantenimiento de lotes 3 y 4</v>
      </c>
      <c r="C20" s="86">
        <f>+PEP!G34</f>
        <v>10500000</v>
      </c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>
        <f>+'Fisc Tramo 2'!B59</f>
        <v>950000</v>
      </c>
      <c r="P20" s="86">
        <f>+'Fisc Tramo 2'!C59</f>
        <v>285000</v>
      </c>
      <c r="Q20" s="86">
        <f>+'Fisc Tramo 2'!D59</f>
        <v>306375</v>
      </c>
      <c r="R20" s="86">
        <f>+'Fisc Tramo 2'!E59</f>
        <v>327750</v>
      </c>
      <c r="S20" s="86">
        <f>+'Fisc Tramo 2'!F59</f>
        <v>327750</v>
      </c>
      <c r="T20" s="86">
        <f>+'Fisc Tramo 2'!G59</f>
        <v>349125</v>
      </c>
      <c r="U20" s="86">
        <f>+'Fisc Tramo 2'!H59</f>
        <v>370500</v>
      </c>
      <c r="V20" s="86">
        <f>+'Fisc Tramo 2'!I59</f>
        <v>370500</v>
      </c>
      <c r="W20" s="86">
        <f>+'Fisc Tramo 2'!J59</f>
        <v>391875</v>
      </c>
      <c r="X20" s="86">
        <f>+'Fisc Tramo 2'!K59</f>
        <v>413250</v>
      </c>
      <c r="Y20" s="86">
        <f>+'Fisc Tramo 2'!L59</f>
        <v>413250</v>
      </c>
      <c r="Z20" s="86">
        <f>+'Fisc Tramo 2'!M59</f>
        <v>413250</v>
      </c>
      <c r="AA20" s="86">
        <f>+'Fisc Tramo 2'!N59</f>
        <v>434625</v>
      </c>
      <c r="AB20" s="86">
        <f>+'Fisc Tramo 2'!O59</f>
        <v>477375</v>
      </c>
      <c r="AC20" s="86">
        <f>+'Fisc Tramo 2'!P59</f>
        <v>477375</v>
      </c>
      <c r="AD20" s="86">
        <f>+'Fisc Tramo 2'!Q59</f>
        <v>456000</v>
      </c>
      <c r="AE20" s="86">
        <f>+'Fisc Tramo 2'!R59</f>
        <v>456000</v>
      </c>
      <c r="AF20" s="86">
        <f>+'Fisc Tramo 2'!S59</f>
        <v>391875</v>
      </c>
      <c r="AG20" s="86">
        <f>+'Fisc Tramo 2'!T59</f>
        <v>391875</v>
      </c>
      <c r="AH20" s="86">
        <f>+'Fisc Tramo 2'!U59</f>
        <v>349125</v>
      </c>
      <c r="AI20" s="86">
        <f>+'Fisc Tramo 2'!V59</f>
        <v>263625</v>
      </c>
      <c r="AJ20" s="86">
        <f>+'Fisc Tramo 2'!W59</f>
        <v>220875</v>
      </c>
      <c r="AK20" s="86">
        <f>+'Fisc Tramo 2'!X59</f>
        <v>220875</v>
      </c>
      <c r="AL20" s="86">
        <f>+'Fisc Tramo 2'!Y59</f>
        <v>220875</v>
      </c>
      <c r="AM20" s="86">
        <f>+'Fisc Tramo 2'!Z59</f>
        <v>220875</v>
      </c>
      <c r="AN20" s="86">
        <f>+'Fisc Tramo 2'!D9/48</f>
        <v>20833.333333333332</v>
      </c>
      <c r="AO20" s="86">
        <f>+AN20</f>
        <v>20833.333333333332</v>
      </c>
      <c r="AP20" s="86">
        <f t="shared" ref="AP20:CI20" si="11">+AO20</f>
        <v>20833.333333333332</v>
      </c>
      <c r="AQ20" s="86">
        <f t="shared" si="11"/>
        <v>20833.333333333332</v>
      </c>
      <c r="AR20" s="86">
        <f t="shared" si="11"/>
        <v>20833.333333333332</v>
      </c>
      <c r="AS20" s="86">
        <f t="shared" si="11"/>
        <v>20833.333333333332</v>
      </c>
      <c r="AT20" s="86">
        <f t="shared" si="11"/>
        <v>20833.333333333332</v>
      </c>
      <c r="AU20" s="86">
        <f t="shared" si="11"/>
        <v>20833.333333333332</v>
      </c>
      <c r="AV20" s="86">
        <f t="shared" si="11"/>
        <v>20833.333333333332</v>
      </c>
      <c r="AW20" s="86">
        <f t="shared" si="11"/>
        <v>20833.333333333332</v>
      </c>
      <c r="AX20" s="86">
        <f t="shared" si="11"/>
        <v>20833.333333333332</v>
      </c>
      <c r="AY20" s="86">
        <f t="shared" si="11"/>
        <v>20833.333333333332</v>
      </c>
      <c r="AZ20" s="86">
        <f t="shared" si="11"/>
        <v>20833.333333333332</v>
      </c>
      <c r="BA20" s="86">
        <f t="shared" si="11"/>
        <v>20833.333333333332</v>
      </c>
      <c r="BB20" s="86">
        <f t="shared" si="11"/>
        <v>20833.333333333332</v>
      </c>
      <c r="BC20" s="86">
        <f t="shared" si="11"/>
        <v>20833.333333333332</v>
      </c>
      <c r="BD20" s="86">
        <f t="shared" si="11"/>
        <v>20833.333333333332</v>
      </c>
      <c r="BE20" s="86">
        <f t="shared" si="11"/>
        <v>20833.333333333332</v>
      </c>
      <c r="BF20" s="86">
        <f t="shared" si="11"/>
        <v>20833.333333333332</v>
      </c>
      <c r="BG20" s="86">
        <f t="shared" si="11"/>
        <v>20833.333333333332</v>
      </c>
      <c r="BH20" s="86">
        <f t="shared" si="11"/>
        <v>20833.333333333332</v>
      </c>
      <c r="BI20" s="86">
        <f t="shared" si="11"/>
        <v>20833.333333333332</v>
      </c>
      <c r="BJ20" s="86">
        <f t="shared" si="11"/>
        <v>20833.333333333332</v>
      </c>
      <c r="BK20" s="86">
        <f t="shared" si="11"/>
        <v>20833.333333333332</v>
      </c>
      <c r="BL20" s="86">
        <f t="shared" si="11"/>
        <v>20833.333333333332</v>
      </c>
      <c r="BM20" s="86">
        <f t="shared" si="11"/>
        <v>20833.333333333332</v>
      </c>
      <c r="BN20" s="86">
        <f t="shared" si="11"/>
        <v>20833.333333333332</v>
      </c>
      <c r="BO20" s="86">
        <f t="shared" si="11"/>
        <v>20833.333333333332</v>
      </c>
      <c r="BP20" s="86">
        <f t="shared" si="11"/>
        <v>20833.333333333332</v>
      </c>
      <c r="BQ20" s="86">
        <f t="shared" si="11"/>
        <v>20833.333333333332</v>
      </c>
      <c r="BR20" s="86">
        <f t="shared" si="11"/>
        <v>20833.333333333332</v>
      </c>
      <c r="BS20" s="86">
        <f t="shared" si="11"/>
        <v>20833.333333333332</v>
      </c>
      <c r="BT20" s="86">
        <f t="shared" si="11"/>
        <v>20833.333333333332</v>
      </c>
      <c r="BU20" s="86">
        <f t="shared" si="11"/>
        <v>20833.333333333332</v>
      </c>
      <c r="BV20" s="86">
        <f t="shared" si="11"/>
        <v>20833.333333333332</v>
      </c>
      <c r="BW20" s="86">
        <f t="shared" si="11"/>
        <v>20833.333333333332</v>
      </c>
      <c r="BX20" s="86">
        <f t="shared" si="11"/>
        <v>20833.333333333332</v>
      </c>
      <c r="BY20" s="86">
        <f t="shared" si="11"/>
        <v>20833.333333333332</v>
      </c>
      <c r="BZ20" s="86">
        <f t="shared" si="11"/>
        <v>20833.333333333332</v>
      </c>
      <c r="CA20" s="86">
        <f t="shared" si="11"/>
        <v>20833.333333333332</v>
      </c>
      <c r="CB20" s="86">
        <f t="shared" si="11"/>
        <v>20833.333333333332</v>
      </c>
      <c r="CC20" s="86">
        <f t="shared" si="11"/>
        <v>20833.333333333332</v>
      </c>
      <c r="CD20" s="86">
        <f t="shared" si="11"/>
        <v>20833.333333333332</v>
      </c>
      <c r="CE20" s="86">
        <f t="shared" si="11"/>
        <v>20833.333333333332</v>
      </c>
      <c r="CF20" s="86">
        <f t="shared" si="11"/>
        <v>20833.333333333332</v>
      </c>
      <c r="CG20" s="86">
        <f t="shared" si="11"/>
        <v>20833.333333333332</v>
      </c>
      <c r="CH20" s="86">
        <f t="shared" si="11"/>
        <v>20833.333333333332</v>
      </c>
      <c r="CI20" s="86">
        <f t="shared" si="11"/>
        <v>20833.333333333332</v>
      </c>
      <c r="CJ20" s="86">
        <f t="shared" si="7"/>
        <v>10500000.00000003</v>
      </c>
    </row>
    <row r="21" spans="1:88" s="159" customFormat="1" x14ac:dyDescent="0.3">
      <c r="A21" s="91">
        <f>+'CC D'!A18</f>
        <v>1.3</v>
      </c>
      <c r="B21" s="79" t="str">
        <f>+'CC D'!B18</f>
        <v xml:space="preserve">Plan de Gestión Ambiental y Social </v>
      </c>
      <c r="C21" s="82">
        <f>+PEP!G35</f>
        <v>7630000</v>
      </c>
      <c r="D21" s="82">
        <f t="shared" ref="D21:BO21" si="12">SUM(D22:D27)</f>
        <v>0</v>
      </c>
      <c r="E21" s="82">
        <f t="shared" si="12"/>
        <v>0</v>
      </c>
      <c r="F21" s="82">
        <f t="shared" si="12"/>
        <v>0</v>
      </c>
      <c r="G21" s="82">
        <f t="shared" si="12"/>
        <v>0</v>
      </c>
      <c r="H21" s="82">
        <f t="shared" si="12"/>
        <v>0</v>
      </c>
      <c r="I21" s="82">
        <f t="shared" si="12"/>
        <v>0</v>
      </c>
      <c r="J21" s="82">
        <f t="shared" si="12"/>
        <v>0</v>
      </c>
      <c r="K21" s="82">
        <f t="shared" si="12"/>
        <v>0</v>
      </c>
      <c r="L21" s="82">
        <f t="shared" si="12"/>
        <v>0</v>
      </c>
      <c r="M21" s="82">
        <f t="shared" si="12"/>
        <v>0</v>
      </c>
      <c r="N21" s="82">
        <f t="shared" si="12"/>
        <v>0</v>
      </c>
      <c r="O21" s="82">
        <f t="shared" si="12"/>
        <v>0</v>
      </c>
      <c r="P21" s="82">
        <f t="shared" si="12"/>
        <v>85200</v>
      </c>
      <c r="Q21" s="82">
        <f t="shared" si="12"/>
        <v>10933.333333333334</v>
      </c>
      <c r="R21" s="82">
        <f t="shared" si="12"/>
        <v>427225</v>
      </c>
      <c r="S21" s="82">
        <f t="shared" si="12"/>
        <v>10933.333333333334</v>
      </c>
      <c r="T21" s="82">
        <f t="shared" si="12"/>
        <v>137600</v>
      </c>
      <c r="U21" s="82">
        <f t="shared" si="12"/>
        <v>451495.83333333331</v>
      </c>
      <c r="V21" s="82">
        <f t="shared" si="12"/>
        <v>62000</v>
      </c>
      <c r="W21" s="82">
        <f t="shared" si="12"/>
        <v>10933.333333333334</v>
      </c>
      <c r="X21" s="82">
        <f t="shared" si="12"/>
        <v>502562.5</v>
      </c>
      <c r="Y21" s="82">
        <f t="shared" si="12"/>
        <v>10933.333333333334</v>
      </c>
      <c r="Z21" s="82">
        <f t="shared" si="12"/>
        <v>0</v>
      </c>
      <c r="AA21" s="82">
        <f t="shared" si="12"/>
        <v>513495.83333333331</v>
      </c>
      <c r="AB21" s="82">
        <f t="shared" si="12"/>
        <v>0</v>
      </c>
      <c r="AC21" s="82">
        <f t="shared" si="12"/>
        <v>0</v>
      </c>
      <c r="AD21" s="82">
        <f t="shared" si="12"/>
        <v>440562.5</v>
      </c>
      <c r="AE21" s="82">
        <f t="shared" si="12"/>
        <v>0</v>
      </c>
      <c r="AF21" s="82">
        <f t="shared" si="12"/>
        <v>0</v>
      </c>
      <c r="AG21" s="82">
        <f t="shared" si="12"/>
        <v>440562.5</v>
      </c>
      <c r="AH21" s="82">
        <f t="shared" si="12"/>
        <v>0</v>
      </c>
      <c r="AI21" s="82">
        <f t="shared" si="12"/>
        <v>0</v>
      </c>
      <c r="AJ21" s="82">
        <f t="shared" si="12"/>
        <v>440562.5</v>
      </c>
      <c r="AK21" s="82">
        <f t="shared" si="12"/>
        <v>0</v>
      </c>
      <c r="AL21" s="82">
        <f t="shared" si="12"/>
        <v>0</v>
      </c>
      <c r="AM21" s="82">
        <f t="shared" si="12"/>
        <v>440562.5</v>
      </c>
      <c r="AN21" s="82">
        <f t="shared" si="12"/>
        <v>0</v>
      </c>
      <c r="AO21" s="82">
        <f t="shared" si="12"/>
        <v>0</v>
      </c>
      <c r="AP21" s="82">
        <f t="shared" si="12"/>
        <v>440562.5</v>
      </c>
      <c r="AQ21" s="82">
        <f t="shared" si="12"/>
        <v>0</v>
      </c>
      <c r="AR21" s="82">
        <f t="shared" si="12"/>
        <v>0</v>
      </c>
      <c r="AS21" s="82">
        <f t="shared" si="12"/>
        <v>440562.5</v>
      </c>
      <c r="AT21" s="82">
        <f t="shared" si="12"/>
        <v>0</v>
      </c>
      <c r="AU21" s="82">
        <f t="shared" si="12"/>
        <v>0</v>
      </c>
      <c r="AV21" s="82">
        <f t="shared" si="12"/>
        <v>440562.5</v>
      </c>
      <c r="AW21" s="82">
        <f t="shared" si="12"/>
        <v>0</v>
      </c>
      <c r="AX21" s="82">
        <f t="shared" si="12"/>
        <v>0</v>
      </c>
      <c r="AY21" s="82">
        <f t="shared" si="12"/>
        <v>440562.5</v>
      </c>
      <c r="AZ21" s="82">
        <f t="shared" si="12"/>
        <v>0</v>
      </c>
      <c r="BA21" s="82">
        <f t="shared" si="12"/>
        <v>0</v>
      </c>
      <c r="BB21" s="82">
        <f t="shared" si="12"/>
        <v>440562.5</v>
      </c>
      <c r="BC21" s="82">
        <f t="shared" si="12"/>
        <v>0</v>
      </c>
      <c r="BD21" s="82">
        <f t="shared" si="12"/>
        <v>0</v>
      </c>
      <c r="BE21" s="82">
        <f t="shared" si="12"/>
        <v>440562.5</v>
      </c>
      <c r="BF21" s="82">
        <f t="shared" si="12"/>
        <v>0</v>
      </c>
      <c r="BG21" s="82">
        <f t="shared" si="12"/>
        <v>0</v>
      </c>
      <c r="BH21" s="82">
        <f t="shared" si="12"/>
        <v>440562.5</v>
      </c>
      <c r="BI21" s="82">
        <f t="shared" si="12"/>
        <v>0</v>
      </c>
      <c r="BJ21" s="82">
        <f t="shared" si="12"/>
        <v>0</v>
      </c>
      <c r="BK21" s="82">
        <f t="shared" si="12"/>
        <v>440562.5</v>
      </c>
      <c r="BL21" s="82">
        <f t="shared" si="12"/>
        <v>0</v>
      </c>
      <c r="BM21" s="82">
        <f t="shared" si="12"/>
        <v>0</v>
      </c>
      <c r="BN21" s="82">
        <f t="shared" si="12"/>
        <v>119937.5</v>
      </c>
      <c r="BO21" s="82">
        <f t="shared" si="12"/>
        <v>0</v>
      </c>
      <c r="BP21" s="82">
        <f t="shared" ref="BP21:CI21" si="13">SUM(BP22:BP27)</f>
        <v>0</v>
      </c>
      <c r="BQ21" s="82">
        <f t="shared" si="13"/>
        <v>0</v>
      </c>
      <c r="BR21" s="82">
        <f t="shared" si="13"/>
        <v>0</v>
      </c>
      <c r="BS21" s="82">
        <f t="shared" si="13"/>
        <v>0</v>
      </c>
      <c r="BT21" s="82">
        <f t="shared" si="13"/>
        <v>0</v>
      </c>
      <c r="BU21" s="82">
        <f t="shared" si="13"/>
        <v>0</v>
      </c>
      <c r="BV21" s="82">
        <f t="shared" si="13"/>
        <v>0</v>
      </c>
      <c r="BW21" s="82">
        <f t="shared" si="13"/>
        <v>0</v>
      </c>
      <c r="BX21" s="82">
        <f t="shared" si="13"/>
        <v>0</v>
      </c>
      <c r="BY21" s="82">
        <f t="shared" si="13"/>
        <v>0</v>
      </c>
      <c r="BZ21" s="82">
        <f t="shared" si="13"/>
        <v>0</v>
      </c>
      <c r="CA21" s="82">
        <f t="shared" si="13"/>
        <v>0</v>
      </c>
      <c r="CB21" s="82">
        <f t="shared" si="13"/>
        <v>0</v>
      </c>
      <c r="CC21" s="82">
        <f t="shared" si="13"/>
        <v>0</v>
      </c>
      <c r="CD21" s="82">
        <f t="shared" si="13"/>
        <v>0</v>
      </c>
      <c r="CE21" s="82">
        <f t="shared" si="13"/>
        <v>0</v>
      </c>
      <c r="CF21" s="82">
        <f t="shared" si="13"/>
        <v>0</v>
      </c>
      <c r="CG21" s="82">
        <f t="shared" si="13"/>
        <v>0</v>
      </c>
      <c r="CH21" s="82">
        <f t="shared" si="13"/>
        <v>0</v>
      </c>
      <c r="CI21" s="82">
        <f t="shared" si="13"/>
        <v>0</v>
      </c>
      <c r="CJ21" s="82">
        <f>SUM(CJ22:CJ27)</f>
        <v>7630000</v>
      </c>
    </row>
    <row r="22" spans="1:88" s="159" customFormat="1" x14ac:dyDescent="0.3">
      <c r="A22" s="167" t="str">
        <f>+'CC D'!A19</f>
        <v>1.3.1</v>
      </c>
      <c r="B22" s="84" t="str">
        <f>+'CC D'!B19</f>
        <v>Monitoreo y Evaluación Socio Ambiental</v>
      </c>
      <c r="C22" s="86">
        <f>+PEP!G36</f>
        <v>1919000</v>
      </c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>
        <f>+C22/16</f>
        <v>119937.5</v>
      </c>
      <c r="V22" s="86"/>
      <c r="W22" s="86"/>
      <c r="X22" s="86">
        <f>+U22</f>
        <v>119937.5</v>
      </c>
      <c r="Y22" s="86"/>
      <c r="Z22" s="86"/>
      <c r="AA22" s="86">
        <f t="shared" ref="AA22" si="14">+X22</f>
        <v>119937.5</v>
      </c>
      <c r="AB22" s="86"/>
      <c r="AC22" s="86"/>
      <c r="AD22" s="86">
        <f t="shared" ref="AD22" si="15">+AA22</f>
        <v>119937.5</v>
      </c>
      <c r="AE22" s="86"/>
      <c r="AF22" s="86"/>
      <c r="AG22" s="86">
        <f t="shared" ref="AG22" si="16">+AD22</f>
        <v>119937.5</v>
      </c>
      <c r="AH22" s="86"/>
      <c r="AI22" s="86"/>
      <c r="AJ22" s="86">
        <f t="shared" ref="AJ22" si="17">+AG22</f>
        <v>119937.5</v>
      </c>
      <c r="AK22" s="86"/>
      <c r="AL22" s="86"/>
      <c r="AM22" s="86">
        <f t="shared" ref="AM22" si="18">+AJ22</f>
        <v>119937.5</v>
      </c>
      <c r="AN22" s="86"/>
      <c r="AO22" s="86"/>
      <c r="AP22" s="86">
        <f t="shared" ref="AP22" si="19">+AM22</f>
        <v>119937.5</v>
      </c>
      <c r="AQ22" s="86"/>
      <c r="AR22" s="86"/>
      <c r="AS22" s="86">
        <f t="shared" ref="AS22" si="20">+AP22</f>
        <v>119937.5</v>
      </c>
      <c r="AT22" s="86"/>
      <c r="AU22" s="86"/>
      <c r="AV22" s="86">
        <f t="shared" ref="AV22" si="21">+AS22</f>
        <v>119937.5</v>
      </c>
      <c r="AW22" s="86"/>
      <c r="AX22" s="86"/>
      <c r="AY22" s="86">
        <f t="shared" ref="AY22" si="22">+AV22</f>
        <v>119937.5</v>
      </c>
      <c r="AZ22" s="86"/>
      <c r="BA22" s="86"/>
      <c r="BB22" s="86">
        <f t="shared" ref="BB22" si="23">+AY22</f>
        <v>119937.5</v>
      </c>
      <c r="BC22" s="86"/>
      <c r="BD22" s="86"/>
      <c r="BE22" s="86">
        <f t="shared" ref="BE22" si="24">+BB22</f>
        <v>119937.5</v>
      </c>
      <c r="BF22" s="86"/>
      <c r="BG22" s="86"/>
      <c r="BH22" s="86">
        <f t="shared" ref="BH22" si="25">+BE22</f>
        <v>119937.5</v>
      </c>
      <c r="BI22" s="86"/>
      <c r="BJ22" s="86"/>
      <c r="BK22" s="86">
        <f t="shared" ref="BK22" si="26">+BH22</f>
        <v>119937.5</v>
      </c>
      <c r="BL22" s="86">
        <f t="shared" ref="BL22" si="27">+BI22</f>
        <v>0</v>
      </c>
      <c r="BM22" s="86">
        <f t="shared" ref="BM22" si="28">+BJ22</f>
        <v>0</v>
      </c>
      <c r="BN22" s="86">
        <f t="shared" ref="BN22" si="29">+BK22</f>
        <v>119937.5</v>
      </c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>
        <f t="shared" si="7"/>
        <v>1919000</v>
      </c>
    </row>
    <row r="23" spans="1:88" s="159" customFormat="1" x14ac:dyDescent="0.3">
      <c r="A23" s="167" t="str">
        <f>+'CC D'!A20</f>
        <v>1.3.2</v>
      </c>
      <c r="B23" s="84" t="str">
        <f>+'CC D'!B20</f>
        <v>Contratación Firma Consultora para el Monitoreo de las áreas inundadas por efecto de la barrera de la Ruta</v>
      </c>
      <c r="C23" s="86">
        <f>+PEP!G37</f>
        <v>82000</v>
      </c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>
        <f>+C23*0.2</f>
        <v>16400</v>
      </c>
      <c r="Q23" s="86">
        <f>+(C23*0.8)/6</f>
        <v>10933.333333333334</v>
      </c>
      <c r="S23" s="86">
        <f>+Q23</f>
        <v>10933.333333333334</v>
      </c>
      <c r="U23" s="86">
        <f>+S23</f>
        <v>10933.333333333334</v>
      </c>
      <c r="W23" s="86">
        <f t="shared" ref="W23" si="30">+U23</f>
        <v>10933.333333333334</v>
      </c>
      <c r="Y23" s="86">
        <f t="shared" ref="Y23" si="31">+W23</f>
        <v>10933.333333333334</v>
      </c>
      <c r="Z23" s="86">
        <f t="shared" ref="Z23" si="32">+X23</f>
        <v>0</v>
      </c>
      <c r="AA23" s="86">
        <f t="shared" ref="AA23" si="33">+Y23</f>
        <v>10933.333333333334</v>
      </c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>
        <f t="shared" si="7"/>
        <v>82000</v>
      </c>
    </row>
    <row r="24" spans="1:88" s="159" customFormat="1" x14ac:dyDescent="0.3">
      <c r="A24" s="167" t="str">
        <f>+'CC D'!A21</f>
        <v>1.3.3</v>
      </c>
      <c r="B24" s="84" t="str">
        <f>+'CC D'!B21</f>
        <v>Implementación del Plan de Gestión Socio Ambiental</v>
      </c>
      <c r="C24" s="86">
        <f>+PEP!G38</f>
        <v>770000</v>
      </c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>
        <f>+C24/16</f>
        <v>48125</v>
      </c>
      <c r="S24" s="86"/>
      <c r="T24" s="86"/>
      <c r="U24" s="86">
        <f>+R24</f>
        <v>48125</v>
      </c>
      <c r="V24" s="86"/>
      <c r="W24" s="86"/>
      <c r="X24" s="86">
        <f t="shared" ref="X24" si="34">+U24</f>
        <v>48125</v>
      </c>
      <c r="Y24" s="86"/>
      <c r="Z24" s="86"/>
      <c r="AA24" s="86">
        <f t="shared" ref="AA24" si="35">+X24</f>
        <v>48125</v>
      </c>
      <c r="AB24" s="86"/>
      <c r="AC24" s="86"/>
      <c r="AD24" s="86">
        <f t="shared" ref="AD24" si="36">+AA24</f>
        <v>48125</v>
      </c>
      <c r="AE24" s="86"/>
      <c r="AF24" s="86"/>
      <c r="AG24" s="86">
        <f t="shared" ref="AG24" si="37">+AD24</f>
        <v>48125</v>
      </c>
      <c r="AH24" s="86"/>
      <c r="AI24" s="86"/>
      <c r="AJ24" s="86">
        <f t="shared" ref="AJ24" si="38">+AG24</f>
        <v>48125</v>
      </c>
      <c r="AK24" s="86"/>
      <c r="AL24" s="86"/>
      <c r="AM24" s="86">
        <f t="shared" ref="AM24" si="39">+AJ24</f>
        <v>48125</v>
      </c>
      <c r="AN24" s="86"/>
      <c r="AO24" s="86"/>
      <c r="AP24" s="86">
        <f t="shared" ref="AP24" si="40">+AM24</f>
        <v>48125</v>
      </c>
      <c r="AQ24" s="86"/>
      <c r="AR24" s="86"/>
      <c r="AS24" s="86">
        <f t="shared" ref="AS24" si="41">+AP24</f>
        <v>48125</v>
      </c>
      <c r="AT24" s="86"/>
      <c r="AU24" s="86"/>
      <c r="AV24" s="86">
        <f t="shared" ref="AV24" si="42">+AS24</f>
        <v>48125</v>
      </c>
      <c r="AW24" s="86"/>
      <c r="AX24" s="86"/>
      <c r="AY24" s="86">
        <f t="shared" ref="AY24" si="43">+AV24</f>
        <v>48125</v>
      </c>
      <c r="AZ24" s="86"/>
      <c r="BA24" s="86"/>
      <c r="BB24" s="86">
        <f t="shared" ref="BB24" si="44">+AY24</f>
        <v>48125</v>
      </c>
      <c r="BC24" s="86"/>
      <c r="BD24" s="86"/>
      <c r="BE24" s="86">
        <f t="shared" ref="BE24" si="45">+BB24</f>
        <v>48125</v>
      </c>
      <c r="BF24" s="86"/>
      <c r="BG24" s="86"/>
      <c r="BH24" s="86">
        <f t="shared" ref="BH24" si="46">+BE24</f>
        <v>48125</v>
      </c>
      <c r="BI24" s="86"/>
      <c r="BJ24" s="86"/>
      <c r="BK24" s="86">
        <f t="shared" ref="BK24" si="47">+BH24</f>
        <v>48125</v>
      </c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>
        <f t="shared" si="7"/>
        <v>770000</v>
      </c>
    </row>
    <row r="25" spans="1:88" s="159" customFormat="1" x14ac:dyDescent="0.3">
      <c r="A25" s="167" t="str">
        <f>+'CC D'!A22</f>
        <v>1.3.4</v>
      </c>
      <c r="B25" s="84" t="str">
        <f>+'CC D'!B22</f>
        <v>Plan de Reasentamiento</v>
      </c>
      <c r="C25" s="86">
        <f>+PEP!G39</f>
        <v>4360000</v>
      </c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>
        <f>+C25/16</f>
        <v>272500</v>
      </c>
      <c r="S25" s="86"/>
      <c r="T25" s="86"/>
      <c r="U25" s="86">
        <f>+R25</f>
        <v>272500</v>
      </c>
      <c r="V25" s="86"/>
      <c r="W25" s="86"/>
      <c r="X25" s="86">
        <f>+U25</f>
        <v>272500</v>
      </c>
      <c r="Y25" s="86"/>
      <c r="Z25" s="86"/>
      <c r="AA25" s="86">
        <f t="shared" ref="AA25" si="48">+X25</f>
        <v>272500</v>
      </c>
      <c r="AB25" s="86"/>
      <c r="AC25" s="86"/>
      <c r="AD25" s="86">
        <f t="shared" ref="AD25" si="49">+AA25</f>
        <v>272500</v>
      </c>
      <c r="AE25" s="86"/>
      <c r="AF25" s="86"/>
      <c r="AG25" s="86">
        <f t="shared" ref="AG25" si="50">+AD25</f>
        <v>272500</v>
      </c>
      <c r="AH25" s="86"/>
      <c r="AI25" s="86"/>
      <c r="AJ25" s="86">
        <f t="shared" ref="AJ25" si="51">+AG25</f>
        <v>272500</v>
      </c>
      <c r="AK25" s="86"/>
      <c r="AL25" s="86"/>
      <c r="AM25" s="86">
        <f t="shared" ref="AM25" si="52">+AJ25</f>
        <v>272500</v>
      </c>
      <c r="AN25" s="86"/>
      <c r="AO25" s="86"/>
      <c r="AP25" s="86">
        <f t="shared" ref="AP25" si="53">+AM25</f>
        <v>272500</v>
      </c>
      <c r="AQ25" s="86"/>
      <c r="AR25" s="86"/>
      <c r="AS25" s="86">
        <f t="shared" ref="AS25" si="54">+AP25</f>
        <v>272500</v>
      </c>
      <c r="AT25" s="86"/>
      <c r="AU25" s="86"/>
      <c r="AV25" s="86">
        <f t="shared" ref="AV25" si="55">+AS25</f>
        <v>272500</v>
      </c>
      <c r="AW25" s="86"/>
      <c r="AX25" s="86"/>
      <c r="AY25" s="86">
        <f t="shared" ref="AY25" si="56">+AV25</f>
        <v>272500</v>
      </c>
      <c r="AZ25" s="86"/>
      <c r="BA25" s="86"/>
      <c r="BB25" s="86">
        <f t="shared" ref="BB25" si="57">+AY25</f>
        <v>272500</v>
      </c>
      <c r="BC25" s="86"/>
      <c r="BD25" s="86"/>
      <c r="BE25" s="86">
        <f t="shared" ref="BE25" si="58">+BB25</f>
        <v>272500</v>
      </c>
      <c r="BF25" s="86"/>
      <c r="BG25" s="86"/>
      <c r="BH25" s="86">
        <f t="shared" ref="BH25" si="59">+BE25</f>
        <v>272500</v>
      </c>
      <c r="BI25" s="86"/>
      <c r="BJ25" s="86"/>
      <c r="BK25" s="86">
        <f t="shared" ref="BK25" si="60">+BH25</f>
        <v>272500</v>
      </c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>
        <f t="shared" si="7"/>
        <v>4360000</v>
      </c>
    </row>
    <row r="26" spans="1:88" s="159" customFormat="1" x14ac:dyDescent="0.3">
      <c r="A26" s="167" t="str">
        <f>+'CC D'!A23</f>
        <v>1.3.5</v>
      </c>
      <c r="B26" s="84" t="str">
        <f>+'CC D'!B23</f>
        <v>Contratación Firma Consultora para el Apoyo a la Gestión Institucional de Supervisión del PGAS</v>
      </c>
      <c r="C26" s="86">
        <f>+PEP!G40</f>
        <v>189000</v>
      </c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>
        <f>+C26*0.2</f>
        <v>37800</v>
      </c>
      <c r="Q26" s="86"/>
      <c r="R26" s="86">
        <f>+C26*0.4</f>
        <v>75600</v>
      </c>
      <c r="S26" s="86"/>
      <c r="T26" s="86">
        <f>0.4*C26</f>
        <v>75600</v>
      </c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>
        <f t="shared" si="7"/>
        <v>189000</v>
      </c>
    </row>
    <row r="27" spans="1:88" s="159" customFormat="1" x14ac:dyDescent="0.3">
      <c r="A27" s="167" t="str">
        <f>+'CC D'!A24</f>
        <v>1.3.6</v>
      </c>
      <c r="B27" s="84" t="str">
        <f>+'CC D'!B24</f>
        <v>Contratación Firma Consultora para el Apoyo a la Gestión de los Municipios en los Proyectos Viales</v>
      </c>
      <c r="C27" s="86">
        <f>+PEP!G41</f>
        <v>310000</v>
      </c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>
        <f>+C27*0.1</f>
        <v>31000</v>
      </c>
      <c r="Q27" s="86"/>
      <c r="R27" s="86">
        <f>+C27*0.1</f>
        <v>31000</v>
      </c>
      <c r="S27" s="86"/>
      <c r="T27" s="86">
        <f>0.2*C27</f>
        <v>62000</v>
      </c>
      <c r="U27" s="86"/>
      <c r="V27" s="86">
        <f>0.2*C27</f>
        <v>62000</v>
      </c>
      <c r="X27" s="86">
        <f>0.2*C27</f>
        <v>62000</v>
      </c>
      <c r="Y27" s="86"/>
      <c r="Z27" s="86"/>
      <c r="AA27" s="86">
        <f>0.2*C27</f>
        <v>62000</v>
      </c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>
        <f t="shared" si="7"/>
        <v>310000</v>
      </c>
    </row>
    <row r="28" spans="1:88" s="159" customFormat="1" x14ac:dyDescent="0.3">
      <c r="A28" s="91">
        <f>+'CC D'!A25</f>
        <v>1.4</v>
      </c>
      <c r="B28" s="79" t="str">
        <f>+'CC D'!B25</f>
        <v>Pago por Servicios Ambientales</v>
      </c>
      <c r="C28" s="82">
        <f>+PEP!G42</f>
        <v>4930000</v>
      </c>
      <c r="D28" s="82">
        <f>+D29</f>
        <v>0</v>
      </c>
      <c r="E28" s="82">
        <f t="shared" ref="E28:BP28" si="61">+E29</f>
        <v>0</v>
      </c>
      <c r="F28" s="82">
        <f t="shared" si="61"/>
        <v>0</v>
      </c>
      <c r="G28" s="82">
        <f t="shared" si="61"/>
        <v>0</v>
      </c>
      <c r="H28" s="82">
        <f t="shared" si="61"/>
        <v>0</v>
      </c>
      <c r="I28" s="82">
        <f t="shared" si="61"/>
        <v>0</v>
      </c>
      <c r="J28" s="82">
        <f t="shared" si="61"/>
        <v>0</v>
      </c>
      <c r="K28" s="82">
        <f t="shared" si="61"/>
        <v>0</v>
      </c>
      <c r="L28" s="82">
        <f t="shared" si="61"/>
        <v>0</v>
      </c>
      <c r="M28" s="82">
        <f t="shared" si="61"/>
        <v>0</v>
      </c>
      <c r="N28" s="82">
        <f t="shared" si="61"/>
        <v>0</v>
      </c>
      <c r="O28" s="82">
        <f t="shared" si="61"/>
        <v>0</v>
      </c>
      <c r="P28" s="82"/>
      <c r="Q28" s="82">
        <f t="shared" si="61"/>
        <v>0</v>
      </c>
      <c r="R28" s="82">
        <f>+R29</f>
        <v>308125</v>
      </c>
      <c r="S28" s="82">
        <f t="shared" si="61"/>
        <v>0</v>
      </c>
      <c r="T28" s="82">
        <f t="shared" si="61"/>
        <v>0</v>
      </c>
      <c r="U28" s="82">
        <f t="shared" si="61"/>
        <v>308125</v>
      </c>
      <c r="V28" s="82">
        <f t="shared" si="61"/>
        <v>0</v>
      </c>
      <c r="W28" s="82">
        <f t="shared" si="61"/>
        <v>0</v>
      </c>
      <c r="X28" s="82">
        <f t="shared" si="61"/>
        <v>308125</v>
      </c>
      <c r="Y28" s="82">
        <f t="shared" si="61"/>
        <v>0</v>
      </c>
      <c r="Z28" s="82">
        <f t="shared" si="61"/>
        <v>0</v>
      </c>
      <c r="AA28" s="82">
        <f t="shared" si="61"/>
        <v>308125</v>
      </c>
      <c r="AB28" s="82">
        <f t="shared" si="61"/>
        <v>0</v>
      </c>
      <c r="AC28" s="82">
        <f t="shared" si="61"/>
        <v>0</v>
      </c>
      <c r="AD28" s="82">
        <f t="shared" si="61"/>
        <v>308125</v>
      </c>
      <c r="AE28" s="82">
        <f t="shared" si="61"/>
        <v>0</v>
      </c>
      <c r="AF28" s="82">
        <f t="shared" si="61"/>
        <v>0</v>
      </c>
      <c r="AG28" s="82">
        <f t="shared" si="61"/>
        <v>308125</v>
      </c>
      <c r="AH28" s="82">
        <f t="shared" si="61"/>
        <v>0</v>
      </c>
      <c r="AI28" s="82">
        <f t="shared" si="61"/>
        <v>0</v>
      </c>
      <c r="AJ28" s="82">
        <f t="shared" si="61"/>
        <v>308125</v>
      </c>
      <c r="AK28" s="82">
        <f t="shared" si="61"/>
        <v>0</v>
      </c>
      <c r="AL28" s="82">
        <f t="shared" si="61"/>
        <v>0</v>
      </c>
      <c r="AM28" s="82">
        <f t="shared" si="61"/>
        <v>308125</v>
      </c>
      <c r="AN28" s="82">
        <f t="shared" si="61"/>
        <v>0</v>
      </c>
      <c r="AO28" s="82">
        <f t="shared" si="61"/>
        <v>0</v>
      </c>
      <c r="AP28" s="82">
        <f t="shared" si="61"/>
        <v>308125</v>
      </c>
      <c r="AQ28" s="82">
        <f t="shared" si="61"/>
        <v>0</v>
      </c>
      <c r="AR28" s="82">
        <f t="shared" si="61"/>
        <v>0</v>
      </c>
      <c r="AS28" s="82">
        <f t="shared" si="61"/>
        <v>308125</v>
      </c>
      <c r="AT28" s="82">
        <f t="shared" si="61"/>
        <v>0</v>
      </c>
      <c r="AU28" s="82">
        <f t="shared" si="61"/>
        <v>0</v>
      </c>
      <c r="AV28" s="82">
        <f t="shared" si="61"/>
        <v>308125</v>
      </c>
      <c r="AW28" s="82">
        <f t="shared" si="61"/>
        <v>0</v>
      </c>
      <c r="AX28" s="82">
        <f t="shared" si="61"/>
        <v>0</v>
      </c>
      <c r="AY28" s="82">
        <f t="shared" si="61"/>
        <v>308125</v>
      </c>
      <c r="AZ28" s="82">
        <f t="shared" si="61"/>
        <v>0</v>
      </c>
      <c r="BA28" s="82">
        <f t="shared" si="61"/>
        <v>0</v>
      </c>
      <c r="BB28" s="82">
        <f t="shared" si="61"/>
        <v>308125</v>
      </c>
      <c r="BC28" s="82">
        <f t="shared" si="61"/>
        <v>0</v>
      </c>
      <c r="BD28" s="82">
        <f t="shared" si="61"/>
        <v>0</v>
      </c>
      <c r="BE28" s="82">
        <f t="shared" si="61"/>
        <v>308125</v>
      </c>
      <c r="BF28" s="82">
        <f t="shared" si="61"/>
        <v>0</v>
      </c>
      <c r="BG28" s="82">
        <f t="shared" si="61"/>
        <v>0</v>
      </c>
      <c r="BH28" s="82">
        <f t="shared" si="61"/>
        <v>308125</v>
      </c>
      <c r="BI28" s="82">
        <f t="shared" si="61"/>
        <v>0</v>
      </c>
      <c r="BJ28" s="82">
        <f t="shared" si="61"/>
        <v>0</v>
      </c>
      <c r="BK28" s="82">
        <f t="shared" si="61"/>
        <v>308125</v>
      </c>
      <c r="BL28" s="82">
        <f t="shared" si="61"/>
        <v>0</v>
      </c>
      <c r="BM28" s="82">
        <f t="shared" si="61"/>
        <v>0</v>
      </c>
      <c r="BN28" s="82">
        <f t="shared" si="61"/>
        <v>0</v>
      </c>
      <c r="BO28" s="82">
        <f t="shared" si="61"/>
        <v>0</v>
      </c>
      <c r="BP28" s="82">
        <f t="shared" si="61"/>
        <v>0</v>
      </c>
      <c r="BQ28" s="82">
        <f t="shared" ref="BQ28:CJ28" si="62">+BQ29</f>
        <v>0</v>
      </c>
      <c r="BR28" s="82">
        <f t="shared" si="62"/>
        <v>0</v>
      </c>
      <c r="BS28" s="82">
        <f t="shared" si="62"/>
        <v>0</v>
      </c>
      <c r="BT28" s="82">
        <f t="shared" si="62"/>
        <v>0</v>
      </c>
      <c r="BU28" s="82">
        <f t="shared" si="62"/>
        <v>0</v>
      </c>
      <c r="BV28" s="82">
        <f t="shared" si="62"/>
        <v>0</v>
      </c>
      <c r="BW28" s="82">
        <f t="shared" si="62"/>
        <v>0</v>
      </c>
      <c r="BX28" s="82">
        <f t="shared" si="62"/>
        <v>0</v>
      </c>
      <c r="BY28" s="82">
        <f t="shared" si="62"/>
        <v>0</v>
      </c>
      <c r="BZ28" s="82">
        <f t="shared" si="62"/>
        <v>0</v>
      </c>
      <c r="CA28" s="82">
        <f t="shared" si="62"/>
        <v>0</v>
      </c>
      <c r="CB28" s="82">
        <f t="shared" si="62"/>
        <v>0</v>
      </c>
      <c r="CC28" s="82">
        <f t="shared" si="62"/>
        <v>0</v>
      </c>
      <c r="CD28" s="82">
        <f t="shared" si="62"/>
        <v>0</v>
      </c>
      <c r="CE28" s="82">
        <f t="shared" si="62"/>
        <v>0</v>
      </c>
      <c r="CF28" s="82">
        <f t="shared" si="62"/>
        <v>0</v>
      </c>
      <c r="CG28" s="82">
        <f t="shared" si="62"/>
        <v>0</v>
      </c>
      <c r="CH28" s="82">
        <f t="shared" si="62"/>
        <v>0</v>
      </c>
      <c r="CI28" s="82">
        <f t="shared" si="62"/>
        <v>0</v>
      </c>
      <c r="CJ28" s="82">
        <f t="shared" si="62"/>
        <v>4930000</v>
      </c>
    </row>
    <row r="29" spans="1:88" s="159" customFormat="1" x14ac:dyDescent="0.3">
      <c r="A29" s="167" t="str">
        <f>+'CC D'!A26</f>
        <v>1.4.1</v>
      </c>
      <c r="B29" s="84" t="str">
        <f>+'CC D'!B26</f>
        <v>Pagos por Servicios Ambientales</v>
      </c>
      <c r="C29" s="86">
        <f>+PEP!G43</f>
        <v>4930000</v>
      </c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Q29" s="86"/>
      <c r="R29" s="86">
        <f>+C29/16</f>
        <v>308125</v>
      </c>
      <c r="S29" s="86"/>
      <c r="T29" s="86"/>
      <c r="U29" s="86">
        <f>+R29</f>
        <v>308125</v>
      </c>
      <c r="V29" s="86"/>
      <c r="W29" s="86"/>
      <c r="X29" s="86">
        <f>+U29</f>
        <v>308125</v>
      </c>
      <c r="Y29" s="86"/>
      <c r="Z29" s="86"/>
      <c r="AA29" s="86">
        <f>+X29</f>
        <v>308125</v>
      </c>
      <c r="AB29" s="86"/>
      <c r="AC29" s="86"/>
      <c r="AD29" s="86">
        <f>+AA29</f>
        <v>308125</v>
      </c>
      <c r="AE29" s="86"/>
      <c r="AF29" s="86"/>
      <c r="AG29" s="86">
        <f>+AD29</f>
        <v>308125</v>
      </c>
      <c r="AH29" s="86"/>
      <c r="AI29" s="86"/>
      <c r="AJ29" s="86">
        <f>+AG29</f>
        <v>308125</v>
      </c>
      <c r="AK29" s="86"/>
      <c r="AL29" s="86"/>
      <c r="AM29" s="86">
        <f>+AJ29</f>
        <v>308125</v>
      </c>
      <c r="AN29" s="86"/>
      <c r="AO29" s="86"/>
      <c r="AP29" s="86">
        <f>+AM29</f>
        <v>308125</v>
      </c>
      <c r="AQ29" s="86"/>
      <c r="AR29" s="86"/>
      <c r="AS29" s="86">
        <f>+AP29</f>
        <v>308125</v>
      </c>
      <c r="AT29" s="86"/>
      <c r="AU29" s="86"/>
      <c r="AV29" s="86">
        <f t="shared" ref="AV29" si="63">+AS29</f>
        <v>308125</v>
      </c>
      <c r="AW29" s="86"/>
      <c r="AX29" s="86"/>
      <c r="AY29" s="86">
        <f t="shared" ref="AY29" si="64">+AV29</f>
        <v>308125</v>
      </c>
      <c r="AZ29" s="86"/>
      <c r="BA29" s="86"/>
      <c r="BB29" s="86">
        <f t="shared" ref="BB29" si="65">+AY29</f>
        <v>308125</v>
      </c>
      <c r="BC29" s="86"/>
      <c r="BD29" s="86"/>
      <c r="BE29" s="86">
        <f t="shared" ref="BE29" si="66">+BB29</f>
        <v>308125</v>
      </c>
      <c r="BF29" s="86"/>
      <c r="BG29" s="86"/>
      <c r="BH29" s="86">
        <f t="shared" ref="BH29" si="67">+BE29</f>
        <v>308125</v>
      </c>
      <c r="BI29" s="86"/>
      <c r="BJ29" s="86"/>
      <c r="BK29" s="86">
        <f t="shared" ref="BK29" si="68">+BH29</f>
        <v>308125</v>
      </c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>
        <f t="shared" ref="CJ29:CJ30" si="69">+SUM(D29:CI29)</f>
        <v>4930000</v>
      </c>
    </row>
    <row r="30" spans="1:88" s="159" customFormat="1" x14ac:dyDescent="0.3">
      <c r="A30" s="91">
        <f>+'CC D'!A27</f>
        <v>1.5</v>
      </c>
      <c r="B30" s="79" t="str">
        <f>+'CC D'!B27</f>
        <v>Escalamientos e Imprevistos</v>
      </c>
      <c r="C30" s="82">
        <f>+PEP!G44</f>
        <v>23890000</v>
      </c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>
        <f>+C30/3</f>
        <v>7963333.333333333</v>
      </c>
      <c r="AN30" s="82"/>
      <c r="AO30" s="82"/>
      <c r="AP30" s="82"/>
      <c r="AQ30" s="82"/>
      <c r="AR30" s="82"/>
      <c r="AS30" s="82">
        <f>+C30/3</f>
        <v>7963333.333333333</v>
      </c>
      <c r="AT30" s="82"/>
      <c r="AU30" s="82"/>
      <c r="AV30" s="82">
        <f>+C30/3</f>
        <v>7963333.333333333</v>
      </c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>
        <f t="shared" si="69"/>
        <v>23890000</v>
      </c>
    </row>
    <row r="31" spans="1:88" s="159" customFormat="1" x14ac:dyDescent="0.3">
      <c r="A31" s="160">
        <f>+PEP!A45</f>
        <v>2</v>
      </c>
      <c r="B31" s="158" t="str">
        <f>+PEP!B45</f>
        <v>Otros Costos</v>
      </c>
      <c r="C31" s="78">
        <f>+PEP!G45</f>
        <v>10550000</v>
      </c>
      <c r="D31" s="78">
        <f t="shared" ref="D31:BO31" si="70">+D32+D34+D43+D42</f>
        <v>0</v>
      </c>
      <c r="E31" s="78">
        <f t="shared" si="70"/>
        <v>0</v>
      </c>
      <c r="F31" s="78">
        <f t="shared" si="70"/>
        <v>214285.71428571429</v>
      </c>
      <c r="G31" s="78">
        <f t="shared" si="70"/>
        <v>0</v>
      </c>
      <c r="H31" s="78">
        <f t="shared" si="70"/>
        <v>0</v>
      </c>
      <c r="I31" s="78">
        <f t="shared" si="70"/>
        <v>214285.71428571429</v>
      </c>
      <c r="J31" s="78">
        <f t="shared" si="70"/>
        <v>0</v>
      </c>
      <c r="K31" s="78">
        <f t="shared" si="70"/>
        <v>0</v>
      </c>
      <c r="L31" s="78">
        <f t="shared" si="70"/>
        <v>214285.71428571429</v>
      </c>
      <c r="M31" s="78">
        <f t="shared" si="70"/>
        <v>0</v>
      </c>
      <c r="N31" s="78">
        <f t="shared" si="70"/>
        <v>0</v>
      </c>
      <c r="O31" s="78">
        <f t="shared" si="70"/>
        <v>775000</v>
      </c>
      <c r="P31" s="78">
        <f t="shared" si="70"/>
        <v>0</v>
      </c>
      <c r="Q31" s="78">
        <f t="shared" si="70"/>
        <v>14285.714285714288</v>
      </c>
      <c r="R31" s="78">
        <f t="shared" si="70"/>
        <v>289285.71428571432</v>
      </c>
      <c r="S31" s="78">
        <f t="shared" si="70"/>
        <v>28571.428571428576</v>
      </c>
      <c r="T31" s="78">
        <f t="shared" si="70"/>
        <v>128571.42857142858</v>
      </c>
      <c r="U31" s="78">
        <f t="shared" si="70"/>
        <v>214285.71428571429</v>
      </c>
      <c r="V31" s="78">
        <f t="shared" si="70"/>
        <v>0</v>
      </c>
      <c r="W31" s="78">
        <f t="shared" si="70"/>
        <v>0</v>
      </c>
      <c r="X31" s="78">
        <f t="shared" si="70"/>
        <v>214285.71428571429</v>
      </c>
      <c r="Y31" s="78">
        <f t="shared" si="70"/>
        <v>30000</v>
      </c>
      <c r="Z31" s="78">
        <f t="shared" si="70"/>
        <v>0</v>
      </c>
      <c r="AA31" s="78">
        <f t="shared" si="70"/>
        <v>700000</v>
      </c>
      <c r="AB31" s="78">
        <f t="shared" si="70"/>
        <v>30000</v>
      </c>
      <c r="AC31" s="78">
        <f t="shared" si="70"/>
        <v>14285.714285714288</v>
      </c>
      <c r="AD31" s="78">
        <f t="shared" si="70"/>
        <v>254285.71428571429</v>
      </c>
      <c r="AE31" s="78">
        <f t="shared" si="70"/>
        <v>28571.428571428576</v>
      </c>
      <c r="AF31" s="78">
        <f t="shared" si="70"/>
        <v>28571.428571428576</v>
      </c>
      <c r="AG31" s="78">
        <f t="shared" si="70"/>
        <v>244285.71428571429</v>
      </c>
      <c r="AH31" s="78">
        <f t="shared" si="70"/>
        <v>0</v>
      </c>
      <c r="AI31" s="78">
        <f t="shared" si="70"/>
        <v>0</v>
      </c>
      <c r="AJ31" s="78">
        <f t="shared" si="70"/>
        <v>244285.71428571429</v>
      </c>
      <c r="AK31" s="78">
        <f t="shared" si="70"/>
        <v>0</v>
      </c>
      <c r="AL31" s="78">
        <f t="shared" si="70"/>
        <v>40000</v>
      </c>
      <c r="AM31" s="78">
        <f t="shared" si="70"/>
        <v>715000</v>
      </c>
      <c r="AN31" s="78">
        <f t="shared" si="70"/>
        <v>0</v>
      </c>
      <c r="AO31" s="78">
        <f t="shared" si="70"/>
        <v>14285.714285714288</v>
      </c>
      <c r="AP31" s="78">
        <f t="shared" si="70"/>
        <v>229285.71428571429</v>
      </c>
      <c r="AQ31" s="78">
        <f t="shared" si="70"/>
        <v>28571.428571428576</v>
      </c>
      <c r="AR31" s="78">
        <f t="shared" si="70"/>
        <v>48571.42857142858</v>
      </c>
      <c r="AS31" s="78">
        <f t="shared" si="70"/>
        <v>214285.71428571429</v>
      </c>
      <c r="AT31" s="78">
        <f t="shared" si="70"/>
        <v>0</v>
      </c>
      <c r="AU31" s="78">
        <f t="shared" si="70"/>
        <v>0</v>
      </c>
      <c r="AV31" s="78">
        <f t="shared" si="70"/>
        <v>214285.71428571429</v>
      </c>
      <c r="AW31" s="78">
        <f t="shared" si="70"/>
        <v>0</v>
      </c>
      <c r="AX31" s="78">
        <f t="shared" si="70"/>
        <v>0</v>
      </c>
      <c r="AY31" s="78">
        <f t="shared" si="70"/>
        <v>700000</v>
      </c>
      <c r="AZ31" s="78">
        <f t="shared" si="70"/>
        <v>0</v>
      </c>
      <c r="BA31" s="78">
        <f t="shared" si="70"/>
        <v>14285.714285714288</v>
      </c>
      <c r="BB31" s="78">
        <f t="shared" si="70"/>
        <v>214285.71428571429</v>
      </c>
      <c r="BC31" s="78">
        <f t="shared" si="70"/>
        <v>28571.428571428576</v>
      </c>
      <c r="BD31" s="78">
        <f t="shared" si="70"/>
        <v>28571.428571428576</v>
      </c>
      <c r="BE31" s="78">
        <f t="shared" si="70"/>
        <v>214285.71428571429</v>
      </c>
      <c r="BF31" s="78">
        <f t="shared" si="70"/>
        <v>0</v>
      </c>
      <c r="BG31" s="78">
        <f t="shared" si="70"/>
        <v>0</v>
      </c>
      <c r="BH31" s="78">
        <f t="shared" si="70"/>
        <v>214285.71428571429</v>
      </c>
      <c r="BI31" s="78">
        <f t="shared" si="70"/>
        <v>0</v>
      </c>
      <c r="BJ31" s="78">
        <f t="shared" si="70"/>
        <v>0</v>
      </c>
      <c r="BK31" s="78">
        <f t="shared" si="70"/>
        <v>700000</v>
      </c>
      <c r="BL31" s="78">
        <f t="shared" si="70"/>
        <v>0</v>
      </c>
      <c r="BM31" s="78">
        <f t="shared" si="70"/>
        <v>14285.714285714288</v>
      </c>
      <c r="BN31" s="78">
        <f t="shared" si="70"/>
        <v>214285.71428571429</v>
      </c>
      <c r="BO31" s="78">
        <f t="shared" si="70"/>
        <v>28571.428571428576</v>
      </c>
      <c r="BP31" s="78">
        <f t="shared" ref="BP31:CH31" si="71">+BP32+BP34+BP43+BP42</f>
        <v>28571.428571428576</v>
      </c>
      <c r="BQ31" s="78">
        <f t="shared" si="71"/>
        <v>214285.71428571429</v>
      </c>
      <c r="BR31" s="78">
        <f t="shared" si="71"/>
        <v>0</v>
      </c>
      <c r="BS31" s="78">
        <f t="shared" si="71"/>
        <v>0</v>
      </c>
      <c r="BT31" s="78">
        <f t="shared" si="71"/>
        <v>214285.71428571429</v>
      </c>
      <c r="BU31" s="78">
        <f t="shared" si="71"/>
        <v>0</v>
      </c>
      <c r="BV31" s="78">
        <f t="shared" si="71"/>
        <v>0</v>
      </c>
      <c r="BW31" s="78">
        <f t="shared" si="71"/>
        <v>700000</v>
      </c>
      <c r="BX31" s="78">
        <f t="shared" si="71"/>
        <v>0</v>
      </c>
      <c r="BY31" s="78">
        <f t="shared" si="71"/>
        <v>14285.714285714288</v>
      </c>
      <c r="BZ31" s="78">
        <f t="shared" si="71"/>
        <v>214285.71428571429</v>
      </c>
      <c r="CA31" s="78">
        <f t="shared" si="71"/>
        <v>28571.428571428576</v>
      </c>
      <c r="CB31" s="78">
        <f t="shared" si="71"/>
        <v>58571.42857142858</v>
      </c>
      <c r="CC31" s="78">
        <f t="shared" si="71"/>
        <v>214285.71428571429</v>
      </c>
      <c r="CD31" s="78">
        <f t="shared" si="71"/>
        <v>0</v>
      </c>
      <c r="CE31" s="78">
        <f t="shared" si="71"/>
        <v>44285.71428571429</v>
      </c>
      <c r="CF31" s="78">
        <f t="shared" si="71"/>
        <v>214285.71428571429</v>
      </c>
      <c r="CG31" s="78">
        <f t="shared" si="71"/>
        <v>68571.42857142858</v>
      </c>
      <c r="CH31" s="78">
        <f t="shared" si="71"/>
        <v>28571.428571428576</v>
      </c>
      <c r="CI31" s="78">
        <f>+CI32+CI34+CI43+CI42</f>
        <v>750000</v>
      </c>
      <c r="CJ31" s="78">
        <f>+CJ32+CJ34+CJ42+CJ43</f>
        <v>10550000</v>
      </c>
    </row>
    <row r="32" spans="1:88" x14ac:dyDescent="0.3">
      <c r="A32" s="91">
        <f>+PEP!A46</f>
        <v>2.1</v>
      </c>
      <c r="B32" s="79" t="str">
        <f>+PEP!B46</f>
        <v>Administración del Programa</v>
      </c>
      <c r="C32" s="93">
        <f>+PEP!G46</f>
        <v>6000000</v>
      </c>
      <c r="D32" s="93">
        <f>D33</f>
        <v>0</v>
      </c>
      <c r="E32" s="93">
        <f t="shared" ref="E32:BP32" si="72">E33</f>
        <v>0</v>
      </c>
      <c r="F32" s="93">
        <f t="shared" si="72"/>
        <v>214285.71428571429</v>
      </c>
      <c r="G32" s="93">
        <f t="shared" si="72"/>
        <v>0</v>
      </c>
      <c r="H32" s="93">
        <f t="shared" si="72"/>
        <v>0</v>
      </c>
      <c r="I32" s="93">
        <f t="shared" si="72"/>
        <v>214285.71428571429</v>
      </c>
      <c r="J32" s="93">
        <f t="shared" si="72"/>
        <v>0</v>
      </c>
      <c r="K32" s="93">
        <f t="shared" si="72"/>
        <v>0</v>
      </c>
      <c r="L32" s="93">
        <f t="shared" si="72"/>
        <v>214285.71428571429</v>
      </c>
      <c r="M32" s="93">
        <f t="shared" si="72"/>
        <v>0</v>
      </c>
      <c r="N32" s="93">
        <f t="shared" si="72"/>
        <v>0</v>
      </c>
      <c r="O32" s="93">
        <f t="shared" si="72"/>
        <v>214285.71428571429</v>
      </c>
      <c r="P32" s="93">
        <f t="shared" si="72"/>
        <v>0</v>
      </c>
      <c r="Q32" s="93">
        <f t="shared" si="72"/>
        <v>0</v>
      </c>
      <c r="R32" s="93">
        <f t="shared" si="72"/>
        <v>214285.71428571429</v>
      </c>
      <c r="S32" s="93">
        <f t="shared" si="72"/>
        <v>0</v>
      </c>
      <c r="T32" s="93">
        <f t="shared" si="72"/>
        <v>0</v>
      </c>
      <c r="U32" s="93">
        <f t="shared" si="72"/>
        <v>214285.71428571429</v>
      </c>
      <c r="V32" s="93">
        <f t="shared" si="72"/>
        <v>0</v>
      </c>
      <c r="W32" s="93">
        <f t="shared" si="72"/>
        <v>0</v>
      </c>
      <c r="X32" s="93">
        <f t="shared" si="72"/>
        <v>214285.71428571429</v>
      </c>
      <c r="Y32" s="93">
        <f t="shared" si="72"/>
        <v>0</v>
      </c>
      <c r="Z32" s="93">
        <f t="shared" si="72"/>
        <v>0</v>
      </c>
      <c r="AA32" s="93">
        <f t="shared" si="72"/>
        <v>214285.71428571429</v>
      </c>
      <c r="AB32" s="93">
        <f t="shared" si="72"/>
        <v>0</v>
      </c>
      <c r="AC32" s="93">
        <f t="shared" si="72"/>
        <v>0</v>
      </c>
      <c r="AD32" s="93">
        <f t="shared" si="72"/>
        <v>214285.71428571429</v>
      </c>
      <c r="AE32" s="93">
        <f t="shared" si="72"/>
        <v>0</v>
      </c>
      <c r="AF32" s="93">
        <f t="shared" si="72"/>
        <v>0</v>
      </c>
      <c r="AG32" s="93">
        <f t="shared" si="72"/>
        <v>214285.71428571429</v>
      </c>
      <c r="AH32" s="93">
        <f t="shared" si="72"/>
        <v>0</v>
      </c>
      <c r="AI32" s="93">
        <f t="shared" si="72"/>
        <v>0</v>
      </c>
      <c r="AJ32" s="93">
        <f t="shared" si="72"/>
        <v>214285.71428571429</v>
      </c>
      <c r="AK32" s="93">
        <f t="shared" si="72"/>
        <v>0</v>
      </c>
      <c r="AL32" s="93">
        <f t="shared" si="72"/>
        <v>0</v>
      </c>
      <c r="AM32" s="93">
        <f t="shared" si="72"/>
        <v>214285.71428571429</v>
      </c>
      <c r="AN32" s="93">
        <f t="shared" si="72"/>
        <v>0</v>
      </c>
      <c r="AO32" s="93">
        <f t="shared" si="72"/>
        <v>0</v>
      </c>
      <c r="AP32" s="93">
        <f t="shared" si="72"/>
        <v>214285.71428571429</v>
      </c>
      <c r="AQ32" s="93">
        <f t="shared" si="72"/>
        <v>0</v>
      </c>
      <c r="AR32" s="93">
        <f t="shared" si="72"/>
        <v>0</v>
      </c>
      <c r="AS32" s="93">
        <f t="shared" si="72"/>
        <v>214285.71428571429</v>
      </c>
      <c r="AT32" s="93">
        <f t="shared" si="72"/>
        <v>0</v>
      </c>
      <c r="AU32" s="93">
        <f t="shared" si="72"/>
        <v>0</v>
      </c>
      <c r="AV32" s="93">
        <f t="shared" si="72"/>
        <v>214285.71428571429</v>
      </c>
      <c r="AW32" s="93">
        <f t="shared" si="72"/>
        <v>0</v>
      </c>
      <c r="AX32" s="93">
        <f t="shared" si="72"/>
        <v>0</v>
      </c>
      <c r="AY32" s="93">
        <f t="shared" si="72"/>
        <v>214285.71428571429</v>
      </c>
      <c r="AZ32" s="93">
        <f t="shared" si="72"/>
        <v>0</v>
      </c>
      <c r="BA32" s="93">
        <f t="shared" si="72"/>
        <v>0</v>
      </c>
      <c r="BB32" s="93">
        <f t="shared" si="72"/>
        <v>214285.71428571429</v>
      </c>
      <c r="BC32" s="93">
        <f t="shared" si="72"/>
        <v>0</v>
      </c>
      <c r="BD32" s="93">
        <f t="shared" si="72"/>
        <v>0</v>
      </c>
      <c r="BE32" s="93">
        <f t="shared" si="72"/>
        <v>214285.71428571429</v>
      </c>
      <c r="BF32" s="93">
        <f t="shared" si="72"/>
        <v>0</v>
      </c>
      <c r="BG32" s="93">
        <f t="shared" si="72"/>
        <v>0</v>
      </c>
      <c r="BH32" s="93">
        <f t="shared" si="72"/>
        <v>214285.71428571429</v>
      </c>
      <c r="BI32" s="93">
        <f t="shared" si="72"/>
        <v>0</v>
      </c>
      <c r="BJ32" s="93">
        <f t="shared" si="72"/>
        <v>0</v>
      </c>
      <c r="BK32" s="93">
        <f t="shared" si="72"/>
        <v>214285.71428571429</v>
      </c>
      <c r="BL32" s="93">
        <f t="shared" si="72"/>
        <v>0</v>
      </c>
      <c r="BM32" s="93">
        <f t="shared" si="72"/>
        <v>0</v>
      </c>
      <c r="BN32" s="93">
        <f t="shared" si="72"/>
        <v>214285.71428571429</v>
      </c>
      <c r="BO32" s="93">
        <f t="shared" si="72"/>
        <v>0</v>
      </c>
      <c r="BP32" s="93">
        <f t="shared" si="72"/>
        <v>0</v>
      </c>
      <c r="BQ32" s="93">
        <f t="shared" ref="BQ32:CI32" si="73">BQ33</f>
        <v>214285.71428571429</v>
      </c>
      <c r="BR32" s="93">
        <f t="shared" si="73"/>
        <v>0</v>
      </c>
      <c r="BS32" s="93">
        <f t="shared" si="73"/>
        <v>0</v>
      </c>
      <c r="BT32" s="93">
        <f t="shared" si="73"/>
        <v>214285.71428571429</v>
      </c>
      <c r="BU32" s="93">
        <f t="shared" si="73"/>
        <v>0</v>
      </c>
      <c r="BV32" s="93">
        <f t="shared" si="73"/>
        <v>0</v>
      </c>
      <c r="BW32" s="93">
        <f t="shared" si="73"/>
        <v>214285.71428571429</v>
      </c>
      <c r="BX32" s="93">
        <f t="shared" si="73"/>
        <v>0</v>
      </c>
      <c r="BY32" s="93">
        <f t="shared" si="73"/>
        <v>0</v>
      </c>
      <c r="BZ32" s="93">
        <f t="shared" si="73"/>
        <v>214285.71428571429</v>
      </c>
      <c r="CA32" s="93">
        <f t="shared" si="73"/>
        <v>0</v>
      </c>
      <c r="CB32" s="93">
        <f t="shared" si="73"/>
        <v>0</v>
      </c>
      <c r="CC32" s="93">
        <f t="shared" si="73"/>
        <v>214285.71428571429</v>
      </c>
      <c r="CD32" s="93">
        <f t="shared" si="73"/>
        <v>0</v>
      </c>
      <c r="CE32" s="93">
        <f t="shared" si="73"/>
        <v>0</v>
      </c>
      <c r="CF32" s="93">
        <f t="shared" si="73"/>
        <v>214285.71428571429</v>
      </c>
      <c r="CG32" s="93">
        <f t="shared" si="73"/>
        <v>0</v>
      </c>
      <c r="CH32" s="93">
        <f t="shared" si="73"/>
        <v>0</v>
      </c>
      <c r="CI32" s="93">
        <f t="shared" si="73"/>
        <v>214285.71428571429</v>
      </c>
      <c r="CJ32" s="93">
        <f>SUM(D32:CI32)</f>
        <v>6000000</v>
      </c>
    </row>
    <row r="33" spans="1:88" x14ac:dyDescent="0.3">
      <c r="A33" s="95" t="str">
        <f>+PEP!A47</f>
        <v>2.1.1</v>
      </c>
      <c r="B33" s="96" t="str">
        <f>+PEP!B47</f>
        <v xml:space="preserve">Contratación de la ECATEF para apoyo en la ejecución del Programa </v>
      </c>
      <c r="C33" s="101">
        <f>+PEP!G47</f>
        <v>6000000</v>
      </c>
      <c r="D33" s="101">
        <v>0</v>
      </c>
      <c r="E33" s="101">
        <v>0</v>
      </c>
      <c r="F33" s="168">
        <f>C33/28</f>
        <v>214285.71428571429</v>
      </c>
      <c r="G33" s="101">
        <v>0</v>
      </c>
      <c r="H33" s="101">
        <v>0</v>
      </c>
      <c r="I33" s="101">
        <f>F33</f>
        <v>214285.71428571429</v>
      </c>
      <c r="J33" s="101">
        <v>0</v>
      </c>
      <c r="K33" s="101">
        <v>0</v>
      </c>
      <c r="L33" s="101">
        <f>I33</f>
        <v>214285.71428571429</v>
      </c>
      <c r="M33" s="101">
        <v>0</v>
      </c>
      <c r="N33" s="101">
        <v>0</v>
      </c>
      <c r="O33" s="101">
        <f>L33</f>
        <v>214285.71428571429</v>
      </c>
      <c r="P33" s="101">
        <v>0</v>
      </c>
      <c r="Q33" s="101">
        <v>0</v>
      </c>
      <c r="R33" s="101">
        <f>O33</f>
        <v>214285.71428571429</v>
      </c>
      <c r="S33" s="101">
        <v>0</v>
      </c>
      <c r="T33" s="101">
        <v>0</v>
      </c>
      <c r="U33" s="101">
        <f>R33</f>
        <v>214285.71428571429</v>
      </c>
      <c r="V33" s="101">
        <v>0</v>
      </c>
      <c r="W33" s="101">
        <v>0</v>
      </c>
      <c r="X33" s="101">
        <f>U33</f>
        <v>214285.71428571429</v>
      </c>
      <c r="Y33" s="101">
        <v>0</v>
      </c>
      <c r="Z33" s="101">
        <v>0</v>
      </c>
      <c r="AA33" s="101">
        <f>X33</f>
        <v>214285.71428571429</v>
      </c>
      <c r="AB33" s="101">
        <v>0</v>
      </c>
      <c r="AC33" s="101">
        <v>0</v>
      </c>
      <c r="AD33" s="101">
        <f>AA33</f>
        <v>214285.71428571429</v>
      </c>
      <c r="AE33" s="101">
        <v>0</v>
      </c>
      <c r="AF33" s="101">
        <v>0</v>
      </c>
      <c r="AG33" s="101">
        <f>AD33</f>
        <v>214285.71428571429</v>
      </c>
      <c r="AH33" s="101">
        <v>0</v>
      </c>
      <c r="AI33" s="101">
        <v>0</v>
      </c>
      <c r="AJ33" s="101">
        <f>AG33</f>
        <v>214285.71428571429</v>
      </c>
      <c r="AK33" s="101">
        <v>0</v>
      </c>
      <c r="AL33" s="101">
        <v>0</v>
      </c>
      <c r="AM33" s="101">
        <f>AJ33</f>
        <v>214285.71428571429</v>
      </c>
      <c r="AN33" s="101">
        <v>0</v>
      </c>
      <c r="AO33" s="101">
        <v>0</v>
      </c>
      <c r="AP33" s="101">
        <f>AM33</f>
        <v>214285.71428571429</v>
      </c>
      <c r="AQ33" s="101">
        <v>0</v>
      </c>
      <c r="AR33" s="101">
        <v>0</v>
      </c>
      <c r="AS33" s="101">
        <f>AP33</f>
        <v>214285.71428571429</v>
      </c>
      <c r="AT33" s="101">
        <v>0</v>
      </c>
      <c r="AU33" s="101">
        <v>0</v>
      </c>
      <c r="AV33" s="101">
        <f>AS33</f>
        <v>214285.71428571429</v>
      </c>
      <c r="AW33" s="101">
        <v>0</v>
      </c>
      <c r="AX33" s="101">
        <v>0</v>
      </c>
      <c r="AY33" s="101">
        <f>AV33</f>
        <v>214285.71428571429</v>
      </c>
      <c r="AZ33" s="101">
        <v>0</v>
      </c>
      <c r="BA33" s="101">
        <v>0</v>
      </c>
      <c r="BB33" s="101">
        <f>AY33</f>
        <v>214285.71428571429</v>
      </c>
      <c r="BC33" s="101">
        <v>0</v>
      </c>
      <c r="BD33" s="101">
        <v>0</v>
      </c>
      <c r="BE33" s="101">
        <f>BB33</f>
        <v>214285.71428571429</v>
      </c>
      <c r="BF33" s="101">
        <v>0</v>
      </c>
      <c r="BG33" s="101">
        <v>0</v>
      </c>
      <c r="BH33" s="101">
        <f>BE33</f>
        <v>214285.71428571429</v>
      </c>
      <c r="BI33" s="101">
        <v>0</v>
      </c>
      <c r="BJ33" s="101">
        <v>0</v>
      </c>
      <c r="BK33" s="101">
        <f>BH33</f>
        <v>214285.71428571429</v>
      </c>
      <c r="BL33" s="101">
        <f t="shared" ref="BL33:CI33" si="74">BI33</f>
        <v>0</v>
      </c>
      <c r="BM33" s="101">
        <f t="shared" si="74"/>
        <v>0</v>
      </c>
      <c r="BN33" s="101">
        <f t="shared" si="74"/>
        <v>214285.71428571429</v>
      </c>
      <c r="BO33" s="101">
        <f t="shared" si="74"/>
        <v>0</v>
      </c>
      <c r="BP33" s="101">
        <f t="shared" si="74"/>
        <v>0</v>
      </c>
      <c r="BQ33" s="101">
        <f t="shared" si="74"/>
        <v>214285.71428571429</v>
      </c>
      <c r="BR33" s="101">
        <f t="shared" si="74"/>
        <v>0</v>
      </c>
      <c r="BS33" s="101">
        <f t="shared" si="74"/>
        <v>0</v>
      </c>
      <c r="BT33" s="101">
        <f t="shared" si="74"/>
        <v>214285.71428571429</v>
      </c>
      <c r="BU33" s="101">
        <f t="shared" si="74"/>
        <v>0</v>
      </c>
      <c r="BV33" s="101">
        <f t="shared" si="74"/>
        <v>0</v>
      </c>
      <c r="BW33" s="101">
        <f t="shared" si="74"/>
        <v>214285.71428571429</v>
      </c>
      <c r="BX33" s="101">
        <f t="shared" si="74"/>
        <v>0</v>
      </c>
      <c r="BY33" s="101">
        <f t="shared" si="74"/>
        <v>0</v>
      </c>
      <c r="BZ33" s="101">
        <f t="shared" si="74"/>
        <v>214285.71428571429</v>
      </c>
      <c r="CA33" s="101">
        <f t="shared" si="74"/>
        <v>0</v>
      </c>
      <c r="CB33" s="101">
        <f t="shared" si="74"/>
        <v>0</v>
      </c>
      <c r="CC33" s="101">
        <f t="shared" si="74"/>
        <v>214285.71428571429</v>
      </c>
      <c r="CD33" s="101">
        <f t="shared" si="74"/>
        <v>0</v>
      </c>
      <c r="CE33" s="101">
        <f t="shared" si="74"/>
        <v>0</v>
      </c>
      <c r="CF33" s="101">
        <f t="shared" si="74"/>
        <v>214285.71428571429</v>
      </c>
      <c r="CG33" s="101">
        <f t="shared" si="74"/>
        <v>0</v>
      </c>
      <c r="CH33" s="101">
        <f t="shared" si="74"/>
        <v>0</v>
      </c>
      <c r="CI33" s="101">
        <f t="shared" si="74"/>
        <v>214285.71428571429</v>
      </c>
      <c r="CJ33" s="101">
        <f>SUM(D33:CI33)</f>
        <v>6000000</v>
      </c>
    </row>
    <row r="34" spans="1:88" x14ac:dyDescent="0.3">
      <c r="A34" s="91">
        <f>+PEP!A48</f>
        <v>2.2000000000000002</v>
      </c>
      <c r="B34" s="79" t="str">
        <f>+PEP!B48</f>
        <v>Auditoria, Monitoreo y Evaluación desarrollados</v>
      </c>
      <c r="C34" s="93">
        <f>C35+C36+C37+C38+C39+C40+C41</f>
        <v>1100000</v>
      </c>
      <c r="D34" s="93">
        <f t="shared" ref="D34:BO34" si="75">D35+D36+D37+D38+D39+D40+D41</f>
        <v>0</v>
      </c>
      <c r="E34" s="93">
        <f t="shared" si="75"/>
        <v>0</v>
      </c>
      <c r="F34" s="93">
        <f t="shared" si="75"/>
        <v>0</v>
      </c>
      <c r="G34" s="93">
        <f t="shared" si="75"/>
        <v>0</v>
      </c>
      <c r="H34" s="93">
        <f t="shared" si="75"/>
        <v>0</v>
      </c>
      <c r="I34" s="93">
        <f t="shared" si="75"/>
        <v>0</v>
      </c>
      <c r="J34" s="93">
        <f t="shared" si="75"/>
        <v>0</v>
      </c>
      <c r="K34" s="93">
        <f t="shared" si="75"/>
        <v>0</v>
      </c>
      <c r="L34" s="93">
        <f t="shared" si="75"/>
        <v>0</v>
      </c>
      <c r="M34" s="93">
        <f t="shared" si="75"/>
        <v>0</v>
      </c>
      <c r="N34" s="93">
        <f t="shared" si="75"/>
        <v>0</v>
      </c>
      <c r="O34" s="93">
        <f t="shared" si="75"/>
        <v>75000</v>
      </c>
      <c r="P34" s="93">
        <f t="shared" si="75"/>
        <v>0</v>
      </c>
      <c r="Q34" s="93">
        <f t="shared" si="75"/>
        <v>14285.714285714288</v>
      </c>
      <c r="R34" s="93">
        <f t="shared" si="75"/>
        <v>75000</v>
      </c>
      <c r="S34" s="93">
        <f t="shared" si="75"/>
        <v>28571.428571428576</v>
      </c>
      <c r="T34" s="93">
        <f t="shared" si="75"/>
        <v>128571.42857142858</v>
      </c>
      <c r="U34" s="93">
        <f t="shared" si="75"/>
        <v>0</v>
      </c>
      <c r="V34" s="93">
        <f t="shared" si="75"/>
        <v>0</v>
      </c>
      <c r="W34" s="93">
        <f t="shared" si="75"/>
        <v>0</v>
      </c>
      <c r="X34" s="93">
        <f t="shared" si="75"/>
        <v>0</v>
      </c>
      <c r="Y34" s="93">
        <f t="shared" si="75"/>
        <v>30000</v>
      </c>
      <c r="Z34" s="93">
        <f t="shared" si="75"/>
        <v>0</v>
      </c>
      <c r="AA34" s="93">
        <f t="shared" si="75"/>
        <v>0</v>
      </c>
      <c r="AB34" s="93">
        <f t="shared" si="75"/>
        <v>30000</v>
      </c>
      <c r="AC34" s="93">
        <f t="shared" si="75"/>
        <v>14285.714285714288</v>
      </c>
      <c r="AD34" s="93">
        <f t="shared" si="75"/>
        <v>40000</v>
      </c>
      <c r="AE34" s="93">
        <f t="shared" si="75"/>
        <v>28571.428571428576</v>
      </c>
      <c r="AF34" s="93">
        <f t="shared" si="75"/>
        <v>28571.428571428576</v>
      </c>
      <c r="AG34" s="93">
        <f t="shared" si="75"/>
        <v>30000</v>
      </c>
      <c r="AH34" s="93">
        <f t="shared" si="75"/>
        <v>0</v>
      </c>
      <c r="AI34" s="93">
        <f t="shared" si="75"/>
        <v>0</v>
      </c>
      <c r="AJ34" s="93">
        <f t="shared" si="75"/>
        <v>30000</v>
      </c>
      <c r="AK34" s="93">
        <f t="shared" si="75"/>
        <v>0</v>
      </c>
      <c r="AL34" s="93">
        <f t="shared" si="75"/>
        <v>40000</v>
      </c>
      <c r="AM34" s="93">
        <f t="shared" si="75"/>
        <v>15000</v>
      </c>
      <c r="AN34" s="93">
        <f t="shared" si="75"/>
        <v>0</v>
      </c>
      <c r="AO34" s="93">
        <f t="shared" si="75"/>
        <v>14285.714285714288</v>
      </c>
      <c r="AP34" s="93">
        <f t="shared" si="75"/>
        <v>15000</v>
      </c>
      <c r="AQ34" s="93">
        <f t="shared" si="75"/>
        <v>28571.428571428576</v>
      </c>
      <c r="AR34" s="93">
        <f t="shared" si="75"/>
        <v>48571.42857142858</v>
      </c>
      <c r="AS34" s="93">
        <f t="shared" si="75"/>
        <v>0</v>
      </c>
      <c r="AT34" s="93">
        <f t="shared" si="75"/>
        <v>0</v>
      </c>
      <c r="AU34" s="93">
        <f t="shared" si="75"/>
        <v>0</v>
      </c>
      <c r="AV34" s="93">
        <f t="shared" si="75"/>
        <v>0</v>
      </c>
      <c r="AW34" s="93">
        <f t="shared" si="75"/>
        <v>0</v>
      </c>
      <c r="AX34" s="93">
        <f t="shared" si="75"/>
        <v>0</v>
      </c>
      <c r="AY34" s="93">
        <f t="shared" si="75"/>
        <v>0</v>
      </c>
      <c r="AZ34" s="93">
        <f t="shared" si="75"/>
        <v>0</v>
      </c>
      <c r="BA34" s="93">
        <f t="shared" si="75"/>
        <v>14285.714285714288</v>
      </c>
      <c r="BB34" s="93">
        <f t="shared" si="75"/>
        <v>0</v>
      </c>
      <c r="BC34" s="93">
        <f t="shared" si="75"/>
        <v>28571.428571428576</v>
      </c>
      <c r="BD34" s="93">
        <f t="shared" si="75"/>
        <v>28571.428571428576</v>
      </c>
      <c r="BE34" s="93">
        <f t="shared" si="75"/>
        <v>0</v>
      </c>
      <c r="BF34" s="93">
        <f t="shared" si="75"/>
        <v>0</v>
      </c>
      <c r="BG34" s="93">
        <f t="shared" si="75"/>
        <v>0</v>
      </c>
      <c r="BH34" s="93">
        <f t="shared" si="75"/>
        <v>0</v>
      </c>
      <c r="BI34" s="93">
        <f t="shared" si="75"/>
        <v>0</v>
      </c>
      <c r="BJ34" s="93">
        <f t="shared" si="75"/>
        <v>0</v>
      </c>
      <c r="BK34" s="93">
        <f t="shared" si="75"/>
        <v>0</v>
      </c>
      <c r="BL34" s="93">
        <f t="shared" si="75"/>
        <v>0</v>
      </c>
      <c r="BM34" s="93">
        <f t="shared" si="75"/>
        <v>14285.714285714288</v>
      </c>
      <c r="BN34" s="93">
        <f t="shared" si="75"/>
        <v>0</v>
      </c>
      <c r="BO34" s="93">
        <f t="shared" si="75"/>
        <v>28571.428571428576</v>
      </c>
      <c r="BP34" s="93">
        <f t="shared" ref="BP34:CI34" si="76">BP35+BP36+BP37+BP38+BP39+BP40+BP41</f>
        <v>28571.428571428576</v>
      </c>
      <c r="BQ34" s="93">
        <f t="shared" si="76"/>
        <v>0</v>
      </c>
      <c r="BR34" s="93">
        <f t="shared" si="76"/>
        <v>0</v>
      </c>
      <c r="BS34" s="93">
        <f t="shared" si="76"/>
        <v>0</v>
      </c>
      <c r="BT34" s="93">
        <f t="shared" si="76"/>
        <v>0</v>
      </c>
      <c r="BU34" s="93">
        <f t="shared" si="76"/>
        <v>0</v>
      </c>
      <c r="BV34" s="93">
        <f t="shared" si="76"/>
        <v>0</v>
      </c>
      <c r="BW34" s="93">
        <f t="shared" si="76"/>
        <v>0</v>
      </c>
      <c r="BX34" s="93">
        <f t="shared" si="76"/>
        <v>0</v>
      </c>
      <c r="BY34" s="93">
        <f t="shared" si="76"/>
        <v>14285.714285714288</v>
      </c>
      <c r="BZ34" s="93">
        <f t="shared" si="76"/>
        <v>0</v>
      </c>
      <c r="CA34" s="93">
        <f t="shared" si="76"/>
        <v>28571.428571428576</v>
      </c>
      <c r="CB34" s="93">
        <f t="shared" si="76"/>
        <v>58571.42857142858</v>
      </c>
      <c r="CC34" s="93">
        <f t="shared" si="76"/>
        <v>0</v>
      </c>
      <c r="CD34" s="93">
        <f t="shared" si="76"/>
        <v>0</v>
      </c>
      <c r="CE34" s="93">
        <f t="shared" si="76"/>
        <v>44285.71428571429</v>
      </c>
      <c r="CF34" s="93">
        <f t="shared" si="76"/>
        <v>0</v>
      </c>
      <c r="CG34" s="93">
        <f t="shared" si="76"/>
        <v>68571.42857142858</v>
      </c>
      <c r="CH34" s="93">
        <f t="shared" si="76"/>
        <v>28571.428571428576</v>
      </c>
      <c r="CI34" s="93">
        <f t="shared" si="76"/>
        <v>0</v>
      </c>
      <c r="CJ34" s="93">
        <f>CJ35+CJ36+CJ37+CJ38+CJ39+CJ40+CJ41</f>
        <v>1100000</v>
      </c>
    </row>
    <row r="35" spans="1:88" x14ac:dyDescent="0.3">
      <c r="A35" s="95" t="str">
        <f>+PEP!A49</f>
        <v>2.2.1</v>
      </c>
      <c r="B35" s="96" t="str">
        <f>+PEP!B49</f>
        <v>Contratación de Firma Consultora para la Auditoria Externa del Proyecto PR-L1145</v>
      </c>
      <c r="C35" s="101">
        <f>+PEP!G49</f>
        <v>500000</v>
      </c>
      <c r="D35" s="101">
        <v>0</v>
      </c>
      <c r="E35" s="101">
        <v>0</v>
      </c>
      <c r="F35" s="101">
        <v>0</v>
      </c>
      <c r="G35" s="101">
        <v>0</v>
      </c>
      <c r="H35" s="101">
        <v>0</v>
      </c>
      <c r="I35" s="101">
        <v>0</v>
      </c>
      <c r="J35" s="101">
        <v>0</v>
      </c>
      <c r="K35" s="101">
        <v>0</v>
      </c>
      <c r="L35" s="101">
        <v>0</v>
      </c>
      <c r="M35" s="101">
        <v>0</v>
      </c>
      <c r="N35" s="101">
        <v>0</v>
      </c>
      <c r="O35" s="101">
        <v>0</v>
      </c>
      <c r="P35" s="101">
        <v>0</v>
      </c>
      <c r="Q35" s="101">
        <f>($C$35/7)*20%</f>
        <v>14285.714285714288</v>
      </c>
      <c r="R35" s="101">
        <v>0</v>
      </c>
      <c r="S35" s="101">
        <f>($C$35/7)*40%</f>
        <v>28571.428571428576</v>
      </c>
      <c r="T35" s="101">
        <f>($C$35/7)*40%</f>
        <v>28571.428571428576</v>
      </c>
      <c r="U35" s="101">
        <v>0</v>
      </c>
      <c r="V35" s="101">
        <v>0</v>
      </c>
      <c r="W35" s="101">
        <v>0</v>
      </c>
      <c r="X35" s="101">
        <v>0</v>
      </c>
      <c r="Y35" s="101">
        <v>0</v>
      </c>
      <c r="Z35" s="101">
        <v>0</v>
      </c>
      <c r="AA35" s="101">
        <v>0</v>
      </c>
      <c r="AB35" s="101"/>
      <c r="AC35" s="101">
        <f t="shared" ref="AC35" si="77">($C$35/7)*20%</f>
        <v>14285.714285714288</v>
      </c>
      <c r="AD35" s="101"/>
      <c r="AE35" s="101">
        <f t="shared" ref="AE35:AF35" si="78">($C$35/7)*40%</f>
        <v>28571.428571428576</v>
      </c>
      <c r="AF35" s="101">
        <f t="shared" si="78"/>
        <v>28571.428571428576</v>
      </c>
      <c r="AG35" s="101">
        <v>0</v>
      </c>
      <c r="AH35" s="101">
        <v>0</v>
      </c>
      <c r="AI35" s="101">
        <v>0</v>
      </c>
      <c r="AJ35" s="101">
        <v>0</v>
      </c>
      <c r="AK35" s="101">
        <v>0</v>
      </c>
      <c r="AL35" s="101">
        <v>0</v>
      </c>
      <c r="AM35" s="101">
        <v>0</v>
      </c>
      <c r="AN35" s="101"/>
      <c r="AO35" s="101">
        <f t="shared" ref="AO35" si="79">($C$35/7)*20%</f>
        <v>14285.714285714288</v>
      </c>
      <c r="AP35" s="101"/>
      <c r="AQ35" s="101">
        <f t="shared" ref="AQ35:AR35" si="80">($C$35/7)*40%</f>
        <v>28571.428571428576</v>
      </c>
      <c r="AR35" s="101">
        <f t="shared" si="80"/>
        <v>28571.428571428576</v>
      </c>
      <c r="AS35" s="101">
        <v>0</v>
      </c>
      <c r="AT35" s="101">
        <v>0</v>
      </c>
      <c r="AU35" s="101">
        <v>0</v>
      </c>
      <c r="AV35" s="101">
        <v>0</v>
      </c>
      <c r="AW35" s="101">
        <v>0</v>
      </c>
      <c r="AX35" s="101">
        <v>0</v>
      </c>
      <c r="AY35" s="101">
        <v>0</v>
      </c>
      <c r="AZ35" s="101"/>
      <c r="BA35" s="101">
        <f t="shared" ref="BA35" si="81">($C$35/7)*20%</f>
        <v>14285.714285714288</v>
      </c>
      <c r="BB35" s="101"/>
      <c r="BC35" s="101">
        <f t="shared" ref="BC35:BD35" si="82">($C$35/7)*40%</f>
        <v>28571.428571428576</v>
      </c>
      <c r="BD35" s="101">
        <f t="shared" si="82"/>
        <v>28571.428571428576</v>
      </c>
      <c r="BE35" s="101">
        <v>0</v>
      </c>
      <c r="BF35" s="101">
        <v>0</v>
      </c>
      <c r="BG35" s="101">
        <v>0</v>
      </c>
      <c r="BH35" s="101">
        <v>0</v>
      </c>
      <c r="BI35" s="101">
        <v>0</v>
      </c>
      <c r="BJ35" s="101">
        <v>0</v>
      </c>
      <c r="BK35" s="101">
        <v>0</v>
      </c>
      <c r="BL35" s="101"/>
      <c r="BM35" s="101">
        <f t="shared" ref="BM35" si="83">($C$35/7)*20%</f>
        <v>14285.714285714288</v>
      </c>
      <c r="BN35" s="101"/>
      <c r="BO35" s="101">
        <f t="shared" ref="BO35:BP35" si="84">($C$35/7)*40%</f>
        <v>28571.428571428576</v>
      </c>
      <c r="BP35" s="101">
        <f t="shared" si="84"/>
        <v>28571.428571428576</v>
      </c>
      <c r="BQ35" s="101">
        <v>0</v>
      </c>
      <c r="BR35" s="101">
        <v>0</v>
      </c>
      <c r="BS35" s="101">
        <v>0</v>
      </c>
      <c r="BT35" s="101">
        <v>0</v>
      </c>
      <c r="BU35" s="101">
        <v>0</v>
      </c>
      <c r="BV35" s="101">
        <v>0</v>
      </c>
      <c r="BW35" s="101">
        <v>0</v>
      </c>
      <c r="BX35" s="101"/>
      <c r="BY35" s="101">
        <f t="shared" ref="BY35:CE35" si="85">($C$35/7)*20%</f>
        <v>14285.714285714288</v>
      </c>
      <c r="BZ35" s="101"/>
      <c r="CA35" s="101">
        <f t="shared" ref="CA35:CH35" si="86">($C$35/7)*40%</f>
        <v>28571.428571428576</v>
      </c>
      <c r="CB35" s="101">
        <f t="shared" si="86"/>
        <v>28571.428571428576</v>
      </c>
      <c r="CC35" s="101">
        <v>0</v>
      </c>
      <c r="CD35" s="101">
        <v>0</v>
      </c>
      <c r="CE35" s="101">
        <f t="shared" si="85"/>
        <v>14285.714285714288</v>
      </c>
      <c r="CF35" s="101"/>
      <c r="CG35" s="101">
        <f t="shared" si="86"/>
        <v>28571.428571428576</v>
      </c>
      <c r="CH35" s="101">
        <f t="shared" si="86"/>
        <v>28571.428571428576</v>
      </c>
      <c r="CI35" s="101">
        <v>0</v>
      </c>
      <c r="CJ35" s="101">
        <f>SUM(D35:CI35)</f>
        <v>500000</v>
      </c>
    </row>
    <row r="36" spans="1:88" x14ac:dyDescent="0.3">
      <c r="A36" s="95" t="str">
        <f>+PEP!A50</f>
        <v>2.2.2</v>
      </c>
      <c r="B36" s="96" t="str">
        <f>+PEP!B50</f>
        <v>Contratíon Firma Consultora para la Capacitación de Funcionarios en Gestión de contratos CREMA</v>
      </c>
      <c r="C36" s="101">
        <f>+PEP!G50</f>
        <v>100000</v>
      </c>
      <c r="D36" s="101">
        <v>0</v>
      </c>
      <c r="E36" s="101">
        <v>0</v>
      </c>
      <c r="F36" s="101">
        <v>0</v>
      </c>
      <c r="G36" s="101">
        <v>0</v>
      </c>
      <c r="H36" s="101">
        <v>0</v>
      </c>
      <c r="I36" s="101">
        <v>0</v>
      </c>
      <c r="J36" s="101">
        <v>0</v>
      </c>
      <c r="K36" s="101">
        <v>0</v>
      </c>
      <c r="L36" s="101">
        <v>0</v>
      </c>
      <c r="M36" s="101">
        <v>0</v>
      </c>
      <c r="N36" s="101">
        <v>0</v>
      </c>
      <c r="O36" s="101">
        <f>C36*0.3</f>
        <v>30000</v>
      </c>
      <c r="P36" s="101">
        <v>0</v>
      </c>
      <c r="Q36" s="101">
        <v>0</v>
      </c>
      <c r="R36" s="101">
        <f>C36*0.3</f>
        <v>30000</v>
      </c>
      <c r="S36" s="101">
        <v>0</v>
      </c>
      <c r="T36" s="101">
        <f>C36*0.4</f>
        <v>40000</v>
      </c>
      <c r="U36" s="101">
        <v>0</v>
      </c>
      <c r="V36" s="101">
        <v>0</v>
      </c>
      <c r="W36" s="101">
        <v>0</v>
      </c>
      <c r="X36" s="101">
        <v>0</v>
      </c>
      <c r="Y36" s="101">
        <v>0</v>
      </c>
      <c r="Z36" s="101">
        <v>0</v>
      </c>
      <c r="AA36" s="101">
        <v>0</v>
      </c>
      <c r="AB36" s="101">
        <v>0</v>
      </c>
      <c r="AC36" s="101">
        <v>0</v>
      </c>
      <c r="AD36" s="101">
        <v>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1">
        <v>0</v>
      </c>
      <c r="AN36" s="101"/>
      <c r="AO36" s="101"/>
      <c r="AP36" s="101"/>
      <c r="AQ36" s="101"/>
      <c r="AR36" s="101"/>
      <c r="AS36" s="101"/>
      <c r="AT36" s="101"/>
      <c r="AU36" s="101"/>
      <c r="AV36" s="101"/>
      <c r="AW36" s="101">
        <v>0</v>
      </c>
      <c r="AX36" s="101">
        <v>0</v>
      </c>
      <c r="AY36" s="101">
        <v>0</v>
      </c>
      <c r="AZ36" s="101">
        <v>0</v>
      </c>
      <c r="BA36" s="101">
        <v>0</v>
      </c>
      <c r="BB36" s="101">
        <v>0</v>
      </c>
      <c r="BC36" s="101">
        <v>0</v>
      </c>
      <c r="BD36" s="101">
        <v>0</v>
      </c>
      <c r="BE36" s="101">
        <v>0</v>
      </c>
      <c r="BF36" s="101">
        <v>0</v>
      </c>
      <c r="BG36" s="101">
        <v>0</v>
      </c>
      <c r="BH36" s="101">
        <v>0</v>
      </c>
      <c r="BI36" s="101">
        <v>0</v>
      </c>
      <c r="BJ36" s="101">
        <v>0</v>
      </c>
      <c r="BK36" s="101">
        <v>0</v>
      </c>
      <c r="BL36" s="101">
        <v>0</v>
      </c>
      <c r="BM36" s="101">
        <v>0</v>
      </c>
      <c r="BN36" s="101">
        <v>0</v>
      </c>
      <c r="BO36" s="101">
        <v>0</v>
      </c>
      <c r="BP36" s="101">
        <v>0</v>
      </c>
      <c r="BQ36" s="101">
        <v>0</v>
      </c>
      <c r="BR36" s="101">
        <v>0</v>
      </c>
      <c r="BS36" s="101">
        <v>0</v>
      </c>
      <c r="BT36" s="101">
        <v>0</v>
      </c>
      <c r="BU36" s="101">
        <v>0</v>
      </c>
      <c r="BV36" s="101">
        <v>0</v>
      </c>
      <c r="BW36" s="101">
        <v>0</v>
      </c>
      <c r="BX36" s="101">
        <v>0</v>
      </c>
      <c r="BY36" s="101">
        <v>0</v>
      </c>
      <c r="BZ36" s="101">
        <v>0</v>
      </c>
      <c r="CA36" s="101">
        <v>0</v>
      </c>
      <c r="CB36" s="101"/>
      <c r="CC36" s="101"/>
      <c r="CD36" s="101"/>
      <c r="CE36" s="101"/>
      <c r="CF36" s="101"/>
      <c r="CG36" s="101"/>
      <c r="CH36" s="101">
        <v>0</v>
      </c>
      <c r="CI36" s="101">
        <v>0</v>
      </c>
      <c r="CJ36" s="101">
        <f t="shared" ref="CJ36:CJ44" si="87">SUM(D36:CI36)</f>
        <v>100000</v>
      </c>
    </row>
    <row r="37" spans="1:88" ht="27.6" x14ac:dyDescent="0.3">
      <c r="A37" s="95" t="str">
        <f>+PEP!A51</f>
        <v>2.2.3</v>
      </c>
      <c r="B37" s="96" t="str">
        <f>+PEP!B51</f>
        <v xml:space="preserve">Contratación Firma Consultora para Innovación tecnológica de red vial secundaria del Chaco y alimentadoras de la Ruta 9 </v>
      </c>
      <c r="C37" s="101">
        <f>+PEP!G51</f>
        <v>150000</v>
      </c>
      <c r="D37" s="101">
        <v>0</v>
      </c>
      <c r="E37" s="101">
        <v>0</v>
      </c>
      <c r="F37" s="101">
        <v>0</v>
      </c>
      <c r="G37" s="101">
        <v>0</v>
      </c>
      <c r="H37" s="101">
        <v>0</v>
      </c>
      <c r="I37" s="101">
        <v>0</v>
      </c>
      <c r="J37" s="101">
        <v>0</v>
      </c>
      <c r="K37" s="101">
        <v>0</v>
      </c>
      <c r="L37" s="101">
        <v>0</v>
      </c>
      <c r="M37" s="101">
        <v>0</v>
      </c>
      <c r="N37" s="101">
        <v>0</v>
      </c>
      <c r="O37" s="101">
        <f>C37*0.3</f>
        <v>45000</v>
      </c>
      <c r="P37" s="101">
        <v>0</v>
      </c>
      <c r="Q37" s="101">
        <v>0</v>
      </c>
      <c r="R37" s="101">
        <f>C37*0.3</f>
        <v>45000</v>
      </c>
      <c r="S37" s="101">
        <v>0</v>
      </c>
      <c r="T37" s="101">
        <f>C37*0.4</f>
        <v>60000</v>
      </c>
      <c r="U37" s="101">
        <v>0</v>
      </c>
      <c r="V37" s="101">
        <v>0</v>
      </c>
      <c r="W37" s="101">
        <v>0</v>
      </c>
      <c r="X37" s="101">
        <v>0</v>
      </c>
      <c r="Y37" s="101">
        <v>0</v>
      </c>
      <c r="Z37" s="101">
        <v>0</v>
      </c>
      <c r="AA37" s="101">
        <v>0</v>
      </c>
      <c r="AB37" s="101">
        <v>0</v>
      </c>
      <c r="AC37" s="101">
        <v>0</v>
      </c>
      <c r="AD37" s="101">
        <v>0</v>
      </c>
      <c r="AE37" s="101">
        <v>0</v>
      </c>
      <c r="AF37" s="101">
        <v>0</v>
      </c>
      <c r="AG37" s="101">
        <v>0</v>
      </c>
      <c r="AH37" s="101">
        <v>0</v>
      </c>
      <c r="AI37" s="101">
        <v>0</v>
      </c>
      <c r="AJ37" s="101">
        <v>0</v>
      </c>
      <c r="AK37" s="101">
        <v>0</v>
      </c>
      <c r="AL37" s="101">
        <v>0</v>
      </c>
      <c r="AM37" s="101">
        <v>0</v>
      </c>
      <c r="AN37" s="101">
        <v>0</v>
      </c>
      <c r="AO37" s="101">
        <v>0</v>
      </c>
      <c r="AP37" s="101">
        <v>0</v>
      </c>
      <c r="AQ37" s="101">
        <v>0</v>
      </c>
      <c r="AR37" s="101">
        <v>0</v>
      </c>
      <c r="AS37" s="101">
        <v>0</v>
      </c>
      <c r="AT37" s="101">
        <v>0</v>
      </c>
      <c r="AU37" s="101">
        <v>0</v>
      </c>
      <c r="AV37" s="101">
        <v>0</v>
      </c>
      <c r="AW37" s="101">
        <v>0</v>
      </c>
      <c r="AX37" s="101">
        <v>0</v>
      </c>
      <c r="AY37" s="101">
        <v>0</v>
      </c>
      <c r="AZ37" s="101">
        <v>0</v>
      </c>
      <c r="BA37" s="101">
        <v>0</v>
      </c>
      <c r="BB37" s="101">
        <v>0</v>
      </c>
      <c r="BC37" s="101">
        <v>0</v>
      </c>
      <c r="BD37" s="101">
        <v>0</v>
      </c>
      <c r="BE37" s="101">
        <v>0</v>
      </c>
      <c r="BF37" s="101">
        <v>0</v>
      </c>
      <c r="BG37" s="101">
        <v>0</v>
      </c>
      <c r="BH37" s="101">
        <v>0</v>
      </c>
      <c r="BI37" s="101">
        <v>0</v>
      </c>
      <c r="BJ37" s="101">
        <v>0</v>
      </c>
      <c r="BK37" s="101">
        <v>0</v>
      </c>
      <c r="BL37" s="101">
        <v>0</v>
      </c>
      <c r="BM37" s="101">
        <v>0</v>
      </c>
      <c r="BN37" s="101">
        <v>0</v>
      </c>
      <c r="BO37" s="101">
        <v>0</v>
      </c>
      <c r="BP37" s="101">
        <v>0</v>
      </c>
      <c r="BQ37" s="101">
        <v>0</v>
      </c>
      <c r="BR37" s="101">
        <v>0</v>
      </c>
      <c r="BS37" s="101">
        <v>0</v>
      </c>
      <c r="BT37" s="101">
        <v>0</v>
      </c>
      <c r="BU37" s="101">
        <v>0</v>
      </c>
      <c r="BV37" s="101">
        <v>0</v>
      </c>
      <c r="BW37" s="101">
        <v>0</v>
      </c>
      <c r="BX37" s="101">
        <v>0</v>
      </c>
      <c r="BY37" s="101">
        <v>0</v>
      </c>
      <c r="BZ37" s="101">
        <v>0</v>
      </c>
      <c r="CA37" s="101">
        <v>0</v>
      </c>
      <c r="CB37" s="101"/>
      <c r="CC37" s="101"/>
      <c r="CD37" s="101"/>
      <c r="CE37" s="101"/>
      <c r="CF37" s="101"/>
      <c r="CG37" s="101"/>
      <c r="CH37" s="101">
        <v>0</v>
      </c>
      <c r="CI37" s="101">
        <v>0</v>
      </c>
      <c r="CJ37" s="101">
        <f t="shared" si="87"/>
        <v>150000</v>
      </c>
    </row>
    <row r="38" spans="1:88" x14ac:dyDescent="0.3">
      <c r="A38" s="95" t="str">
        <f>+PEP!A52</f>
        <v>2.2.4</v>
      </c>
      <c r="B38" s="96" t="str">
        <f>+PEP!B52</f>
        <v>Contratación Firma Consultora para el  Estudio de viabilidad de uso de bitrenes en la Ruta 9</v>
      </c>
      <c r="C38" s="101">
        <f>+PEP!G52</f>
        <v>100000</v>
      </c>
      <c r="D38" s="101">
        <v>0</v>
      </c>
      <c r="E38" s="101">
        <v>0</v>
      </c>
      <c r="F38" s="101">
        <v>0</v>
      </c>
      <c r="G38" s="101">
        <v>0</v>
      </c>
      <c r="H38" s="101">
        <v>0</v>
      </c>
      <c r="I38" s="101">
        <v>0</v>
      </c>
      <c r="J38" s="101">
        <v>0</v>
      </c>
      <c r="K38" s="101">
        <v>0</v>
      </c>
      <c r="L38" s="101">
        <v>0</v>
      </c>
      <c r="M38" s="101">
        <v>0</v>
      </c>
      <c r="N38" s="101">
        <v>0</v>
      </c>
      <c r="O38" s="101"/>
      <c r="P38" s="101"/>
      <c r="Q38" s="101"/>
      <c r="R38" s="101"/>
      <c r="S38" s="101"/>
      <c r="T38" s="101"/>
      <c r="U38" s="101">
        <v>0</v>
      </c>
      <c r="V38" s="101">
        <v>0</v>
      </c>
      <c r="W38" s="101">
        <v>0</v>
      </c>
      <c r="X38" s="101">
        <v>0</v>
      </c>
      <c r="Y38" s="101">
        <f>C38*0.3</f>
        <v>30000</v>
      </c>
      <c r="Z38" s="101">
        <v>0</v>
      </c>
      <c r="AA38" s="101">
        <v>0</v>
      </c>
      <c r="AB38" s="101">
        <f>C38*0.3</f>
        <v>30000</v>
      </c>
      <c r="AC38" s="101">
        <v>0</v>
      </c>
      <c r="AD38" s="101">
        <f>C38*0.4</f>
        <v>40000</v>
      </c>
      <c r="AE38" s="101">
        <v>0</v>
      </c>
      <c r="AF38" s="101">
        <v>0</v>
      </c>
      <c r="AG38" s="101">
        <v>0</v>
      </c>
      <c r="AH38" s="101">
        <v>0</v>
      </c>
      <c r="AI38" s="101">
        <v>0</v>
      </c>
      <c r="AJ38" s="101">
        <v>0</v>
      </c>
      <c r="AK38" s="101">
        <v>0</v>
      </c>
      <c r="AL38" s="101">
        <v>0</v>
      </c>
      <c r="AM38" s="101">
        <v>0</v>
      </c>
      <c r="AN38" s="101">
        <v>0</v>
      </c>
      <c r="AO38" s="101">
        <v>0</v>
      </c>
      <c r="AP38" s="101">
        <v>0</v>
      </c>
      <c r="AQ38" s="101">
        <v>0</v>
      </c>
      <c r="AR38" s="101">
        <v>0</v>
      </c>
      <c r="AS38" s="101">
        <v>0</v>
      </c>
      <c r="AT38" s="101">
        <v>0</v>
      </c>
      <c r="AU38" s="101">
        <v>0</v>
      </c>
      <c r="AV38" s="101">
        <v>0</v>
      </c>
      <c r="AW38" s="101">
        <v>0</v>
      </c>
      <c r="AX38" s="101">
        <v>0</v>
      </c>
      <c r="AY38" s="101">
        <v>0</v>
      </c>
      <c r="AZ38" s="101">
        <v>0</v>
      </c>
      <c r="BA38" s="101">
        <v>0</v>
      </c>
      <c r="BB38" s="101">
        <v>0</v>
      </c>
      <c r="BC38" s="101">
        <v>0</v>
      </c>
      <c r="BD38" s="101">
        <v>0</v>
      </c>
      <c r="BE38" s="101">
        <v>0</v>
      </c>
      <c r="BF38" s="101">
        <v>0</v>
      </c>
      <c r="BG38" s="101">
        <v>0</v>
      </c>
      <c r="BH38" s="101">
        <v>0</v>
      </c>
      <c r="BI38" s="101">
        <v>0</v>
      </c>
      <c r="BJ38" s="101">
        <v>0</v>
      </c>
      <c r="BK38" s="101">
        <v>0</v>
      </c>
      <c r="BL38" s="101">
        <v>0</v>
      </c>
      <c r="BM38" s="101">
        <v>0</v>
      </c>
      <c r="BN38" s="101">
        <v>0</v>
      </c>
      <c r="BO38" s="101">
        <v>0</v>
      </c>
      <c r="BP38" s="101">
        <v>0</v>
      </c>
      <c r="BQ38" s="101">
        <v>0</v>
      </c>
      <c r="BR38" s="101">
        <v>0</v>
      </c>
      <c r="BS38" s="101">
        <v>0</v>
      </c>
      <c r="BT38" s="101">
        <v>0</v>
      </c>
      <c r="BU38" s="101">
        <v>0</v>
      </c>
      <c r="BV38" s="101">
        <v>0</v>
      </c>
      <c r="BW38" s="101">
        <v>0</v>
      </c>
      <c r="BX38" s="101">
        <v>0</v>
      </c>
      <c r="BY38" s="101">
        <v>0</v>
      </c>
      <c r="BZ38" s="101">
        <v>0</v>
      </c>
      <c r="CA38" s="101">
        <v>0</v>
      </c>
      <c r="CB38" s="101">
        <v>0</v>
      </c>
      <c r="CC38" s="101">
        <v>0</v>
      </c>
      <c r="CD38" s="101">
        <v>0</v>
      </c>
      <c r="CE38" s="101">
        <v>0</v>
      </c>
      <c r="CF38" s="101">
        <v>0</v>
      </c>
      <c r="CG38" s="101">
        <v>0</v>
      </c>
      <c r="CH38" s="101">
        <v>0</v>
      </c>
      <c r="CI38" s="101">
        <v>0</v>
      </c>
      <c r="CJ38" s="101">
        <f t="shared" si="87"/>
        <v>100000</v>
      </c>
    </row>
    <row r="39" spans="1:88" x14ac:dyDescent="0.3">
      <c r="A39" s="95" t="str">
        <f>+PEP!A53</f>
        <v>2.2.5</v>
      </c>
      <c r="B39" s="96" t="str">
        <f>+PEP!B53</f>
        <v>Contratación Firma Consultora para el Estudio de alternativas de mantenimiento de red vial en el Chaco</v>
      </c>
      <c r="C39" s="101">
        <f>+PEP!G53</f>
        <v>100000</v>
      </c>
      <c r="D39" s="101">
        <v>0</v>
      </c>
      <c r="E39" s="101">
        <v>0</v>
      </c>
      <c r="F39" s="101">
        <v>0</v>
      </c>
      <c r="G39" s="101">
        <v>0</v>
      </c>
      <c r="H39" s="101">
        <v>0</v>
      </c>
      <c r="I39" s="101">
        <v>0</v>
      </c>
      <c r="J39" s="101">
        <v>0</v>
      </c>
      <c r="K39" s="101">
        <v>0</v>
      </c>
      <c r="L39" s="101">
        <v>0</v>
      </c>
      <c r="M39" s="101">
        <v>0</v>
      </c>
      <c r="N39" s="101">
        <v>0</v>
      </c>
      <c r="O39" s="101">
        <v>0</v>
      </c>
      <c r="P39" s="101">
        <v>0</v>
      </c>
      <c r="Q39" s="101">
        <v>0</v>
      </c>
      <c r="R39" s="101">
        <v>0</v>
      </c>
      <c r="S39" s="101">
        <v>0</v>
      </c>
      <c r="T39" s="101">
        <v>0</v>
      </c>
      <c r="U39" s="101">
        <v>0</v>
      </c>
      <c r="V39" s="101">
        <v>0</v>
      </c>
      <c r="W39" s="101">
        <v>0</v>
      </c>
      <c r="X39" s="101">
        <v>0</v>
      </c>
      <c r="Y39" s="101">
        <v>0</v>
      </c>
      <c r="Z39" s="101">
        <v>0</v>
      </c>
      <c r="AA39" s="101">
        <v>0</v>
      </c>
      <c r="AB39" s="101">
        <v>0</v>
      </c>
      <c r="AC39" s="101">
        <v>0</v>
      </c>
      <c r="AD39" s="101">
        <v>0</v>
      </c>
      <c r="AE39" s="101">
        <v>0</v>
      </c>
      <c r="AF39" s="101">
        <v>0</v>
      </c>
      <c r="AG39" s="101">
        <f>C39*0.3</f>
        <v>30000</v>
      </c>
      <c r="AH39" s="101">
        <v>0</v>
      </c>
      <c r="AI39" s="101">
        <v>0</v>
      </c>
      <c r="AJ39" s="101">
        <f>C39*0.3</f>
        <v>30000</v>
      </c>
      <c r="AK39" s="101">
        <v>0</v>
      </c>
      <c r="AL39" s="101">
        <f>C39*0.4</f>
        <v>40000</v>
      </c>
      <c r="AM39" s="101">
        <v>0</v>
      </c>
      <c r="AN39" s="101">
        <v>0</v>
      </c>
      <c r="AO39" s="101">
        <v>0</v>
      </c>
      <c r="AP39" s="101">
        <v>0</v>
      </c>
      <c r="AQ39" s="101">
        <v>0</v>
      </c>
      <c r="AR39" s="101">
        <v>0</v>
      </c>
      <c r="AS39" s="101">
        <v>0</v>
      </c>
      <c r="AT39" s="101">
        <v>0</v>
      </c>
      <c r="AU39" s="101">
        <v>0</v>
      </c>
      <c r="AV39" s="101">
        <v>0</v>
      </c>
      <c r="AW39" s="101">
        <v>0</v>
      </c>
      <c r="AX39" s="101">
        <v>0</v>
      </c>
      <c r="AY39" s="101">
        <v>0</v>
      </c>
      <c r="AZ39" s="101">
        <v>0</v>
      </c>
      <c r="BA39" s="101">
        <v>0</v>
      </c>
      <c r="BB39" s="101">
        <v>0</v>
      </c>
      <c r="BC39" s="101">
        <v>0</v>
      </c>
      <c r="BD39" s="101">
        <v>0</v>
      </c>
      <c r="BE39" s="101">
        <v>0</v>
      </c>
      <c r="BF39" s="101">
        <v>0</v>
      </c>
      <c r="BG39" s="101">
        <v>0</v>
      </c>
      <c r="BH39" s="101">
        <v>0</v>
      </c>
      <c r="BI39" s="101">
        <v>0</v>
      </c>
      <c r="BJ39" s="101">
        <v>0</v>
      </c>
      <c r="BK39" s="101">
        <v>0</v>
      </c>
      <c r="BL39" s="101">
        <v>0</v>
      </c>
      <c r="BM39" s="101">
        <v>0</v>
      </c>
      <c r="BN39" s="101">
        <v>0</v>
      </c>
      <c r="BO39" s="101">
        <v>0</v>
      </c>
      <c r="BP39" s="101">
        <v>0</v>
      </c>
      <c r="BQ39" s="101">
        <v>0</v>
      </c>
      <c r="BR39" s="101">
        <v>0</v>
      </c>
      <c r="BS39" s="101">
        <v>0</v>
      </c>
      <c r="BT39" s="101">
        <v>0</v>
      </c>
      <c r="BU39" s="101">
        <v>0</v>
      </c>
      <c r="BV39" s="101">
        <v>0</v>
      </c>
      <c r="BW39" s="101">
        <v>0</v>
      </c>
      <c r="BX39" s="101">
        <v>0</v>
      </c>
      <c r="BY39" s="101">
        <v>0</v>
      </c>
      <c r="BZ39" s="101">
        <v>0</v>
      </c>
      <c r="CA39" s="101">
        <v>0</v>
      </c>
      <c r="CB39" s="101">
        <v>0</v>
      </c>
      <c r="CC39" s="101">
        <v>0</v>
      </c>
      <c r="CD39" s="101">
        <v>0</v>
      </c>
      <c r="CE39" s="101">
        <v>0</v>
      </c>
      <c r="CF39" s="101">
        <v>0</v>
      </c>
      <c r="CG39" s="101">
        <v>0</v>
      </c>
      <c r="CH39" s="101">
        <v>0</v>
      </c>
      <c r="CI39" s="101">
        <v>0</v>
      </c>
      <c r="CJ39" s="101">
        <f t="shared" si="87"/>
        <v>100000</v>
      </c>
    </row>
    <row r="40" spans="1:88" x14ac:dyDescent="0.3">
      <c r="A40" s="95" t="str">
        <f>+PEP!A54</f>
        <v>2.2.6</v>
      </c>
      <c r="B40" s="96" t="str">
        <f>+PEP!B54</f>
        <v>Contratación Firma Consultora para la Inspección de Seguridad vial en obras concluidas</v>
      </c>
      <c r="C40" s="101">
        <f>+PEP!G54</f>
        <v>50000</v>
      </c>
      <c r="D40" s="101">
        <v>0</v>
      </c>
      <c r="E40" s="101">
        <v>0</v>
      </c>
      <c r="F40" s="101">
        <v>0</v>
      </c>
      <c r="G40" s="101">
        <v>0</v>
      </c>
      <c r="H40" s="101">
        <v>0</v>
      </c>
      <c r="I40" s="101">
        <v>0</v>
      </c>
      <c r="J40" s="101">
        <v>0</v>
      </c>
      <c r="K40" s="101">
        <v>0</v>
      </c>
      <c r="L40" s="101">
        <v>0</v>
      </c>
      <c r="M40" s="101">
        <v>0</v>
      </c>
      <c r="N40" s="101">
        <v>0</v>
      </c>
      <c r="O40" s="101">
        <v>0</v>
      </c>
      <c r="P40" s="101">
        <v>0</v>
      </c>
      <c r="Q40" s="101">
        <v>0</v>
      </c>
      <c r="R40" s="101">
        <v>0</v>
      </c>
      <c r="S40" s="101">
        <v>0</v>
      </c>
      <c r="T40" s="101">
        <v>0</v>
      </c>
      <c r="U40" s="101">
        <v>0</v>
      </c>
      <c r="V40" s="101">
        <v>0</v>
      </c>
      <c r="W40" s="101">
        <v>0</v>
      </c>
      <c r="X40" s="101">
        <v>0</v>
      </c>
      <c r="Y40" s="101">
        <v>0</v>
      </c>
      <c r="Z40" s="101">
        <v>0</v>
      </c>
      <c r="AA40" s="101">
        <v>0</v>
      </c>
      <c r="AB40" s="101">
        <v>0</v>
      </c>
      <c r="AC40" s="101">
        <v>0</v>
      </c>
      <c r="AD40" s="101">
        <v>0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1">
        <f>C40*0.3</f>
        <v>15000</v>
      </c>
      <c r="AN40" s="101">
        <v>0</v>
      </c>
      <c r="AO40" s="101">
        <v>0</v>
      </c>
      <c r="AP40" s="101">
        <f>C40*0.3</f>
        <v>15000</v>
      </c>
      <c r="AQ40" s="101">
        <v>0</v>
      </c>
      <c r="AR40" s="101">
        <f>C40*0.4</f>
        <v>20000</v>
      </c>
      <c r="AS40" s="101">
        <v>0</v>
      </c>
      <c r="AT40" s="101">
        <v>0</v>
      </c>
      <c r="AU40" s="101">
        <v>0</v>
      </c>
      <c r="AV40" s="101">
        <v>0</v>
      </c>
      <c r="AW40" s="101">
        <v>0</v>
      </c>
      <c r="AX40" s="101">
        <v>0</v>
      </c>
      <c r="AY40" s="101">
        <v>0</v>
      </c>
      <c r="AZ40" s="101">
        <v>0</v>
      </c>
      <c r="BA40" s="101">
        <v>0</v>
      </c>
      <c r="BB40" s="101">
        <v>0</v>
      </c>
      <c r="BC40" s="101">
        <v>0</v>
      </c>
      <c r="BD40" s="101">
        <v>0</v>
      </c>
      <c r="BE40" s="101">
        <v>0</v>
      </c>
      <c r="BF40" s="101">
        <v>0</v>
      </c>
      <c r="BG40" s="101">
        <v>0</v>
      </c>
      <c r="BH40" s="101">
        <v>0</v>
      </c>
      <c r="BI40" s="101">
        <v>0</v>
      </c>
      <c r="BJ40" s="101">
        <v>0</v>
      </c>
      <c r="BK40" s="101">
        <v>0</v>
      </c>
      <c r="BL40" s="101">
        <v>0</v>
      </c>
      <c r="BM40" s="101">
        <v>0</v>
      </c>
      <c r="BN40" s="101">
        <v>0</v>
      </c>
      <c r="BO40" s="101">
        <v>0</v>
      </c>
      <c r="BP40" s="101">
        <v>0</v>
      </c>
      <c r="BQ40" s="101">
        <v>0</v>
      </c>
      <c r="BR40" s="101">
        <v>0</v>
      </c>
      <c r="BS40" s="101">
        <v>0</v>
      </c>
      <c r="BT40" s="101">
        <v>0</v>
      </c>
      <c r="BU40" s="101">
        <v>0</v>
      </c>
      <c r="BV40" s="101">
        <v>0</v>
      </c>
      <c r="BW40" s="101">
        <v>0</v>
      </c>
      <c r="BX40" s="101">
        <v>0</v>
      </c>
      <c r="BY40" s="101">
        <v>0</v>
      </c>
      <c r="BZ40" s="101">
        <v>0</v>
      </c>
      <c r="CA40" s="101">
        <v>0</v>
      </c>
      <c r="CB40" s="101">
        <v>0</v>
      </c>
      <c r="CC40" s="101">
        <v>0</v>
      </c>
      <c r="CD40" s="101">
        <v>0</v>
      </c>
      <c r="CE40" s="101">
        <v>0</v>
      </c>
      <c r="CF40" s="101">
        <v>0</v>
      </c>
      <c r="CG40" s="101">
        <v>0</v>
      </c>
      <c r="CH40" s="101">
        <v>0</v>
      </c>
      <c r="CI40" s="101">
        <v>0</v>
      </c>
      <c r="CJ40" s="101">
        <f t="shared" si="87"/>
        <v>50000</v>
      </c>
    </row>
    <row r="41" spans="1:88" x14ac:dyDescent="0.3">
      <c r="A41" s="95" t="str">
        <f>+PEP!A55</f>
        <v>2.2.7</v>
      </c>
      <c r="B41" s="96" t="str">
        <f>+PEP!B55</f>
        <v>Contratación de Firma Consultora para la Evaluación Final del Proyecto</v>
      </c>
      <c r="C41" s="101">
        <f>+PEP!G55</f>
        <v>100000</v>
      </c>
      <c r="D41" s="101">
        <v>0</v>
      </c>
      <c r="E41" s="101">
        <v>0</v>
      </c>
      <c r="F41" s="101">
        <v>0</v>
      </c>
      <c r="G41" s="101">
        <v>0</v>
      </c>
      <c r="H41" s="101">
        <v>0</v>
      </c>
      <c r="I41" s="101">
        <v>0</v>
      </c>
      <c r="J41" s="101">
        <v>0</v>
      </c>
      <c r="K41" s="101">
        <v>0</v>
      </c>
      <c r="L41" s="101">
        <v>0</v>
      </c>
      <c r="M41" s="101">
        <v>0</v>
      </c>
      <c r="N41" s="101">
        <v>0</v>
      </c>
      <c r="O41" s="101">
        <v>0</v>
      </c>
      <c r="P41" s="101">
        <v>0</v>
      </c>
      <c r="Q41" s="101">
        <v>0</v>
      </c>
      <c r="R41" s="101">
        <v>0</v>
      </c>
      <c r="S41" s="101">
        <v>0</v>
      </c>
      <c r="T41" s="101">
        <v>0</v>
      </c>
      <c r="U41" s="101">
        <v>0</v>
      </c>
      <c r="V41" s="101">
        <v>0</v>
      </c>
      <c r="W41" s="101">
        <v>0</v>
      </c>
      <c r="X41" s="101">
        <v>0</v>
      </c>
      <c r="Y41" s="101">
        <v>0</v>
      </c>
      <c r="Z41" s="101">
        <v>0</v>
      </c>
      <c r="AA41" s="101">
        <v>0</v>
      </c>
      <c r="AB41" s="101">
        <v>0</v>
      </c>
      <c r="AC41" s="101">
        <v>0</v>
      </c>
      <c r="AD41" s="101">
        <v>0</v>
      </c>
      <c r="AE41" s="101">
        <v>0</v>
      </c>
      <c r="AF41" s="101">
        <v>0</v>
      </c>
      <c r="AG41" s="101">
        <v>0</v>
      </c>
      <c r="AH41" s="101">
        <v>0</v>
      </c>
      <c r="AI41" s="101">
        <v>0</v>
      </c>
      <c r="AJ41" s="101">
        <v>0</v>
      </c>
      <c r="AK41" s="101">
        <v>0</v>
      </c>
      <c r="AL41" s="101">
        <v>0</v>
      </c>
      <c r="AM41" s="101">
        <v>0</v>
      </c>
      <c r="AN41" s="101">
        <v>0</v>
      </c>
      <c r="AO41" s="101">
        <v>0</v>
      </c>
      <c r="AP41" s="101">
        <v>0</v>
      </c>
      <c r="AQ41" s="101">
        <v>0</v>
      </c>
      <c r="AR41" s="101">
        <v>0</v>
      </c>
      <c r="AS41" s="101">
        <v>0</v>
      </c>
      <c r="AT41" s="101">
        <v>0</v>
      </c>
      <c r="AU41" s="101">
        <v>0</v>
      </c>
      <c r="AV41" s="101">
        <v>0</v>
      </c>
      <c r="AW41" s="101">
        <v>0</v>
      </c>
      <c r="AX41" s="101">
        <v>0</v>
      </c>
      <c r="AY41" s="101">
        <v>0</v>
      </c>
      <c r="AZ41" s="101">
        <v>0</v>
      </c>
      <c r="BA41" s="101">
        <v>0</v>
      </c>
      <c r="BB41" s="101">
        <v>0</v>
      </c>
      <c r="BC41" s="101">
        <v>0</v>
      </c>
      <c r="BD41" s="101">
        <v>0</v>
      </c>
      <c r="BE41" s="101">
        <v>0</v>
      </c>
      <c r="BF41" s="101">
        <v>0</v>
      </c>
      <c r="BG41" s="101">
        <v>0</v>
      </c>
      <c r="BH41" s="101">
        <v>0</v>
      </c>
      <c r="BI41" s="101">
        <v>0</v>
      </c>
      <c r="BJ41" s="101">
        <v>0</v>
      </c>
      <c r="BK41" s="101">
        <v>0</v>
      </c>
      <c r="BL41" s="101">
        <v>0</v>
      </c>
      <c r="BM41" s="101">
        <v>0</v>
      </c>
      <c r="BN41" s="101">
        <v>0</v>
      </c>
      <c r="BO41" s="101">
        <v>0</v>
      </c>
      <c r="BP41" s="101">
        <v>0</v>
      </c>
      <c r="BQ41" s="101">
        <v>0</v>
      </c>
      <c r="BR41" s="101">
        <v>0</v>
      </c>
      <c r="BS41" s="101">
        <v>0</v>
      </c>
      <c r="BT41" s="101">
        <v>0</v>
      </c>
      <c r="BU41" s="101">
        <v>0</v>
      </c>
      <c r="BV41" s="101">
        <v>0</v>
      </c>
      <c r="BW41" s="101">
        <v>0</v>
      </c>
      <c r="BX41" s="101">
        <v>0</v>
      </c>
      <c r="BY41" s="101">
        <v>0</v>
      </c>
      <c r="BZ41" s="101">
        <v>0</v>
      </c>
      <c r="CA41" s="101">
        <v>0</v>
      </c>
      <c r="CB41" s="101">
        <f>C41*0.3</f>
        <v>30000</v>
      </c>
      <c r="CC41" s="101">
        <v>0</v>
      </c>
      <c r="CD41" s="101">
        <v>0</v>
      </c>
      <c r="CE41" s="101">
        <f>C41*0.3</f>
        <v>30000</v>
      </c>
      <c r="CF41" s="101">
        <v>0</v>
      </c>
      <c r="CG41" s="101">
        <f>C41*0.4</f>
        <v>40000</v>
      </c>
      <c r="CH41" s="101">
        <v>0</v>
      </c>
      <c r="CI41" s="101">
        <v>0</v>
      </c>
      <c r="CJ41" s="101">
        <f t="shared" si="87"/>
        <v>100000</v>
      </c>
    </row>
    <row r="42" spans="1:88" x14ac:dyDescent="0.3">
      <c r="A42" s="91">
        <f>+PEP!A56</f>
        <v>2.2999999999999998</v>
      </c>
      <c r="B42" s="79" t="str">
        <f>+PEP!B56</f>
        <v>Comisión de Financiamiento (CAF)</v>
      </c>
      <c r="C42" s="93">
        <f>+'CC D'!I39</f>
        <v>3400000</v>
      </c>
      <c r="D42" s="93">
        <v>0</v>
      </c>
      <c r="E42" s="93">
        <v>0</v>
      </c>
      <c r="F42" s="93">
        <v>0</v>
      </c>
      <c r="G42" s="93">
        <v>0</v>
      </c>
      <c r="H42" s="93">
        <v>0</v>
      </c>
      <c r="I42" s="93">
        <v>0</v>
      </c>
      <c r="J42" s="93">
        <v>0</v>
      </c>
      <c r="K42" s="93">
        <v>0</v>
      </c>
      <c r="L42" s="93">
        <v>0</v>
      </c>
      <c r="M42" s="93">
        <v>0</v>
      </c>
      <c r="N42" s="93">
        <v>0</v>
      </c>
      <c r="O42" s="93">
        <f>+C42/7</f>
        <v>485714.28571428574</v>
      </c>
      <c r="P42" s="93">
        <v>0</v>
      </c>
      <c r="Q42" s="93">
        <v>0</v>
      </c>
      <c r="R42" s="93">
        <v>0</v>
      </c>
      <c r="S42" s="93">
        <v>0</v>
      </c>
      <c r="T42" s="93">
        <v>0</v>
      </c>
      <c r="U42" s="93">
        <v>0</v>
      </c>
      <c r="V42" s="93">
        <v>0</v>
      </c>
      <c r="W42" s="93">
        <v>0</v>
      </c>
      <c r="X42" s="93">
        <v>0</v>
      </c>
      <c r="Y42" s="93">
        <v>0</v>
      </c>
      <c r="Z42" s="93">
        <v>0</v>
      </c>
      <c r="AA42" s="93">
        <f>+O42</f>
        <v>485714.28571428574</v>
      </c>
      <c r="AB42" s="93">
        <v>0</v>
      </c>
      <c r="AC42" s="93">
        <v>0</v>
      </c>
      <c r="AD42" s="93">
        <v>0</v>
      </c>
      <c r="AE42" s="93">
        <v>0</v>
      </c>
      <c r="AF42" s="93">
        <v>0</v>
      </c>
      <c r="AG42" s="93">
        <v>0</v>
      </c>
      <c r="AH42" s="93">
        <v>0</v>
      </c>
      <c r="AI42" s="93">
        <v>0</v>
      </c>
      <c r="AJ42" s="93">
        <v>0</v>
      </c>
      <c r="AK42" s="93">
        <v>0</v>
      </c>
      <c r="AL42" s="93">
        <v>0</v>
      </c>
      <c r="AM42" s="93">
        <f t="shared" ref="AM42" si="88">+AA42</f>
        <v>485714.28571428574</v>
      </c>
      <c r="AN42" s="93">
        <v>0</v>
      </c>
      <c r="AO42" s="93">
        <v>0</v>
      </c>
      <c r="AP42" s="93">
        <v>0</v>
      </c>
      <c r="AQ42" s="93">
        <v>0</v>
      </c>
      <c r="AR42" s="93">
        <v>0</v>
      </c>
      <c r="AS42" s="93">
        <v>0</v>
      </c>
      <c r="AT42" s="93">
        <v>0</v>
      </c>
      <c r="AU42" s="93">
        <v>0</v>
      </c>
      <c r="AV42" s="93">
        <v>0</v>
      </c>
      <c r="AW42" s="93">
        <v>0</v>
      </c>
      <c r="AX42" s="93">
        <v>0</v>
      </c>
      <c r="AY42" s="93">
        <f t="shared" ref="AY42" si="89">+AM42</f>
        <v>485714.28571428574</v>
      </c>
      <c r="AZ42" s="93">
        <v>0</v>
      </c>
      <c r="BA42" s="93">
        <v>0</v>
      </c>
      <c r="BB42" s="93">
        <v>0</v>
      </c>
      <c r="BC42" s="93">
        <v>0</v>
      </c>
      <c r="BD42" s="93">
        <v>0</v>
      </c>
      <c r="BE42" s="93">
        <v>0</v>
      </c>
      <c r="BF42" s="93">
        <v>0</v>
      </c>
      <c r="BG42" s="93">
        <v>0</v>
      </c>
      <c r="BH42" s="93">
        <v>0</v>
      </c>
      <c r="BI42" s="93">
        <v>0</v>
      </c>
      <c r="BJ42" s="93">
        <v>0</v>
      </c>
      <c r="BK42" s="93">
        <f t="shared" ref="BK42" si="90">+AY42</f>
        <v>485714.28571428574</v>
      </c>
      <c r="BL42" s="93">
        <v>0</v>
      </c>
      <c r="BM42" s="93">
        <v>0</v>
      </c>
      <c r="BN42" s="93">
        <v>0</v>
      </c>
      <c r="BO42" s="93">
        <v>0</v>
      </c>
      <c r="BP42" s="93">
        <v>0</v>
      </c>
      <c r="BQ42" s="93">
        <v>0</v>
      </c>
      <c r="BR42" s="93">
        <v>0</v>
      </c>
      <c r="BS42" s="93">
        <v>0</v>
      </c>
      <c r="BT42" s="93">
        <v>0</v>
      </c>
      <c r="BU42" s="93">
        <v>0</v>
      </c>
      <c r="BV42" s="93">
        <v>0</v>
      </c>
      <c r="BW42" s="93">
        <f t="shared" ref="BW42" si="91">+BK42</f>
        <v>485714.28571428574</v>
      </c>
      <c r="BX42" s="93">
        <v>0</v>
      </c>
      <c r="BY42" s="93">
        <v>0</v>
      </c>
      <c r="BZ42" s="93">
        <v>0</v>
      </c>
      <c r="CA42" s="93">
        <v>0</v>
      </c>
      <c r="CB42" s="93">
        <v>0</v>
      </c>
      <c r="CC42" s="93">
        <v>0</v>
      </c>
      <c r="CD42" s="93">
        <v>0</v>
      </c>
      <c r="CE42" s="93">
        <v>0</v>
      </c>
      <c r="CF42" s="93">
        <v>0</v>
      </c>
      <c r="CG42" s="93">
        <v>0</v>
      </c>
      <c r="CH42" s="93">
        <v>0</v>
      </c>
      <c r="CI42" s="93">
        <f t="shared" ref="CI42" si="92">+BW42</f>
        <v>485714.28571428574</v>
      </c>
      <c r="CJ42" s="93">
        <f t="shared" si="87"/>
        <v>3400000.0000000005</v>
      </c>
    </row>
    <row r="43" spans="1:88" x14ac:dyDescent="0.3">
      <c r="A43" s="91">
        <f>+PEP!A57</f>
        <v>2.4</v>
      </c>
      <c r="B43" s="79" t="str">
        <f>+PEP!B57</f>
        <v>Gastos de Evaluación (CAF)</v>
      </c>
      <c r="C43" s="93">
        <f>+'CC D'!I40</f>
        <v>50000</v>
      </c>
      <c r="D43" s="93">
        <v>0</v>
      </c>
      <c r="E43" s="93">
        <v>0</v>
      </c>
      <c r="F43" s="93">
        <v>0</v>
      </c>
      <c r="G43" s="93">
        <v>0</v>
      </c>
      <c r="H43" s="93">
        <v>0</v>
      </c>
      <c r="I43" s="93">
        <v>0</v>
      </c>
      <c r="J43" s="93">
        <v>0</v>
      </c>
      <c r="K43" s="93">
        <v>0</v>
      </c>
      <c r="L43" s="93">
        <v>0</v>
      </c>
      <c r="M43" s="93">
        <v>0</v>
      </c>
      <c r="N43" s="93">
        <v>0</v>
      </c>
      <c r="O43" s="93">
        <v>0</v>
      </c>
      <c r="P43" s="93">
        <v>0</v>
      </c>
      <c r="Q43" s="93">
        <v>0</v>
      </c>
      <c r="R43" s="93">
        <v>0</v>
      </c>
      <c r="S43" s="93">
        <v>0</v>
      </c>
      <c r="T43" s="93">
        <v>0</v>
      </c>
      <c r="U43" s="93">
        <v>0</v>
      </c>
      <c r="V43" s="93">
        <v>0</v>
      </c>
      <c r="W43" s="93">
        <v>0</v>
      </c>
      <c r="X43" s="93">
        <v>0</v>
      </c>
      <c r="Y43" s="93">
        <v>0</v>
      </c>
      <c r="Z43" s="93">
        <v>0</v>
      </c>
      <c r="AA43" s="93">
        <v>0</v>
      </c>
      <c r="AB43" s="93">
        <v>0</v>
      </c>
      <c r="AC43" s="93">
        <v>0</v>
      </c>
      <c r="AD43" s="93">
        <v>0</v>
      </c>
      <c r="AE43" s="93">
        <v>0</v>
      </c>
      <c r="AF43" s="93">
        <v>0</v>
      </c>
      <c r="AG43" s="93">
        <v>0</v>
      </c>
      <c r="AH43" s="93">
        <v>0</v>
      </c>
      <c r="AI43" s="93">
        <v>0</v>
      </c>
      <c r="AJ43" s="93">
        <v>0</v>
      </c>
      <c r="AK43" s="93">
        <v>0</v>
      </c>
      <c r="AL43" s="93">
        <v>0</v>
      </c>
      <c r="AM43" s="93">
        <v>0</v>
      </c>
      <c r="AN43" s="93">
        <v>0</v>
      </c>
      <c r="AO43" s="93">
        <v>0</v>
      </c>
      <c r="AP43" s="93">
        <v>0</v>
      </c>
      <c r="AQ43" s="93">
        <v>0</v>
      </c>
      <c r="AR43" s="93">
        <v>0</v>
      </c>
      <c r="AS43" s="93">
        <v>0</v>
      </c>
      <c r="AT43" s="93">
        <v>0</v>
      </c>
      <c r="AU43" s="93">
        <v>0</v>
      </c>
      <c r="AV43" s="93">
        <v>0</v>
      </c>
      <c r="AW43" s="93">
        <v>0</v>
      </c>
      <c r="AX43" s="93">
        <v>0</v>
      </c>
      <c r="AY43" s="93">
        <v>0</v>
      </c>
      <c r="AZ43" s="93">
        <v>0</v>
      </c>
      <c r="BA43" s="93">
        <v>0</v>
      </c>
      <c r="BB43" s="93">
        <v>0</v>
      </c>
      <c r="BC43" s="93">
        <v>0</v>
      </c>
      <c r="BD43" s="93">
        <v>0</v>
      </c>
      <c r="BE43" s="93">
        <v>0</v>
      </c>
      <c r="BF43" s="93">
        <v>0</v>
      </c>
      <c r="BG43" s="93">
        <v>0</v>
      </c>
      <c r="BH43" s="93">
        <v>0</v>
      </c>
      <c r="BI43" s="93">
        <v>0</v>
      </c>
      <c r="BJ43" s="93">
        <v>0</v>
      </c>
      <c r="BK43" s="93">
        <v>0</v>
      </c>
      <c r="BL43" s="93">
        <v>0</v>
      </c>
      <c r="BM43" s="93">
        <v>0</v>
      </c>
      <c r="BN43" s="93">
        <v>0</v>
      </c>
      <c r="BO43" s="93">
        <v>0</v>
      </c>
      <c r="BP43" s="93">
        <v>0</v>
      </c>
      <c r="BQ43" s="93">
        <v>0</v>
      </c>
      <c r="BR43" s="93">
        <v>0</v>
      </c>
      <c r="BS43" s="93">
        <v>0</v>
      </c>
      <c r="BT43" s="93">
        <v>0</v>
      </c>
      <c r="BU43" s="93">
        <v>0</v>
      </c>
      <c r="BV43" s="93">
        <v>0</v>
      </c>
      <c r="BW43" s="93">
        <v>0</v>
      </c>
      <c r="BX43" s="93">
        <v>0</v>
      </c>
      <c r="BY43" s="93">
        <v>0</v>
      </c>
      <c r="BZ43" s="93">
        <v>0</v>
      </c>
      <c r="CA43" s="93">
        <v>0</v>
      </c>
      <c r="CB43" s="93">
        <v>0</v>
      </c>
      <c r="CC43" s="93">
        <v>0</v>
      </c>
      <c r="CD43" s="93">
        <v>0</v>
      </c>
      <c r="CE43" s="93">
        <v>0</v>
      </c>
      <c r="CF43" s="93">
        <v>0</v>
      </c>
      <c r="CG43" s="93">
        <v>0</v>
      </c>
      <c r="CH43" s="93">
        <v>0</v>
      </c>
      <c r="CI43" s="93">
        <f>+C43</f>
        <v>50000</v>
      </c>
      <c r="CJ43" s="93">
        <f t="shared" si="87"/>
        <v>50000</v>
      </c>
    </row>
    <row r="44" spans="1:88" x14ac:dyDescent="0.3">
      <c r="A44" s="161"/>
      <c r="B44" s="162" t="s">
        <v>281</v>
      </c>
      <c r="C44" s="163"/>
      <c r="D44" s="163">
        <f>+SUM(D11:O11)</f>
        <v>3227857.1428571427</v>
      </c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>
        <f>+SUM(P11:U11)</f>
        <v>162865337.5</v>
      </c>
      <c r="P44" s="163"/>
      <c r="Q44" s="163"/>
      <c r="R44" s="163"/>
      <c r="S44" s="163"/>
      <c r="T44" s="163"/>
      <c r="U44" s="163">
        <f t="shared" ref="U44" si="93">+SUM(V11:AA11)</f>
        <v>122471110.7142857</v>
      </c>
      <c r="V44" s="163"/>
      <c r="W44" s="163"/>
      <c r="X44" s="163"/>
      <c r="Y44" s="163"/>
      <c r="Z44" s="163"/>
      <c r="AA44" s="163">
        <f t="shared" ref="AA44" si="94">+SUM(AB11:AG11)</f>
        <v>150635275</v>
      </c>
      <c r="AB44" s="163"/>
      <c r="AC44" s="163"/>
      <c r="AD44" s="163"/>
      <c r="AE44" s="163"/>
      <c r="AF44" s="163"/>
      <c r="AG44" s="163">
        <f t="shared" ref="AG44" si="95">+SUM(AH11:AM11)</f>
        <v>66174744.047619045</v>
      </c>
      <c r="AH44" s="163"/>
      <c r="AI44" s="163"/>
      <c r="AJ44" s="163"/>
      <c r="AK44" s="163"/>
      <c r="AL44" s="163"/>
      <c r="AM44" s="163">
        <f t="shared" ref="AM44" si="96">+SUM(AN11:AS11)</f>
        <v>16634208.333333332</v>
      </c>
      <c r="AN44" s="163"/>
      <c r="AO44" s="163"/>
      <c r="AP44" s="163"/>
      <c r="AQ44" s="163"/>
      <c r="AR44" s="163"/>
      <c r="AS44" s="163">
        <f t="shared" ref="AS44" si="97">+SUM(AT11:AY11)</f>
        <v>13237494.047619049</v>
      </c>
      <c r="AT44" s="163"/>
      <c r="AU44" s="163"/>
      <c r="AV44" s="163"/>
      <c r="AW44" s="163"/>
      <c r="AX44" s="163"/>
      <c r="AY44" s="163">
        <f t="shared" ref="AY44" si="98">+SUM(AZ11:BE11)</f>
        <v>4859874.9999999991</v>
      </c>
      <c r="AZ44" s="163"/>
      <c r="BA44" s="163"/>
      <c r="BB44" s="163"/>
      <c r="BC44" s="163"/>
      <c r="BD44" s="163"/>
      <c r="BE44" s="163">
        <f t="shared" ref="BE44" si="99">+SUM(BF11:BK11)</f>
        <v>5274160.7142857136</v>
      </c>
      <c r="BF44" s="163"/>
      <c r="BG44" s="163"/>
      <c r="BH44" s="163"/>
      <c r="BI44" s="163"/>
      <c r="BJ44" s="163"/>
      <c r="BK44" s="163">
        <f t="shared" ref="BK44" si="100">+SUM(BL11:BQ11)</f>
        <v>3482437.4999999995</v>
      </c>
      <c r="BL44" s="163"/>
      <c r="BM44" s="163"/>
      <c r="BN44" s="163"/>
      <c r="BO44" s="163"/>
      <c r="BP44" s="163"/>
      <c r="BQ44" s="163">
        <f t="shared" ref="BQ44" si="101">+SUM(BR11:BW11)</f>
        <v>3776785.7142857136</v>
      </c>
      <c r="BR44" s="163"/>
      <c r="BS44" s="163"/>
      <c r="BT44" s="163"/>
      <c r="BU44" s="163"/>
      <c r="BV44" s="163"/>
      <c r="BW44" s="163">
        <f t="shared" ref="BW44" si="102">+SUM(BX11:CC11)</f>
        <v>3392500</v>
      </c>
      <c r="BX44" s="163"/>
      <c r="BY44" s="163"/>
      <c r="BZ44" s="163"/>
      <c r="CA44" s="163"/>
      <c r="CB44" s="163"/>
      <c r="CC44" s="163">
        <f t="shared" ref="CC44" si="103">+SUM(CD11:CI11)</f>
        <v>3968214.2857142854</v>
      </c>
      <c r="CD44" s="163"/>
      <c r="CE44" s="163"/>
      <c r="CF44" s="163"/>
      <c r="CG44" s="163"/>
      <c r="CH44" s="163"/>
      <c r="CI44" s="163"/>
      <c r="CJ44" s="163">
        <f t="shared" si="87"/>
        <v>559999999.99999988</v>
      </c>
    </row>
  </sheetData>
  <mergeCells count="37">
    <mergeCell ref="BL7:BW7"/>
    <mergeCell ref="BX7:CI7"/>
    <mergeCell ref="A4:B4"/>
    <mergeCell ref="BR8:BT8"/>
    <mergeCell ref="BU8:BW8"/>
    <mergeCell ref="BX8:BZ8"/>
    <mergeCell ref="CA8:CC8"/>
    <mergeCell ref="CD8:CF8"/>
    <mergeCell ref="CG8:CI8"/>
    <mergeCell ref="AZ8:BB8"/>
    <mergeCell ref="BC8:BE8"/>
    <mergeCell ref="BF8:BH8"/>
    <mergeCell ref="BI8:BK8"/>
    <mergeCell ref="BL8:BN8"/>
    <mergeCell ref="BO8:BQ8"/>
    <mergeCell ref="AH8:AJ8"/>
    <mergeCell ref="A7:B10"/>
    <mergeCell ref="D7:O7"/>
    <mergeCell ref="P7:AA7"/>
    <mergeCell ref="AB7:AM7"/>
    <mergeCell ref="P8:R8"/>
    <mergeCell ref="S8:U8"/>
    <mergeCell ref="V8:X8"/>
    <mergeCell ref="Y8:AA8"/>
    <mergeCell ref="AB8:AD8"/>
    <mergeCell ref="AK8:AM8"/>
    <mergeCell ref="AN7:AY7"/>
    <mergeCell ref="AZ7:BK7"/>
    <mergeCell ref="D8:F8"/>
    <mergeCell ref="G8:I8"/>
    <mergeCell ref="J8:L8"/>
    <mergeCell ref="M8:O8"/>
    <mergeCell ref="AE8:AG8"/>
    <mergeCell ref="AN8:AP8"/>
    <mergeCell ref="AQ8:AS8"/>
    <mergeCell ref="AT8:AV8"/>
    <mergeCell ref="AW8:AY8"/>
  </mergeCells>
  <pageMargins left="0.31496062992125984" right="0.31496062992125984" top="0.27559055118110237" bottom="0.27559055118110237" header="0.31496062992125984" footer="0.31496062992125984"/>
  <pageSetup paperSize="9" scale="53" orientation="landscape" r:id="rId1"/>
  <colBreaks count="4" manualBreakCount="4">
    <brk id="15" max="126" man="1"/>
    <brk id="27" max="126" man="1"/>
    <brk id="39" max="126" man="1"/>
    <brk id="51" max="12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3"/>
  <sheetViews>
    <sheetView showGridLines="0" topLeftCell="A16" zoomScale="70" zoomScaleNormal="70" zoomScaleSheetLayoutView="80" workbookViewId="0">
      <selection activeCell="D33" sqref="D33"/>
    </sheetView>
  </sheetViews>
  <sheetFormatPr defaultColWidth="9.109375" defaultRowHeight="13.8" x14ac:dyDescent="0.3"/>
  <cols>
    <col min="1" max="1" width="8.88671875" style="164" customWidth="1"/>
    <col min="2" max="2" width="57.88671875" style="147" customWidth="1"/>
    <col min="3" max="3" width="14.109375" style="252" customWidth="1"/>
    <col min="4" max="8" width="15.44140625" style="252" customWidth="1"/>
    <col min="9" max="9" width="18" style="252" bestFit="1" customWidth="1"/>
    <col min="10" max="10" width="15" style="147" bestFit="1" customWidth="1"/>
    <col min="11" max="11" width="11.44140625" style="147" bestFit="1" customWidth="1"/>
    <col min="12" max="16384" width="9.109375" style="147"/>
  </cols>
  <sheetData>
    <row r="1" spans="1:10" ht="14.4" x14ac:dyDescent="0.3">
      <c r="A1" s="249" t="s">
        <v>282</v>
      </c>
      <c r="B1" s="250"/>
      <c r="C1" s="251"/>
      <c r="D1" s="251"/>
    </row>
    <row r="2" spans="1:10" ht="14.4" x14ac:dyDescent="0.3">
      <c r="A2" s="249" t="s">
        <v>35</v>
      </c>
      <c r="B2" s="250"/>
      <c r="C2" s="251"/>
      <c r="D2" s="251"/>
    </row>
    <row r="3" spans="1:10" ht="14.4" x14ac:dyDescent="0.3">
      <c r="A3" s="249"/>
      <c r="B3" s="253"/>
      <c r="C3" s="254"/>
      <c r="D3" s="254"/>
    </row>
    <row r="4" spans="1:10" ht="14.4" x14ac:dyDescent="0.3">
      <c r="A4" s="249" t="str">
        <f>+'PF M BID'!A4:B4</f>
        <v>Proyecto de Habilitación de la Ruta Nº9</v>
      </c>
      <c r="B4" s="250" t="s">
        <v>190</v>
      </c>
      <c r="C4" s="251"/>
      <c r="D4" s="251"/>
    </row>
    <row r="5" spans="1:10" ht="14.4" x14ac:dyDescent="0.3">
      <c r="A5" s="249"/>
      <c r="B5" s="253"/>
      <c r="C5" s="254"/>
      <c r="D5" s="254"/>
    </row>
    <row r="6" spans="1:10" ht="14.4" x14ac:dyDescent="0.3">
      <c r="A6" s="249" t="s">
        <v>37</v>
      </c>
      <c r="B6" s="250"/>
      <c r="C6" s="251"/>
      <c r="D6" s="251"/>
    </row>
    <row r="7" spans="1:10" ht="14.4" thickBot="1" x14ac:dyDescent="0.35"/>
    <row r="8" spans="1:10" s="157" customFormat="1" x14ac:dyDescent="0.3">
      <c r="A8" s="489" t="s">
        <v>283</v>
      </c>
      <c r="B8" s="490"/>
      <c r="C8" s="255" t="s">
        <v>123</v>
      </c>
      <c r="D8" s="255" t="s">
        <v>111</v>
      </c>
      <c r="E8" s="255" t="s">
        <v>112</v>
      </c>
      <c r="F8" s="255" t="s">
        <v>113</v>
      </c>
      <c r="G8" s="255" t="s">
        <v>114</v>
      </c>
      <c r="H8" s="255" t="s">
        <v>115</v>
      </c>
      <c r="I8" s="255" t="s">
        <v>116</v>
      </c>
      <c r="J8" s="255" t="s">
        <v>117</v>
      </c>
    </row>
    <row r="9" spans="1:10" x14ac:dyDescent="0.3">
      <c r="A9" s="420">
        <f>+'PF M BID'!A12</f>
        <v>1</v>
      </c>
      <c r="B9" s="256" t="str">
        <f>+'PF M BID'!B12</f>
        <v>Componente Unico Obras civiles</v>
      </c>
      <c r="C9" s="257">
        <f>+C10+C15+C18+C25</f>
        <v>525560000</v>
      </c>
      <c r="D9" s="257">
        <f>+D10+D15+D18+D25+D27</f>
        <v>1810000</v>
      </c>
      <c r="E9" s="257">
        <f t="shared" ref="E9:J9" si="0">+E10+E15+E18+E25+E27</f>
        <v>283717162.5</v>
      </c>
      <c r="F9" s="257">
        <f t="shared" si="0"/>
        <v>215210733.33333334</v>
      </c>
      <c r="G9" s="257">
        <f t="shared" si="0"/>
        <v>28422416.666666664</v>
      </c>
      <c r="H9" s="257">
        <f t="shared" si="0"/>
        <v>8719750</v>
      </c>
      <c r="I9" s="257">
        <f t="shared" si="0"/>
        <v>5844937.5</v>
      </c>
      <c r="J9" s="257">
        <f t="shared" si="0"/>
        <v>5725000</v>
      </c>
    </row>
    <row r="10" spans="1:10" x14ac:dyDescent="0.3">
      <c r="A10" s="91">
        <f>+'PF M BID'!A13</f>
        <v>1.1000000000000001</v>
      </c>
      <c r="B10" s="79" t="str">
        <f>+'PF M BID'!B13</f>
        <v>Obras de Rehabilitación y Mantenimiento</v>
      </c>
      <c r="C10" s="258">
        <f>+C11+C12+C13+C14</f>
        <v>493000000</v>
      </c>
      <c r="D10" s="258">
        <f>+D11+D12+D13+D14</f>
        <v>0</v>
      </c>
      <c r="E10" s="258">
        <f t="shared" ref="E10:J10" si="1">+E11+E12+E13+E14</f>
        <v>271872000</v>
      </c>
      <c r="F10" s="258">
        <f t="shared" si="1"/>
        <v>196352000</v>
      </c>
      <c r="G10" s="258">
        <f t="shared" si="1"/>
        <v>9025999.9999999981</v>
      </c>
      <c r="H10" s="258">
        <f t="shared" si="1"/>
        <v>5250000</v>
      </c>
      <c r="I10" s="258">
        <f t="shared" si="1"/>
        <v>5250000</v>
      </c>
      <c r="J10" s="258">
        <f t="shared" si="1"/>
        <v>5250000</v>
      </c>
    </row>
    <row r="11" spans="1:10" ht="27.6" x14ac:dyDescent="0.3">
      <c r="A11" s="83" t="str">
        <f>+'PF M BID'!A14</f>
        <v>1.1.1</v>
      </c>
      <c r="B11" s="84" t="str">
        <f>+'PF M BID'!B14</f>
        <v>Contratación de Firma Constructora para la rehabilitación y mantenimiento del tramo 1: km 50 - km 173 (123 Km) - Lote 1</v>
      </c>
      <c r="C11" s="259">
        <f>+PEP!G28</f>
        <v>104000000</v>
      </c>
      <c r="D11" s="267">
        <f>SUM('PF M BID'!D14:O14)</f>
        <v>0</v>
      </c>
      <c r="E11" s="267">
        <f>SUM('PF M BID'!P14:AA14)</f>
        <v>57139200</v>
      </c>
      <c r="F11" s="260">
        <f>SUM('PF M BID'!AB14:AM14)</f>
        <v>41267200</v>
      </c>
      <c r="G11" s="260">
        <f>SUM('PF M BID'!AN14:AY14)</f>
        <v>1993600</v>
      </c>
      <c r="H11" s="260">
        <f>SUM('PF M BID'!AZ14:BK14)</f>
        <v>1200000</v>
      </c>
      <c r="I11" s="260">
        <f>SUM('PF M BID'!BL14:BW14)</f>
        <v>1200000</v>
      </c>
      <c r="J11" s="260">
        <f>SUM('PF M BID'!BX14:CI14)</f>
        <v>1200000</v>
      </c>
    </row>
    <row r="12" spans="1:10" ht="27.6" x14ac:dyDescent="0.3">
      <c r="A12" s="83" t="str">
        <f>+'PF M BID'!A15</f>
        <v>1.1.2</v>
      </c>
      <c r="B12" s="84" t="str">
        <f>+'PF M BID'!B15</f>
        <v>Contratación de Firma Constructora para la rehabilitación y mantenimiento del tramo 2: km 173 - km 326 (153 Km) - Lote 2</v>
      </c>
      <c r="C12" s="259">
        <f>+PEP!G29</f>
        <v>142000000</v>
      </c>
      <c r="D12" s="267">
        <f>SUM('PF M BID'!D15:O15)</f>
        <v>0</v>
      </c>
      <c r="E12" s="267">
        <f>SUM('PF M BID'!P15:AA15)</f>
        <v>78451200</v>
      </c>
      <c r="F12" s="260">
        <f>SUM('PF M BID'!AB15:AM15)</f>
        <v>56659200</v>
      </c>
      <c r="G12" s="260">
        <f>SUM('PF M BID'!AN15:AY15)</f>
        <v>2539600</v>
      </c>
      <c r="H12" s="260">
        <f>SUM('PF M BID'!AZ15:BK15)</f>
        <v>1449999.9999999998</v>
      </c>
      <c r="I12" s="260">
        <f>SUM('PF M BID'!BL15:BW15)</f>
        <v>1449999.9999999998</v>
      </c>
      <c r="J12" s="260">
        <f>SUM('PF M BID'!BX15:CI15)</f>
        <v>1449999.9999999998</v>
      </c>
    </row>
    <row r="13" spans="1:10" ht="27.6" x14ac:dyDescent="0.3">
      <c r="A13" s="83" t="str">
        <f>+'PF M BID'!A16</f>
        <v>1.1.3</v>
      </c>
      <c r="B13" s="84" t="str">
        <f>+'PF M BID'!B16</f>
        <v>Contratación de Firma Constructora para la rehabilitación y mantenimiento del tramo 3: km 326 - km 450 (124 Km) - Lote 3</v>
      </c>
      <c r="C13" s="259">
        <f>+PEP!G30</f>
        <v>131000000</v>
      </c>
      <c r="D13" s="267">
        <f>SUM('PF M BID'!D16:O16)</f>
        <v>0</v>
      </c>
      <c r="E13" s="267">
        <f>SUM('PF M BID'!P16:AA16)</f>
        <v>72806400</v>
      </c>
      <c r="F13" s="260">
        <f>SUM('PF M BID'!AB16:AM16)</f>
        <v>52582400</v>
      </c>
      <c r="G13" s="260">
        <f>SUM('PF M BID'!AN16:AY16)</f>
        <v>2161199.9999999991</v>
      </c>
      <c r="H13" s="260">
        <f>SUM('PF M BID'!AZ16:BK16)</f>
        <v>1150000</v>
      </c>
      <c r="I13" s="260">
        <f>SUM('PF M BID'!BL16:BW16)</f>
        <v>1150000</v>
      </c>
      <c r="J13" s="260">
        <f>SUM('PF M BID'!BX16:CI16)</f>
        <v>1150000</v>
      </c>
    </row>
    <row r="14" spans="1:10" ht="41.4" x14ac:dyDescent="0.3">
      <c r="A14" s="83" t="str">
        <f>+'PF M BID'!A17</f>
        <v>1.1.4</v>
      </c>
      <c r="B14" s="84" t="str">
        <f>+'PF M BID'!B17</f>
        <v>Contratación de Firma Constructora para la rehabilitación y mantenimiento del tramo 4: km 450 - km 525, accesos y linea 1 - Lote 4</v>
      </c>
      <c r="C14" s="259">
        <f>+PEP!G31</f>
        <v>116000000</v>
      </c>
      <c r="D14" s="267">
        <f>SUM('PF M BID'!D17:O17)</f>
        <v>0</v>
      </c>
      <c r="E14" s="267">
        <f>SUM('PF M BID'!P17:AA17)</f>
        <v>63475200</v>
      </c>
      <c r="F14" s="260">
        <f>SUM('PF M BID'!AB17:AM17)</f>
        <v>45843200</v>
      </c>
      <c r="G14" s="260">
        <f>SUM('PF M BID'!AN17:AY17)</f>
        <v>2331599.9999999995</v>
      </c>
      <c r="H14" s="260">
        <f>SUM('PF M BID'!AZ17:BK17)</f>
        <v>1449999.9999999998</v>
      </c>
      <c r="I14" s="260">
        <f>SUM('PF M BID'!BL17:BW17)</f>
        <v>1449999.9999999998</v>
      </c>
      <c r="J14" s="260">
        <f>SUM('PF M BID'!BX17:CI17)</f>
        <v>1449999.9999999998</v>
      </c>
    </row>
    <row r="15" spans="1:10" x14ac:dyDescent="0.3">
      <c r="A15" s="91">
        <f>+'PF M BID'!A18</f>
        <v>1.2</v>
      </c>
      <c r="B15" s="79" t="str">
        <f>+'PF M BID'!B18</f>
        <v>Fiscalización</v>
      </c>
      <c r="C15" s="259">
        <f>+PEP!G32</f>
        <v>20000000</v>
      </c>
      <c r="D15" s="258">
        <f>SUM('PF M BID'!D18:O18)</f>
        <v>1810000</v>
      </c>
      <c r="E15" s="258">
        <f>SUM('PF M BID'!P18:AA18)</f>
        <v>8389350</v>
      </c>
      <c r="F15" s="258">
        <f>SUM('PF M BID'!AB18:AM18)</f>
        <v>7900650</v>
      </c>
      <c r="G15" s="258">
        <f>SUM('PF M BID'!AN18:AY18)</f>
        <v>474999.99999999983</v>
      </c>
      <c r="H15" s="258">
        <f>SUM('PF M BID'!AZ18:BK18)</f>
        <v>474999.99999999983</v>
      </c>
      <c r="I15" s="258">
        <f>SUM('PF M BID'!BL18:BW18)</f>
        <v>474999.99999999983</v>
      </c>
      <c r="J15" s="258">
        <f>SUM('PF M BID'!BX18:CI18)</f>
        <v>474999.99999999983</v>
      </c>
    </row>
    <row r="16" spans="1:10" ht="27.6" x14ac:dyDescent="0.3">
      <c r="A16" s="83" t="str">
        <f>+'PF M BID'!A19</f>
        <v>1.2.1</v>
      </c>
      <c r="B16" s="84" t="str">
        <f>+'PF M BID'!B19</f>
        <v>Contratación de Firma Consultora para la fiscalización de la rehabilitación y mantenimiento de lotes 1 y 2</v>
      </c>
      <c r="C16" s="259">
        <f>+PEP!G33</f>
        <v>9500000</v>
      </c>
      <c r="D16" s="267">
        <f>SUM('PF M BID'!D19:O19)</f>
        <v>860000</v>
      </c>
      <c r="E16" s="267">
        <f>SUM('PF M BID'!P19:AA19)</f>
        <v>3986100</v>
      </c>
      <c r="F16" s="260">
        <f>SUM('PF M BID'!AB19:AM19)</f>
        <v>3753900</v>
      </c>
      <c r="G16" s="260">
        <f>SUM('PF M BID'!AN19:AY19)</f>
        <v>225000</v>
      </c>
      <c r="H16" s="260">
        <f>SUM('PF M BID'!AZ19:BK19)</f>
        <v>225000</v>
      </c>
      <c r="I16" s="260">
        <f>SUM('PF M BID'!BL19:BW19)</f>
        <v>225000</v>
      </c>
      <c r="J16" s="260">
        <f>SUM('PF M BID'!BX19:CI19)</f>
        <v>225000</v>
      </c>
    </row>
    <row r="17" spans="1:10" ht="27.6" x14ac:dyDescent="0.3">
      <c r="A17" s="83" t="str">
        <f>+'PF M BID'!A20</f>
        <v>1.2.2</v>
      </c>
      <c r="B17" s="84" t="str">
        <f>+'PF M BID'!B20</f>
        <v>Contratación de Firma Consultora para la fiscalización de la rehabilitación y mantenimiento de lotes 3 y 4</v>
      </c>
      <c r="C17" s="259">
        <f>+PEP!G34</f>
        <v>10500000</v>
      </c>
      <c r="D17" s="267">
        <f>SUM('PF M BID'!D20:O20)</f>
        <v>950000</v>
      </c>
      <c r="E17" s="267">
        <f>SUM('PF M BID'!P20:AA20)</f>
        <v>4403250</v>
      </c>
      <c r="F17" s="260">
        <f>SUM('PF M BID'!AB20:AM20)</f>
        <v>4146750</v>
      </c>
      <c r="G17" s="260">
        <f>SUM('PF M BID'!AN20:AY20)</f>
        <v>250000.00000000003</v>
      </c>
      <c r="H17" s="260">
        <f>SUM('PF M BID'!AZ20:BK20)</f>
        <v>250000.00000000003</v>
      </c>
      <c r="I17" s="260">
        <f>SUM('PF M BID'!BL20:BW20)</f>
        <v>250000.00000000003</v>
      </c>
      <c r="J17" s="260">
        <f>SUM('PF M BID'!BX20:CI20)</f>
        <v>250000.00000000003</v>
      </c>
    </row>
    <row r="18" spans="1:10" x14ac:dyDescent="0.3">
      <c r="A18" s="91">
        <f>+'PF M BID'!A21</f>
        <v>1.3</v>
      </c>
      <c r="B18" s="79" t="str">
        <f>+'PF M BID'!B21</f>
        <v xml:space="preserve">Plan de Gestión Ambiental y Social </v>
      </c>
      <c r="C18" s="259">
        <f>+PEP!G35</f>
        <v>7630000</v>
      </c>
      <c r="D18" s="258">
        <f>SUM('PF M BID'!D21:O21)</f>
        <v>0</v>
      </c>
      <c r="E18" s="258">
        <f>SUM('PF M BID'!P21:AA21)</f>
        <v>2223312.5</v>
      </c>
      <c r="F18" s="258">
        <f>SUM('PF M BID'!AB21:AM21)</f>
        <v>1762250</v>
      </c>
      <c r="G18" s="258">
        <f>SUM('PF M BID'!AN21:AY21)</f>
        <v>1762250</v>
      </c>
      <c r="H18" s="258">
        <f>SUM('PF M BID'!AZ21:BK21)</f>
        <v>1762250</v>
      </c>
      <c r="I18" s="258">
        <f>SUM('PF M BID'!BL21:BW21)</f>
        <v>119937.5</v>
      </c>
      <c r="J18" s="258">
        <f>SUM('PF M BID'!BX21:CI21)</f>
        <v>0</v>
      </c>
    </row>
    <row r="19" spans="1:10" s="261" customFormat="1" ht="26.25" customHeight="1" x14ac:dyDescent="0.3">
      <c r="A19" s="83" t="str">
        <f>+'PF M BID'!A22</f>
        <v>1.3.1</v>
      </c>
      <c r="B19" s="96" t="str">
        <f>+'PF M BID'!B22</f>
        <v>Monitoreo y Evaluación Socio Ambiental</v>
      </c>
      <c r="C19" s="259">
        <f>+PEP!G36</f>
        <v>1919000</v>
      </c>
      <c r="D19" s="267">
        <f>SUM('PF M BID'!D22:O22)</f>
        <v>0</v>
      </c>
      <c r="E19" s="267">
        <f>SUM('PF M BID'!P22:AA22)</f>
        <v>359812.5</v>
      </c>
      <c r="F19" s="260">
        <f>SUM('PF M BID'!AB22:AM22)</f>
        <v>479750</v>
      </c>
      <c r="G19" s="260">
        <f>SUM('PF M BID'!AN22:AY22)</f>
        <v>479750</v>
      </c>
      <c r="H19" s="260">
        <f>SUM('PF M BID'!AZ22:BK22)</f>
        <v>479750</v>
      </c>
      <c r="I19" s="260">
        <f>SUM('PF M BID'!BL22:BW22)</f>
        <v>119937.5</v>
      </c>
      <c r="J19" s="260">
        <f>SUM('PF M BID'!BX22:CI22)</f>
        <v>0</v>
      </c>
    </row>
    <row r="20" spans="1:10" s="261" customFormat="1" ht="27.6" x14ac:dyDescent="0.3">
      <c r="A20" s="83" t="str">
        <f>+'PF M BID'!A23</f>
        <v>1.3.2</v>
      </c>
      <c r="B20" s="96" t="str">
        <f>+'PF M BID'!B23</f>
        <v>Contratación Firma Consultora para el Monitoreo de las áreas inundadas por efecto de la barrera de la Ruta</v>
      </c>
      <c r="C20" s="259">
        <f>+PEP!G37</f>
        <v>82000</v>
      </c>
      <c r="D20" s="267">
        <f>SUM('PF M BID'!D23:O23)</f>
        <v>0</v>
      </c>
      <c r="E20" s="267">
        <f>SUM('PF M BID'!P23:AA23)</f>
        <v>82000</v>
      </c>
      <c r="F20" s="260">
        <f>SUM('PF M BID'!AB23:AM23)</f>
        <v>0</v>
      </c>
      <c r="G20" s="260">
        <f>SUM('PF M BID'!AN23:AY23)</f>
        <v>0</v>
      </c>
      <c r="H20" s="260">
        <f>SUM('PF M BID'!AZ23:BK23)</f>
        <v>0</v>
      </c>
      <c r="I20" s="260">
        <f>SUM('PF M BID'!BL23:BW23)</f>
        <v>0</v>
      </c>
      <c r="J20" s="260">
        <f>SUM('PF M BID'!BX23:CI23)</f>
        <v>0</v>
      </c>
    </row>
    <row r="21" spans="1:10" s="261" customFormat="1" x14ac:dyDescent="0.3">
      <c r="A21" s="83" t="str">
        <f>+'PF M BID'!A24</f>
        <v>1.3.3</v>
      </c>
      <c r="B21" s="96" t="str">
        <f>+'PF M BID'!B24</f>
        <v>Implementación del Plan de Gestión Socio Ambiental</v>
      </c>
      <c r="C21" s="259">
        <f>+PEP!G38</f>
        <v>770000</v>
      </c>
      <c r="D21" s="267">
        <f>SUM('PF M BID'!D24:O24)</f>
        <v>0</v>
      </c>
      <c r="E21" s="267">
        <f>SUM('PF M BID'!P24:AA24)</f>
        <v>192500</v>
      </c>
      <c r="F21" s="260">
        <f>SUM('PF M BID'!AB24:AM24)</f>
        <v>192500</v>
      </c>
      <c r="G21" s="260">
        <f>SUM('PF M BID'!AN24:AY24)</f>
        <v>192500</v>
      </c>
      <c r="H21" s="260">
        <f>SUM('PF M BID'!AZ24:BK24)</f>
        <v>192500</v>
      </c>
      <c r="I21" s="260">
        <f>SUM('PF M BID'!BL24:BW24)</f>
        <v>0</v>
      </c>
      <c r="J21" s="260">
        <f>SUM('PF M BID'!BX24:CI24)</f>
        <v>0</v>
      </c>
    </row>
    <row r="22" spans="1:10" s="261" customFormat="1" x14ac:dyDescent="0.3">
      <c r="A22" s="83" t="str">
        <f>+'PF M BID'!A25</f>
        <v>1.3.4</v>
      </c>
      <c r="B22" s="96" t="str">
        <f>+'PF M BID'!B25</f>
        <v>Plan de Reasentamiento</v>
      </c>
      <c r="C22" s="259">
        <f>+PEP!G39</f>
        <v>4360000</v>
      </c>
      <c r="D22" s="267">
        <f>SUM('PF M BID'!D25:O25)</f>
        <v>0</v>
      </c>
      <c r="E22" s="267">
        <f>SUM('PF M BID'!P25:AA25)</f>
        <v>1090000</v>
      </c>
      <c r="F22" s="260">
        <f>SUM('PF M BID'!AB25:AM25)</f>
        <v>1090000</v>
      </c>
      <c r="G22" s="260">
        <f>SUM('PF M BID'!AN25:AY25)</f>
        <v>1090000</v>
      </c>
      <c r="H22" s="260">
        <f>SUM('PF M BID'!AZ25:BK25)</f>
        <v>1090000</v>
      </c>
      <c r="I22" s="260">
        <f>SUM('PF M BID'!BL25:BW25)</f>
        <v>0</v>
      </c>
      <c r="J22" s="260">
        <f>SUM('PF M BID'!BX25:CI25)</f>
        <v>0</v>
      </c>
    </row>
    <row r="23" spans="1:10" s="261" customFormat="1" ht="27.6" x14ac:dyDescent="0.3">
      <c r="A23" s="83" t="str">
        <f>+'PF M BID'!A26</f>
        <v>1.3.5</v>
      </c>
      <c r="B23" s="96" t="str">
        <f>+'PF M BID'!B26</f>
        <v>Contratación Firma Consultora para el Apoyo a la Gestión Institucional de Supervisión del PGAS</v>
      </c>
      <c r="C23" s="259">
        <f>+PEP!G40</f>
        <v>189000</v>
      </c>
      <c r="D23" s="267">
        <f>SUM('PF M BID'!D26:O26)</f>
        <v>0</v>
      </c>
      <c r="E23" s="267">
        <f>SUM('PF M BID'!P26:AA26)</f>
        <v>189000</v>
      </c>
      <c r="F23" s="260">
        <f>SUM('PF M BID'!AB26:AM26)</f>
        <v>0</v>
      </c>
      <c r="G23" s="260">
        <f>SUM('PF M BID'!AN26:AY26)</f>
        <v>0</v>
      </c>
      <c r="H23" s="260">
        <f>SUM('PF M BID'!AZ26:BK26)</f>
        <v>0</v>
      </c>
      <c r="I23" s="260">
        <f>SUM('PF M BID'!BL26:BW26)</f>
        <v>0</v>
      </c>
      <c r="J23" s="260">
        <f>SUM('PF M BID'!BX26:CI26)</f>
        <v>0</v>
      </c>
    </row>
    <row r="24" spans="1:10" s="261" customFormat="1" ht="27.6" x14ac:dyDescent="0.3">
      <c r="A24" s="83" t="str">
        <f>+'PF M BID'!A27</f>
        <v>1.3.6</v>
      </c>
      <c r="B24" s="96" t="str">
        <f>+'PF M BID'!B27</f>
        <v>Contratación Firma Consultora para el Apoyo a la Gestión de los Municipios en los Proyectos Viales</v>
      </c>
      <c r="C24" s="259">
        <f>+PEP!G41</f>
        <v>310000</v>
      </c>
      <c r="D24" s="267">
        <f>SUM('PF M BID'!D27:O27)</f>
        <v>0</v>
      </c>
      <c r="E24" s="267">
        <f>SUM('PF M BID'!P27:AA27)</f>
        <v>310000</v>
      </c>
      <c r="F24" s="260">
        <f>SUM('PF M BID'!AB27:AM27)</f>
        <v>0</v>
      </c>
      <c r="G24" s="260">
        <f>SUM('PF M BID'!AN27:AY27)</f>
        <v>0</v>
      </c>
      <c r="H24" s="260">
        <f>SUM('PF M BID'!AZ27:BK27)</f>
        <v>0</v>
      </c>
      <c r="I24" s="260">
        <f>SUM('PF M BID'!BL27:BW27)</f>
        <v>0</v>
      </c>
      <c r="J24" s="260">
        <f>SUM('PF M BID'!BX27:CI27)</f>
        <v>0</v>
      </c>
    </row>
    <row r="25" spans="1:10" s="261" customFormat="1" x14ac:dyDescent="0.3">
      <c r="A25" s="91">
        <f>+'PF M BID'!A28</f>
        <v>1.4</v>
      </c>
      <c r="B25" s="79" t="str">
        <f>+'PF M BID'!B28</f>
        <v>Pago por Servicios Ambientales</v>
      </c>
      <c r="C25" s="259">
        <f>+PEP!G42</f>
        <v>4930000</v>
      </c>
      <c r="D25" s="258">
        <f>SUM('PF M BID'!D28:O28)</f>
        <v>0</v>
      </c>
      <c r="E25" s="258">
        <f>SUM('PF M BID'!P28:AA28)</f>
        <v>1232500</v>
      </c>
      <c r="F25" s="258">
        <f>SUM('PF M BID'!AB28:AM28)</f>
        <v>1232500</v>
      </c>
      <c r="G25" s="258">
        <f>SUM('PF M BID'!AN28:AY28)</f>
        <v>1232500</v>
      </c>
      <c r="H25" s="258">
        <f>SUM('PF M BID'!AZ28:BK28)</f>
        <v>1232500</v>
      </c>
      <c r="I25" s="258">
        <f>SUM('PF M BID'!BL28:BW28)</f>
        <v>0</v>
      </c>
      <c r="J25" s="258">
        <f>SUM('PF M BID'!BX28:CI28)</f>
        <v>0</v>
      </c>
    </row>
    <row r="26" spans="1:10" s="261" customFormat="1" x14ac:dyDescent="0.3">
      <c r="A26" s="83" t="str">
        <f>+'PF M BID'!A29</f>
        <v>1.4.1</v>
      </c>
      <c r="B26" s="96" t="str">
        <f>+'PF M BID'!B29</f>
        <v>Pagos por Servicios Ambientales</v>
      </c>
      <c r="C26" s="259">
        <f>+PEP!G43</f>
        <v>4930000</v>
      </c>
      <c r="D26" s="267">
        <f>SUM('PF M BID'!D29:O29)</f>
        <v>0</v>
      </c>
      <c r="E26" s="267">
        <f>SUM('PF M BID'!P29:AA29)</f>
        <v>1232500</v>
      </c>
      <c r="F26" s="260">
        <f>SUM('PF M BID'!AB29:AM29)</f>
        <v>1232500</v>
      </c>
      <c r="G26" s="260">
        <f>SUM('PF M BID'!AN29:AY29)</f>
        <v>1232500</v>
      </c>
      <c r="H26" s="260">
        <f>SUM('PF M BID'!AZ29:BK29)</f>
        <v>1232500</v>
      </c>
      <c r="I26" s="260">
        <f>SUM('PF M BID'!BL29:BW29)</f>
        <v>0</v>
      </c>
      <c r="J26" s="260">
        <f>SUM('PF M BID'!BX29:CI29)</f>
        <v>0</v>
      </c>
    </row>
    <row r="27" spans="1:10" s="261" customFormat="1" x14ac:dyDescent="0.3">
      <c r="A27" s="79">
        <f>+'PF M BID'!A30</f>
        <v>1.5</v>
      </c>
      <c r="B27" s="79" t="str">
        <f>+'PF M BID'!B30</f>
        <v>Escalamientos e Imprevistos</v>
      </c>
      <c r="C27" s="259">
        <f>+PEP!G44</f>
        <v>23890000</v>
      </c>
      <c r="D27" s="258">
        <f>SUM('PF M BID'!D30:O30)</f>
        <v>0</v>
      </c>
      <c r="E27" s="258">
        <f>SUM('PF M BID'!P30:AA30)</f>
        <v>0</v>
      </c>
      <c r="F27" s="258">
        <f>SUM('PF M BID'!AB30:AM30)</f>
        <v>7963333.333333333</v>
      </c>
      <c r="G27" s="258">
        <f>SUM('PF M BID'!AN30:AY30)</f>
        <v>15926666.666666666</v>
      </c>
      <c r="H27" s="258">
        <f>SUM('PF M BID'!AZ30:BK30)</f>
        <v>0</v>
      </c>
      <c r="I27" s="258">
        <f>SUM('PF M BID'!BL30:BW30)</f>
        <v>0</v>
      </c>
      <c r="J27" s="258">
        <f>SUM('PF M BID'!BX30:CI30)</f>
        <v>0</v>
      </c>
    </row>
    <row r="28" spans="1:10" s="261" customFormat="1" x14ac:dyDescent="0.3">
      <c r="A28" s="420">
        <v>2</v>
      </c>
      <c r="B28" s="256" t="str">
        <f>+'PF M BID'!B31</f>
        <v>Otros Costos</v>
      </c>
      <c r="C28" s="257">
        <f>+'PF M BID'!C31</f>
        <v>10550000</v>
      </c>
      <c r="D28" s="257">
        <f>SUM('PF M BID'!D31:O31)</f>
        <v>1417857.1428571427</v>
      </c>
      <c r="E28" s="257">
        <f>SUM('PF M BID'!P31:AA31)</f>
        <v>1619285.7142857143</v>
      </c>
      <c r="F28" s="257">
        <f>SUM('PF M BID'!AB31:AM31)</f>
        <v>1599285.7142857143</v>
      </c>
      <c r="G28" s="257">
        <f>SUM('PF M BID'!AN31:AY31)</f>
        <v>1449285.7142857143</v>
      </c>
      <c r="H28" s="257">
        <f>SUM('PF M BID'!AZ31:BK31)</f>
        <v>1414285.7142857143</v>
      </c>
      <c r="I28" s="257">
        <f>SUM('PF M BID'!BL31:BW31)</f>
        <v>1414285.7142857143</v>
      </c>
      <c r="J28" s="257">
        <f>SUM('PF M BID'!BX31:CI31)</f>
        <v>1635714.2857142859</v>
      </c>
    </row>
    <row r="29" spans="1:10" s="261" customFormat="1" x14ac:dyDescent="0.3">
      <c r="A29" s="91">
        <f>+'PF M BID'!A32</f>
        <v>2.1</v>
      </c>
      <c r="B29" s="79" t="str">
        <f>+'PF M BID'!B32</f>
        <v>Administración del Programa</v>
      </c>
      <c r="C29" s="259">
        <f>+'PF M BID'!C32</f>
        <v>6000000</v>
      </c>
      <c r="D29" s="258">
        <f>SUM('PF M BID'!D32:O32)</f>
        <v>857142.85714285716</v>
      </c>
      <c r="E29" s="258">
        <f>SUM('PF M BID'!P32:AA32)</f>
        <v>857142.85714285716</v>
      </c>
      <c r="F29" s="258">
        <f>SUM('PF M BID'!AB32:AM32)</f>
        <v>857142.85714285716</v>
      </c>
      <c r="G29" s="258">
        <f>SUM('PF M BID'!AN32:AY32)</f>
        <v>857142.85714285716</v>
      </c>
      <c r="H29" s="258">
        <f>SUM('PF M BID'!AZ32:BK32)</f>
        <v>857142.85714285716</v>
      </c>
      <c r="I29" s="258">
        <f>SUM('PF M BID'!BL32:BW32)</f>
        <v>857142.85714285716</v>
      </c>
      <c r="J29" s="258">
        <f>SUM('PF M BID'!BX32:CI32)</f>
        <v>857142.85714285716</v>
      </c>
    </row>
    <row r="30" spans="1:10" s="261" customFormat="1" x14ac:dyDescent="0.3">
      <c r="A30" s="83" t="str">
        <f>+'PF M BID'!A33</f>
        <v>2.1.1</v>
      </c>
      <c r="B30" s="96" t="str">
        <f>+'PF M BID'!B33</f>
        <v xml:space="preserve">Contratación de la ECATEF para apoyo en la ejecución del Programa </v>
      </c>
      <c r="C30" s="259">
        <f>+'PF M BID'!C33</f>
        <v>6000000</v>
      </c>
      <c r="D30" s="267">
        <f>SUM('PF M BID'!D33:O33)</f>
        <v>857142.85714285716</v>
      </c>
      <c r="E30" s="267">
        <f>SUM('PF M BID'!P33:AA33)</f>
        <v>857142.85714285716</v>
      </c>
      <c r="F30" s="260">
        <f>SUM('PF M BID'!AB33:AM33)</f>
        <v>857142.85714285716</v>
      </c>
      <c r="G30" s="260">
        <f>SUM('PF M BID'!AN33:AY33)</f>
        <v>857142.85714285716</v>
      </c>
      <c r="H30" s="260">
        <f>SUM('PF M BID'!AZ33:BK33)</f>
        <v>857142.85714285716</v>
      </c>
      <c r="I30" s="260">
        <f>SUM('PF M BID'!BL33:BW33)</f>
        <v>857142.85714285716</v>
      </c>
      <c r="J30" s="260">
        <f>SUM('PF M BID'!BX33:CI33)</f>
        <v>857142.85714285716</v>
      </c>
    </row>
    <row r="31" spans="1:10" s="261" customFormat="1" x14ac:dyDescent="0.3">
      <c r="A31" s="91">
        <f>+'PF M BID'!A34</f>
        <v>2.2000000000000002</v>
      </c>
      <c r="B31" s="79" t="str">
        <f>+'PF M BID'!B34</f>
        <v>Auditoria, Monitoreo y Evaluación desarrollados</v>
      </c>
      <c r="C31" s="259">
        <f>+'PF M BID'!C34</f>
        <v>1100000</v>
      </c>
      <c r="D31" s="258">
        <f>SUM('PF M BID'!D34:O34)</f>
        <v>75000</v>
      </c>
      <c r="E31" s="258">
        <f>SUM('PF M BID'!P34:AA34)</f>
        <v>276428.57142857148</v>
      </c>
      <c r="F31" s="258">
        <f>SUM('PF M BID'!AB34:AM34)</f>
        <v>256428.57142857145</v>
      </c>
      <c r="G31" s="258">
        <f>SUM('PF M BID'!AN34:AY34)</f>
        <v>106428.57142857145</v>
      </c>
      <c r="H31" s="258">
        <f>SUM('PF M BID'!AZ34:BK34)</f>
        <v>71428.571428571435</v>
      </c>
      <c r="I31" s="258">
        <f>SUM('PF M BID'!BL34:BW34)</f>
        <v>71428.571428571435</v>
      </c>
      <c r="J31" s="258">
        <f>SUM('PF M BID'!BX34:CI34)</f>
        <v>242857.1428571429</v>
      </c>
    </row>
    <row r="32" spans="1:10" s="261" customFormat="1" ht="27.6" x14ac:dyDescent="0.3">
      <c r="A32" s="83" t="str">
        <f>+'PF M BID'!A35</f>
        <v>2.2.1</v>
      </c>
      <c r="B32" s="96" t="str">
        <f>+'PF M BID'!B35</f>
        <v>Contratación de Firma Consultora para la Auditoria Externa del Proyecto PR-L1145</v>
      </c>
      <c r="C32" s="259">
        <f>+'PF M BID'!C35</f>
        <v>500000</v>
      </c>
      <c r="D32" s="267">
        <f>SUM('PF M BID'!D35:O35)</f>
        <v>0</v>
      </c>
      <c r="E32" s="267">
        <f>SUM('PF M BID'!P35:AA35)</f>
        <v>71428.571428571435</v>
      </c>
      <c r="F32" s="260">
        <f>SUM('PF M BID'!AB35:AM35)</f>
        <v>71428.571428571435</v>
      </c>
      <c r="G32" s="260">
        <f>SUM('PF M BID'!AN35:AY35)</f>
        <v>71428.571428571435</v>
      </c>
      <c r="H32" s="260">
        <f>SUM('PF M BID'!AZ35:BK35)</f>
        <v>71428.571428571435</v>
      </c>
      <c r="I32" s="260">
        <f>SUM('PF M BID'!BL35:BW35)</f>
        <v>71428.571428571435</v>
      </c>
      <c r="J32" s="260">
        <f>SUM('PF M BID'!BX35:CI35)</f>
        <v>142857.14285714287</v>
      </c>
    </row>
    <row r="33" spans="1:10" s="261" customFormat="1" ht="27.6" x14ac:dyDescent="0.3">
      <c r="A33" s="83" t="str">
        <f>+'PF M BID'!A36</f>
        <v>2.2.2</v>
      </c>
      <c r="B33" s="96" t="str">
        <f>+'PF M BID'!B36</f>
        <v>Contratíon Firma Consultora para la Capacitación de Funcionarios en Gestión de contratos CREMA</v>
      </c>
      <c r="C33" s="259">
        <f>+'PF M BID'!C36</f>
        <v>100000</v>
      </c>
      <c r="D33" s="267">
        <f>SUM('PF M BID'!D36:O36)</f>
        <v>30000</v>
      </c>
      <c r="E33" s="267">
        <f>SUM('PF M BID'!P36:AA36)</f>
        <v>70000</v>
      </c>
      <c r="F33" s="260">
        <f>SUM('PF M BID'!AB36:AM36)</f>
        <v>0</v>
      </c>
      <c r="G33" s="260">
        <f>SUM('PF M BID'!AN36:AY36)</f>
        <v>0</v>
      </c>
      <c r="H33" s="260">
        <f>SUM('PF M BID'!AZ36:BK36)</f>
        <v>0</v>
      </c>
      <c r="I33" s="260">
        <f>SUM('PF M BID'!BL36:BW36)</f>
        <v>0</v>
      </c>
      <c r="J33" s="260">
        <f>SUM('PF M BID'!BX36:CI36)</f>
        <v>0</v>
      </c>
    </row>
    <row r="34" spans="1:10" s="261" customFormat="1" ht="27.6" x14ac:dyDescent="0.3">
      <c r="A34" s="83" t="str">
        <f>+'PF M BID'!A37</f>
        <v>2.2.3</v>
      </c>
      <c r="B34" s="96" t="str">
        <f>+'PF M BID'!B37</f>
        <v xml:space="preserve">Contratación Firma Consultora para Innovación tecnológica de red vial secundaria del Chaco y alimentadoras de la Ruta 9 </v>
      </c>
      <c r="C34" s="259">
        <f>+'PF M BID'!C37</f>
        <v>150000</v>
      </c>
      <c r="D34" s="267">
        <f>SUM('PF M BID'!D37:O37)</f>
        <v>45000</v>
      </c>
      <c r="E34" s="267">
        <f>SUM('PF M BID'!P37:AA37)</f>
        <v>105000</v>
      </c>
      <c r="F34" s="260">
        <f>SUM('PF M BID'!AB37:AM37)</f>
        <v>0</v>
      </c>
      <c r="G34" s="260">
        <f>SUM('PF M BID'!AN37:AY37)</f>
        <v>0</v>
      </c>
      <c r="H34" s="260">
        <f>SUM('PF M BID'!AZ37:BK37)</f>
        <v>0</v>
      </c>
      <c r="I34" s="260">
        <f>SUM('PF M BID'!BL37:BW37)</f>
        <v>0</v>
      </c>
      <c r="J34" s="260">
        <f>SUM('PF M BID'!BX37:CI37)</f>
        <v>0</v>
      </c>
    </row>
    <row r="35" spans="1:10" s="261" customFormat="1" ht="27.6" x14ac:dyDescent="0.3">
      <c r="A35" s="83" t="str">
        <f>+'PF M BID'!A38</f>
        <v>2.2.4</v>
      </c>
      <c r="B35" s="96" t="str">
        <f>+'PF M BID'!B38</f>
        <v>Contratación Firma Consultora para el  Estudio de viabilidad de uso de bitrenes en la Ruta 9</v>
      </c>
      <c r="C35" s="259">
        <f>+'PF M BID'!C38</f>
        <v>100000</v>
      </c>
      <c r="D35" s="267">
        <f>SUM('PF M BID'!D38:O38)</f>
        <v>0</v>
      </c>
      <c r="E35" s="267">
        <f>SUM('PF M BID'!P38:AA38)</f>
        <v>30000</v>
      </c>
      <c r="F35" s="260">
        <f>SUM('PF M BID'!AB38:AM38)</f>
        <v>70000</v>
      </c>
      <c r="G35" s="260">
        <f>SUM('PF M BID'!AN38:AY38)</f>
        <v>0</v>
      </c>
      <c r="H35" s="260">
        <f>SUM('PF M BID'!AZ38:BK38)</f>
        <v>0</v>
      </c>
      <c r="I35" s="260">
        <f>SUM('PF M BID'!BL38:BW38)</f>
        <v>0</v>
      </c>
      <c r="J35" s="260">
        <f>SUM('PF M BID'!BX38:CI38)</f>
        <v>0</v>
      </c>
    </row>
    <row r="36" spans="1:10" s="261" customFormat="1" ht="27.6" x14ac:dyDescent="0.3">
      <c r="A36" s="83" t="str">
        <f>+'PF M BID'!A39</f>
        <v>2.2.5</v>
      </c>
      <c r="B36" s="96" t="str">
        <f>+'PF M BID'!B39</f>
        <v>Contratación Firma Consultora para el Estudio de alternativas de mantenimiento de red vial en el Chaco</v>
      </c>
      <c r="C36" s="259">
        <f>+'PF M BID'!C39</f>
        <v>100000</v>
      </c>
      <c r="D36" s="267">
        <f>SUM('PF M BID'!D39:O39)</f>
        <v>0</v>
      </c>
      <c r="E36" s="267">
        <f>SUM('PF M BID'!P39:AA39)</f>
        <v>0</v>
      </c>
      <c r="F36" s="260">
        <f>SUM('PF M BID'!AB39:AM39)</f>
        <v>100000</v>
      </c>
      <c r="G36" s="260">
        <f>SUM('PF M BID'!AN39:AY39)</f>
        <v>0</v>
      </c>
      <c r="H36" s="260">
        <f>SUM('PF M BID'!AZ39:BK39)</f>
        <v>0</v>
      </c>
      <c r="I36" s="260">
        <f>SUM('PF M BID'!BL39:BW39)</f>
        <v>0</v>
      </c>
      <c r="J36" s="260">
        <f>SUM('PF M BID'!BX39:CI39)</f>
        <v>0</v>
      </c>
    </row>
    <row r="37" spans="1:10" s="261" customFormat="1" ht="27.6" x14ac:dyDescent="0.3">
      <c r="A37" s="83" t="str">
        <f>+'PF M BID'!A40</f>
        <v>2.2.6</v>
      </c>
      <c r="B37" s="96" t="str">
        <f>+'PF M BID'!B40</f>
        <v>Contratación Firma Consultora para la Inspección de Seguridad vial en obras concluidas</v>
      </c>
      <c r="C37" s="259">
        <f>+'PF M BID'!C40</f>
        <v>50000</v>
      </c>
      <c r="D37" s="267">
        <f>SUM('PF M BID'!D40:O40)</f>
        <v>0</v>
      </c>
      <c r="E37" s="267">
        <f>SUM('PF M BID'!P40:AA40)</f>
        <v>0</v>
      </c>
      <c r="F37" s="260">
        <f>SUM('PF M BID'!AB40:AM40)</f>
        <v>15000</v>
      </c>
      <c r="G37" s="260">
        <f>SUM('PF M BID'!AN40:AY40)</f>
        <v>35000</v>
      </c>
      <c r="H37" s="260">
        <f>SUM('PF M BID'!AZ40:BK40)</f>
        <v>0</v>
      </c>
      <c r="I37" s="260">
        <f>SUM('PF M BID'!BL40:BW40)</f>
        <v>0</v>
      </c>
      <c r="J37" s="260">
        <f>SUM('PF M BID'!BX40:CI40)</f>
        <v>0</v>
      </c>
    </row>
    <row r="38" spans="1:10" s="261" customFormat="1" x14ac:dyDescent="0.3">
      <c r="A38" s="83" t="str">
        <f>+'PF M BID'!A41</f>
        <v>2.2.7</v>
      </c>
      <c r="B38" s="96" t="str">
        <f>+'PF M BID'!B41</f>
        <v>Contratación de Firma Consultora para la Evaluación Final del Proyecto</v>
      </c>
      <c r="C38" s="259">
        <f>+'PF M BID'!C41</f>
        <v>100000</v>
      </c>
      <c r="D38" s="267">
        <f>SUM('PF M BID'!D41:O41)</f>
        <v>0</v>
      </c>
      <c r="E38" s="267">
        <f>SUM('PF M BID'!P41:AA41)</f>
        <v>0</v>
      </c>
      <c r="F38" s="260">
        <f>SUM('PF M BID'!AB41:AM41)</f>
        <v>0</v>
      </c>
      <c r="G38" s="260">
        <f>SUM('PF M BID'!AN41:AY41)</f>
        <v>0</v>
      </c>
      <c r="H38" s="260">
        <f>SUM('PF M BID'!AZ41:BK41)</f>
        <v>0</v>
      </c>
      <c r="I38" s="260">
        <f>SUM('PF M BID'!BL41:BW41)</f>
        <v>0</v>
      </c>
      <c r="J38" s="260">
        <f>SUM('PF M BID'!BX41:CI41)</f>
        <v>100000</v>
      </c>
    </row>
    <row r="39" spans="1:10" s="261" customFormat="1" x14ac:dyDescent="0.3">
      <c r="A39" s="91">
        <f>+'PF M BID'!A42</f>
        <v>2.2999999999999998</v>
      </c>
      <c r="B39" s="79" t="str">
        <f>+'PF M BID'!B42</f>
        <v>Comisión de Financiamiento (CAF)</v>
      </c>
      <c r="C39" s="259">
        <f>+'PF M BID'!C42</f>
        <v>3400000</v>
      </c>
      <c r="D39" s="258">
        <f>SUM('PF M BID'!D42:O42)</f>
        <v>485714.28571428574</v>
      </c>
      <c r="E39" s="258">
        <f>SUM('PF M BID'!P42:AA42)</f>
        <v>485714.28571428574</v>
      </c>
      <c r="F39" s="258">
        <f>SUM('PF M BID'!AB42:AM42)</f>
        <v>485714.28571428574</v>
      </c>
      <c r="G39" s="258">
        <f>SUM('PF M BID'!AN42:AY42)</f>
        <v>485714.28571428574</v>
      </c>
      <c r="H39" s="258">
        <f>SUM('PF M BID'!AZ42:BK42)</f>
        <v>485714.28571428574</v>
      </c>
      <c r="I39" s="258">
        <f>SUM('PF M BID'!BL42:BW42)</f>
        <v>485714.28571428574</v>
      </c>
      <c r="J39" s="258">
        <f>SUM('PF M BID'!BX42:CI42)</f>
        <v>485714.28571428574</v>
      </c>
    </row>
    <row r="40" spans="1:10" s="261" customFormat="1" x14ac:dyDescent="0.3">
      <c r="A40" s="91">
        <f>+'PF M BID'!A43</f>
        <v>2.4</v>
      </c>
      <c r="B40" s="79" t="str">
        <f>+'PF M BID'!B43</f>
        <v>Gastos de Evaluación (CAF)</v>
      </c>
      <c r="C40" s="259">
        <f>+'PF M BID'!C43</f>
        <v>50000</v>
      </c>
      <c r="D40" s="258">
        <f>SUM('PF M BID'!D43:O43)</f>
        <v>0</v>
      </c>
      <c r="E40" s="258">
        <f>SUM('PF M BID'!P43:AA43)</f>
        <v>0</v>
      </c>
      <c r="F40" s="258">
        <f>SUM('PF M BID'!AB43:AM43)</f>
        <v>0</v>
      </c>
      <c r="G40" s="258">
        <f>SUM('PF M BID'!AN43:AY43)</f>
        <v>0</v>
      </c>
      <c r="H40" s="258">
        <f>SUM('PF M BID'!AZ43:BK43)</f>
        <v>0</v>
      </c>
      <c r="I40" s="258">
        <f>SUM('PF M BID'!BL43:BW43)</f>
        <v>0</v>
      </c>
      <c r="J40" s="258">
        <f>SUM('PF M BID'!BX43:CI43)</f>
        <v>50000</v>
      </c>
    </row>
    <row r="41" spans="1:10" s="153" customFormat="1" x14ac:dyDescent="0.3">
      <c r="A41" s="262"/>
      <c r="B41" s="263" t="s">
        <v>284</v>
      </c>
      <c r="C41" s="264">
        <f>+C28+C9</f>
        <v>536110000</v>
      </c>
      <c r="D41" s="264">
        <f t="shared" ref="D41:J41" si="2">+D28+D9</f>
        <v>3227857.1428571427</v>
      </c>
      <c r="E41" s="264">
        <f t="shared" si="2"/>
        <v>285336448.21428573</v>
      </c>
      <c r="F41" s="264">
        <f t="shared" si="2"/>
        <v>216810019.04761904</v>
      </c>
      <c r="G41" s="264">
        <f t="shared" si="2"/>
        <v>29871702.380952377</v>
      </c>
      <c r="H41" s="264">
        <f t="shared" si="2"/>
        <v>10134035.714285715</v>
      </c>
      <c r="I41" s="264">
        <f t="shared" si="2"/>
        <v>7259223.2142857146</v>
      </c>
      <c r="J41" s="264">
        <f t="shared" si="2"/>
        <v>7360714.2857142854</v>
      </c>
    </row>
    <row r="42" spans="1:10" s="153" customFormat="1" x14ac:dyDescent="0.3">
      <c r="A42" s="262"/>
      <c r="B42" s="263" t="s">
        <v>285</v>
      </c>
      <c r="C42" s="265"/>
      <c r="D42" s="265">
        <f>D41</f>
        <v>3227857.1428571427</v>
      </c>
      <c r="E42" s="265">
        <f>D42+E41</f>
        <v>288564305.35714287</v>
      </c>
      <c r="F42" s="265">
        <f t="shared" ref="F42:H42" si="3">E42+F41</f>
        <v>505374324.40476191</v>
      </c>
      <c r="G42" s="265">
        <f t="shared" si="3"/>
        <v>535246026.78571427</v>
      </c>
      <c r="H42" s="265">
        <f t="shared" si="3"/>
        <v>545380062.5</v>
      </c>
      <c r="I42" s="265">
        <f t="shared" ref="I42" si="4">H42+I41</f>
        <v>552639285.71428573</v>
      </c>
      <c r="J42" s="265">
        <f t="shared" ref="J42" si="5">I42+J41</f>
        <v>560000000</v>
      </c>
    </row>
    <row r="43" spans="1:10" x14ac:dyDescent="0.3">
      <c r="D43" s="266">
        <f>D41/$C$41</f>
        <v>6.020885905611055E-3</v>
      </c>
      <c r="E43" s="266">
        <f>E41/$C$41</f>
        <v>0.53223489249274536</v>
      </c>
      <c r="F43" s="266">
        <f>F41/$C$41</f>
        <v>0.40441330892469651</v>
      </c>
      <c r="G43" s="266">
        <f>G41/$C$41</f>
        <v>5.5719353082300978E-2</v>
      </c>
      <c r="H43" s="266">
        <f>H41/$C$41</f>
        <v>1.8902903721784176E-2</v>
      </c>
      <c r="I43" s="266">
        <f t="shared" ref="I43:J43" si="6">I41/$C$41</f>
        <v>1.3540548048508169E-2</v>
      </c>
      <c r="J43" s="266">
        <f t="shared" si="6"/>
        <v>1.3729858211401177E-2</v>
      </c>
    </row>
  </sheetData>
  <mergeCells count="1">
    <mergeCell ref="A8:B8"/>
  </mergeCells>
  <printOptions horizontalCentered="1"/>
  <pageMargins left="0.70866141732283472" right="0.70866141732283472" top="0.51181102362204722" bottom="0.27559055118110237" header="0.31496062992125984" footer="0.31496062992125984"/>
  <pageSetup paperSize="9" scale="6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Y82"/>
  <sheetViews>
    <sheetView topLeftCell="B1" zoomScale="55" zoomScaleNormal="55" workbookViewId="0">
      <selection activeCell="M12" sqref="M12"/>
    </sheetView>
  </sheetViews>
  <sheetFormatPr defaultColWidth="9.109375" defaultRowHeight="13.8" x14ac:dyDescent="0.25"/>
  <cols>
    <col min="1" max="1" width="6" style="282" hidden="1" customWidth="1"/>
    <col min="2" max="2" width="15.5546875" style="282" customWidth="1"/>
    <col min="3" max="3" width="38.88671875" style="284" customWidth="1"/>
    <col min="4" max="4" width="15.109375" style="285" customWidth="1"/>
    <col min="5" max="5" width="18" style="282" customWidth="1"/>
    <col min="6" max="6" width="9.44140625" style="282" customWidth="1"/>
    <col min="7" max="7" width="17" style="286" customWidth="1"/>
    <col min="8" max="8" width="16.109375" style="282" customWidth="1"/>
    <col min="9" max="9" width="11" style="282" customWidth="1"/>
    <col min="10" max="10" width="26.33203125" style="282" customWidth="1"/>
    <col min="11" max="11" width="14.5546875" style="282" customWidth="1"/>
    <col min="12" max="12" width="17.88671875" style="287" customWidth="1"/>
    <col min="13" max="13" width="18.109375" style="287" customWidth="1"/>
    <col min="14" max="14" width="18.44140625" style="285" customWidth="1"/>
    <col min="15" max="15" width="34.33203125" style="282" customWidth="1"/>
    <col min="16" max="16" width="21" style="282" customWidth="1"/>
    <col min="17" max="17" width="9.109375" style="288"/>
    <col min="18" max="18" width="68.5546875" style="288" hidden="1" customWidth="1"/>
    <col min="19" max="19" width="57.44140625" style="288" hidden="1" customWidth="1"/>
    <col min="20" max="207" width="9.109375" style="288"/>
    <col min="208" max="16384" width="9.109375" style="282"/>
  </cols>
  <sheetData>
    <row r="1" spans="1:207" x14ac:dyDescent="0.3">
      <c r="B1" s="283" t="s">
        <v>286</v>
      </c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2"/>
      <c r="AN1" s="282"/>
      <c r="AO1" s="282"/>
      <c r="AP1" s="282"/>
      <c r="AQ1" s="282"/>
      <c r="AR1" s="282"/>
      <c r="AS1" s="282"/>
      <c r="AT1" s="282"/>
      <c r="AU1" s="282"/>
      <c r="AV1" s="282"/>
      <c r="AW1" s="282"/>
      <c r="AX1" s="282"/>
      <c r="AY1" s="282"/>
      <c r="AZ1" s="282"/>
      <c r="BA1" s="282"/>
      <c r="BB1" s="282"/>
      <c r="BC1" s="282"/>
      <c r="BD1" s="282"/>
      <c r="BE1" s="282"/>
      <c r="BF1" s="282"/>
      <c r="BG1" s="282"/>
      <c r="BH1" s="282"/>
      <c r="BI1" s="282"/>
      <c r="BJ1" s="282"/>
      <c r="BK1" s="282"/>
      <c r="BL1" s="282"/>
      <c r="BM1" s="282"/>
      <c r="BN1" s="282"/>
      <c r="BO1" s="282"/>
      <c r="BP1" s="282"/>
      <c r="BQ1" s="282"/>
      <c r="BR1" s="282"/>
      <c r="BS1" s="282"/>
      <c r="BT1" s="282"/>
      <c r="BU1" s="282"/>
      <c r="BV1" s="282"/>
      <c r="BW1" s="282"/>
      <c r="BX1" s="282"/>
      <c r="BY1" s="282"/>
      <c r="BZ1" s="282"/>
      <c r="CA1" s="282"/>
      <c r="CB1" s="282"/>
      <c r="CC1" s="282"/>
      <c r="CD1" s="282"/>
      <c r="CE1" s="282"/>
      <c r="CF1" s="282"/>
      <c r="CG1" s="282"/>
      <c r="CH1" s="282"/>
      <c r="CI1" s="282"/>
      <c r="CJ1" s="282"/>
      <c r="CK1" s="282"/>
      <c r="CL1" s="282"/>
      <c r="CM1" s="282"/>
      <c r="CN1" s="282"/>
      <c r="CO1" s="282"/>
      <c r="CP1" s="282"/>
      <c r="CQ1" s="282"/>
      <c r="CR1" s="282"/>
      <c r="CS1" s="282"/>
      <c r="CT1" s="282"/>
      <c r="CU1" s="282"/>
      <c r="CV1" s="282"/>
      <c r="CW1" s="282"/>
      <c r="CX1" s="282"/>
      <c r="CY1" s="282"/>
      <c r="CZ1" s="282"/>
      <c r="DA1" s="282"/>
      <c r="DB1" s="282"/>
      <c r="DC1" s="282"/>
      <c r="DD1" s="282"/>
      <c r="DE1" s="282"/>
      <c r="DF1" s="282"/>
      <c r="DG1" s="282"/>
      <c r="DH1" s="282"/>
      <c r="DI1" s="282"/>
      <c r="DJ1" s="282"/>
      <c r="DK1" s="282"/>
      <c r="DL1" s="282"/>
      <c r="DM1" s="282"/>
      <c r="DN1" s="282"/>
      <c r="DO1" s="282"/>
      <c r="DP1" s="282"/>
      <c r="DQ1" s="282"/>
      <c r="DR1" s="282"/>
      <c r="DS1" s="282"/>
      <c r="DT1" s="282"/>
      <c r="DU1" s="282"/>
      <c r="DV1" s="282"/>
      <c r="DW1" s="282"/>
      <c r="DX1" s="282"/>
      <c r="DY1" s="282"/>
      <c r="DZ1" s="282"/>
      <c r="EA1" s="282"/>
      <c r="EB1" s="282"/>
      <c r="EC1" s="282"/>
      <c r="ED1" s="282"/>
      <c r="EE1" s="282"/>
      <c r="EF1" s="282"/>
      <c r="EG1" s="282"/>
      <c r="EH1" s="282"/>
      <c r="EI1" s="282"/>
      <c r="EJ1" s="282"/>
      <c r="EK1" s="282"/>
      <c r="EL1" s="282"/>
      <c r="EM1" s="282"/>
      <c r="EN1" s="282"/>
      <c r="EO1" s="282"/>
      <c r="EP1" s="282"/>
      <c r="EQ1" s="282"/>
      <c r="ER1" s="282"/>
      <c r="ES1" s="282"/>
      <c r="ET1" s="282"/>
      <c r="EU1" s="282"/>
      <c r="EV1" s="282"/>
      <c r="EW1" s="282"/>
      <c r="EX1" s="282"/>
      <c r="EY1" s="282"/>
      <c r="EZ1" s="282"/>
      <c r="FA1" s="282"/>
      <c r="FB1" s="282"/>
      <c r="FC1" s="282"/>
      <c r="FD1" s="282"/>
      <c r="FE1" s="282"/>
      <c r="FF1" s="282"/>
      <c r="FG1" s="282"/>
      <c r="FH1" s="282"/>
      <c r="FI1" s="282"/>
      <c r="FJ1" s="282"/>
      <c r="FK1" s="282"/>
      <c r="FL1" s="282"/>
      <c r="FM1" s="282"/>
      <c r="FN1" s="282"/>
      <c r="FO1" s="282"/>
      <c r="FP1" s="282"/>
      <c r="FQ1" s="282"/>
      <c r="FR1" s="282"/>
      <c r="FS1" s="282"/>
      <c r="FT1" s="282"/>
      <c r="FU1" s="282"/>
      <c r="FV1" s="282"/>
      <c r="FW1" s="282"/>
      <c r="FX1" s="282"/>
      <c r="FY1" s="282"/>
      <c r="FZ1" s="282"/>
      <c r="GA1" s="282"/>
      <c r="GB1" s="282"/>
      <c r="GC1" s="282"/>
      <c r="GD1" s="282"/>
      <c r="GE1" s="282"/>
      <c r="GF1" s="282"/>
      <c r="GG1" s="282"/>
      <c r="GH1" s="282"/>
      <c r="GI1" s="282"/>
      <c r="GJ1" s="282"/>
      <c r="GK1" s="282"/>
      <c r="GL1" s="282"/>
      <c r="GM1" s="282"/>
      <c r="GN1" s="282"/>
      <c r="GO1" s="282"/>
      <c r="GP1" s="282"/>
      <c r="GQ1" s="282"/>
      <c r="GR1" s="282"/>
      <c r="GS1" s="282"/>
      <c r="GT1" s="282"/>
      <c r="GU1" s="282"/>
      <c r="GV1" s="282"/>
      <c r="GW1" s="282"/>
      <c r="GX1" s="282"/>
      <c r="GY1" s="282"/>
    </row>
    <row r="2" spans="1:207" x14ac:dyDescent="0.3">
      <c r="B2" s="283" t="s">
        <v>35</v>
      </c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  <c r="AI2" s="282"/>
      <c r="AJ2" s="282"/>
      <c r="AK2" s="282"/>
      <c r="AL2" s="282"/>
      <c r="AM2" s="282"/>
      <c r="AN2" s="282"/>
      <c r="AO2" s="282"/>
      <c r="AP2" s="282"/>
      <c r="AQ2" s="282"/>
      <c r="AR2" s="282"/>
      <c r="AS2" s="282"/>
      <c r="AT2" s="282"/>
      <c r="AU2" s="282"/>
      <c r="AV2" s="282"/>
      <c r="AW2" s="282"/>
      <c r="AX2" s="282"/>
      <c r="AY2" s="282"/>
      <c r="AZ2" s="282"/>
      <c r="BA2" s="282"/>
      <c r="BB2" s="282"/>
      <c r="BC2" s="282"/>
      <c r="BD2" s="282"/>
      <c r="BE2" s="282"/>
      <c r="BF2" s="282"/>
      <c r="BG2" s="282"/>
      <c r="BH2" s="282"/>
      <c r="BI2" s="282"/>
      <c r="BJ2" s="282"/>
      <c r="BK2" s="282"/>
      <c r="BL2" s="282"/>
      <c r="BM2" s="282"/>
      <c r="BN2" s="282"/>
      <c r="BO2" s="282"/>
      <c r="BP2" s="282"/>
      <c r="BQ2" s="282"/>
      <c r="BR2" s="282"/>
      <c r="BS2" s="282"/>
      <c r="BT2" s="282"/>
      <c r="BU2" s="282"/>
      <c r="BV2" s="282"/>
      <c r="BW2" s="282"/>
      <c r="BX2" s="282"/>
      <c r="BY2" s="282"/>
      <c r="BZ2" s="282"/>
      <c r="CA2" s="282"/>
      <c r="CB2" s="282"/>
      <c r="CC2" s="282"/>
      <c r="CD2" s="282"/>
      <c r="CE2" s="282"/>
      <c r="CF2" s="282"/>
      <c r="CG2" s="282"/>
      <c r="CH2" s="282"/>
      <c r="CI2" s="282"/>
      <c r="CJ2" s="282"/>
      <c r="CK2" s="282"/>
      <c r="CL2" s="282"/>
      <c r="CM2" s="282"/>
      <c r="CN2" s="282"/>
      <c r="CO2" s="282"/>
      <c r="CP2" s="282"/>
      <c r="CQ2" s="282"/>
      <c r="CR2" s="282"/>
      <c r="CS2" s="282"/>
      <c r="CT2" s="282"/>
      <c r="CU2" s="282"/>
      <c r="CV2" s="282"/>
      <c r="CW2" s="282"/>
      <c r="CX2" s="282"/>
      <c r="CY2" s="282"/>
      <c r="CZ2" s="282"/>
      <c r="DA2" s="282"/>
      <c r="DB2" s="282"/>
      <c r="DC2" s="282"/>
      <c r="DD2" s="282"/>
      <c r="DE2" s="282"/>
      <c r="DF2" s="282"/>
      <c r="DG2" s="282"/>
      <c r="DH2" s="282"/>
      <c r="DI2" s="282"/>
      <c r="DJ2" s="282"/>
      <c r="DK2" s="282"/>
      <c r="DL2" s="282"/>
      <c r="DM2" s="282"/>
      <c r="DN2" s="282"/>
      <c r="DO2" s="282"/>
      <c r="DP2" s="282"/>
      <c r="DQ2" s="282"/>
      <c r="DR2" s="282"/>
      <c r="DS2" s="282"/>
      <c r="DT2" s="282"/>
      <c r="DU2" s="282"/>
      <c r="DV2" s="282"/>
      <c r="DW2" s="282"/>
      <c r="DX2" s="282"/>
      <c r="DY2" s="282"/>
      <c r="DZ2" s="282"/>
      <c r="EA2" s="282"/>
      <c r="EB2" s="282"/>
      <c r="EC2" s="282"/>
      <c r="ED2" s="282"/>
      <c r="EE2" s="282"/>
      <c r="EF2" s="282"/>
      <c r="EG2" s="282"/>
      <c r="EH2" s="282"/>
      <c r="EI2" s="282"/>
      <c r="EJ2" s="282"/>
      <c r="EK2" s="282"/>
      <c r="EL2" s="282"/>
      <c r="EM2" s="282"/>
      <c r="EN2" s="282"/>
      <c r="EO2" s="282"/>
      <c r="EP2" s="282"/>
      <c r="EQ2" s="282"/>
      <c r="ER2" s="282"/>
      <c r="ES2" s="282"/>
      <c r="ET2" s="282"/>
      <c r="EU2" s="282"/>
      <c r="EV2" s="282"/>
      <c r="EW2" s="282"/>
      <c r="EX2" s="282"/>
      <c r="EY2" s="282"/>
      <c r="EZ2" s="282"/>
      <c r="FA2" s="282"/>
      <c r="FB2" s="282"/>
      <c r="FC2" s="282"/>
      <c r="FD2" s="282"/>
      <c r="FE2" s="282"/>
      <c r="FF2" s="282"/>
      <c r="FG2" s="282"/>
      <c r="FH2" s="282"/>
      <c r="FI2" s="282"/>
      <c r="FJ2" s="282"/>
      <c r="FK2" s="282"/>
      <c r="FL2" s="282"/>
      <c r="FM2" s="282"/>
      <c r="FN2" s="282"/>
      <c r="FO2" s="282"/>
      <c r="FP2" s="282"/>
      <c r="FQ2" s="282"/>
      <c r="FR2" s="282"/>
      <c r="FS2" s="282"/>
      <c r="FT2" s="282"/>
      <c r="FU2" s="282"/>
      <c r="FV2" s="282"/>
      <c r="FW2" s="282"/>
      <c r="FX2" s="282"/>
      <c r="FY2" s="282"/>
      <c r="FZ2" s="282"/>
      <c r="GA2" s="282"/>
      <c r="GB2" s="282"/>
      <c r="GC2" s="282"/>
      <c r="GD2" s="282"/>
      <c r="GE2" s="282"/>
      <c r="GF2" s="282"/>
      <c r="GG2" s="282"/>
      <c r="GH2" s="282"/>
      <c r="GI2" s="282"/>
      <c r="GJ2" s="282"/>
      <c r="GK2" s="282"/>
      <c r="GL2" s="282"/>
      <c r="GM2" s="282"/>
      <c r="GN2" s="282"/>
      <c r="GO2" s="282"/>
      <c r="GP2" s="282"/>
      <c r="GQ2" s="282"/>
      <c r="GR2" s="282"/>
      <c r="GS2" s="282"/>
      <c r="GT2" s="282"/>
      <c r="GU2" s="282"/>
      <c r="GV2" s="282"/>
      <c r="GW2" s="282"/>
      <c r="GX2" s="282"/>
      <c r="GY2" s="282"/>
    </row>
    <row r="3" spans="1:207" x14ac:dyDescent="0.3">
      <c r="B3" s="289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  <c r="AN3" s="282"/>
      <c r="AO3" s="282"/>
      <c r="AP3" s="282"/>
      <c r="AQ3" s="282"/>
      <c r="AR3" s="282"/>
      <c r="AS3" s="282"/>
      <c r="AT3" s="282"/>
      <c r="AU3" s="282"/>
      <c r="AV3" s="282"/>
      <c r="AW3" s="282"/>
      <c r="AX3" s="282"/>
      <c r="AY3" s="282"/>
      <c r="AZ3" s="282"/>
      <c r="BA3" s="282"/>
      <c r="BB3" s="282"/>
      <c r="BC3" s="282"/>
      <c r="BD3" s="282"/>
      <c r="BE3" s="282"/>
      <c r="BF3" s="282"/>
      <c r="BG3" s="282"/>
      <c r="BH3" s="282"/>
      <c r="BI3" s="282"/>
      <c r="BJ3" s="282"/>
      <c r="BK3" s="282"/>
      <c r="BL3" s="282"/>
      <c r="BM3" s="282"/>
      <c r="BN3" s="282"/>
      <c r="BO3" s="282"/>
      <c r="BP3" s="282"/>
      <c r="BQ3" s="282"/>
      <c r="BR3" s="282"/>
      <c r="BS3" s="282"/>
      <c r="BT3" s="282"/>
      <c r="BU3" s="282"/>
      <c r="BV3" s="282"/>
      <c r="BW3" s="282"/>
      <c r="BX3" s="282"/>
      <c r="BY3" s="282"/>
      <c r="BZ3" s="282"/>
      <c r="CA3" s="282"/>
      <c r="CB3" s="282"/>
      <c r="CC3" s="282"/>
      <c r="CD3" s="282"/>
      <c r="CE3" s="282"/>
      <c r="CF3" s="282"/>
      <c r="CG3" s="282"/>
      <c r="CH3" s="282"/>
      <c r="CI3" s="282"/>
      <c r="CJ3" s="282"/>
      <c r="CK3" s="282"/>
      <c r="CL3" s="282"/>
      <c r="CM3" s="282"/>
      <c r="CN3" s="282"/>
      <c r="CO3" s="282"/>
      <c r="CP3" s="282"/>
      <c r="CQ3" s="282"/>
      <c r="CR3" s="282"/>
      <c r="CS3" s="282"/>
      <c r="CT3" s="282"/>
      <c r="CU3" s="282"/>
      <c r="CV3" s="282"/>
      <c r="CW3" s="282"/>
      <c r="CX3" s="282"/>
      <c r="CY3" s="282"/>
      <c r="CZ3" s="282"/>
      <c r="DA3" s="282"/>
      <c r="DB3" s="282"/>
      <c r="DC3" s="282"/>
      <c r="DD3" s="282"/>
      <c r="DE3" s="282"/>
      <c r="DF3" s="282"/>
      <c r="DG3" s="282"/>
      <c r="DH3" s="282"/>
      <c r="DI3" s="282"/>
      <c r="DJ3" s="282"/>
      <c r="DK3" s="282"/>
      <c r="DL3" s="282"/>
      <c r="DM3" s="282"/>
      <c r="DN3" s="282"/>
      <c r="DO3" s="282"/>
      <c r="DP3" s="282"/>
      <c r="DQ3" s="282"/>
      <c r="DR3" s="282"/>
      <c r="DS3" s="282"/>
      <c r="DT3" s="282"/>
      <c r="DU3" s="282"/>
      <c r="DV3" s="282"/>
      <c r="DW3" s="282"/>
      <c r="DX3" s="282"/>
      <c r="DY3" s="282"/>
      <c r="DZ3" s="282"/>
      <c r="EA3" s="282"/>
      <c r="EB3" s="282"/>
      <c r="EC3" s="282"/>
      <c r="ED3" s="282"/>
      <c r="EE3" s="282"/>
      <c r="EF3" s="282"/>
      <c r="EG3" s="282"/>
      <c r="EH3" s="282"/>
      <c r="EI3" s="282"/>
      <c r="EJ3" s="282"/>
      <c r="EK3" s="282"/>
      <c r="EL3" s="282"/>
      <c r="EM3" s="282"/>
      <c r="EN3" s="282"/>
      <c r="EO3" s="282"/>
      <c r="EP3" s="282"/>
      <c r="EQ3" s="282"/>
      <c r="ER3" s="282"/>
      <c r="ES3" s="282"/>
      <c r="ET3" s="282"/>
      <c r="EU3" s="282"/>
      <c r="EV3" s="282"/>
      <c r="EW3" s="282"/>
      <c r="EX3" s="282"/>
      <c r="EY3" s="282"/>
      <c r="EZ3" s="282"/>
      <c r="FA3" s="282"/>
      <c r="FB3" s="282"/>
      <c r="FC3" s="282"/>
      <c r="FD3" s="282"/>
      <c r="FE3" s="282"/>
      <c r="FF3" s="282"/>
      <c r="FG3" s="282"/>
      <c r="FH3" s="282"/>
      <c r="FI3" s="282"/>
      <c r="FJ3" s="282"/>
      <c r="FK3" s="282"/>
      <c r="FL3" s="282"/>
      <c r="FM3" s="282"/>
      <c r="FN3" s="282"/>
      <c r="FO3" s="282"/>
      <c r="FP3" s="282"/>
      <c r="FQ3" s="282"/>
      <c r="FR3" s="282"/>
      <c r="FS3" s="282"/>
      <c r="FT3" s="282"/>
      <c r="FU3" s="282"/>
      <c r="FV3" s="282"/>
      <c r="FW3" s="282"/>
      <c r="FX3" s="282"/>
      <c r="FY3" s="282"/>
      <c r="FZ3" s="282"/>
      <c r="GA3" s="282"/>
      <c r="GB3" s="282"/>
      <c r="GC3" s="282"/>
      <c r="GD3" s="282"/>
      <c r="GE3" s="282"/>
      <c r="GF3" s="282"/>
      <c r="GG3" s="282"/>
      <c r="GH3" s="282"/>
      <c r="GI3" s="282"/>
      <c r="GJ3" s="282"/>
      <c r="GK3" s="282"/>
      <c r="GL3" s="282"/>
      <c r="GM3" s="282"/>
      <c r="GN3" s="282"/>
      <c r="GO3" s="282"/>
      <c r="GP3" s="282"/>
      <c r="GQ3" s="282"/>
      <c r="GR3" s="282"/>
      <c r="GS3" s="282"/>
      <c r="GT3" s="282"/>
      <c r="GU3" s="282"/>
      <c r="GV3" s="282"/>
      <c r="GW3" s="282"/>
      <c r="GX3" s="282"/>
      <c r="GY3" s="282"/>
    </row>
    <row r="4" spans="1:207" x14ac:dyDescent="0.3">
      <c r="B4" s="392" t="str">
        <f>'CC D'!A4</f>
        <v>Operación:</v>
      </c>
      <c r="C4" s="471" t="s">
        <v>287</v>
      </c>
      <c r="D4" s="471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282"/>
      <c r="AR4" s="282"/>
      <c r="AS4" s="282"/>
      <c r="AT4" s="282"/>
      <c r="AU4" s="282"/>
      <c r="AV4" s="282"/>
      <c r="AW4" s="282"/>
      <c r="AX4" s="282"/>
      <c r="AY4" s="282"/>
      <c r="AZ4" s="282"/>
      <c r="BA4" s="282"/>
      <c r="BB4" s="282"/>
      <c r="BC4" s="282"/>
      <c r="BD4" s="282"/>
      <c r="BE4" s="282"/>
      <c r="BF4" s="282"/>
      <c r="BG4" s="282"/>
      <c r="BH4" s="282"/>
      <c r="BI4" s="282"/>
      <c r="BJ4" s="282"/>
      <c r="BK4" s="282"/>
      <c r="BL4" s="282"/>
      <c r="BM4" s="282"/>
      <c r="BN4" s="282"/>
      <c r="BO4" s="282"/>
      <c r="BP4" s="282"/>
      <c r="BQ4" s="282"/>
      <c r="BR4" s="282"/>
      <c r="BS4" s="282"/>
      <c r="BT4" s="282"/>
      <c r="BU4" s="282"/>
      <c r="BV4" s="282"/>
      <c r="BW4" s="282"/>
      <c r="BX4" s="282"/>
      <c r="BY4" s="282"/>
      <c r="BZ4" s="282"/>
      <c r="CA4" s="282"/>
      <c r="CB4" s="282"/>
      <c r="CC4" s="282"/>
      <c r="CD4" s="282"/>
      <c r="CE4" s="282"/>
      <c r="CF4" s="282"/>
      <c r="CG4" s="282"/>
      <c r="CH4" s="282"/>
      <c r="CI4" s="282"/>
      <c r="CJ4" s="282"/>
      <c r="CK4" s="282"/>
      <c r="CL4" s="282"/>
      <c r="CM4" s="282"/>
      <c r="CN4" s="282"/>
      <c r="CO4" s="282"/>
      <c r="CP4" s="282"/>
      <c r="CQ4" s="282"/>
      <c r="CR4" s="282"/>
      <c r="CS4" s="282"/>
      <c r="CT4" s="282"/>
      <c r="CU4" s="282"/>
      <c r="CV4" s="282"/>
      <c r="CW4" s="282"/>
      <c r="CX4" s="282"/>
      <c r="CY4" s="282"/>
      <c r="CZ4" s="282"/>
      <c r="DA4" s="282"/>
      <c r="DB4" s="282"/>
      <c r="DC4" s="282"/>
      <c r="DD4" s="282"/>
      <c r="DE4" s="282"/>
      <c r="DF4" s="282"/>
      <c r="DG4" s="282"/>
      <c r="DH4" s="282"/>
      <c r="DI4" s="282"/>
      <c r="DJ4" s="282"/>
      <c r="DK4" s="282"/>
      <c r="DL4" s="282"/>
      <c r="DM4" s="282"/>
      <c r="DN4" s="282"/>
      <c r="DO4" s="282"/>
      <c r="DP4" s="282"/>
      <c r="DQ4" s="282"/>
      <c r="DR4" s="282"/>
      <c r="DS4" s="282"/>
      <c r="DT4" s="282"/>
      <c r="DU4" s="282"/>
      <c r="DV4" s="282"/>
      <c r="DW4" s="282"/>
      <c r="DX4" s="282"/>
      <c r="DY4" s="282"/>
      <c r="DZ4" s="282"/>
      <c r="EA4" s="282"/>
      <c r="EB4" s="282"/>
      <c r="EC4" s="282"/>
      <c r="ED4" s="282"/>
      <c r="EE4" s="282"/>
      <c r="EF4" s="282"/>
      <c r="EG4" s="282"/>
      <c r="EH4" s="282"/>
      <c r="EI4" s="282"/>
      <c r="EJ4" s="282"/>
      <c r="EK4" s="282"/>
      <c r="EL4" s="282"/>
      <c r="EM4" s="282"/>
      <c r="EN4" s="282"/>
      <c r="EO4" s="282"/>
      <c r="EP4" s="282"/>
      <c r="EQ4" s="282"/>
      <c r="ER4" s="282"/>
      <c r="ES4" s="282"/>
      <c r="ET4" s="282"/>
      <c r="EU4" s="282"/>
      <c r="EV4" s="282"/>
      <c r="EW4" s="282"/>
      <c r="EX4" s="282"/>
      <c r="EY4" s="282"/>
      <c r="EZ4" s="282"/>
      <c r="FA4" s="282"/>
      <c r="FB4" s="282"/>
      <c r="FC4" s="282"/>
      <c r="FD4" s="282"/>
      <c r="FE4" s="282"/>
      <c r="FF4" s="282"/>
      <c r="FG4" s="282"/>
      <c r="FH4" s="282"/>
      <c r="FI4" s="282"/>
      <c r="FJ4" s="282"/>
      <c r="FK4" s="282"/>
      <c r="FL4" s="282"/>
      <c r="FM4" s="282"/>
      <c r="FN4" s="282"/>
      <c r="FO4" s="282"/>
      <c r="FP4" s="282"/>
      <c r="FQ4" s="282"/>
      <c r="FR4" s="282"/>
      <c r="FS4" s="282"/>
      <c r="FT4" s="282"/>
      <c r="FU4" s="282"/>
      <c r="FV4" s="282"/>
      <c r="FW4" s="282"/>
      <c r="FX4" s="282"/>
      <c r="FY4" s="282"/>
      <c r="FZ4" s="282"/>
      <c r="GA4" s="282"/>
      <c r="GB4" s="282"/>
      <c r="GC4" s="282"/>
      <c r="GD4" s="282"/>
      <c r="GE4" s="282"/>
      <c r="GF4" s="282"/>
      <c r="GG4" s="282"/>
      <c r="GH4" s="282"/>
      <c r="GI4" s="282"/>
      <c r="GJ4" s="282"/>
      <c r="GK4" s="282"/>
      <c r="GL4" s="282"/>
      <c r="GM4" s="282"/>
      <c r="GN4" s="282"/>
      <c r="GO4" s="282"/>
      <c r="GP4" s="282"/>
      <c r="GQ4" s="282"/>
      <c r="GR4" s="282"/>
      <c r="GS4" s="282"/>
      <c r="GT4" s="282"/>
      <c r="GU4" s="282"/>
      <c r="GV4" s="282"/>
      <c r="GW4" s="282"/>
      <c r="GX4" s="282"/>
      <c r="GY4" s="282"/>
    </row>
    <row r="5" spans="1:207" x14ac:dyDescent="0.3">
      <c r="B5" s="289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282"/>
      <c r="AJ5" s="282"/>
      <c r="AK5" s="282"/>
      <c r="AL5" s="282"/>
      <c r="AM5" s="282"/>
      <c r="AN5" s="282"/>
      <c r="AO5" s="282"/>
      <c r="AP5" s="282"/>
      <c r="AQ5" s="282"/>
      <c r="AR5" s="282"/>
      <c r="AS5" s="282"/>
      <c r="AT5" s="282"/>
      <c r="AU5" s="282"/>
      <c r="AV5" s="282"/>
      <c r="AW5" s="282"/>
      <c r="AX5" s="282"/>
      <c r="AY5" s="282"/>
      <c r="AZ5" s="282"/>
      <c r="BA5" s="282"/>
      <c r="BB5" s="282"/>
      <c r="BC5" s="282"/>
      <c r="BD5" s="282"/>
      <c r="BE5" s="282"/>
      <c r="BF5" s="282"/>
      <c r="BG5" s="282"/>
      <c r="BH5" s="282"/>
      <c r="BI5" s="282"/>
      <c r="BJ5" s="282"/>
      <c r="BK5" s="282"/>
      <c r="BL5" s="282"/>
      <c r="BM5" s="282"/>
      <c r="BN5" s="282"/>
      <c r="BO5" s="282"/>
      <c r="BP5" s="282"/>
      <c r="BQ5" s="282"/>
      <c r="BR5" s="282"/>
      <c r="BS5" s="282"/>
      <c r="BT5" s="282"/>
      <c r="BU5" s="282"/>
      <c r="BV5" s="282"/>
      <c r="BW5" s="282"/>
      <c r="BX5" s="282"/>
      <c r="BY5" s="282"/>
      <c r="BZ5" s="282"/>
      <c r="CA5" s="282"/>
      <c r="CB5" s="282"/>
      <c r="CC5" s="282"/>
      <c r="CD5" s="282"/>
      <c r="CE5" s="282"/>
      <c r="CF5" s="282"/>
      <c r="CG5" s="282"/>
      <c r="CH5" s="282"/>
      <c r="CI5" s="282"/>
      <c r="CJ5" s="282"/>
      <c r="CK5" s="282"/>
      <c r="CL5" s="282"/>
      <c r="CM5" s="282"/>
      <c r="CN5" s="282"/>
      <c r="CO5" s="282"/>
      <c r="CP5" s="282"/>
      <c r="CQ5" s="282"/>
      <c r="CR5" s="282"/>
      <c r="CS5" s="282"/>
      <c r="CT5" s="282"/>
      <c r="CU5" s="282"/>
      <c r="CV5" s="282"/>
      <c r="CW5" s="282"/>
      <c r="CX5" s="282"/>
      <c r="CY5" s="282"/>
      <c r="CZ5" s="282"/>
      <c r="DA5" s="282"/>
      <c r="DB5" s="282"/>
      <c r="DC5" s="282"/>
      <c r="DD5" s="282"/>
      <c r="DE5" s="282"/>
      <c r="DF5" s="282"/>
      <c r="DG5" s="282"/>
      <c r="DH5" s="282"/>
      <c r="DI5" s="282"/>
      <c r="DJ5" s="282"/>
      <c r="DK5" s="282"/>
      <c r="DL5" s="282"/>
      <c r="DM5" s="282"/>
      <c r="DN5" s="282"/>
      <c r="DO5" s="282"/>
      <c r="DP5" s="282"/>
      <c r="DQ5" s="282"/>
      <c r="DR5" s="282"/>
      <c r="DS5" s="282"/>
      <c r="DT5" s="282"/>
      <c r="DU5" s="282"/>
      <c r="DV5" s="282"/>
      <c r="DW5" s="282"/>
      <c r="DX5" s="282"/>
      <c r="DY5" s="282"/>
      <c r="DZ5" s="282"/>
      <c r="EA5" s="282"/>
      <c r="EB5" s="282"/>
      <c r="EC5" s="282"/>
      <c r="ED5" s="282"/>
      <c r="EE5" s="282"/>
      <c r="EF5" s="282"/>
      <c r="EG5" s="282"/>
      <c r="EH5" s="282"/>
      <c r="EI5" s="282"/>
      <c r="EJ5" s="282"/>
      <c r="EK5" s="282"/>
      <c r="EL5" s="282"/>
      <c r="EM5" s="282"/>
      <c r="EN5" s="282"/>
      <c r="EO5" s="282"/>
      <c r="EP5" s="282"/>
      <c r="EQ5" s="282"/>
      <c r="ER5" s="282"/>
      <c r="ES5" s="282"/>
      <c r="ET5" s="282"/>
      <c r="EU5" s="282"/>
      <c r="EV5" s="282"/>
      <c r="EW5" s="282"/>
      <c r="EX5" s="282"/>
      <c r="EY5" s="282"/>
      <c r="EZ5" s="282"/>
      <c r="FA5" s="282"/>
      <c r="FB5" s="282"/>
      <c r="FC5" s="282"/>
      <c r="FD5" s="282"/>
      <c r="FE5" s="282"/>
      <c r="FF5" s="282"/>
      <c r="FG5" s="282"/>
      <c r="FH5" s="282"/>
      <c r="FI5" s="282"/>
      <c r="FJ5" s="282"/>
      <c r="FK5" s="282"/>
      <c r="FL5" s="282"/>
      <c r="FM5" s="282"/>
      <c r="FN5" s="282"/>
      <c r="FO5" s="282"/>
      <c r="FP5" s="282"/>
      <c r="FQ5" s="282"/>
      <c r="FR5" s="282"/>
      <c r="FS5" s="282"/>
      <c r="FT5" s="282"/>
      <c r="FU5" s="282"/>
      <c r="FV5" s="282"/>
      <c r="FW5" s="282"/>
      <c r="FX5" s="282"/>
      <c r="FY5" s="282"/>
      <c r="FZ5" s="282"/>
      <c r="GA5" s="282"/>
      <c r="GB5" s="282"/>
      <c r="GC5" s="282"/>
      <c r="GD5" s="282"/>
      <c r="GE5" s="282"/>
      <c r="GF5" s="282"/>
      <c r="GG5" s="282"/>
      <c r="GH5" s="282"/>
      <c r="GI5" s="282"/>
      <c r="GJ5" s="282"/>
      <c r="GK5" s="282"/>
      <c r="GL5" s="282"/>
      <c r="GM5" s="282"/>
      <c r="GN5" s="282"/>
      <c r="GO5" s="282"/>
      <c r="GP5" s="282"/>
      <c r="GQ5" s="282"/>
      <c r="GR5" s="282"/>
      <c r="GS5" s="282"/>
      <c r="GT5" s="282"/>
      <c r="GU5" s="282"/>
      <c r="GV5" s="282"/>
      <c r="GW5" s="282"/>
      <c r="GX5" s="282"/>
      <c r="GY5" s="282"/>
    </row>
    <row r="6" spans="1:207" x14ac:dyDescent="0.3">
      <c r="B6" s="283" t="s">
        <v>37</v>
      </c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82"/>
      <c r="AQ6" s="282"/>
      <c r="AR6" s="282"/>
      <c r="AS6" s="282"/>
      <c r="AT6" s="282"/>
      <c r="AU6" s="282"/>
      <c r="AV6" s="282"/>
      <c r="AW6" s="282"/>
      <c r="AX6" s="282"/>
      <c r="AY6" s="282"/>
      <c r="AZ6" s="282"/>
      <c r="BA6" s="282"/>
      <c r="BB6" s="282"/>
      <c r="BC6" s="282"/>
      <c r="BD6" s="282"/>
      <c r="BE6" s="282"/>
      <c r="BF6" s="282"/>
      <c r="BG6" s="282"/>
      <c r="BH6" s="282"/>
      <c r="BI6" s="282"/>
      <c r="BJ6" s="282"/>
      <c r="BK6" s="282"/>
      <c r="BL6" s="282"/>
      <c r="BM6" s="282"/>
      <c r="BN6" s="282"/>
      <c r="BO6" s="282"/>
      <c r="BP6" s="282"/>
      <c r="BQ6" s="282"/>
      <c r="BR6" s="282"/>
      <c r="BS6" s="282"/>
      <c r="BT6" s="282"/>
      <c r="BU6" s="282"/>
      <c r="BV6" s="282"/>
      <c r="BW6" s="282"/>
      <c r="BX6" s="282"/>
      <c r="BY6" s="282"/>
      <c r="BZ6" s="282"/>
      <c r="CA6" s="282"/>
      <c r="CB6" s="282"/>
      <c r="CC6" s="282"/>
      <c r="CD6" s="282"/>
      <c r="CE6" s="282"/>
      <c r="CF6" s="282"/>
      <c r="CG6" s="282"/>
      <c r="CH6" s="282"/>
      <c r="CI6" s="282"/>
      <c r="CJ6" s="282"/>
      <c r="CK6" s="282"/>
      <c r="CL6" s="282"/>
      <c r="CM6" s="282"/>
      <c r="CN6" s="282"/>
      <c r="CO6" s="282"/>
      <c r="CP6" s="282"/>
      <c r="CQ6" s="282"/>
      <c r="CR6" s="282"/>
      <c r="CS6" s="282"/>
      <c r="CT6" s="282"/>
      <c r="CU6" s="282"/>
      <c r="CV6" s="282"/>
      <c r="CW6" s="282"/>
      <c r="CX6" s="282"/>
      <c r="CY6" s="282"/>
      <c r="CZ6" s="282"/>
      <c r="DA6" s="282"/>
      <c r="DB6" s="282"/>
      <c r="DC6" s="282"/>
      <c r="DD6" s="282"/>
      <c r="DE6" s="282"/>
      <c r="DF6" s="282"/>
      <c r="DG6" s="282"/>
      <c r="DH6" s="282"/>
      <c r="DI6" s="282"/>
      <c r="DJ6" s="282"/>
      <c r="DK6" s="282"/>
      <c r="DL6" s="282"/>
      <c r="DM6" s="282"/>
      <c r="DN6" s="282"/>
      <c r="DO6" s="282"/>
      <c r="DP6" s="282"/>
      <c r="DQ6" s="282"/>
      <c r="DR6" s="282"/>
      <c r="DS6" s="282"/>
      <c r="DT6" s="282"/>
      <c r="DU6" s="282"/>
      <c r="DV6" s="282"/>
      <c r="DW6" s="282"/>
      <c r="DX6" s="282"/>
      <c r="DY6" s="282"/>
      <c r="DZ6" s="282"/>
      <c r="EA6" s="282"/>
      <c r="EB6" s="282"/>
      <c r="EC6" s="282"/>
      <c r="ED6" s="282"/>
      <c r="EE6" s="282"/>
      <c r="EF6" s="282"/>
      <c r="EG6" s="282"/>
      <c r="EH6" s="282"/>
      <c r="EI6" s="282"/>
      <c r="EJ6" s="282"/>
      <c r="EK6" s="282"/>
      <c r="EL6" s="282"/>
      <c r="EM6" s="282"/>
      <c r="EN6" s="282"/>
      <c r="EO6" s="282"/>
      <c r="EP6" s="282"/>
      <c r="EQ6" s="282"/>
      <c r="ER6" s="282"/>
      <c r="ES6" s="282"/>
      <c r="ET6" s="282"/>
      <c r="EU6" s="282"/>
      <c r="EV6" s="282"/>
      <c r="EW6" s="282"/>
      <c r="EX6" s="282"/>
      <c r="EY6" s="282"/>
      <c r="EZ6" s="282"/>
      <c r="FA6" s="282"/>
      <c r="FB6" s="282"/>
      <c r="FC6" s="282"/>
      <c r="FD6" s="282"/>
      <c r="FE6" s="282"/>
      <c r="FF6" s="282"/>
      <c r="FG6" s="282"/>
      <c r="FH6" s="282"/>
      <c r="FI6" s="282"/>
      <c r="FJ6" s="282"/>
      <c r="FK6" s="282"/>
      <c r="FL6" s="282"/>
      <c r="FM6" s="282"/>
      <c r="FN6" s="282"/>
      <c r="FO6" s="282"/>
      <c r="FP6" s="282"/>
      <c r="FQ6" s="282"/>
      <c r="FR6" s="282"/>
      <c r="FS6" s="282"/>
      <c r="FT6" s="282"/>
      <c r="FU6" s="282"/>
      <c r="FV6" s="282"/>
      <c r="FW6" s="282"/>
      <c r="FX6" s="282"/>
      <c r="FY6" s="282"/>
      <c r="FZ6" s="282"/>
      <c r="GA6" s="282"/>
      <c r="GB6" s="282"/>
      <c r="GC6" s="282"/>
      <c r="GD6" s="282"/>
      <c r="GE6" s="282"/>
      <c r="GF6" s="282"/>
      <c r="GG6" s="282"/>
      <c r="GH6" s="282"/>
      <c r="GI6" s="282"/>
      <c r="GJ6" s="282"/>
      <c r="GK6" s="282"/>
      <c r="GL6" s="282"/>
      <c r="GM6" s="282"/>
      <c r="GN6" s="282"/>
      <c r="GO6" s="282"/>
      <c r="GP6" s="282"/>
      <c r="GQ6" s="282"/>
      <c r="GR6" s="282"/>
      <c r="GS6" s="282"/>
      <c r="GT6" s="282"/>
      <c r="GU6" s="282"/>
      <c r="GV6" s="282"/>
      <c r="GW6" s="282"/>
      <c r="GX6" s="282"/>
      <c r="GY6" s="282"/>
    </row>
    <row r="7" spans="1:207" x14ac:dyDescent="0.3">
      <c r="B7" s="283"/>
      <c r="V7" s="282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  <c r="AH7" s="282"/>
      <c r="AI7" s="282"/>
      <c r="AJ7" s="282"/>
      <c r="AK7" s="282"/>
      <c r="AL7" s="282"/>
      <c r="AM7" s="282"/>
      <c r="AN7" s="282"/>
      <c r="AO7" s="282"/>
      <c r="AP7" s="282"/>
      <c r="AQ7" s="282"/>
      <c r="AR7" s="282"/>
      <c r="AS7" s="282"/>
      <c r="AT7" s="282"/>
      <c r="AU7" s="282"/>
      <c r="AV7" s="282"/>
      <c r="AW7" s="282"/>
      <c r="AX7" s="282"/>
      <c r="AY7" s="282"/>
      <c r="AZ7" s="282"/>
      <c r="BA7" s="282"/>
      <c r="BB7" s="282"/>
      <c r="BC7" s="282"/>
      <c r="BD7" s="282"/>
      <c r="BE7" s="282"/>
      <c r="BF7" s="282"/>
      <c r="BG7" s="282"/>
      <c r="BH7" s="282"/>
      <c r="BI7" s="282"/>
      <c r="BJ7" s="282"/>
      <c r="BK7" s="282"/>
      <c r="BL7" s="282"/>
      <c r="BM7" s="282"/>
      <c r="BN7" s="282"/>
      <c r="BO7" s="282"/>
      <c r="BP7" s="282"/>
      <c r="BQ7" s="282"/>
      <c r="BR7" s="282"/>
      <c r="BS7" s="282"/>
      <c r="BT7" s="282"/>
      <c r="BU7" s="282"/>
      <c r="BV7" s="282"/>
      <c r="BW7" s="282"/>
      <c r="BX7" s="282"/>
      <c r="BY7" s="282"/>
      <c r="BZ7" s="282"/>
      <c r="CA7" s="282"/>
      <c r="CB7" s="282"/>
      <c r="CC7" s="282"/>
      <c r="CD7" s="282"/>
      <c r="CE7" s="282"/>
      <c r="CF7" s="282"/>
      <c r="CG7" s="282"/>
      <c r="CH7" s="282"/>
      <c r="CI7" s="282"/>
      <c r="CJ7" s="282"/>
      <c r="CK7" s="282"/>
      <c r="CL7" s="282"/>
      <c r="CM7" s="282"/>
      <c r="CN7" s="282"/>
      <c r="CO7" s="282"/>
      <c r="CP7" s="282"/>
      <c r="CQ7" s="282"/>
      <c r="CR7" s="282"/>
      <c r="CS7" s="282"/>
      <c r="CT7" s="282"/>
      <c r="CU7" s="282"/>
      <c r="CV7" s="282"/>
      <c r="CW7" s="282"/>
      <c r="CX7" s="282"/>
      <c r="CY7" s="282"/>
      <c r="CZ7" s="282"/>
      <c r="DA7" s="282"/>
      <c r="DB7" s="282"/>
      <c r="DC7" s="282"/>
      <c r="DD7" s="282"/>
      <c r="DE7" s="282"/>
      <c r="DF7" s="282"/>
      <c r="DG7" s="282"/>
      <c r="DH7" s="282"/>
      <c r="DI7" s="282"/>
      <c r="DJ7" s="282"/>
      <c r="DK7" s="282"/>
      <c r="DL7" s="282"/>
      <c r="DM7" s="282"/>
      <c r="DN7" s="282"/>
      <c r="DO7" s="282"/>
      <c r="DP7" s="282"/>
      <c r="DQ7" s="282"/>
      <c r="DR7" s="282"/>
      <c r="DS7" s="282"/>
      <c r="DT7" s="282"/>
      <c r="DU7" s="282"/>
      <c r="DV7" s="282"/>
      <c r="DW7" s="282"/>
      <c r="DX7" s="282"/>
      <c r="DY7" s="282"/>
      <c r="DZ7" s="282"/>
      <c r="EA7" s="282"/>
      <c r="EB7" s="282"/>
      <c r="EC7" s="282"/>
      <c r="ED7" s="282"/>
      <c r="EE7" s="282"/>
      <c r="EF7" s="282"/>
      <c r="EG7" s="282"/>
      <c r="EH7" s="282"/>
      <c r="EI7" s="282"/>
      <c r="EJ7" s="282"/>
      <c r="EK7" s="282"/>
      <c r="EL7" s="282"/>
      <c r="EM7" s="282"/>
      <c r="EN7" s="282"/>
      <c r="EO7" s="282"/>
      <c r="EP7" s="282"/>
      <c r="EQ7" s="282"/>
      <c r="ER7" s="282"/>
      <c r="ES7" s="282"/>
      <c r="ET7" s="282"/>
      <c r="EU7" s="282"/>
      <c r="EV7" s="282"/>
      <c r="EW7" s="282"/>
      <c r="EX7" s="282"/>
      <c r="EY7" s="282"/>
      <c r="EZ7" s="282"/>
      <c r="FA7" s="282"/>
      <c r="FB7" s="282"/>
      <c r="FC7" s="282"/>
      <c r="FD7" s="282"/>
      <c r="FE7" s="282"/>
      <c r="FF7" s="282"/>
      <c r="FG7" s="282"/>
      <c r="FH7" s="282"/>
      <c r="FI7" s="282"/>
      <c r="FJ7" s="282"/>
      <c r="FK7" s="282"/>
      <c r="FL7" s="282"/>
      <c r="FM7" s="282"/>
      <c r="FN7" s="282"/>
      <c r="FO7" s="282"/>
      <c r="FP7" s="282"/>
      <c r="FQ7" s="282"/>
      <c r="FR7" s="282"/>
      <c r="FS7" s="282"/>
      <c r="FT7" s="282"/>
      <c r="FU7" s="282"/>
      <c r="FV7" s="282"/>
      <c r="FW7" s="282"/>
      <c r="FX7" s="282"/>
      <c r="FY7" s="282"/>
      <c r="FZ7" s="282"/>
      <c r="GA7" s="282"/>
      <c r="GB7" s="282"/>
      <c r="GC7" s="282"/>
      <c r="GD7" s="282"/>
      <c r="GE7" s="282"/>
      <c r="GF7" s="282"/>
      <c r="GG7" s="282"/>
      <c r="GH7" s="282"/>
      <c r="GI7" s="282"/>
      <c r="GJ7" s="282"/>
      <c r="GK7" s="282"/>
      <c r="GL7" s="282"/>
      <c r="GM7" s="282"/>
      <c r="GN7" s="282"/>
      <c r="GO7" s="282"/>
      <c r="GP7" s="282"/>
      <c r="GQ7" s="282"/>
      <c r="GR7" s="282"/>
      <c r="GS7" s="282"/>
      <c r="GT7" s="282"/>
      <c r="GU7" s="282"/>
      <c r="GV7" s="282"/>
      <c r="GW7" s="282"/>
      <c r="GX7" s="282"/>
      <c r="GY7" s="282"/>
    </row>
    <row r="8" spans="1:207" s="288" customFormat="1" x14ac:dyDescent="0.25">
      <c r="A8" s="282"/>
      <c r="B8" s="491" t="s">
        <v>288</v>
      </c>
      <c r="C8" s="492"/>
      <c r="D8" s="492"/>
      <c r="E8" s="492"/>
      <c r="F8" s="492"/>
      <c r="G8" s="492"/>
      <c r="H8" s="492"/>
      <c r="I8" s="492"/>
      <c r="J8" s="492"/>
      <c r="K8" s="492"/>
      <c r="L8" s="492"/>
      <c r="M8" s="492"/>
      <c r="N8" s="492"/>
      <c r="O8" s="493"/>
      <c r="P8" s="290"/>
      <c r="Q8" s="291"/>
      <c r="R8" s="292"/>
      <c r="S8" s="291"/>
      <c r="T8" s="291"/>
      <c r="U8" s="291"/>
    </row>
    <row r="9" spans="1:207" s="288" customFormat="1" x14ac:dyDescent="0.25">
      <c r="A9" s="282"/>
      <c r="B9" s="494" t="s">
        <v>289</v>
      </c>
      <c r="C9" s="495"/>
      <c r="D9" s="495"/>
      <c r="E9" s="495"/>
      <c r="F9" s="495"/>
      <c r="G9" s="495"/>
      <c r="H9" s="495"/>
      <c r="I9" s="495"/>
      <c r="J9" s="495"/>
      <c r="K9" s="495"/>
      <c r="L9" s="495"/>
      <c r="M9" s="495"/>
      <c r="N9" s="495"/>
      <c r="O9" s="495"/>
      <c r="P9" s="290"/>
      <c r="Q9" s="291"/>
      <c r="R9" s="292"/>
      <c r="S9" s="291"/>
      <c r="T9" s="291"/>
      <c r="U9" s="291"/>
    </row>
    <row r="10" spans="1:207" s="288" customFormat="1" x14ac:dyDescent="0.25">
      <c r="A10" s="282"/>
      <c r="B10" s="496" t="s">
        <v>290</v>
      </c>
      <c r="C10" s="497" t="s">
        <v>291</v>
      </c>
      <c r="D10" s="497" t="s">
        <v>292</v>
      </c>
      <c r="E10" s="496" t="s">
        <v>293</v>
      </c>
      <c r="F10" s="496" t="s">
        <v>294</v>
      </c>
      <c r="G10" s="499" t="s">
        <v>295</v>
      </c>
      <c r="H10" s="498" t="s">
        <v>296</v>
      </c>
      <c r="I10" s="498"/>
      <c r="J10" s="498"/>
      <c r="K10" s="496" t="s">
        <v>297</v>
      </c>
      <c r="L10" s="501" t="s">
        <v>298</v>
      </c>
      <c r="M10" s="496" t="s">
        <v>299</v>
      </c>
      <c r="N10" s="496"/>
      <c r="O10" s="496" t="s">
        <v>300</v>
      </c>
      <c r="P10" s="290"/>
      <c r="Q10" s="291"/>
      <c r="R10" s="293" t="s">
        <v>301</v>
      </c>
      <c r="S10" s="291"/>
      <c r="T10" s="291"/>
      <c r="U10" s="291"/>
    </row>
    <row r="11" spans="1:207" s="288" customFormat="1" ht="41.4" x14ac:dyDescent="0.25">
      <c r="A11" s="282"/>
      <c r="B11" s="496"/>
      <c r="C11" s="497"/>
      <c r="D11" s="497"/>
      <c r="E11" s="498"/>
      <c r="F11" s="496"/>
      <c r="G11" s="500"/>
      <c r="H11" s="429" t="s">
        <v>302</v>
      </c>
      <c r="I11" s="429" t="s">
        <v>303</v>
      </c>
      <c r="J11" s="429" t="s">
        <v>304</v>
      </c>
      <c r="K11" s="496"/>
      <c r="L11" s="498"/>
      <c r="M11" s="430" t="s">
        <v>305</v>
      </c>
      <c r="N11" s="431" t="s">
        <v>188</v>
      </c>
      <c r="O11" s="496"/>
      <c r="P11" s="290"/>
      <c r="Q11" s="291"/>
      <c r="R11" s="293" t="s">
        <v>306</v>
      </c>
      <c r="S11" s="291"/>
      <c r="T11" s="291"/>
      <c r="U11" s="291"/>
    </row>
    <row r="12" spans="1:207" s="288" customFormat="1" ht="51" customHeight="1" x14ac:dyDescent="0.25">
      <c r="A12" s="282"/>
      <c r="B12" s="294" t="str">
        <f>+'CC D'!G10</f>
        <v>ECATEF/DV</v>
      </c>
      <c r="C12" s="295" t="str">
        <f>+'CC D'!B11</f>
        <v>Contratación de Firma Constructora para la rehabilitación y mantenimiento del tramo 1: km 50 - km 173 (123 Km) - Lote 1</v>
      </c>
      <c r="D12" s="296" t="str">
        <f>+'CC D'!A11</f>
        <v>1.1.1</v>
      </c>
      <c r="E12" s="297" t="s">
        <v>307</v>
      </c>
      <c r="F12" s="298">
        <v>1</v>
      </c>
      <c r="G12" s="298">
        <v>1</v>
      </c>
      <c r="H12" s="298">
        <f>+'CC D'!I11</f>
        <v>104000000</v>
      </c>
      <c r="I12" s="299">
        <v>0.3</v>
      </c>
      <c r="J12" s="299">
        <f>100%-I12</f>
        <v>0.7</v>
      </c>
      <c r="K12" s="297" t="s">
        <v>308</v>
      </c>
      <c r="L12" s="300" t="s">
        <v>306</v>
      </c>
      <c r="M12" s="415" t="str">
        <f>+PEP!D28</f>
        <v>T2 - Año 1</v>
      </c>
      <c r="N12" s="415" t="str">
        <f>+PEP!E28</f>
        <v>T1 . Año 2</v>
      </c>
      <c r="O12" s="301"/>
      <c r="P12" s="290"/>
      <c r="Q12" s="291"/>
      <c r="R12" s="293" t="s">
        <v>309</v>
      </c>
      <c r="S12" s="291"/>
      <c r="T12" s="291"/>
      <c r="U12" s="291"/>
    </row>
    <row r="13" spans="1:207" s="288" customFormat="1" ht="54" customHeight="1" x14ac:dyDescent="0.25">
      <c r="A13" s="282"/>
      <c r="B13" s="294" t="s">
        <v>47</v>
      </c>
      <c r="C13" s="295" t="str">
        <f>+'CC D'!B12</f>
        <v>Contratación de Firma Constructora para la rehabilitación y mantenimiento del tramo 2: km 173 - km 326 (153 Km) - Lote 2</v>
      </c>
      <c r="D13" s="296" t="str">
        <f>+'CC D'!A12</f>
        <v>1.1.2</v>
      </c>
      <c r="E13" s="297" t="s">
        <v>307</v>
      </c>
      <c r="F13" s="298">
        <v>1</v>
      </c>
      <c r="G13" s="298">
        <v>2</v>
      </c>
      <c r="H13" s="298">
        <f>+'CC D'!I12</f>
        <v>142000000</v>
      </c>
      <c r="I13" s="299">
        <v>0.3</v>
      </c>
      <c r="J13" s="299">
        <f t="shared" ref="J13" si="0">100%-I13</f>
        <v>0.7</v>
      </c>
      <c r="K13" s="297" t="s">
        <v>308</v>
      </c>
      <c r="L13" s="300" t="s">
        <v>306</v>
      </c>
      <c r="M13" s="415" t="str">
        <f>+PEP!D29</f>
        <v>T2 - Año 1</v>
      </c>
      <c r="N13" s="415" t="str">
        <f>+PEP!E29</f>
        <v>T1 . Año 2</v>
      </c>
      <c r="O13" s="301"/>
      <c r="P13" s="290"/>
      <c r="Q13" s="291"/>
      <c r="R13" s="293"/>
      <c r="S13" s="291"/>
      <c r="T13" s="291"/>
      <c r="U13" s="291"/>
    </row>
    <row r="14" spans="1:207" s="288" customFormat="1" ht="41.4" x14ac:dyDescent="0.25">
      <c r="A14" s="282"/>
      <c r="B14" s="294" t="s">
        <v>47</v>
      </c>
      <c r="C14" s="295" t="str">
        <f>+'CC D'!B13</f>
        <v>Contratación de Firma Constructora para la rehabilitación y mantenimiento del tramo 3: km 326 - km 450 (124 Km) - Lote 3</v>
      </c>
      <c r="D14" s="296" t="str">
        <f>+'CC D'!A13</f>
        <v>1.1.3</v>
      </c>
      <c r="E14" s="297" t="s">
        <v>307</v>
      </c>
      <c r="F14" s="298">
        <v>1</v>
      </c>
      <c r="G14" s="298">
        <v>3</v>
      </c>
      <c r="H14" s="298">
        <f>+'CC D'!I13</f>
        <v>131000000</v>
      </c>
      <c r="I14" s="299">
        <v>0.3</v>
      </c>
      <c r="J14" s="299">
        <f>100%-I14</f>
        <v>0.7</v>
      </c>
      <c r="K14" s="297" t="s">
        <v>308</v>
      </c>
      <c r="L14" s="300" t="s">
        <v>306</v>
      </c>
      <c r="M14" s="415" t="str">
        <f>+PEP!D30</f>
        <v>T2 - Año 1</v>
      </c>
      <c r="N14" s="415" t="str">
        <f>+PEP!E30</f>
        <v>T1 . Año 2</v>
      </c>
      <c r="O14" s="301"/>
      <c r="P14" s="290"/>
      <c r="Q14" s="291"/>
      <c r="R14" s="293"/>
      <c r="S14" s="291"/>
      <c r="T14" s="291"/>
      <c r="U14" s="291"/>
    </row>
    <row r="15" spans="1:207" s="288" customFormat="1" ht="41.4" x14ac:dyDescent="0.25">
      <c r="A15" s="282"/>
      <c r="B15" s="294" t="s">
        <v>47</v>
      </c>
      <c r="C15" s="295" t="str">
        <f>+'CC D'!B14</f>
        <v>Contratación de Firma Constructora para la rehabilitación y mantenimiento del tramo 4: km 450 - km 525, accesos y linea 1 - Lote 4</v>
      </c>
      <c r="D15" s="296" t="str">
        <f>+'CC D'!A14</f>
        <v>1.1.4</v>
      </c>
      <c r="E15" s="297" t="s">
        <v>307</v>
      </c>
      <c r="F15" s="298">
        <v>1</v>
      </c>
      <c r="G15" s="298">
        <v>4</v>
      </c>
      <c r="H15" s="298">
        <f>+'CC D'!I14</f>
        <v>116000000</v>
      </c>
      <c r="I15" s="299">
        <v>0.3</v>
      </c>
      <c r="J15" s="299">
        <f>100%-I15</f>
        <v>0.7</v>
      </c>
      <c r="K15" s="297" t="s">
        <v>308</v>
      </c>
      <c r="L15" s="300" t="s">
        <v>306</v>
      </c>
      <c r="M15" s="415" t="str">
        <f>+PEP!D31</f>
        <v>T2 - Año 1</v>
      </c>
      <c r="N15" s="415" t="str">
        <f>+PEP!E31</f>
        <v>T1 . Año 2</v>
      </c>
      <c r="O15" s="301"/>
      <c r="P15" s="290"/>
      <c r="Q15" s="291"/>
      <c r="R15" s="293"/>
      <c r="S15" s="291"/>
      <c r="T15" s="291"/>
      <c r="U15" s="291"/>
    </row>
    <row r="16" spans="1:207" s="288" customFormat="1" x14ac:dyDescent="0.25">
      <c r="A16" s="282"/>
      <c r="B16" s="502" t="s">
        <v>310</v>
      </c>
      <c r="C16" s="502"/>
      <c r="D16" s="502"/>
      <c r="E16" s="502"/>
      <c r="F16" s="502"/>
      <c r="G16" s="502"/>
      <c r="H16" s="302">
        <f>SUM(H12:H15)</f>
        <v>493000000</v>
      </c>
      <c r="I16" s="303"/>
      <c r="J16" s="303"/>
      <c r="K16" s="303"/>
      <c r="L16" s="304"/>
      <c r="M16" s="304"/>
      <c r="N16" s="305"/>
      <c r="O16" s="303"/>
      <c r="P16" s="290"/>
      <c r="Q16" s="291"/>
      <c r="R16" s="293" t="s">
        <v>311</v>
      </c>
      <c r="S16" s="291"/>
      <c r="T16" s="291"/>
      <c r="U16" s="291"/>
    </row>
    <row r="17" spans="1:207" s="288" customFormat="1" x14ac:dyDescent="0.25">
      <c r="A17" s="282"/>
      <c r="B17" s="282"/>
      <c r="C17" s="284"/>
      <c r="D17" s="285"/>
      <c r="E17" s="282"/>
      <c r="F17" s="282"/>
      <c r="G17" s="286"/>
      <c r="H17" s="282"/>
      <c r="I17" s="282"/>
      <c r="J17" s="282"/>
      <c r="K17" s="282"/>
      <c r="L17" s="287"/>
      <c r="M17" s="287"/>
      <c r="N17" s="285"/>
      <c r="O17" s="282"/>
      <c r="P17" s="290"/>
      <c r="R17" s="293" t="s">
        <v>312</v>
      </c>
    </row>
    <row r="18" spans="1:207" s="288" customFormat="1" x14ac:dyDescent="0.25">
      <c r="A18" s="282"/>
      <c r="B18" s="496" t="s">
        <v>313</v>
      </c>
      <c r="C18" s="500"/>
      <c r="D18" s="500"/>
      <c r="E18" s="500"/>
      <c r="F18" s="500"/>
      <c r="G18" s="500"/>
      <c r="H18" s="500"/>
      <c r="I18" s="500"/>
      <c r="J18" s="500"/>
      <c r="K18" s="500"/>
      <c r="L18" s="500"/>
      <c r="M18" s="500"/>
      <c r="N18" s="500"/>
      <c r="O18" s="500"/>
      <c r="P18" s="290"/>
      <c r="Q18" s="291"/>
      <c r="R18" s="293" t="s">
        <v>314</v>
      </c>
      <c r="S18" s="291"/>
      <c r="T18" s="291"/>
      <c r="U18" s="291"/>
    </row>
    <row r="19" spans="1:207" s="288" customFormat="1" x14ac:dyDescent="0.25">
      <c r="A19" s="282"/>
      <c r="B19" s="496" t="s">
        <v>290</v>
      </c>
      <c r="C19" s="497" t="s">
        <v>291</v>
      </c>
      <c r="D19" s="497" t="s">
        <v>292</v>
      </c>
      <c r="E19" s="496" t="s">
        <v>315</v>
      </c>
      <c r="F19" s="496" t="s">
        <v>294</v>
      </c>
      <c r="G19" s="499" t="s">
        <v>295</v>
      </c>
      <c r="H19" s="498" t="s">
        <v>296</v>
      </c>
      <c r="I19" s="498"/>
      <c r="J19" s="498"/>
      <c r="K19" s="496" t="s">
        <v>297</v>
      </c>
      <c r="L19" s="501" t="s">
        <v>298</v>
      </c>
      <c r="M19" s="496" t="s">
        <v>299</v>
      </c>
      <c r="N19" s="496"/>
      <c r="O19" s="496" t="s">
        <v>300</v>
      </c>
      <c r="P19" s="290"/>
      <c r="Q19" s="291"/>
      <c r="R19" s="293" t="s">
        <v>316</v>
      </c>
      <c r="S19" s="291"/>
      <c r="T19" s="291"/>
      <c r="U19" s="291"/>
    </row>
    <row r="20" spans="1:207" s="288" customFormat="1" ht="41.4" x14ac:dyDescent="0.25">
      <c r="A20" s="282"/>
      <c r="B20" s="496"/>
      <c r="C20" s="497"/>
      <c r="D20" s="497"/>
      <c r="E20" s="498"/>
      <c r="F20" s="496"/>
      <c r="G20" s="500"/>
      <c r="H20" s="429" t="s">
        <v>302</v>
      </c>
      <c r="I20" s="429" t="s">
        <v>303</v>
      </c>
      <c r="J20" s="429" t="s">
        <v>304</v>
      </c>
      <c r="K20" s="496"/>
      <c r="L20" s="498"/>
      <c r="M20" s="306" t="s">
        <v>305</v>
      </c>
      <c r="N20" s="440" t="s">
        <v>188</v>
      </c>
      <c r="O20" s="496"/>
      <c r="P20" s="290"/>
      <c r="Q20" s="291"/>
      <c r="R20" s="292"/>
      <c r="S20" s="291"/>
      <c r="T20" s="291"/>
      <c r="U20" s="291"/>
    </row>
    <row r="21" spans="1:207" s="307" customFormat="1" x14ac:dyDescent="0.25">
      <c r="B21" s="308"/>
      <c r="C21" s="309"/>
      <c r="D21" s="310"/>
      <c r="E21" s="294"/>
      <c r="F21" s="311"/>
      <c r="H21" s="56"/>
      <c r="I21" s="312"/>
      <c r="J21" s="312"/>
      <c r="K21" s="313"/>
      <c r="L21" s="314"/>
      <c r="M21" s="315"/>
      <c r="N21" s="315"/>
      <c r="O21" s="316"/>
      <c r="P21" s="288"/>
      <c r="Q21" s="288"/>
      <c r="R21" s="293"/>
      <c r="S21" s="293"/>
      <c r="T21" s="288"/>
      <c r="U21" s="288"/>
      <c r="V21" s="288"/>
      <c r="W21" s="288"/>
      <c r="X21" s="288"/>
      <c r="Y21" s="288"/>
      <c r="Z21" s="288"/>
      <c r="AA21" s="288"/>
      <c r="AB21" s="288"/>
      <c r="AC21" s="288"/>
      <c r="AD21" s="288"/>
      <c r="AE21" s="288"/>
      <c r="AF21" s="288"/>
      <c r="AG21" s="288"/>
      <c r="AH21" s="288"/>
      <c r="AI21" s="288"/>
      <c r="AJ21" s="288"/>
      <c r="AK21" s="288"/>
      <c r="AL21" s="288"/>
      <c r="AM21" s="288"/>
      <c r="AN21" s="288"/>
      <c r="AO21" s="288"/>
      <c r="AP21" s="288"/>
      <c r="AQ21" s="288"/>
      <c r="AR21" s="288"/>
      <c r="AS21" s="288"/>
      <c r="AT21" s="288"/>
      <c r="AU21" s="288"/>
      <c r="AV21" s="288"/>
      <c r="AW21" s="288"/>
      <c r="AX21" s="288"/>
      <c r="AY21" s="288"/>
      <c r="AZ21" s="288"/>
      <c r="BA21" s="288"/>
      <c r="BB21" s="288"/>
      <c r="BC21" s="288"/>
      <c r="BD21" s="288"/>
      <c r="BE21" s="288"/>
      <c r="BF21" s="288"/>
      <c r="BG21" s="288"/>
      <c r="BH21" s="288"/>
      <c r="BI21" s="288"/>
      <c r="BJ21" s="288"/>
      <c r="BK21" s="288"/>
      <c r="BL21" s="288"/>
      <c r="BM21" s="288"/>
      <c r="BN21" s="288"/>
      <c r="BO21" s="288"/>
      <c r="BP21" s="288"/>
      <c r="BQ21" s="288"/>
      <c r="BR21" s="288"/>
      <c r="BS21" s="288"/>
      <c r="BT21" s="288"/>
      <c r="BU21" s="288"/>
      <c r="BV21" s="288"/>
      <c r="BW21" s="288"/>
      <c r="BX21" s="288"/>
      <c r="BY21" s="288"/>
      <c r="BZ21" s="288"/>
      <c r="CA21" s="288"/>
      <c r="CB21" s="288"/>
      <c r="CC21" s="288"/>
      <c r="CD21" s="288"/>
      <c r="CE21" s="288"/>
      <c r="CF21" s="288"/>
      <c r="CG21" s="288"/>
      <c r="CH21" s="288"/>
      <c r="CI21" s="288"/>
      <c r="CJ21" s="288"/>
      <c r="CK21" s="288"/>
      <c r="CL21" s="288"/>
      <c r="CM21" s="288"/>
      <c r="CN21" s="288"/>
      <c r="CO21" s="288"/>
      <c r="CP21" s="288"/>
      <c r="CQ21" s="288"/>
      <c r="CR21" s="288"/>
      <c r="CS21" s="288"/>
      <c r="CT21" s="288"/>
      <c r="CU21" s="288"/>
      <c r="CV21" s="288"/>
      <c r="CW21" s="288"/>
      <c r="CX21" s="288"/>
      <c r="CY21" s="288"/>
      <c r="CZ21" s="288"/>
      <c r="DA21" s="288"/>
      <c r="DB21" s="288"/>
      <c r="DC21" s="288"/>
      <c r="DD21" s="288"/>
      <c r="DE21" s="288"/>
      <c r="DF21" s="288"/>
      <c r="DG21" s="288"/>
      <c r="DH21" s="288"/>
      <c r="DI21" s="288"/>
      <c r="DJ21" s="288"/>
      <c r="DK21" s="288"/>
      <c r="DL21" s="288"/>
      <c r="DM21" s="288"/>
      <c r="DN21" s="288"/>
      <c r="DO21" s="288"/>
      <c r="DP21" s="288"/>
      <c r="DQ21" s="288"/>
      <c r="DR21" s="288"/>
      <c r="DS21" s="288"/>
      <c r="DT21" s="288"/>
      <c r="DU21" s="288"/>
      <c r="DV21" s="288"/>
      <c r="DW21" s="288"/>
      <c r="DX21" s="288"/>
      <c r="DY21" s="288"/>
      <c r="DZ21" s="288"/>
      <c r="EA21" s="288"/>
      <c r="EB21" s="288"/>
      <c r="EC21" s="288"/>
      <c r="ED21" s="288"/>
      <c r="EE21" s="288"/>
      <c r="EF21" s="288"/>
      <c r="EG21" s="288"/>
      <c r="EH21" s="288"/>
      <c r="EI21" s="288"/>
      <c r="EJ21" s="288"/>
      <c r="EK21" s="288"/>
      <c r="EL21" s="288"/>
      <c r="EM21" s="288"/>
      <c r="EN21" s="288"/>
      <c r="EO21" s="288"/>
      <c r="EP21" s="288"/>
      <c r="EQ21" s="288"/>
      <c r="ER21" s="288"/>
      <c r="ES21" s="288"/>
      <c r="ET21" s="288"/>
      <c r="EU21" s="288"/>
      <c r="EV21" s="288"/>
      <c r="EW21" s="288"/>
      <c r="EX21" s="288"/>
      <c r="EY21" s="288"/>
      <c r="EZ21" s="288"/>
      <c r="FA21" s="288"/>
      <c r="FB21" s="288"/>
      <c r="FC21" s="288"/>
      <c r="FD21" s="288"/>
      <c r="FE21" s="288"/>
      <c r="FF21" s="288"/>
      <c r="FG21" s="288"/>
      <c r="FH21" s="288"/>
      <c r="FI21" s="288"/>
      <c r="FJ21" s="288"/>
      <c r="FK21" s="288"/>
      <c r="FL21" s="288"/>
      <c r="FM21" s="288"/>
      <c r="FN21" s="288"/>
      <c r="FO21" s="288"/>
      <c r="FP21" s="288"/>
      <c r="FQ21" s="288"/>
      <c r="FR21" s="288"/>
      <c r="FS21" s="288"/>
      <c r="FT21" s="288"/>
      <c r="FU21" s="288"/>
      <c r="FV21" s="288"/>
      <c r="FW21" s="288"/>
      <c r="FX21" s="288"/>
      <c r="FY21" s="288"/>
      <c r="FZ21" s="288"/>
      <c r="GA21" s="288"/>
      <c r="GB21" s="288"/>
      <c r="GC21" s="288"/>
      <c r="GD21" s="288"/>
      <c r="GE21" s="288"/>
      <c r="GF21" s="288"/>
      <c r="GG21" s="288"/>
      <c r="GH21" s="288"/>
      <c r="GI21" s="288"/>
      <c r="GJ21" s="288"/>
      <c r="GK21" s="288"/>
      <c r="GL21" s="288"/>
      <c r="GM21" s="288"/>
      <c r="GN21" s="288"/>
      <c r="GO21" s="288"/>
      <c r="GP21" s="288"/>
      <c r="GQ21" s="288"/>
      <c r="GR21" s="288"/>
      <c r="GS21" s="288"/>
      <c r="GT21" s="288"/>
      <c r="GU21" s="288"/>
      <c r="GV21" s="288"/>
      <c r="GW21" s="288"/>
      <c r="GX21" s="288"/>
      <c r="GY21" s="288"/>
    </row>
    <row r="22" spans="1:207" s="288" customFormat="1" x14ac:dyDescent="0.25">
      <c r="A22" s="282"/>
      <c r="B22" s="502" t="s">
        <v>317</v>
      </c>
      <c r="C22" s="502"/>
      <c r="D22" s="502"/>
      <c r="E22" s="502"/>
      <c r="F22" s="502"/>
      <c r="G22" s="502"/>
      <c r="H22" s="302">
        <f>SUM(H21:H21)</f>
        <v>0</v>
      </c>
      <c r="I22" s="303"/>
      <c r="J22" s="303"/>
      <c r="K22" s="303"/>
      <c r="L22" s="304"/>
      <c r="M22" s="317"/>
      <c r="N22" s="318"/>
      <c r="O22" s="319"/>
      <c r="P22" s="290"/>
      <c r="Q22" s="291"/>
      <c r="R22" s="293" t="s">
        <v>311</v>
      </c>
      <c r="S22" s="291"/>
      <c r="T22" s="291"/>
      <c r="U22" s="291"/>
    </row>
    <row r="23" spans="1:207" s="288" customFormat="1" x14ac:dyDescent="0.25">
      <c r="A23" s="282"/>
      <c r="B23" s="282"/>
      <c r="C23" s="284"/>
      <c r="D23" s="285"/>
      <c r="E23" s="282"/>
      <c r="F23" s="282"/>
      <c r="G23" s="286"/>
      <c r="H23" s="282"/>
      <c r="I23" s="282"/>
      <c r="J23" s="282"/>
      <c r="K23" s="282"/>
      <c r="L23" s="287"/>
      <c r="M23" s="287"/>
      <c r="N23" s="285"/>
      <c r="O23" s="282"/>
      <c r="P23" s="282"/>
      <c r="R23" s="293" t="s">
        <v>307</v>
      </c>
    </row>
    <row r="24" spans="1:207" s="288" customFormat="1" x14ac:dyDescent="0.25">
      <c r="A24" s="282"/>
      <c r="B24" s="496" t="s">
        <v>318</v>
      </c>
      <c r="C24" s="500"/>
      <c r="D24" s="500"/>
      <c r="E24" s="500"/>
      <c r="F24" s="500"/>
      <c r="G24" s="500"/>
      <c r="H24" s="500"/>
      <c r="I24" s="500"/>
      <c r="J24" s="500"/>
      <c r="K24" s="500"/>
      <c r="L24" s="500"/>
      <c r="M24" s="500"/>
      <c r="N24" s="500"/>
      <c r="O24" s="500"/>
      <c r="P24" s="282"/>
      <c r="R24" s="293" t="s">
        <v>319</v>
      </c>
    </row>
    <row r="25" spans="1:207" s="288" customFormat="1" x14ac:dyDescent="0.25">
      <c r="A25" s="282"/>
      <c r="B25" s="496" t="s">
        <v>290</v>
      </c>
      <c r="C25" s="497" t="s">
        <v>291</v>
      </c>
      <c r="D25" s="497" t="s">
        <v>292</v>
      </c>
      <c r="E25" s="496" t="s">
        <v>315</v>
      </c>
      <c r="F25" s="496" t="s">
        <v>294</v>
      </c>
      <c r="G25" s="499" t="s">
        <v>295</v>
      </c>
      <c r="H25" s="498" t="s">
        <v>296</v>
      </c>
      <c r="I25" s="498"/>
      <c r="J25" s="498"/>
      <c r="K25" s="496" t="s">
        <v>297</v>
      </c>
      <c r="L25" s="501" t="s">
        <v>298</v>
      </c>
      <c r="M25" s="496" t="s">
        <v>299</v>
      </c>
      <c r="N25" s="496"/>
      <c r="O25" s="496" t="s">
        <v>300</v>
      </c>
      <c r="P25" s="282"/>
      <c r="R25" s="293" t="s">
        <v>320</v>
      </c>
    </row>
    <row r="26" spans="1:207" s="288" customFormat="1" ht="41.4" x14ac:dyDescent="0.25">
      <c r="A26" s="282"/>
      <c r="B26" s="506"/>
      <c r="C26" s="509"/>
      <c r="D26" s="509"/>
      <c r="E26" s="510"/>
      <c r="F26" s="506"/>
      <c r="G26" s="511"/>
      <c r="H26" s="438" t="s">
        <v>302</v>
      </c>
      <c r="I26" s="438" t="s">
        <v>303</v>
      </c>
      <c r="J26" s="438" t="s">
        <v>304</v>
      </c>
      <c r="K26" s="506"/>
      <c r="L26" s="510"/>
      <c r="M26" s="306" t="s">
        <v>321</v>
      </c>
      <c r="N26" s="440" t="s">
        <v>188</v>
      </c>
      <c r="O26" s="506"/>
      <c r="P26" s="282"/>
      <c r="R26" s="293" t="s">
        <v>322</v>
      </c>
    </row>
    <row r="27" spans="1:207" s="288" customFormat="1" x14ac:dyDescent="0.25">
      <c r="A27" s="320"/>
      <c r="B27" s="308"/>
      <c r="C27" s="321"/>
      <c r="D27" s="322"/>
      <c r="E27" s="294"/>
      <c r="F27" s="311"/>
      <c r="G27" s="323"/>
      <c r="H27" s="324"/>
      <c r="I27" s="325"/>
      <c r="J27" s="325"/>
      <c r="K27" s="326"/>
      <c r="L27" s="314"/>
      <c r="M27" s="315"/>
      <c r="N27" s="315"/>
      <c r="O27" s="327"/>
      <c r="P27" s="328"/>
      <c r="R27" s="293"/>
      <c r="S27" s="293"/>
    </row>
    <row r="28" spans="1:207" s="288" customFormat="1" x14ac:dyDescent="0.25">
      <c r="A28" s="282"/>
      <c r="B28" s="503" t="s">
        <v>323</v>
      </c>
      <c r="C28" s="503"/>
      <c r="D28" s="503"/>
      <c r="E28" s="503"/>
      <c r="F28" s="503"/>
      <c r="G28" s="503"/>
      <c r="H28" s="329">
        <f>SUM(H27:H27)</f>
        <v>0</v>
      </c>
      <c r="I28" s="319"/>
      <c r="J28" s="319"/>
      <c r="K28" s="319"/>
      <c r="L28" s="317"/>
      <c r="M28" s="317"/>
      <c r="N28" s="318"/>
      <c r="O28" s="300"/>
      <c r="P28" s="330"/>
      <c r="Q28" s="291"/>
      <c r="R28" s="293" t="s">
        <v>311</v>
      </c>
      <c r="S28" s="291"/>
      <c r="T28" s="291"/>
      <c r="U28" s="291"/>
    </row>
    <row r="29" spans="1:207" s="288" customFormat="1" x14ac:dyDescent="0.25">
      <c r="A29" s="282"/>
      <c r="B29" s="331"/>
      <c r="C29" s="332"/>
      <c r="D29" s="332"/>
      <c r="E29" s="333"/>
      <c r="F29" s="333"/>
      <c r="G29" s="334"/>
      <c r="H29" s="333"/>
      <c r="I29" s="333"/>
      <c r="J29" s="333"/>
      <c r="K29" s="333"/>
      <c r="L29" s="335"/>
      <c r="M29" s="335"/>
      <c r="N29" s="332"/>
      <c r="O29" s="333"/>
      <c r="P29" s="282"/>
      <c r="R29" s="293"/>
    </row>
    <row r="30" spans="1:207" s="288" customFormat="1" x14ac:dyDescent="0.25">
      <c r="A30" s="282"/>
      <c r="B30" s="504" t="s">
        <v>324</v>
      </c>
      <c r="C30" s="505"/>
      <c r="D30" s="505"/>
      <c r="E30" s="505"/>
      <c r="F30" s="505"/>
      <c r="G30" s="505"/>
      <c r="H30" s="505"/>
      <c r="I30" s="505"/>
      <c r="J30" s="505"/>
      <c r="K30" s="505"/>
      <c r="L30" s="505"/>
      <c r="M30" s="505"/>
      <c r="N30" s="505"/>
      <c r="O30" s="505"/>
      <c r="P30" s="282"/>
      <c r="R30" s="293" t="s">
        <v>325</v>
      </c>
    </row>
    <row r="31" spans="1:207" s="288" customFormat="1" x14ac:dyDescent="0.25">
      <c r="A31" s="282"/>
      <c r="B31" s="496" t="s">
        <v>290</v>
      </c>
      <c r="C31" s="497" t="s">
        <v>291</v>
      </c>
      <c r="D31" s="506" t="s">
        <v>326</v>
      </c>
      <c r="E31" s="496" t="s">
        <v>315</v>
      </c>
      <c r="F31" s="496" t="s">
        <v>295</v>
      </c>
      <c r="G31" s="498" t="s">
        <v>296</v>
      </c>
      <c r="H31" s="498"/>
      <c r="I31" s="498"/>
      <c r="J31" s="496" t="s">
        <v>297</v>
      </c>
      <c r="K31" s="496" t="s">
        <v>298</v>
      </c>
      <c r="L31" s="496" t="s">
        <v>299</v>
      </c>
      <c r="M31" s="514"/>
      <c r="N31" s="515" t="s">
        <v>300</v>
      </c>
      <c r="O31" s="516"/>
      <c r="P31" s="282"/>
      <c r="R31" s="293" t="s">
        <v>327</v>
      </c>
    </row>
    <row r="32" spans="1:207" s="288" customFormat="1" ht="55.2" x14ac:dyDescent="0.25">
      <c r="A32" s="282"/>
      <c r="B32" s="496"/>
      <c r="C32" s="497"/>
      <c r="D32" s="494"/>
      <c r="E32" s="498"/>
      <c r="F32" s="496"/>
      <c r="G32" s="441" t="s">
        <v>302</v>
      </c>
      <c r="H32" s="429" t="s">
        <v>303</v>
      </c>
      <c r="I32" s="429" t="s">
        <v>304</v>
      </c>
      <c r="J32" s="496"/>
      <c r="K32" s="500"/>
      <c r="L32" s="430" t="s">
        <v>328</v>
      </c>
      <c r="M32" s="336" t="s">
        <v>188</v>
      </c>
      <c r="N32" s="517"/>
      <c r="O32" s="518"/>
      <c r="P32" s="282"/>
      <c r="R32" s="293" t="s">
        <v>329</v>
      </c>
    </row>
    <row r="33" spans="1:21" s="288" customFormat="1" ht="41.4" x14ac:dyDescent="0.25">
      <c r="A33" s="320"/>
      <c r="B33" s="294" t="s">
        <v>47</v>
      </c>
      <c r="C33" s="321" t="str">
        <f>+'CC D'!B16</f>
        <v>Contratación de Firma Consultora para la fiscalización de la rehabilitación y mantenimiento de lotes 1 y 2</v>
      </c>
      <c r="D33" s="323" t="str">
        <f>+'CC D'!A16</f>
        <v>1.2.1</v>
      </c>
      <c r="E33" s="294" t="s">
        <v>61</v>
      </c>
      <c r="F33" s="323">
        <v>5</v>
      </c>
      <c r="G33" s="324">
        <f>+'CC D'!I16</f>
        <v>9500000</v>
      </c>
      <c r="H33" s="312">
        <v>0.3</v>
      </c>
      <c r="I33" s="405">
        <f>1-H33</f>
        <v>0.7</v>
      </c>
      <c r="J33" s="326" t="s">
        <v>308</v>
      </c>
      <c r="K33" s="337" t="s">
        <v>330</v>
      </c>
      <c r="L33" s="416" t="str">
        <f>+PEP!D33</f>
        <v>T1 - Año 1</v>
      </c>
      <c r="M33" s="416" t="str">
        <f>+PEP!E33</f>
        <v>T4 - Año 1</v>
      </c>
      <c r="N33" s="519"/>
      <c r="O33" s="520"/>
      <c r="P33" s="282"/>
      <c r="R33" s="293"/>
      <c r="S33" s="293"/>
    </row>
    <row r="34" spans="1:21" s="288" customFormat="1" ht="53.25" customHeight="1" x14ac:dyDescent="0.25">
      <c r="A34" s="320"/>
      <c r="B34" s="294" t="s">
        <v>47</v>
      </c>
      <c r="C34" s="321" t="str">
        <f>+'CC D'!B17</f>
        <v>Contratación de Firma Consultora para la fiscalización de la rehabilitación y mantenimiento de lotes 3 y 4</v>
      </c>
      <c r="D34" s="323" t="str">
        <f>+'CC D'!A17</f>
        <v>1.2.2</v>
      </c>
      <c r="E34" s="294" t="s">
        <v>61</v>
      </c>
      <c r="F34" s="323">
        <v>6</v>
      </c>
      <c r="G34" s="324">
        <f>+'CC D'!I17</f>
        <v>10500000</v>
      </c>
      <c r="H34" s="312">
        <v>0.3</v>
      </c>
      <c r="I34" s="405">
        <f t="shared" ref="I34:I43" si="1">1-H34</f>
        <v>0.7</v>
      </c>
      <c r="J34" s="326" t="s">
        <v>308</v>
      </c>
      <c r="K34" s="337" t="s">
        <v>330</v>
      </c>
      <c r="L34" s="416" t="str">
        <f>+PEP!D34</f>
        <v>T1 - Año 1</v>
      </c>
      <c r="M34" s="416" t="str">
        <f>+PEP!E34</f>
        <v>T4 - Año 1</v>
      </c>
      <c r="N34" s="507"/>
      <c r="O34" s="508"/>
      <c r="P34" s="282"/>
      <c r="R34" s="293"/>
      <c r="S34" s="293"/>
    </row>
    <row r="35" spans="1:21" s="288" customFormat="1" ht="53.25" customHeight="1" x14ac:dyDescent="0.25">
      <c r="A35" s="320"/>
      <c r="B35" s="294" t="s">
        <v>47</v>
      </c>
      <c r="C35" s="321" t="str">
        <f>+'CC D'!B20</f>
        <v>Contratación Firma Consultora para el Monitoreo de las áreas inundadas por efecto de la barrera de la Ruta</v>
      </c>
      <c r="D35" s="323" t="str">
        <f>+'CC D'!A20</f>
        <v>1.3.2</v>
      </c>
      <c r="E35" s="294" t="str">
        <f>+'CC D'!F20</f>
        <v>SCC</v>
      </c>
      <c r="F35" s="323">
        <v>7</v>
      </c>
      <c r="G35" s="324">
        <f>+'CC D'!I20</f>
        <v>82000</v>
      </c>
      <c r="H35" s="312">
        <v>0.3</v>
      </c>
      <c r="I35" s="405">
        <f t="shared" ref="I35:I37" si="2">1-H35</f>
        <v>0.7</v>
      </c>
      <c r="J35" s="326" t="s">
        <v>308</v>
      </c>
      <c r="K35" s="337" t="s">
        <v>330</v>
      </c>
      <c r="L35" s="416" t="str">
        <f>+PEP!D37</f>
        <v>T1 - Año 1</v>
      </c>
      <c r="M35" s="416" t="str">
        <f>+PEP!E37</f>
        <v>T1 - Año 2</v>
      </c>
      <c r="N35" s="417"/>
      <c r="O35" s="439"/>
      <c r="P35" s="282"/>
      <c r="R35" s="293"/>
      <c r="S35" s="293"/>
    </row>
    <row r="36" spans="1:21" s="288" customFormat="1" ht="53.25" customHeight="1" x14ac:dyDescent="0.25">
      <c r="A36" s="320"/>
      <c r="B36" s="294" t="s">
        <v>47</v>
      </c>
      <c r="C36" s="321" t="str">
        <f>+'CC D'!B23</f>
        <v>Contratación Firma Consultora para el Apoyo a la Gestión Institucional de Supervisión del PGAS</v>
      </c>
      <c r="D36" s="323" t="str">
        <f>+'CC D'!A23</f>
        <v>1.3.5</v>
      </c>
      <c r="E36" s="294" t="str">
        <f>+'CC D'!F23</f>
        <v>SCC</v>
      </c>
      <c r="F36" s="323">
        <v>8</v>
      </c>
      <c r="G36" s="324">
        <f>+'CC D'!I23</f>
        <v>189000</v>
      </c>
      <c r="H36" s="312">
        <v>0.3</v>
      </c>
      <c r="I36" s="405">
        <f t="shared" si="2"/>
        <v>0.7</v>
      </c>
      <c r="J36" s="326" t="s">
        <v>308</v>
      </c>
      <c r="K36" s="337" t="s">
        <v>330</v>
      </c>
      <c r="L36" s="416" t="str">
        <f>+PEP!D40</f>
        <v>T1 - Año 1</v>
      </c>
      <c r="M36" s="416" t="str">
        <f>+PEP!E40</f>
        <v>T1 - Año 2</v>
      </c>
      <c r="N36" s="417"/>
      <c r="O36" s="439"/>
      <c r="P36" s="282"/>
      <c r="R36" s="293"/>
      <c r="S36" s="293"/>
    </row>
    <row r="37" spans="1:21" s="288" customFormat="1" ht="53.25" customHeight="1" x14ac:dyDescent="0.25">
      <c r="A37" s="320"/>
      <c r="B37" s="294" t="s">
        <v>47</v>
      </c>
      <c r="C37" s="321" t="str">
        <f>+'CC D'!B24</f>
        <v>Contratación Firma Consultora para el Apoyo a la Gestión de los Municipios en los Proyectos Viales</v>
      </c>
      <c r="D37" s="323" t="str">
        <f>+'CC D'!A24</f>
        <v>1.3.6</v>
      </c>
      <c r="E37" s="294" t="str">
        <f>+'CC D'!F24</f>
        <v>SCC</v>
      </c>
      <c r="F37" s="323">
        <v>9</v>
      </c>
      <c r="G37" s="324">
        <f>+'CC D'!I24</f>
        <v>310000</v>
      </c>
      <c r="H37" s="312">
        <v>0.3</v>
      </c>
      <c r="I37" s="405">
        <f t="shared" si="2"/>
        <v>0.7</v>
      </c>
      <c r="J37" s="326" t="s">
        <v>308</v>
      </c>
      <c r="K37" s="337" t="s">
        <v>330</v>
      </c>
      <c r="L37" s="416" t="str">
        <f>+PEP!D41</f>
        <v>T1 - Año 1</v>
      </c>
      <c r="M37" s="416" t="str">
        <f>+PEP!E41</f>
        <v>T1 - Año 2</v>
      </c>
      <c r="N37" s="417"/>
      <c r="O37" s="439"/>
      <c r="P37" s="282"/>
      <c r="R37" s="293"/>
      <c r="S37" s="293"/>
    </row>
    <row r="38" spans="1:21" s="288" customFormat="1" ht="27.6" x14ac:dyDescent="0.25">
      <c r="A38" s="320"/>
      <c r="B38" s="294" t="s">
        <v>47</v>
      </c>
      <c r="C38" s="321" t="str">
        <f>+'CC D'!B32</f>
        <v>Contratación de Firma Consultora para la Auditoria Externa del Proyecto PR-L1145</v>
      </c>
      <c r="D38" s="323" t="str">
        <f>+'CC D'!A32</f>
        <v>2.2.1</v>
      </c>
      <c r="E38" s="294" t="str">
        <f>+'CC D'!F32</f>
        <v>SBCC</v>
      </c>
      <c r="F38" s="323">
        <v>10</v>
      </c>
      <c r="G38" s="324">
        <f>+'CC D'!I32</f>
        <v>500000</v>
      </c>
      <c r="H38" s="312">
        <v>0.3</v>
      </c>
      <c r="I38" s="405">
        <f t="shared" si="1"/>
        <v>0.7</v>
      </c>
      <c r="J38" s="326" t="s">
        <v>19</v>
      </c>
      <c r="K38" s="337" t="s">
        <v>330</v>
      </c>
      <c r="L38" s="416" t="str">
        <f>+PEP!D49</f>
        <v>T2 - Año 1</v>
      </c>
      <c r="M38" s="416" t="str">
        <f>+PEP!E49</f>
        <v>T4 - Año 1</v>
      </c>
      <c r="N38" s="338"/>
      <c r="O38" s="432"/>
      <c r="P38" s="282"/>
      <c r="R38" s="293"/>
      <c r="S38" s="293"/>
    </row>
    <row r="39" spans="1:21" s="288" customFormat="1" ht="27.6" x14ac:dyDescent="0.25">
      <c r="A39" s="320"/>
      <c r="B39" s="294" t="s">
        <v>47</v>
      </c>
      <c r="C39" s="321" t="str">
        <f>+'CC D'!B33</f>
        <v>Contratación de Firma Consultora para la Evaluación Final del Proyecto</v>
      </c>
      <c r="D39" s="323" t="str">
        <f>+'CC D'!A33</f>
        <v>2.2.2</v>
      </c>
      <c r="E39" s="294" t="str">
        <f>+'CC D'!F33</f>
        <v>SCC</v>
      </c>
      <c r="F39" s="323">
        <v>11</v>
      </c>
      <c r="G39" s="324">
        <f>+'CC D'!I33</f>
        <v>100000</v>
      </c>
      <c r="H39" s="312">
        <v>0.3</v>
      </c>
      <c r="I39" s="405">
        <f t="shared" si="1"/>
        <v>0.7</v>
      </c>
      <c r="J39" s="326" t="s">
        <v>19</v>
      </c>
      <c r="K39" s="337" t="s">
        <v>330</v>
      </c>
      <c r="L39" s="416" t="str">
        <f>+PEP!D50</f>
        <v>T1- Año 1</v>
      </c>
      <c r="M39" s="416" t="str">
        <f>+PEP!E50</f>
        <v>T14- Año 1</v>
      </c>
      <c r="N39" s="338"/>
      <c r="O39" s="432"/>
      <c r="P39" s="282"/>
      <c r="R39" s="293"/>
      <c r="S39" s="293"/>
    </row>
    <row r="40" spans="1:21" s="288" customFormat="1" ht="41.4" x14ac:dyDescent="0.25">
      <c r="A40" s="320"/>
      <c r="B40" s="294" t="s">
        <v>47</v>
      </c>
      <c r="C40" s="321" t="str">
        <f>+'CC D'!B34</f>
        <v>Contratíon Firma Consultora para la Capacitación de Funcionarios en Gestión de contratos CREMA</v>
      </c>
      <c r="D40" s="323" t="str">
        <f>+'CC D'!A34</f>
        <v>2.2.3</v>
      </c>
      <c r="E40" s="294" t="str">
        <f>+'CC D'!F34</f>
        <v>SCC</v>
      </c>
      <c r="F40" s="323">
        <v>12</v>
      </c>
      <c r="G40" s="324">
        <f>+'CC D'!I34</f>
        <v>100000</v>
      </c>
      <c r="H40" s="312">
        <v>0.3</v>
      </c>
      <c r="I40" s="405">
        <f t="shared" si="1"/>
        <v>0.7</v>
      </c>
      <c r="J40" s="326" t="s">
        <v>19</v>
      </c>
      <c r="K40" s="337" t="s">
        <v>330</v>
      </c>
      <c r="L40" s="416" t="str">
        <f>+PEP!D51</f>
        <v>T1-Año 1</v>
      </c>
      <c r="M40" s="416" t="str">
        <f>+PEP!E51</f>
        <v>T14- Año 1</v>
      </c>
      <c r="N40" s="521"/>
      <c r="O40" s="522"/>
      <c r="P40" s="282"/>
      <c r="R40" s="293"/>
      <c r="S40" s="293"/>
    </row>
    <row r="41" spans="1:21" s="288" customFormat="1" ht="25.5" customHeight="1" x14ac:dyDescent="0.25">
      <c r="A41" s="320"/>
      <c r="B41" s="294" t="s">
        <v>47</v>
      </c>
      <c r="C41" s="321" t="str">
        <f>+'CC D'!B35</f>
        <v>Contratación Firma Consultora para la Inspección de Seguridad vial en obras concluidas</v>
      </c>
      <c r="D41" s="323" t="str">
        <f>+'CC D'!A35</f>
        <v>2.2.4</v>
      </c>
      <c r="E41" s="294" t="str">
        <f>+'CC D'!F35</f>
        <v>SCC</v>
      </c>
      <c r="F41" s="323">
        <v>13</v>
      </c>
      <c r="G41" s="324">
        <f>+'CC D'!I35</f>
        <v>50000</v>
      </c>
      <c r="H41" s="312">
        <v>0.3</v>
      </c>
      <c r="I41" s="405">
        <f t="shared" si="1"/>
        <v>0.7</v>
      </c>
      <c r="J41" s="326" t="s">
        <v>19</v>
      </c>
      <c r="K41" s="337" t="s">
        <v>330</v>
      </c>
      <c r="L41" s="416" t="str">
        <f>+PEP!D52</f>
        <v>T1-Año 1</v>
      </c>
      <c r="M41" s="416" t="str">
        <f>+PEP!E52</f>
        <v>T4 - Año 2</v>
      </c>
      <c r="N41" s="521"/>
      <c r="O41" s="522"/>
      <c r="P41" s="282"/>
      <c r="R41" s="293"/>
      <c r="S41" s="293"/>
    </row>
    <row r="42" spans="1:21" s="288" customFormat="1" ht="41.4" x14ac:dyDescent="0.25">
      <c r="A42" s="333"/>
      <c r="B42" s="294" t="s">
        <v>47</v>
      </c>
      <c r="C42" s="321" t="str">
        <f>+'CC D'!B36</f>
        <v xml:space="preserve">Contratación Firma Consultora para Innovación tecnológica de red vial secundaria del Chaco y alimentadoras de la Ruta 9 </v>
      </c>
      <c r="D42" s="323" t="str">
        <f>+'CC D'!A36</f>
        <v>2.2.5</v>
      </c>
      <c r="E42" s="294" t="str">
        <f>+'CC D'!F36</f>
        <v>SCC</v>
      </c>
      <c r="F42" s="323">
        <v>14</v>
      </c>
      <c r="G42" s="324">
        <f>+'CC D'!I36</f>
        <v>150000</v>
      </c>
      <c r="H42" s="312">
        <v>0.3</v>
      </c>
      <c r="I42" s="405">
        <f t="shared" si="1"/>
        <v>0.7</v>
      </c>
      <c r="J42" s="326" t="s">
        <v>19</v>
      </c>
      <c r="K42" s="337" t="s">
        <v>330</v>
      </c>
      <c r="L42" s="416" t="str">
        <f>+PEP!D53</f>
        <v>T3-Año 2</v>
      </c>
      <c r="M42" s="416" t="str">
        <f>+PEP!E53</f>
        <v>T3 - Año 3</v>
      </c>
      <c r="N42" s="521"/>
      <c r="O42" s="522"/>
      <c r="P42" s="282"/>
      <c r="R42" s="293"/>
      <c r="S42" s="293"/>
    </row>
    <row r="43" spans="1:21" s="288" customFormat="1" ht="41.4" x14ac:dyDescent="0.25">
      <c r="A43" s="333"/>
      <c r="B43" s="294" t="s">
        <v>47</v>
      </c>
      <c r="C43" s="321" t="str">
        <f>+'CC D'!B37</f>
        <v>Contratación Firma Consultora para el Estudio de alternativas de mantenimiento de red vial en el Chaco</v>
      </c>
      <c r="D43" s="323" t="str">
        <f>+'CC D'!A37</f>
        <v>2.2.6</v>
      </c>
      <c r="E43" s="294" t="str">
        <f>+'CC D'!F37</f>
        <v>SCC</v>
      </c>
      <c r="F43" s="323">
        <v>15</v>
      </c>
      <c r="G43" s="324">
        <f>+'CC D'!I37</f>
        <v>100000</v>
      </c>
      <c r="H43" s="312">
        <v>0.3</v>
      </c>
      <c r="I43" s="405">
        <f t="shared" si="1"/>
        <v>0.7</v>
      </c>
      <c r="J43" s="326" t="s">
        <v>19</v>
      </c>
      <c r="K43" s="337" t="s">
        <v>330</v>
      </c>
      <c r="L43" s="416" t="str">
        <f>+PEP!D54</f>
        <v>T1- Año 3</v>
      </c>
      <c r="M43" s="416" t="str">
        <f>+PEP!E54</f>
        <v>T1- Año 4</v>
      </c>
      <c r="N43" s="521"/>
      <c r="O43" s="522"/>
      <c r="P43" s="282"/>
      <c r="R43" s="293"/>
      <c r="S43" s="293"/>
    </row>
    <row r="44" spans="1:21" s="288" customFormat="1" ht="27.6" x14ac:dyDescent="0.25">
      <c r="A44" s="333"/>
      <c r="B44" s="294" t="s">
        <v>47</v>
      </c>
      <c r="C44" s="321" t="str">
        <f>+'CC D'!B38</f>
        <v>Contratación Firma Consultora para el  Estudio de viabilidad de uso de bitrenes en la Ruta 9</v>
      </c>
      <c r="D44" s="323" t="str">
        <f>+'CC D'!A38</f>
        <v>2.2.7</v>
      </c>
      <c r="E44" s="294" t="str">
        <f>+'CC D'!F38</f>
        <v>SBCC</v>
      </c>
      <c r="F44" s="323">
        <v>16</v>
      </c>
      <c r="G44" s="324">
        <f>+'CC D'!I38</f>
        <v>100000</v>
      </c>
      <c r="H44" s="312">
        <v>0.3</v>
      </c>
      <c r="I44" s="405">
        <f t="shared" ref="I44" si="3">1-H44</f>
        <v>0.7</v>
      </c>
      <c r="J44" s="326" t="s">
        <v>19</v>
      </c>
      <c r="K44" s="337" t="s">
        <v>330</v>
      </c>
      <c r="L44" s="416" t="str">
        <f>+PEP!D55</f>
        <v>T4 - Año 6</v>
      </c>
      <c r="M44" s="416" t="str">
        <f>+PEP!E55</f>
        <v>T2 - Año 7</v>
      </c>
      <c r="N44" s="521"/>
      <c r="O44" s="522"/>
      <c r="P44" s="282"/>
      <c r="R44" s="293"/>
      <c r="S44" s="293"/>
    </row>
    <row r="45" spans="1:21" s="288" customFormat="1" x14ac:dyDescent="0.25">
      <c r="A45" s="333"/>
      <c r="B45" s="294" t="s">
        <v>47</v>
      </c>
      <c r="C45" s="321" t="str">
        <f>+'CC D'!B19</f>
        <v>Monitoreo y Evaluación Socio Ambiental</v>
      </c>
      <c r="D45" s="288" t="str">
        <f>+'CC D'!A21</f>
        <v>1.3.3</v>
      </c>
      <c r="E45" s="323" t="str">
        <f>+'CC D'!F19</f>
        <v>SCC</v>
      </c>
      <c r="F45" s="323">
        <v>17</v>
      </c>
      <c r="G45" s="324">
        <f>+'CC D'!I19</f>
        <v>1919000</v>
      </c>
      <c r="H45" s="312">
        <v>0.3</v>
      </c>
      <c r="I45" s="405">
        <f t="shared" ref="I45:I46" si="4">1-H45</f>
        <v>0.7</v>
      </c>
      <c r="J45" s="326" t="s">
        <v>19</v>
      </c>
      <c r="K45" s="337" t="s">
        <v>330</v>
      </c>
      <c r="L45" s="418" t="str">
        <f>+PEP!D36</f>
        <v>T2- Año 1</v>
      </c>
      <c r="M45" s="418" t="str">
        <f>+PEP!E36</f>
        <v>T2- Año 2</v>
      </c>
      <c r="N45" s="521"/>
      <c r="O45" s="522"/>
      <c r="P45" s="282"/>
      <c r="R45" s="293"/>
      <c r="S45" s="293"/>
    </row>
    <row r="46" spans="1:21" s="288" customFormat="1" ht="27.6" x14ac:dyDescent="0.25">
      <c r="A46" s="333"/>
      <c r="B46" s="294" t="s">
        <v>47</v>
      </c>
      <c r="C46" s="321" t="str">
        <f>+'CC D'!B21</f>
        <v>Implementación del Plan de Gestión Socio Ambiental</v>
      </c>
      <c r="D46" s="323" t="str">
        <f>+'CC D'!A21</f>
        <v>1.3.3</v>
      </c>
      <c r="E46" s="294" t="str">
        <f>+'CC D'!F21</f>
        <v>SBCC</v>
      </c>
      <c r="F46" s="323">
        <v>18</v>
      </c>
      <c r="G46" s="324">
        <f>+'CC D'!I21</f>
        <v>770000</v>
      </c>
      <c r="H46" s="312">
        <v>0.3</v>
      </c>
      <c r="I46" s="405">
        <f t="shared" si="4"/>
        <v>0.7</v>
      </c>
      <c r="J46" s="326" t="s">
        <v>19</v>
      </c>
      <c r="K46" s="337" t="s">
        <v>330</v>
      </c>
      <c r="L46" s="418" t="str">
        <f>+PEP!D38</f>
        <v>T1 - Año 1</v>
      </c>
      <c r="M46" s="418" t="str">
        <f>+PEP!E38</f>
        <v>T1 - Año 2</v>
      </c>
      <c r="N46" s="521"/>
      <c r="O46" s="522"/>
      <c r="P46" s="282"/>
      <c r="R46" s="293"/>
      <c r="S46" s="293"/>
    </row>
    <row r="47" spans="1:21" s="288" customFormat="1" x14ac:dyDescent="0.25">
      <c r="A47" s="282"/>
      <c r="B47" s="535" t="s">
        <v>331</v>
      </c>
      <c r="C47" s="535"/>
      <c r="D47" s="535"/>
      <c r="E47" s="535"/>
      <c r="F47" s="535"/>
      <c r="G47" s="344">
        <f>SUM(G33:G46)</f>
        <v>24370000</v>
      </c>
      <c r="H47" s="345"/>
      <c r="I47" s="345"/>
      <c r="J47" s="345"/>
      <c r="K47" s="345"/>
      <c r="L47" s="346"/>
      <c r="M47" s="437"/>
      <c r="N47" s="512"/>
      <c r="O47" s="513"/>
      <c r="P47" s="290"/>
      <c r="Q47" s="291"/>
      <c r="R47" s="293" t="s">
        <v>311</v>
      </c>
      <c r="S47" s="291"/>
      <c r="T47" s="291"/>
      <c r="U47" s="291"/>
    </row>
    <row r="48" spans="1:21" x14ac:dyDescent="0.25">
      <c r="A48" s="333"/>
      <c r="B48" s="331"/>
      <c r="C48" s="347"/>
      <c r="D48" s="348"/>
      <c r="E48" s="333"/>
      <c r="F48" s="333"/>
      <c r="G48" s="334"/>
      <c r="H48" s="349"/>
      <c r="I48" s="349"/>
      <c r="J48" s="333"/>
      <c r="K48" s="333"/>
      <c r="L48" s="335"/>
      <c r="M48" s="350"/>
      <c r="O48" s="351"/>
      <c r="R48" s="293"/>
      <c r="S48" s="293"/>
    </row>
    <row r="49" spans="1:207" x14ac:dyDescent="0.25">
      <c r="B49" s="496" t="s">
        <v>332</v>
      </c>
      <c r="C49" s="500"/>
      <c r="D49" s="500"/>
      <c r="E49" s="500"/>
      <c r="F49" s="500"/>
      <c r="G49" s="500"/>
      <c r="H49" s="500"/>
      <c r="I49" s="500"/>
      <c r="J49" s="500"/>
      <c r="K49" s="500"/>
      <c r="L49" s="500"/>
      <c r="M49" s="500"/>
      <c r="N49" s="500"/>
      <c r="O49" s="500"/>
      <c r="R49" s="293" t="s">
        <v>333</v>
      </c>
      <c r="S49" s="293" t="s">
        <v>334</v>
      </c>
    </row>
    <row r="50" spans="1:207" x14ac:dyDescent="0.25">
      <c r="B50" s="496" t="s">
        <v>290</v>
      </c>
      <c r="C50" s="497" t="s">
        <v>291</v>
      </c>
      <c r="D50" s="497" t="s">
        <v>292</v>
      </c>
      <c r="E50" s="496" t="s">
        <v>315</v>
      </c>
      <c r="F50" s="496" t="s">
        <v>295</v>
      </c>
      <c r="G50" s="498" t="s">
        <v>296</v>
      </c>
      <c r="H50" s="498"/>
      <c r="I50" s="498"/>
      <c r="J50" s="496" t="s">
        <v>335</v>
      </c>
      <c r="K50" s="496" t="s">
        <v>297</v>
      </c>
      <c r="L50" s="501" t="s">
        <v>298</v>
      </c>
      <c r="M50" s="496" t="s">
        <v>299</v>
      </c>
      <c r="N50" s="496"/>
      <c r="O50" s="496" t="s">
        <v>300</v>
      </c>
      <c r="R50" s="293" t="s">
        <v>336</v>
      </c>
      <c r="S50" s="293" t="s">
        <v>337</v>
      </c>
    </row>
    <row r="51" spans="1:207" ht="55.2" x14ac:dyDescent="0.25">
      <c r="B51" s="496"/>
      <c r="C51" s="497"/>
      <c r="D51" s="497"/>
      <c r="E51" s="498"/>
      <c r="F51" s="496"/>
      <c r="G51" s="441" t="s">
        <v>302</v>
      </c>
      <c r="H51" s="429" t="s">
        <v>303</v>
      </c>
      <c r="I51" s="429" t="s">
        <v>304</v>
      </c>
      <c r="J51" s="496"/>
      <c r="K51" s="496"/>
      <c r="L51" s="498"/>
      <c r="M51" s="430" t="s">
        <v>338</v>
      </c>
      <c r="N51" s="429" t="s">
        <v>339</v>
      </c>
      <c r="O51" s="496"/>
      <c r="R51" s="293" t="s">
        <v>340</v>
      </c>
      <c r="S51" s="293" t="s">
        <v>337</v>
      </c>
    </row>
    <row r="52" spans="1:207" x14ac:dyDescent="0.25">
      <c r="B52" s="339"/>
      <c r="C52" s="340"/>
      <c r="D52" s="323"/>
      <c r="E52" s="341"/>
      <c r="F52" s="352"/>
      <c r="G52" s="342"/>
      <c r="H52" s="353"/>
      <c r="I52" s="354"/>
      <c r="J52" s="355"/>
      <c r="K52" s="356"/>
      <c r="L52" s="357"/>
      <c r="M52" s="358"/>
      <c r="N52" s="358"/>
      <c r="O52" s="297"/>
      <c r="R52" s="293"/>
      <c r="S52" s="293"/>
    </row>
    <row r="53" spans="1:207" s="360" customFormat="1" x14ac:dyDescent="0.25">
      <c r="A53" s="282"/>
      <c r="B53" s="339"/>
      <c r="C53" s="340"/>
      <c r="D53" s="323"/>
      <c r="E53" s="341"/>
      <c r="F53" s="352"/>
      <c r="G53" s="342"/>
      <c r="H53" s="353"/>
      <c r="I53" s="354"/>
      <c r="J53" s="355"/>
      <c r="K53" s="355"/>
      <c r="L53" s="359"/>
      <c r="M53" s="343"/>
      <c r="N53" s="343"/>
      <c r="O53" s="297"/>
      <c r="P53" s="282"/>
      <c r="Q53" s="288"/>
      <c r="R53" s="293"/>
      <c r="S53" s="293"/>
      <c r="T53" s="288"/>
      <c r="U53" s="288"/>
      <c r="V53" s="288"/>
      <c r="W53" s="288"/>
      <c r="X53" s="288"/>
      <c r="Y53" s="288"/>
      <c r="Z53" s="288"/>
      <c r="AA53" s="288"/>
      <c r="AB53" s="288"/>
      <c r="AC53" s="288"/>
      <c r="AD53" s="288"/>
      <c r="AE53" s="288"/>
      <c r="AF53" s="288"/>
      <c r="AG53" s="288"/>
      <c r="AH53" s="288"/>
      <c r="AI53" s="288"/>
      <c r="AJ53" s="288"/>
      <c r="AK53" s="288"/>
      <c r="AL53" s="288"/>
      <c r="AM53" s="288"/>
      <c r="AN53" s="288"/>
      <c r="AO53" s="288"/>
      <c r="AP53" s="288"/>
      <c r="AQ53" s="288"/>
      <c r="AR53" s="288"/>
      <c r="AS53" s="288"/>
      <c r="AT53" s="288"/>
      <c r="AU53" s="288"/>
      <c r="AV53" s="288"/>
      <c r="AW53" s="288"/>
      <c r="AX53" s="288"/>
      <c r="AY53" s="288"/>
      <c r="AZ53" s="288"/>
      <c r="BA53" s="288"/>
      <c r="BB53" s="288"/>
      <c r="BC53" s="288"/>
      <c r="BD53" s="288"/>
      <c r="BE53" s="288"/>
      <c r="BF53" s="288"/>
      <c r="BG53" s="288"/>
      <c r="BH53" s="288"/>
      <c r="BI53" s="288"/>
      <c r="BJ53" s="288"/>
      <c r="BK53" s="288"/>
      <c r="BL53" s="288"/>
      <c r="BM53" s="288"/>
      <c r="BN53" s="288"/>
      <c r="BO53" s="288"/>
      <c r="BP53" s="288"/>
      <c r="BQ53" s="288"/>
      <c r="BR53" s="288"/>
      <c r="BS53" s="288"/>
      <c r="BT53" s="288"/>
      <c r="BU53" s="288"/>
      <c r="BV53" s="288"/>
      <c r="BW53" s="288"/>
      <c r="BX53" s="288"/>
      <c r="BY53" s="288"/>
      <c r="BZ53" s="288"/>
      <c r="CA53" s="288"/>
      <c r="CB53" s="288"/>
      <c r="CC53" s="288"/>
      <c r="CD53" s="288"/>
      <c r="CE53" s="288"/>
      <c r="CF53" s="288"/>
      <c r="CG53" s="288"/>
      <c r="CH53" s="288"/>
      <c r="CI53" s="288"/>
      <c r="CJ53" s="288"/>
      <c r="CK53" s="288"/>
      <c r="CL53" s="288"/>
      <c r="CM53" s="288"/>
      <c r="CN53" s="288"/>
      <c r="CO53" s="288"/>
      <c r="CP53" s="288"/>
      <c r="CQ53" s="288"/>
      <c r="CR53" s="288"/>
      <c r="CS53" s="288"/>
      <c r="CT53" s="288"/>
      <c r="CU53" s="288"/>
      <c r="CV53" s="288"/>
      <c r="CW53" s="288"/>
      <c r="CX53" s="288"/>
      <c r="CY53" s="288"/>
      <c r="CZ53" s="288"/>
      <c r="DA53" s="288"/>
      <c r="DB53" s="288"/>
      <c r="DC53" s="288"/>
      <c r="DD53" s="288"/>
      <c r="DE53" s="288"/>
      <c r="DF53" s="288"/>
      <c r="DG53" s="288"/>
      <c r="DH53" s="288"/>
      <c r="DI53" s="288"/>
      <c r="DJ53" s="288"/>
      <c r="DK53" s="288"/>
      <c r="DL53" s="288"/>
      <c r="DM53" s="288"/>
      <c r="DN53" s="288"/>
      <c r="DO53" s="288"/>
      <c r="DP53" s="288"/>
      <c r="DQ53" s="288"/>
      <c r="DR53" s="288"/>
      <c r="DS53" s="288"/>
      <c r="DT53" s="288"/>
      <c r="DU53" s="288"/>
      <c r="DV53" s="288"/>
      <c r="DW53" s="288"/>
      <c r="DX53" s="288"/>
      <c r="DY53" s="288"/>
      <c r="DZ53" s="288"/>
      <c r="EA53" s="288"/>
      <c r="EB53" s="288"/>
      <c r="EC53" s="288"/>
      <c r="ED53" s="288"/>
      <c r="EE53" s="288"/>
      <c r="EF53" s="288"/>
      <c r="EG53" s="288"/>
      <c r="EH53" s="288"/>
      <c r="EI53" s="288"/>
      <c r="EJ53" s="288"/>
      <c r="EK53" s="288"/>
      <c r="EL53" s="288"/>
      <c r="EM53" s="288"/>
      <c r="EN53" s="288"/>
      <c r="EO53" s="288"/>
      <c r="EP53" s="288"/>
      <c r="EQ53" s="288"/>
      <c r="ER53" s="288"/>
      <c r="ES53" s="288"/>
      <c r="ET53" s="288"/>
      <c r="EU53" s="288"/>
      <c r="EV53" s="288"/>
      <c r="EW53" s="288"/>
      <c r="EX53" s="288"/>
      <c r="EY53" s="288"/>
      <c r="EZ53" s="288"/>
      <c r="FA53" s="288"/>
      <c r="FB53" s="288"/>
      <c r="FC53" s="288"/>
      <c r="FD53" s="288"/>
      <c r="FE53" s="288"/>
      <c r="FF53" s="288"/>
      <c r="FG53" s="288"/>
      <c r="FH53" s="288"/>
      <c r="FI53" s="288"/>
      <c r="FJ53" s="288"/>
      <c r="FK53" s="288"/>
      <c r="FL53" s="288"/>
      <c r="FM53" s="288"/>
      <c r="FN53" s="288"/>
      <c r="FO53" s="288"/>
      <c r="FP53" s="288"/>
      <c r="FQ53" s="288"/>
      <c r="FR53" s="288"/>
      <c r="FS53" s="288"/>
      <c r="FT53" s="288"/>
      <c r="FU53" s="288"/>
      <c r="FV53" s="288"/>
      <c r="FW53" s="288"/>
      <c r="FX53" s="288"/>
      <c r="FY53" s="288"/>
      <c r="FZ53" s="288"/>
      <c r="GA53" s="288"/>
      <c r="GB53" s="288"/>
      <c r="GC53" s="288"/>
      <c r="GD53" s="288"/>
      <c r="GE53" s="288"/>
      <c r="GF53" s="288"/>
      <c r="GG53" s="288"/>
      <c r="GH53" s="288"/>
      <c r="GI53" s="288"/>
      <c r="GJ53" s="288"/>
      <c r="GK53" s="288"/>
      <c r="GL53" s="288"/>
      <c r="GM53" s="288"/>
      <c r="GN53" s="288"/>
      <c r="GO53" s="288"/>
      <c r="GP53" s="288"/>
      <c r="GQ53" s="288"/>
      <c r="GR53" s="288"/>
      <c r="GS53" s="288"/>
      <c r="GT53" s="288"/>
      <c r="GU53" s="288"/>
      <c r="GV53" s="288"/>
      <c r="GW53" s="288"/>
      <c r="GX53" s="288"/>
      <c r="GY53" s="288"/>
    </row>
    <row r="54" spans="1:207" x14ac:dyDescent="0.25">
      <c r="B54" s="535" t="s">
        <v>341</v>
      </c>
      <c r="C54" s="535"/>
      <c r="D54" s="535"/>
      <c r="E54" s="535"/>
      <c r="F54" s="535"/>
      <c r="G54" s="344">
        <f>SUM(G52:G53)</f>
        <v>0</v>
      </c>
      <c r="H54" s="345"/>
      <c r="I54" s="345"/>
      <c r="J54" s="345"/>
      <c r="K54" s="345"/>
      <c r="L54" s="346"/>
      <c r="M54" s="346"/>
      <c r="N54" s="346"/>
      <c r="O54" s="346"/>
      <c r="R54" s="293" t="s">
        <v>342</v>
      </c>
      <c r="S54" s="293" t="s">
        <v>343</v>
      </c>
    </row>
    <row r="55" spans="1:207" x14ac:dyDescent="0.25">
      <c r="B55" s="351"/>
      <c r="C55" s="361"/>
      <c r="D55" s="362"/>
      <c r="E55" s="351"/>
      <c r="F55" s="351"/>
      <c r="G55" s="27"/>
      <c r="H55" s="351"/>
      <c r="I55" s="351"/>
      <c r="J55" s="351"/>
      <c r="K55" s="351"/>
      <c r="L55" s="363"/>
      <c r="M55" s="363"/>
      <c r="N55" s="362"/>
      <c r="O55" s="351"/>
      <c r="R55" s="293" t="s">
        <v>344</v>
      </c>
      <c r="S55" s="293" t="s">
        <v>345</v>
      </c>
    </row>
    <row r="56" spans="1:207" x14ac:dyDescent="0.25">
      <c r="B56" s="523" t="s">
        <v>346</v>
      </c>
      <c r="C56" s="523"/>
      <c r="D56" s="523"/>
      <c r="E56" s="523"/>
      <c r="F56" s="523"/>
      <c r="G56" s="523"/>
      <c r="H56" s="523"/>
      <c r="I56" s="523"/>
      <c r="J56" s="523"/>
      <c r="K56" s="523"/>
      <c r="L56" s="523"/>
      <c r="M56" s="523"/>
      <c r="N56" s="523"/>
      <c r="O56" s="523"/>
      <c r="R56" s="293" t="s">
        <v>347</v>
      </c>
      <c r="S56" s="293" t="s">
        <v>345</v>
      </c>
    </row>
    <row r="57" spans="1:207" x14ac:dyDescent="0.25">
      <c r="B57" s="523" t="s">
        <v>290</v>
      </c>
      <c r="C57" s="531" t="s">
        <v>291</v>
      </c>
      <c r="D57" s="531" t="s">
        <v>292</v>
      </c>
      <c r="E57" s="523" t="s">
        <v>315</v>
      </c>
      <c r="F57" s="523" t="s">
        <v>295</v>
      </c>
      <c r="G57" s="532" t="s">
        <v>296</v>
      </c>
      <c r="H57" s="532"/>
      <c r="I57" s="532"/>
      <c r="J57" s="523" t="s">
        <v>297</v>
      </c>
      <c r="K57" s="523" t="s">
        <v>298</v>
      </c>
      <c r="L57" s="523" t="s">
        <v>299</v>
      </c>
      <c r="M57" s="523"/>
      <c r="N57" s="523" t="s">
        <v>300</v>
      </c>
      <c r="O57" s="523"/>
      <c r="R57" s="293"/>
      <c r="S57" s="293" t="s">
        <v>348</v>
      </c>
    </row>
    <row r="58" spans="1:207" ht="55.2" x14ac:dyDescent="0.25">
      <c r="B58" s="523"/>
      <c r="C58" s="531"/>
      <c r="D58" s="531"/>
      <c r="E58" s="532"/>
      <c r="F58" s="523"/>
      <c r="G58" s="364" t="s">
        <v>302</v>
      </c>
      <c r="H58" s="428" t="s">
        <v>303</v>
      </c>
      <c r="I58" s="428" t="s">
        <v>304</v>
      </c>
      <c r="J58" s="523"/>
      <c r="K58" s="533"/>
      <c r="L58" s="430" t="s">
        <v>328</v>
      </c>
      <c r="M58" s="336" t="s">
        <v>188</v>
      </c>
      <c r="N58" s="523"/>
      <c r="O58" s="523"/>
      <c r="R58" s="293"/>
      <c r="S58" s="293" t="s">
        <v>348</v>
      </c>
    </row>
    <row r="59" spans="1:207" s="288" customFormat="1" x14ac:dyDescent="0.25">
      <c r="A59" s="365"/>
      <c r="B59" s="294" t="s">
        <v>47</v>
      </c>
      <c r="C59" s="309" t="str">
        <f>+'CC D'!B26</f>
        <v>Pagos por Servicios Ambientales</v>
      </c>
      <c r="D59" s="366" t="str">
        <f>+'CC D'!A26</f>
        <v>1.4.1</v>
      </c>
      <c r="E59" s="367"/>
      <c r="F59" s="323">
        <v>19</v>
      </c>
      <c r="G59" s="368">
        <f>+'CC D'!I26</f>
        <v>4930000</v>
      </c>
      <c r="H59" s="369">
        <v>0.7</v>
      </c>
      <c r="I59" s="370">
        <v>0.3</v>
      </c>
      <c r="J59" s="326" t="s">
        <v>308</v>
      </c>
      <c r="K59" s="337" t="s">
        <v>330</v>
      </c>
      <c r="L59" s="371" t="s">
        <v>349</v>
      </c>
      <c r="M59" s="371" t="s">
        <v>350</v>
      </c>
      <c r="N59" s="528"/>
      <c r="O59" s="529"/>
      <c r="P59" s="307"/>
      <c r="R59" s="293"/>
      <c r="S59" s="293"/>
    </row>
    <row r="60" spans="1:207" s="288" customFormat="1" x14ac:dyDescent="0.25">
      <c r="A60" s="365"/>
      <c r="B60" s="294" t="s">
        <v>47</v>
      </c>
      <c r="C60" s="309" t="str">
        <f>+'CC D'!B22</f>
        <v>Plan de Reasentamiento</v>
      </c>
      <c r="D60" s="366" t="str">
        <f>+'CC D'!A22</f>
        <v>1.3.4</v>
      </c>
      <c r="E60" s="367"/>
      <c r="F60" s="412">
        <v>20</v>
      </c>
      <c r="G60" s="368">
        <f>+'CC D'!I22</f>
        <v>4360000</v>
      </c>
      <c r="H60" s="369">
        <v>0.7</v>
      </c>
      <c r="I60" s="370">
        <v>0.3</v>
      </c>
      <c r="J60" s="326" t="s">
        <v>308</v>
      </c>
      <c r="K60" s="330"/>
      <c r="L60" s="371"/>
      <c r="M60" s="371"/>
      <c r="N60" s="435"/>
      <c r="O60" s="436"/>
      <c r="P60" s="307"/>
      <c r="R60" s="293"/>
      <c r="S60" s="293"/>
    </row>
    <row r="61" spans="1:207" s="288" customFormat="1" ht="27.6" x14ac:dyDescent="0.25">
      <c r="A61" s="365"/>
      <c r="B61" s="294" t="s">
        <v>47</v>
      </c>
      <c r="C61" s="309" t="str">
        <f>+PEP!B47</f>
        <v xml:space="preserve">Contratación de la ECATEF para apoyo en la ejecución del Programa </v>
      </c>
      <c r="D61" s="366" t="str">
        <f>+PEP!A47</f>
        <v>2.1.1</v>
      </c>
      <c r="E61" s="367"/>
      <c r="F61" s="323">
        <v>21</v>
      </c>
      <c r="G61" s="368">
        <f>+PEP!G47</f>
        <v>6000000</v>
      </c>
      <c r="H61" s="369">
        <v>0.7</v>
      </c>
      <c r="I61" s="370">
        <v>0.3</v>
      </c>
      <c r="J61" s="326" t="s">
        <v>19</v>
      </c>
      <c r="K61" s="371"/>
      <c r="L61" s="371"/>
      <c r="M61" s="371"/>
      <c r="N61" s="435"/>
      <c r="O61" s="436"/>
      <c r="P61" s="307"/>
      <c r="R61" s="293"/>
      <c r="S61" s="293"/>
    </row>
    <row r="62" spans="1:207" s="288" customFormat="1" x14ac:dyDescent="0.25">
      <c r="A62" s="365"/>
      <c r="B62" s="294" t="s">
        <v>47</v>
      </c>
      <c r="C62" s="309" t="str">
        <f>+'CC D'!B39</f>
        <v>Comisión de Financiamiento (CAF)</v>
      </c>
      <c r="D62" s="413">
        <f>+'CC D'!A39</f>
        <v>2.2999999999999998</v>
      </c>
      <c r="E62" s="367"/>
      <c r="F62" s="412">
        <v>22</v>
      </c>
      <c r="G62" s="368">
        <f>+'CC D'!I39</f>
        <v>3400000</v>
      </c>
      <c r="H62" s="369"/>
      <c r="I62" s="370">
        <v>1</v>
      </c>
      <c r="J62" s="326" t="s">
        <v>19</v>
      </c>
      <c r="K62" s="371"/>
      <c r="L62" s="371"/>
      <c r="M62" s="371"/>
      <c r="N62" s="435"/>
      <c r="O62" s="436"/>
      <c r="P62" s="307"/>
      <c r="R62" s="293"/>
      <c r="S62" s="293"/>
    </row>
    <row r="63" spans="1:207" s="288" customFormat="1" x14ac:dyDescent="0.25">
      <c r="A63" s="365"/>
      <c r="B63" s="294" t="s">
        <v>47</v>
      </c>
      <c r="C63" s="309" t="str">
        <f>+'CC D'!B40</f>
        <v>Gastos de Evaluación (CAF)</v>
      </c>
      <c r="D63" s="413">
        <f>+'CC D'!A40</f>
        <v>2.4</v>
      </c>
      <c r="E63" s="367"/>
      <c r="F63" s="323">
        <v>23</v>
      </c>
      <c r="G63" s="368">
        <f>+'CC D'!I40</f>
        <v>50000</v>
      </c>
      <c r="H63" s="369"/>
      <c r="I63" s="370">
        <v>1</v>
      </c>
      <c r="J63" s="326" t="s">
        <v>19</v>
      </c>
      <c r="K63" s="371"/>
      <c r="L63" s="371"/>
      <c r="M63" s="371"/>
      <c r="N63" s="435"/>
      <c r="O63" s="436"/>
      <c r="P63" s="307"/>
      <c r="R63" s="293"/>
      <c r="S63" s="293"/>
    </row>
    <row r="64" spans="1:207" s="288" customFormat="1" x14ac:dyDescent="0.25">
      <c r="A64" s="365"/>
      <c r="B64" s="294" t="s">
        <v>47</v>
      </c>
      <c r="C64" s="309" t="str">
        <f>+PEP!B44</f>
        <v>Escalamientos e Imprevistos</v>
      </c>
      <c r="D64" s="413">
        <f>+PEP!A44</f>
        <v>1.5</v>
      </c>
      <c r="E64" s="367"/>
      <c r="F64" s="412">
        <v>24</v>
      </c>
      <c r="G64" s="368">
        <f>+PEP!G44</f>
        <v>23890000</v>
      </c>
      <c r="H64" s="369">
        <v>0.7</v>
      </c>
      <c r="I64" s="370">
        <v>0.3</v>
      </c>
      <c r="J64" s="326" t="s">
        <v>308</v>
      </c>
      <c r="K64" s="330"/>
      <c r="L64" s="371"/>
      <c r="M64" s="371"/>
      <c r="N64" s="435"/>
      <c r="O64" s="436"/>
      <c r="P64" s="307"/>
      <c r="R64" s="293"/>
      <c r="S64" s="293"/>
    </row>
    <row r="65" spans="1:207" x14ac:dyDescent="0.25">
      <c r="A65" s="372"/>
      <c r="B65" s="525" t="s">
        <v>351</v>
      </c>
      <c r="C65" s="525"/>
      <c r="D65" s="525"/>
      <c r="E65" s="525"/>
      <c r="F65" s="525"/>
      <c r="G65" s="373">
        <f>SUM(G59:G64)</f>
        <v>42630000</v>
      </c>
      <c r="H65" s="374"/>
      <c r="I65" s="374"/>
      <c r="J65" s="374"/>
      <c r="K65" s="374"/>
      <c r="L65" s="434"/>
      <c r="M65" s="434"/>
      <c r="N65" s="530"/>
      <c r="O65" s="530"/>
      <c r="R65" s="293" t="s">
        <v>352</v>
      </c>
      <c r="S65" s="293" t="s">
        <v>334</v>
      </c>
    </row>
    <row r="66" spans="1:207" x14ac:dyDescent="0.25">
      <c r="B66" s="351"/>
      <c r="C66" s="361"/>
      <c r="D66" s="362"/>
      <c r="E66" s="351"/>
      <c r="F66" s="351"/>
      <c r="G66" s="27"/>
      <c r="H66" s="351"/>
      <c r="I66" s="351"/>
      <c r="J66" s="351"/>
      <c r="K66" s="351"/>
      <c r="L66" s="363"/>
      <c r="M66" s="363"/>
      <c r="N66" s="362"/>
      <c r="O66" s="351"/>
      <c r="R66" s="293" t="s">
        <v>353</v>
      </c>
      <c r="S66" s="293" t="s">
        <v>334</v>
      </c>
    </row>
    <row r="67" spans="1:207" x14ac:dyDescent="0.25">
      <c r="B67" s="523" t="s">
        <v>354</v>
      </c>
      <c r="C67" s="523"/>
      <c r="D67" s="523"/>
      <c r="E67" s="523"/>
      <c r="F67" s="523"/>
      <c r="G67" s="523"/>
      <c r="H67" s="523"/>
      <c r="I67" s="523"/>
      <c r="J67" s="523"/>
      <c r="K67" s="523"/>
      <c r="L67" s="523"/>
      <c r="M67" s="523"/>
      <c r="N67" s="523"/>
      <c r="O67" s="523"/>
      <c r="R67" s="293" t="s">
        <v>355</v>
      </c>
      <c r="S67" s="293" t="s">
        <v>334</v>
      </c>
    </row>
    <row r="68" spans="1:207" ht="41.4" x14ac:dyDescent="0.25">
      <c r="B68" s="523" t="s">
        <v>290</v>
      </c>
      <c r="C68" s="531" t="s">
        <v>356</v>
      </c>
      <c r="D68" s="531" t="s">
        <v>292</v>
      </c>
      <c r="E68" s="523" t="s">
        <v>295</v>
      </c>
      <c r="F68" s="523"/>
      <c r="G68" s="532" t="s">
        <v>296</v>
      </c>
      <c r="H68" s="532"/>
      <c r="I68" s="532"/>
      <c r="J68" s="523" t="s">
        <v>297</v>
      </c>
      <c r="K68" s="428" t="s">
        <v>357</v>
      </c>
      <c r="L68" s="523" t="s">
        <v>299</v>
      </c>
      <c r="M68" s="523"/>
      <c r="N68" s="524" t="s">
        <v>300</v>
      </c>
      <c r="O68" s="524"/>
      <c r="R68" s="293" t="s">
        <v>358</v>
      </c>
      <c r="S68" s="293" t="s">
        <v>334</v>
      </c>
    </row>
    <row r="69" spans="1:207" s="375" customFormat="1" ht="55.2" x14ac:dyDescent="0.25">
      <c r="A69" s="282"/>
      <c r="B69" s="523"/>
      <c r="C69" s="531"/>
      <c r="D69" s="531"/>
      <c r="E69" s="523"/>
      <c r="F69" s="523"/>
      <c r="G69" s="428" t="s">
        <v>302</v>
      </c>
      <c r="H69" s="364" t="s">
        <v>303</v>
      </c>
      <c r="I69" s="428" t="s">
        <v>304</v>
      </c>
      <c r="J69" s="523"/>
      <c r="K69" s="428"/>
      <c r="L69" s="428" t="s">
        <v>359</v>
      </c>
      <c r="M69" s="433" t="s">
        <v>360</v>
      </c>
      <c r="N69" s="524"/>
      <c r="O69" s="524"/>
      <c r="Q69" s="288"/>
      <c r="R69" s="292"/>
      <c r="S69" s="292"/>
      <c r="T69" s="288"/>
      <c r="U69" s="288"/>
      <c r="V69" s="288"/>
      <c r="W69" s="288"/>
      <c r="X69" s="288"/>
      <c r="Y69" s="288"/>
      <c r="Z69" s="288"/>
      <c r="AA69" s="288"/>
      <c r="AB69" s="288"/>
      <c r="AC69" s="288"/>
      <c r="AD69" s="288"/>
      <c r="AE69" s="288"/>
      <c r="AF69" s="288"/>
      <c r="AG69" s="288"/>
      <c r="AH69" s="288"/>
      <c r="AI69" s="288"/>
      <c r="AJ69" s="288"/>
      <c r="AK69" s="288"/>
      <c r="AL69" s="288"/>
      <c r="AM69" s="288"/>
      <c r="AN69" s="288"/>
      <c r="AO69" s="288"/>
      <c r="AP69" s="288"/>
      <c r="AQ69" s="288"/>
      <c r="AR69" s="288"/>
      <c r="AS69" s="288"/>
      <c r="AT69" s="288"/>
      <c r="AU69" s="288"/>
      <c r="AV69" s="288"/>
      <c r="AW69" s="288"/>
      <c r="AX69" s="288"/>
      <c r="AY69" s="288"/>
      <c r="AZ69" s="288"/>
      <c r="BA69" s="288"/>
      <c r="BB69" s="288"/>
      <c r="BC69" s="288"/>
      <c r="BD69" s="288"/>
      <c r="BE69" s="288"/>
      <c r="BF69" s="288"/>
      <c r="BG69" s="288"/>
      <c r="BH69" s="288"/>
      <c r="BI69" s="288"/>
      <c r="BJ69" s="288"/>
      <c r="BK69" s="288"/>
      <c r="BL69" s="288"/>
      <c r="BM69" s="288"/>
      <c r="BN69" s="288"/>
      <c r="BO69" s="288"/>
      <c r="BP69" s="288"/>
      <c r="BQ69" s="288"/>
      <c r="BR69" s="288"/>
      <c r="BS69" s="288"/>
      <c r="BT69" s="288"/>
      <c r="BU69" s="288"/>
      <c r="BV69" s="288"/>
      <c r="BW69" s="288"/>
      <c r="BX69" s="288"/>
      <c r="BY69" s="288"/>
      <c r="BZ69" s="288"/>
      <c r="CA69" s="288"/>
      <c r="CB69" s="288"/>
      <c r="CC69" s="288"/>
      <c r="CD69" s="288"/>
      <c r="CE69" s="288"/>
      <c r="CF69" s="288"/>
      <c r="CG69" s="288"/>
      <c r="CH69" s="288"/>
      <c r="CI69" s="288"/>
      <c r="CJ69" s="288"/>
      <c r="CK69" s="288"/>
      <c r="CL69" s="288"/>
      <c r="CM69" s="288"/>
      <c r="CN69" s="288"/>
      <c r="CO69" s="288"/>
      <c r="CP69" s="288"/>
      <c r="CQ69" s="288"/>
      <c r="CR69" s="288"/>
      <c r="CS69" s="288"/>
      <c r="CT69" s="288"/>
      <c r="CU69" s="288"/>
      <c r="CV69" s="288"/>
      <c r="CW69" s="288"/>
      <c r="CX69" s="288"/>
      <c r="CY69" s="288"/>
      <c r="CZ69" s="288"/>
      <c r="DA69" s="288"/>
      <c r="DB69" s="288"/>
      <c r="DC69" s="288"/>
      <c r="DD69" s="288"/>
      <c r="DE69" s="288"/>
      <c r="DF69" s="288"/>
      <c r="DG69" s="288"/>
      <c r="DH69" s="288"/>
      <c r="DI69" s="288"/>
      <c r="DJ69" s="288"/>
      <c r="DK69" s="288"/>
      <c r="DL69" s="288"/>
      <c r="DM69" s="288"/>
      <c r="DN69" s="288"/>
      <c r="DO69" s="288"/>
      <c r="DP69" s="288"/>
      <c r="DQ69" s="288"/>
      <c r="DR69" s="288"/>
      <c r="DS69" s="288"/>
      <c r="DT69" s="288"/>
      <c r="DU69" s="288"/>
      <c r="DV69" s="288"/>
      <c r="DW69" s="288"/>
      <c r="DX69" s="288"/>
      <c r="DY69" s="288"/>
      <c r="DZ69" s="288"/>
      <c r="EA69" s="288"/>
      <c r="EB69" s="288"/>
      <c r="EC69" s="288"/>
      <c r="ED69" s="288"/>
      <c r="EE69" s="288"/>
      <c r="EF69" s="288"/>
      <c r="EG69" s="288"/>
      <c r="EH69" s="288"/>
      <c r="EI69" s="288"/>
      <c r="EJ69" s="288"/>
      <c r="EK69" s="288"/>
      <c r="EL69" s="288"/>
      <c r="EM69" s="288"/>
      <c r="EN69" s="288"/>
      <c r="EO69" s="288"/>
      <c r="EP69" s="288"/>
      <c r="EQ69" s="288"/>
      <c r="ER69" s="288"/>
      <c r="ES69" s="288"/>
      <c r="ET69" s="288"/>
      <c r="EU69" s="288"/>
      <c r="EV69" s="288"/>
      <c r="EW69" s="288"/>
      <c r="EX69" s="288"/>
      <c r="EY69" s="288"/>
      <c r="EZ69" s="288"/>
      <c r="FA69" s="288"/>
      <c r="FB69" s="288"/>
      <c r="FC69" s="288"/>
      <c r="FD69" s="288"/>
      <c r="FE69" s="288"/>
      <c r="FF69" s="288"/>
      <c r="FG69" s="288"/>
      <c r="FH69" s="288"/>
      <c r="FI69" s="288"/>
      <c r="FJ69" s="288"/>
      <c r="FK69" s="288"/>
      <c r="FL69" s="288"/>
      <c r="FM69" s="288"/>
      <c r="FN69" s="288"/>
      <c r="FO69" s="288"/>
      <c r="FP69" s="288"/>
      <c r="FQ69" s="288"/>
      <c r="FR69" s="288"/>
      <c r="FS69" s="288"/>
      <c r="FT69" s="288"/>
      <c r="FU69" s="288"/>
      <c r="FV69" s="288"/>
      <c r="FW69" s="288"/>
      <c r="FX69" s="288"/>
      <c r="FY69" s="288"/>
      <c r="FZ69" s="288"/>
      <c r="GA69" s="288"/>
      <c r="GB69" s="288"/>
      <c r="GC69" s="288"/>
      <c r="GD69" s="288"/>
      <c r="GE69" s="288"/>
      <c r="GF69" s="288"/>
      <c r="GG69" s="288"/>
      <c r="GH69" s="288"/>
      <c r="GI69" s="288"/>
      <c r="GJ69" s="288"/>
      <c r="GK69" s="288"/>
      <c r="GL69" s="288"/>
      <c r="GM69" s="288"/>
      <c r="GN69" s="288"/>
      <c r="GO69" s="288"/>
      <c r="GP69" s="288"/>
      <c r="GQ69" s="288"/>
      <c r="GR69" s="288"/>
      <c r="GS69" s="288"/>
      <c r="GT69" s="288"/>
      <c r="GU69" s="288"/>
      <c r="GV69" s="288"/>
      <c r="GW69" s="288"/>
      <c r="GX69" s="288"/>
      <c r="GY69" s="288"/>
    </row>
    <row r="70" spans="1:207" s="307" customFormat="1" x14ac:dyDescent="0.25">
      <c r="B70" s="376"/>
      <c r="C70" s="309"/>
      <c r="D70" s="367"/>
      <c r="E70" s="377"/>
      <c r="F70" s="378"/>
      <c r="G70" s="379"/>
      <c r="H70" s="380"/>
      <c r="I70" s="381"/>
      <c r="J70" s="382"/>
      <c r="K70" s="383"/>
      <c r="L70" s="384"/>
      <c r="M70" s="384"/>
      <c r="N70" s="385"/>
      <c r="O70" s="386"/>
      <c r="P70" s="288"/>
      <c r="Q70" s="288"/>
      <c r="R70" s="293"/>
      <c r="S70" s="293"/>
      <c r="T70" s="288"/>
      <c r="U70" s="288"/>
      <c r="V70" s="288"/>
      <c r="W70" s="288"/>
      <c r="X70" s="288"/>
      <c r="Y70" s="288"/>
      <c r="Z70" s="288"/>
      <c r="AA70" s="288"/>
      <c r="AB70" s="288"/>
      <c r="AC70" s="288"/>
      <c r="AD70" s="288"/>
      <c r="AE70" s="288"/>
      <c r="AF70" s="288"/>
      <c r="AG70" s="288"/>
      <c r="AH70" s="288"/>
      <c r="AI70" s="288"/>
      <c r="AJ70" s="288"/>
      <c r="AK70" s="288"/>
      <c r="AL70" s="288"/>
      <c r="AM70" s="288"/>
      <c r="AN70" s="288"/>
      <c r="AO70" s="288"/>
      <c r="AP70" s="288"/>
      <c r="AQ70" s="288"/>
      <c r="AR70" s="288"/>
      <c r="AS70" s="288"/>
      <c r="AT70" s="288"/>
      <c r="AU70" s="288"/>
      <c r="AV70" s="288"/>
      <c r="AW70" s="288"/>
      <c r="AX70" s="288"/>
      <c r="AY70" s="288"/>
      <c r="AZ70" s="288"/>
      <c r="BA70" s="288"/>
      <c r="BB70" s="288"/>
      <c r="BC70" s="288"/>
      <c r="BD70" s="288"/>
      <c r="BE70" s="288"/>
      <c r="BF70" s="288"/>
      <c r="BG70" s="288"/>
      <c r="BH70" s="288"/>
      <c r="BI70" s="288"/>
      <c r="BJ70" s="288"/>
      <c r="BK70" s="288"/>
      <c r="BL70" s="288"/>
      <c r="BM70" s="288"/>
      <c r="BN70" s="288"/>
      <c r="BO70" s="288"/>
      <c r="BP70" s="288"/>
      <c r="BQ70" s="288"/>
      <c r="BR70" s="288"/>
      <c r="BS70" s="288"/>
      <c r="BT70" s="288"/>
      <c r="BU70" s="288"/>
      <c r="BV70" s="288"/>
      <c r="BW70" s="288"/>
      <c r="BX70" s="288"/>
      <c r="BY70" s="288"/>
      <c r="BZ70" s="288"/>
      <c r="CA70" s="288"/>
      <c r="CB70" s="288"/>
      <c r="CC70" s="288"/>
      <c r="CD70" s="288"/>
      <c r="CE70" s="288"/>
      <c r="CF70" s="288"/>
      <c r="CG70" s="288"/>
      <c r="CH70" s="288"/>
      <c r="CI70" s="288"/>
      <c r="CJ70" s="288"/>
      <c r="CK70" s="288"/>
      <c r="CL70" s="288"/>
      <c r="CM70" s="288"/>
      <c r="CN70" s="288"/>
      <c r="CO70" s="288"/>
      <c r="CP70" s="288"/>
      <c r="CQ70" s="288"/>
      <c r="CR70" s="288"/>
      <c r="CS70" s="288"/>
      <c r="CT70" s="288"/>
      <c r="CU70" s="288"/>
      <c r="CV70" s="288"/>
      <c r="CW70" s="288"/>
      <c r="CX70" s="288"/>
      <c r="CY70" s="288"/>
      <c r="CZ70" s="288"/>
      <c r="DA70" s="288"/>
      <c r="DB70" s="288"/>
      <c r="DC70" s="288"/>
      <c r="DD70" s="288"/>
      <c r="DE70" s="288"/>
      <c r="DF70" s="288"/>
      <c r="DG70" s="288"/>
      <c r="DH70" s="288"/>
      <c r="DI70" s="288"/>
      <c r="DJ70" s="288"/>
      <c r="DK70" s="288"/>
      <c r="DL70" s="288"/>
      <c r="DM70" s="288"/>
      <c r="DN70" s="288"/>
      <c r="DO70" s="288"/>
      <c r="DP70" s="288"/>
      <c r="DQ70" s="288"/>
      <c r="DR70" s="288"/>
      <c r="DS70" s="288"/>
      <c r="DT70" s="288"/>
      <c r="DU70" s="288"/>
      <c r="DV70" s="288"/>
      <c r="DW70" s="288"/>
      <c r="DX70" s="288"/>
      <c r="DY70" s="288"/>
      <c r="DZ70" s="288"/>
      <c r="EA70" s="288"/>
      <c r="EB70" s="288"/>
      <c r="EC70" s="288"/>
      <c r="ED70" s="288"/>
      <c r="EE70" s="288"/>
      <c r="EF70" s="288"/>
      <c r="EG70" s="288"/>
      <c r="EH70" s="288"/>
      <c r="EI70" s="288"/>
      <c r="EJ70" s="288"/>
      <c r="EK70" s="288"/>
      <c r="EL70" s="288"/>
      <c r="EM70" s="288"/>
      <c r="EN70" s="288"/>
      <c r="EO70" s="288"/>
      <c r="EP70" s="288"/>
      <c r="EQ70" s="288"/>
      <c r="ER70" s="288"/>
      <c r="ES70" s="288"/>
      <c r="ET70" s="288"/>
      <c r="EU70" s="288"/>
      <c r="EV70" s="288"/>
      <c r="EW70" s="288"/>
      <c r="EX70" s="288"/>
      <c r="EY70" s="288"/>
      <c r="EZ70" s="288"/>
      <c r="FA70" s="288"/>
      <c r="FB70" s="288"/>
      <c r="FC70" s="288"/>
      <c r="FD70" s="288"/>
      <c r="FE70" s="288"/>
      <c r="FF70" s="288"/>
      <c r="FG70" s="288"/>
      <c r="FH70" s="288"/>
      <c r="FI70" s="288"/>
      <c r="FJ70" s="288"/>
      <c r="FK70" s="288"/>
      <c r="FL70" s="288"/>
      <c r="FM70" s="288"/>
      <c r="FN70" s="288"/>
      <c r="FO70" s="288"/>
      <c r="FP70" s="288"/>
      <c r="FQ70" s="288"/>
      <c r="FR70" s="288"/>
      <c r="FS70" s="288"/>
      <c r="FT70" s="288"/>
      <c r="FU70" s="288"/>
      <c r="FV70" s="288"/>
      <c r="FW70" s="288"/>
      <c r="FX70" s="288"/>
      <c r="FY70" s="288"/>
      <c r="FZ70" s="288"/>
      <c r="GA70" s="288"/>
      <c r="GB70" s="288"/>
      <c r="GC70" s="288"/>
      <c r="GD70" s="288"/>
      <c r="GE70" s="288"/>
      <c r="GF70" s="288"/>
      <c r="GG70" s="288"/>
      <c r="GH70" s="288"/>
      <c r="GI70" s="288"/>
      <c r="GJ70" s="288"/>
      <c r="GK70" s="288"/>
      <c r="GL70" s="288"/>
      <c r="GM70" s="288"/>
      <c r="GN70" s="288"/>
      <c r="GO70" s="288"/>
      <c r="GP70" s="288"/>
      <c r="GQ70" s="288"/>
      <c r="GR70" s="288"/>
      <c r="GS70" s="288"/>
      <c r="GT70" s="288"/>
      <c r="GU70" s="288"/>
      <c r="GV70" s="288"/>
      <c r="GW70" s="288"/>
      <c r="GX70" s="288"/>
      <c r="GY70" s="288"/>
    </row>
    <row r="71" spans="1:207" x14ac:dyDescent="0.25">
      <c r="B71" s="525" t="s">
        <v>361</v>
      </c>
      <c r="C71" s="525"/>
      <c r="D71" s="525"/>
      <c r="E71" s="525"/>
      <c r="F71" s="525"/>
      <c r="G71" s="387">
        <f>SUM(G70:G70)</f>
        <v>0</v>
      </c>
      <c r="H71" s="374"/>
      <c r="I71" s="374"/>
      <c r="J71" s="374"/>
      <c r="K71" s="374"/>
      <c r="L71" s="434"/>
      <c r="M71" s="434"/>
      <c r="N71" s="526"/>
      <c r="O71" s="526"/>
      <c r="R71" s="292"/>
      <c r="S71" s="293"/>
    </row>
    <row r="72" spans="1:207" x14ac:dyDescent="0.25">
      <c r="R72" s="292"/>
      <c r="S72" s="292"/>
    </row>
    <row r="73" spans="1:207" x14ac:dyDescent="0.25">
      <c r="L73" s="282"/>
      <c r="M73" s="282"/>
      <c r="N73" s="282"/>
      <c r="Q73" s="282"/>
      <c r="R73" s="282"/>
      <c r="S73" s="282"/>
      <c r="T73" s="282"/>
      <c r="U73" s="282"/>
      <c r="V73" s="282"/>
      <c r="W73" s="282"/>
      <c r="X73" s="282"/>
      <c r="Y73" s="282"/>
    </row>
    <row r="74" spans="1:207" x14ac:dyDescent="0.25">
      <c r="L74" s="282"/>
      <c r="M74" s="282"/>
      <c r="N74" s="282"/>
      <c r="Q74" s="282"/>
      <c r="R74" s="282"/>
      <c r="S74" s="282"/>
      <c r="T74" s="282"/>
      <c r="U74" s="282"/>
      <c r="V74" s="282"/>
      <c r="W74" s="282"/>
      <c r="X74" s="282"/>
      <c r="Y74" s="282"/>
    </row>
    <row r="75" spans="1:207" s="288" customFormat="1" x14ac:dyDescent="0.25">
      <c r="A75" s="282"/>
      <c r="C75" s="284"/>
      <c r="D75" s="527" t="s">
        <v>310</v>
      </c>
      <c r="E75" s="527"/>
      <c r="F75" s="527"/>
      <c r="G75" s="388">
        <f>H16</f>
        <v>493000000</v>
      </c>
      <c r="H75" s="389">
        <f t="shared" ref="H75:H81" si="5">G75/$G$82</f>
        <v>0.88035714285714284</v>
      </c>
      <c r="I75" s="282"/>
      <c r="J75" s="282"/>
      <c r="K75" s="282"/>
      <c r="L75" s="282"/>
      <c r="M75" s="282"/>
      <c r="N75" s="282"/>
      <c r="O75" s="282"/>
      <c r="P75" s="282"/>
      <c r="Q75" s="282"/>
      <c r="R75" s="282"/>
      <c r="S75" s="282"/>
      <c r="T75" s="282"/>
      <c r="U75" s="282"/>
      <c r="V75" s="282"/>
      <c r="W75" s="282"/>
      <c r="X75" s="282"/>
      <c r="Y75" s="282"/>
    </row>
    <row r="76" spans="1:207" s="288" customFormat="1" x14ac:dyDescent="0.25">
      <c r="A76" s="282"/>
      <c r="C76" s="284"/>
      <c r="D76" s="527" t="s">
        <v>317</v>
      </c>
      <c r="E76" s="527"/>
      <c r="F76" s="527"/>
      <c r="G76" s="388">
        <f>H22</f>
        <v>0</v>
      </c>
      <c r="H76" s="389">
        <f t="shared" si="5"/>
        <v>0</v>
      </c>
      <c r="I76" s="282"/>
      <c r="J76" s="282"/>
      <c r="K76" s="282"/>
      <c r="L76" s="282"/>
      <c r="M76" s="282"/>
      <c r="N76" s="282"/>
      <c r="O76" s="282"/>
      <c r="P76" s="282"/>
      <c r="Q76" s="282"/>
      <c r="R76" s="282"/>
      <c r="S76" s="282"/>
      <c r="T76" s="282"/>
      <c r="U76" s="282"/>
      <c r="V76" s="282"/>
      <c r="W76" s="282"/>
      <c r="X76" s="282"/>
      <c r="Y76" s="282"/>
    </row>
    <row r="77" spans="1:207" s="288" customFormat="1" ht="12.75" customHeight="1" x14ac:dyDescent="0.25">
      <c r="A77" s="282"/>
      <c r="C77" s="284"/>
      <c r="D77" s="527" t="s">
        <v>323</v>
      </c>
      <c r="E77" s="527"/>
      <c r="F77" s="527"/>
      <c r="G77" s="388">
        <f>H28</f>
        <v>0</v>
      </c>
      <c r="H77" s="389">
        <f t="shared" si="5"/>
        <v>0</v>
      </c>
      <c r="I77" s="282"/>
      <c r="J77" s="282"/>
      <c r="K77" s="282"/>
      <c r="L77" s="282"/>
      <c r="M77" s="282"/>
      <c r="N77" s="282"/>
      <c r="O77" s="282"/>
      <c r="P77" s="282"/>
      <c r="Q77" s="282"/>
      <c r="R77" s="282"/>
      <c r="S77" s="282"/>
      <c r="T77" s="282"/>
      <c r="U77" s="282"/>
      <c r="V77" s="282"/>
      <c r="W77" s="282"/>
      <c r="X77" s="282"/>
      <c r="Y77" s="282"/>
    </row>
    <row r="78" spans="1:207" s="288" customFormat="1" x14ac:dyDescent="0.25">
      <c r="A78" s="282"/>
      <c r="C78" s="284"/>
      <c r="D78" s="527" t="s">
        <v>331</v>
      </c>
      <c r="E78" s="527"/>
      <c r="F78" s="527"/>
      <c r="G78" s="388">
        <f>G47</f>
        <v>24370000</v>
      </c>
      <c r="H78" s="389">
        <f t="shared" si="5"/>
        <v>4.3517857142857143E-2</v>
      </c>
      <c r="I78" s="282"/>
      <c r="J78" s="282"/>
      <c r="K78" s="282"/>
      <c r="L78" s="282"/>
      <c r="M78" s="282"/>
      <c r="N78" s="282"/>
      <c r="O78" s="282"/>
      <c r="P78" s="282"/>
      <c r="Q78" s="282"/>
      <c r="R78" s="282"/>
      <c r="S78" s="282"/>
      <c r="T78" s="282"/>
      <c r="U78" s="282"/>
      <c r="V78" s="282"/>
      <c r="W78" s="282"/>
      <c r="X78" s="282"/>
      <c r="Y78" s="282"/>
    </row>
    <row r="79" spans="1:207" x14ac:dyDescent="0.25">
      <c r="D79" s="527" t="s">
        <v>341</v>
      </c>
      <c r="E79" s="527"/>
      <c r="F79" s="527"/>
      <c r="G79" s="388">
        <f>G54</f>
        <v>0</v>
      </c>
      <c r="H79" s="389">
        <f t="shared" si="5"/>
        <v>0</v>
      </c>
      <c r="L79" s="282"/>
      <c r="M79" s="282"/>
      <c r="N79" s="282"/>
      <c r="Q79" s="282"/>
      <c r="R79" s="282"/>
      <c r="S79" s="282"/>
      <c r="T79" s="282"/>
      <c r="U79" s="282"/>
      <c r="V79" s="282"/>
      <c r="W79" s="282"/>
      <c r="X79" s="282"/>
      <c r="Y79" s="282"/>
    </row>
    <row r="80" spans="1:207" x14ac:dyDescent="0.25">
      <c r="A80" s="372"/>
      <c r="D80" s="527" t="s">
        <v>362</v>
      </c>
      <c r="E80" s="527"/>
      <c r="F80" s="527"/>
      <c r="G80" s="388"/>
      <c r="H80" s="389">
        <f t="shared" si="5"/>
        <v>0</v>
      </c>
      <c r="L80" s="282"/>
      <c r="M80" s="282"/>
      <c r="N80" s="282"/>
      <c r="Q80" s="282"/>
      <c r="R80" s="282"/>
      <c r="S80" s="282"/>
      <c r="T80" s="282"/>
      <c r="U80" s="282"/>
      <c r="V80" s="282"/>
      <c r="W80" s="282"/>
      <c r="X80" s="282"/>
      <c r="Y80" s="282"/>
    </row>
    <row r="81" spans="4:25" x14ac:dyDescent="0.25">
      <c r="D81" s="527" t="s">
        <v>363</v>
      </c>
      <c r="E81" s="527"/>
      <c r="F81" s="527"/>
      <c r="G81" s="388">
        <f>+G65</f>
        <v>42630000</v>
      </c>
      <c r="H81" s="389">
        <f t="shared" si="5"/>
        <v>7.6124999999999998E-2</v>
      </c>
      <c r="L81" s="282"/>
      <c r="M81" s="282"/>
      <c r="N81" s="282"/>
      <c r="Q81" s="282"/>
      <c r="R81" s="282"/>
      <c r="S81" s="282"/>
      <c r="T81" s="282"/>
      <c r="U81" s="282"/>
      <c r="V81" s="282"/>
      <c r="W81" s="282"/>
      <c r="X81" s="282"/>
      <c r="Y81" s="282"/>
    </row>
    <row r="82" spans="4:25" x14ac:dyDescent="0.25">
      <c r="D82" s="534"/>
      <c r="E82" s="534"/>
      <c r="F82" s="534"/>
      <c r="G82" s="390">
        <f>SUM(G75:G81)</f>
        <v>560000000</v>
      </c>
      <c r="H82" s="391">
        <f>SUM(H75:H81)</f>
        <v>1</v>
      </c>
      <c r="L82" s="282"/>
      <c r="M82" s="282"/>
      <c r="N82" s="282"/>
      <c r="Q82" s="282"/>
      <c r="R82" s="282"/>
      <c r="S82" s="282"/>
      <c r="T82" s="282"/>
      <c r="U82" s="282"/>
      <c r="V82" s="282"/>
      <c r="W82" s="282"/>
      <c r="X82" s="282"/>
      <c r="Y82" s="282"/>
    </row>
  </sheetData>
  <mergeCells count="109">
    <mergeCell ref="C4:D4"/>
    <mergeCell ref="D82:F82"/>
    <mergeCell ref="D76:F76"/>
    <mergeCell ref="D77:F77"/>
    <mergeCell ref="D78:F78"/>
    <mergeCell ref="D79:F79"/>
    <mergeCell ref="D80:F80"/>
    <mergeCell ref="D81:F81"/>
    <mergeCell ref="J68:J69"/>
    <mergeCell ref="B56:O56"/>
    <mergeCell ref="J50:J51"/>
    <mergeCell ref="K50:K51"/>
    <mergeCell ref="L50:L51"/>
    <mergeCell ref="M50:N50"/>
    <mergeCell ref="O50:O51"/>
    <mergeCell ref="B54:F54"/>
    <mergeCell ref="B50:B51"/>
    <mergeCell ref="C50:C51"/>
    <mergeCell ref="D50:D51"/>
    <mergeCell ref="E50:E51"/>
    <mergeCell ref="F50:F51"/>
    <mergeCell ref="G50:I50"/>
    <mergeCell ref="N40:O40"/>
    <mergeCell ref="B47:F47"/>
    <mergeCell ref="L68:M68"/>
    <mergeCell ref="N68:O69"/>
    <mergeCell ref="B71:F71"/>
    <mergeCell ref="N71:O71"/>
    <mergeCell ref="D75:F75"/>
    <mergeCell ref="N57:O58"/>
    <mergeCell ref="N59:O59"/>
    <mergeCell ref="B65:F65"/>
    <mergeCell ref="N65:O65"/>
    <mergeCell ref="B67:O67"/>
    <mergeCell ref="B68:B69"/>
    <mergeCell ref="C68:C69"/>
    <mergeCell ref="D68:D69"/>
    <mergeCell ref="E68:F69"/>
    <mergeCell ref="G68:I68"/>
    <mergeCell ref="B57:B58"/>
    <mergeCell ref="C57:C58"/>
    <mergeCell ref="D57:D58"/>
    <mergeCell ref="E57:E58"/>
    <mergeCell ref="F57:F58"/>
    <mergeCell ref="G57:I57"/>
    <mergeCell ref="J57:J58"/>
    <mergeCell ref="K57:K58"/>
    <mergeCell ref="L57:M57"/>
    <mergeCell ref="N47:O47"/>
    <mergeCell ref="B49:O49"/>
    <mergeCell ref="G31:I31"/>
    <mergeCell ref="J31:J32"/>
    <mergeCell ref="K31:K32"/>
    <mergeCell ref="L31:M31"/>
    <mergeCell ref="N31:O32"/>
    <mergeCell ref="N33:O33"/>
    <mergeCell ref="N41:O41"/>
    <mergeCell ref="N42:O42"/>
    <mergeCell ref="N43:O43"/>
    <mergeCell ref="N44:O44"/>
    <mergeCell ref="N45:O45"/>
    <mergeCell ref="N46:O46"/>
    <mergeCell ref="B28:G28"/>
    <mergeCell ref="B30:O30"/>
    <mergeCell ref="B31:B32"/>
    <mergeCell ref="C31:C32"/>
    <mergeCell ref="D31:D32"/>
    <mergeCell ref="E31:E32"/>
    <mergeCell ref="F31:F32"/>
    <mergeCell ref="N34:O34"/>
    <mergeCell ref="B22:G22"/>
    <mergeCell ref="B24:O24"/>
    <mergeCell ref="B25:B26"/>
    <mergeCell ref="C25:C26"/>
    <mergeCell ref="D25:D26"/>
    <mergeCell ref="E25:E26"/>
    <mergeCell ref="F25:F26"/>
    <mergeCell ref="G25:G26"/>
    <mergeCell ref="H25:J25"/>
    <mergeCell ref="K25:K26"/>
    <mergeCell ref="L25:L26"/>
    <mergeCell ref="M25:N25"/>
    <mergeCell ref="O25:O26"/>
    <mergeCell ref="G19:G20"/>
    <mergeCell ref="H19:J19"/>
    <mergeCell ref="K19:K20"/>
    <mergeCell ref="L19:L20"/>
    <mergeCell ref="M19:N19"/>
    <mergeCell ref="O19:O20"/>
    <mergeCell ref="L10:L11"/>
    <mergeCell ref="M10:N10"/>
    <mergeCell ref="O10:O11"/>
    <mergeCell ref="B16:G16"/>
    <mergeCell ref="B18:O18"/>
    <mergeCell ref="B19:B20"/>
    <mergeCell ref="C19:C20"/>
    <mergeCell ref="D19:D20"/>
    <mergeCell ref="E19:E20"/>
    <mergeCell ref="F19:F20"/>
    <mergeCell ref="B8:O8"/>
    <mergeCell ref="B9:O9"/>
    <mergeCell ref="B10:B11"/>
    <mergeCell ref="C10:C11"/>
    <mergeCell ref="D10:D11"/>
    <mergeCell ref="E10:E11"/>
    <mergeCell ref="F10:F11"/>
    <mergeCell ref="G10:G11"/>
    <mergeCell ref="H10:J10"/>
    <mergeCell ref="K10:K11"/>
  </mergeCells>
  <dataValidations disablePrompts="1" count="4">
    <dataValidation type="list" allowBlank="1" showInputMessage="1" showErrorMessage="1" sqref="E29 E12:E15">
      <formula1>$R$21:$R$26</formula1>
    </dataValidation>
    <dataValidation type="list" allowBlank="1" showInputMessage="1" showErrorMessage="1" sqref="E48">
      <formula1>$R$29:$R$32</formula1>
    </dataValidation>
    <dataValidation type="list" allowBlank="1" showInputMessage="1" showErrorMessage="1" sqref="L54 K65 K48 L47 L22 L28:L29 L12:L16">
      <formula1>$R$10:$R$11</formula1>
    </dataValidation>
    <dataValidation type="list" allowBlank="1" showInputMessage="1" showErrorMessage="1" sqref="E52:E53">
      <formula1>#REF!</formula1>
    </dataValidation>
  </dataValidations>
  <pageMargins left="0.7" right="0.7" top="0.75" bottom="0.75" header="0.3" footer="0.3"/>
  <pageSetup scale="1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53"/>
  <sheetViews>
    <sheetView showGridLines="0" zoomScale="85" zoomScaleNormal="85" workbookViewId="0">
      <selection activeCell="D8" sqref="D8"/>
    </sheetView>
  </sheetViews>
  <sheetFormatPr defaultColWidth="9.109375" defaultRowHeight="12" x14ac:dyDescent="0.25"/>
  <cols>
    <col min="1" max="1" width="8.44140625" style="169" customWidth="1"/>
    <col min="2" max="2" width="14.44140625" style="179" customWidth="1"/>
    <col min="3" max="3" width="15.44140625" style="177" customWidth="1"/>
    <col min="4" max="4" width="16.44140625" style="177" customWidth="1"/>
    <col min="5" max="5" width="16.109375" style="177" customWidth="1"/>
    <col min="6" max="6" width="13.6640625" style="169" customWidth="1"/>
    <col min="7" max="7" width="18.88671875" style="169" customWidth="1"/>
    <col min="8" max="8" width="15.6640625" style="174" customWidth="1"/>
    <col min="9" max="10" width="16.5546875" style="169" customWidth="1"/>
    <col min="11" max="11" width="13.109375" style="169" bestFit="1" customWidth="1"/>
    <col min="12" max="12" width="13.44140625" style="169" customWidth="1"/>
    <col min="13" max="13" width="14.6640625" style="169" customWidth="1"/>
    <col min="14" max="14" width="14.6640625" style="169" bestFit="1" customWidth="1"/>
    <col min="15" max="19" width="14.44140625" style="169" customWidth="1"/>
    <col min="20" max="20" width="14.88671875" style="169" bestFit="1" customWidth="1"/>
    <col min="21" max="21" width="10.88671875" style="169" bestFit="1" customWidth="1"/>
    <col min="22" max="22" width="9.109375" style="169"/>
    <col min="23" max="23" width="10.33203125" style="169" bestFit="1" customWidth="1"/>
    <col min="24" max="26" width="9.109375" style="169"/>
    <col min="27" max="27" width="10" style="169" bestFit="1" customWidth="1"/>
    <col min="28" max="256" width="9.109375" style="169"/>
    <col min="257" max="257" width="8.44140625" style="169" customWidth="1"/>
    <col min="258" max="258" width="14.44140625" style="169" customWidth="1"/>
    <col min="259" max="259" width="15.44140625" style="169" customWidth="1"/>
    <col min="260" max="260" width="16.44140625" style="169" customWidth="1"/>
    <col min="261" max="261" width="16.109375" style="169" customWidth="1"/>
    <col min="262" max="262" width="13.6640625" style="169" customWidth="1"/>
    <col min="263" max="263" width="18.88671875" style="169" customWidth="1"/>
    <col min="264" max="264" width="15.6640625" style="169" customWidth="1"/>
    <col min="265" max="266" width="16.5546875" style="169" customWidth="1"/>
    <col min="267" max="267" width="13.109375" style="169" bestFit="1" customWidth="1"/>
    <col min="268" max="268" width="13.44140625" style="169" customWidth="1"/>
    <col min="269" max="269" width="14.6640625" style="169" customWidth="1"/>
    <col min="270" max="270" width="14.6640625" style="169" bestFit="1" customWidth="1"/>
    <col min="271" max="275" width="14.44140625" style="169" customWidth="1"/>
    <col min="276" max="276" width="14.88671875" style="169" bestFit="1" customWidth="1"/>
    <col min="277" max="277" width="10.88671875" style="169" bestFit="1" customWidth="1"/>
    <col min="278" max="512" width="9.109375" style="169"/>
    <col min="513" max="513" width="8.44140625" style="169" customWidth="1"/>
    <col min="514" max="514" width="14.44140625" style="169" customWidth="1"/>
    <col min="515" max="515" width="15.44140625" style="169" customWidth="1"/>
    <col min="516" max="516" width="16.44140625" style="169" customWidth="1"/>
    <col min="517" max="517" width="16.109375" style="169" customWidth="1"/>
    <col min="518" max="518" width="13.6640625" style="169" customWidth="1"/>
    <col min="519" max="519" width="18.88671875" style="169" customWidth="1"/>
    <col min="520" max="520" width="15.6640625" style="169" customWidth="1"/>
    <col min="521" max="522" width="16.5546875" style="169" customWidth="1"/>
    <col min="523" max="523" width="13.109375" style="169" bestFit="1" customWidth="1"/>
    <col min="524" max="524" width="13.44140625" style="169" customWidth="1"/>
    <col min="525" max="525" width="14.6640625" style="169" customWidth="1"/>
    <col min="526" max="526" width="14.6640625" style="169" bestFit="1" customWidth="1"/>
    <col min="527" max="531" width="14.44140625" style="169" customWidth="1"/>
    <col min="532" max="532" width="14.88671875" style="169" bestFit="1" customWidth="1"/>
    <col min="533" max="533" width="10.88671875" style="169" bestFit="1" customWidth="1"/>
    <col min="534" max="768" width="9.109375" style="169"/>
    <col min="769" max="769" width="8.44140625" style="169" customWidth="1"/>
    <col min="770" max="770" width="14.44140625" style="169" customWidth="1"/>
    <col min="771" max="771" width="15.44140625" style="169" customWidth="1"/>
    <col min="772" max="772" width="16.44140625" style="169" customWidth="1"/>
    <col min="773" max="773" width="16.109375" style="169" customWidth="1"/>
    <col min="774" max="774" width="13.6640625" style="169" customWidth="1"/>
    <col min="775" max="775" width="18.88671875" style="169" customWidth="1"/>
    <col min="776" max="776" width="15.6640625" style="169" customWidth="1"/>
    <col min="777" max="778" width="16.5546875" style="169" customWidth="1"/>
    <col min="779" max="779" width="13.109375" style="169" bestFit="1" customWidth="1"/>
    <col min="780" max="780" width="13.44140625" style="169" customWidth="1"/>
    <col min="781" max="781" width="14.6640625" style="169" customWidth="1"/>
    <col min="782" max="782" width="14.6640625" style="169" bestFit="1" customWidth="1"/>
    <col min="783" max="787" width="14.44140625" style="169" customWidth="1"/>
    <col min="788" max="788" width="14.88671875" style="169" bestFit="1" customWidth="1"/>
    <col min="789" max="789" width="10.88671875" style="169" bestFit="1" customWidth="1"/>
    <col min="790" max="1024" width="9.109375" style="169"/>
    <col min="1025" max="1025" width="8.44140625" style="169" customWidth="1"/>
    <col min="1026" max="1026" width="14.44140625" style="169" customWidth="1"/>
    <col min="1027" max="1027" width="15.44140625" style="169" customWidth="1"/>
    <col min="1028" max="1028" width="16.44140625" style="169" customWidth="1"/>
    <col min="1029" max="1029" width="16.109375" style="169" customWidth="1"/>
    <col min="1030" max="1030" width="13.6640625" style="169" customWidth="1"/>
    <col min="1031" max="1031" width="18.88671875" style="169" customWidth="1"/>
    <col min="1032" max="1032" width="15.6640625" style="169" customWidth="1"/>
    <col min="1033" max="1034" width="16.5546875" style="169" customWidth="1"/>
    <col min="1035" max="1035" width="13.109375" style="169" bestFit="1" customWidth="1"/>
    <col min="1036" max="1036" width="13.44140625" style="169" customWidth="1"/>
    <col min="1037" max="1037" width="14.6640625" style="169" customWidth="1"/>
    <col min="1038" max="1038" width="14.6640625" style="169" bestFit="1" customWidth="1"/>
    <col min="1039" max="1043" width="14.44140625" style="169" customWidth="1"/>
    <col min="1044" max="1044" width="14.88671875" style="169" bestFit="1" customWidth="1"/>
    <col min="1045" max="1045" width="10.88671875" style="169" bestFit="1" customWidth="1"/>
    <col min="1046" max="1280" width="9.109375" style="169"/>
    <col min="1281" max="1281" width="8.44140625" style="169" customWidth="1"/>
    <col min="1282" max="1282" width="14.44140625" style="169" customWidth="1"/>
    <col min="1283" max="1283" width="15.44140625" style="169" customWidth="1"/>
    <col min="1284" max="1284" width="16.44140625" style="169" customWidth="1"/>
    <col min="1285" max="1285" width="16.109375" style="169" customWidth="1"/>
    <col min="1286" max="1286" width="13.6640625" style="169" customWidth="1"/>
    <col min="1287" max="1287" width="18.88671875" style="169" customWidth="1"/>
    <col min="1288" max="1288" width="15.6640625" style="169" customWidth="1"/>
    <col min="1289" max="1290" width="16.5546875" style="169" customWidth="1"/>
    <col min="1291" max="1291" width="13.109375" style="169" bestFit="1" customWidth="1"/>
    <col min="1292" max="1292" width="13.44140625" style="169" customWidth="1"/>
    <col min="1293" max="1293" width="14.6640625" style="169" customWidth="1"/>
    <col min="1294" max="1294" width="14.6640625" style="169" bestFit="1" customWidth="1"/>
    <col min="1295" max="1299" width="14.44140625" style="169" customWidth="1"/>
    <col min="1300" max="1300" width="14.88671875" style="169" bestFit="1" customWidth="1"/>
    <col min="1301" max="1301" width="10.88671875" style="169" bestFit="1" customWidth="1"/>
    <col min="1302" max="1536" width="9.109375" style="169"/>
    <col min="1537" max="1537" width="8.44140625" style="169" customWidth="1"/>
    <col min="1538" max="1538" width="14.44140625" style="169" customWidth="1"/>
    <col min="1539" max="1539" width="15.44140625" style="169" customWidth="1"/>
    <col min="1540" max="1540" width="16.44140625" style="169" customWidth="1"/>
    <col min="1541" max="1541" width="16.109375" style="169" customWidth="1"/>
    <col min="1542" max="1542" width="13.6640625" style="169" customWidth="1"/>
    <col min="1543" max="1543" width="18.88671875" style="169" customWidth="1"/>
    <col min="1544" max="1544" width="15.6640625" style="169" customWidth="1"/>
    <col min="1545" max="1546" width="16.5546875" style="169" customWidth="1"/>
    <col min="1547" max="1547" width="13.109375" style="169" bestFit="1" customWidth="1"/>
    <col min="1548" max="1548" width="13.44140625" style="169" customWidth="1"/>
    <col min="1549" max="1549" width="14.6640625" style="169" customWidth="1"/>
    <col min="1550" max="1550" width="14.6640625" style="169" bestFit="1" customWidth="1"/>
    <col min="1551" max="1555" width="14.44140625" style="169" customWidth="1"/>
    <col min="1556" max="1556" width="14.88671875" style="169" bestFit="1" customWidth="1"/>
    <col min="1557" max="1557" width="10.88671875" style="169" bestFit="1" customWidth="1"/>
    <col min="1558" max="1792" width="9.109375" style="169"/>
    <col min="1793" max="1793" width="8.44140625" style="169" customWidth="1"/>
    <col min="1794" max="1794" width="14.44140625" style="169" customWidth="1"/>
    <col min="1795" max="1795" width="15.44140625" style="169" customWidth="1"/>
    <col min="1796" max="1796" width="16.44140625" style="169" customWidth="1"/>
    <col min="1797" max="1797" width="16.109375" style="169" customWidth="1"/>
    <col min="1798" max="1798" width="13.6640625" style="169" customWidth="1"/>
    <col min="1799" max="1799" width="18.88671875" style="169" customWidth="1"/>
    <col min="1800" max="1800" width="15.6640625" style="169" customWidth="1"/>
    <col min="1801" max="1802" width="16.5546875" style="169" customWidth="1"/>
    <col min="1803" max="1803" width="13.109375" style="169" bestFit="1" customWidth="1"/>
    <col min="1804" max="1804" width="13.44140625" style="169" customWidth="1"/>
    <col min="1805" max="1805" width="14.6640625" style="169" customWidth="1"/>
    <col min="1806" max="1806" width="14.6640625" style="169" bestFit="1" customWidth="1"/>
    <col min="1807" max="1811" width="14.44140625" style="169" customWidth="1"/>
    <col min="1812" max="1812" width="14.88671875" style="169" bestFit="1" customWidth="1"/>
    <col min="1813" max="1813" width="10.88671875" style="169" bestFit="1" customWidth="1"/>
    <col min="1814" max="2048" width="9.109375" style="169"/>
    <col min="2049" max="2049" width="8.44140625" style="169" customWidth="1"/>
    <col min="2050" max="2050" width="14.44140625" style="169" customWidth="1"/>
    <col min="2051" max="2051" width="15.44140625" style="169" customWidth="1"/>
    <col min="2052" max="2052" width="16.44140625" style="169" customWidth="1"/>
    <col min="2053" max="2053" width="16.109375" style="169" customWidth="1"/>
    <col min="2054" max="2054" width="13.6640625" style="169" customWidth="1"/>
    <col min="2055" max="2055" width="18.88671875" style="169" customWidth="1"/>
    <col min="2056" max="2056" width="15.6640625" style="169" customWidth="1"/>
    <col min="2057" max="2058" width="16.5546875" style="169" customWidth="1"/>
    <col min="2059" max="2059" width="13.109375" style="169" bestFit="1" customWidth="1"/>
    <col min="2060" max="2060" width="13.44140625" style="169" customWidth="1"/>
    <col min="2061" max="2061" width="14.6640625" style="169" customWidth="1"/>
    <col min="2062" max="2062" width="14.6640625" style="169" bestFit="1" customWidth="1"/>
    <col min="2063" max="2067" width="14.44140625" style="169" customWidth="1"/>
    <col min="2068" max="2068" width="14.88671875" style="169" bestFit="1" customWidth="1"/>
    <col min="2069" max="2069" width="10.88671875" style="169" bestFit="1" customWidth="1"/>
    <col min="2070" max="2304" width="9.109375" style="169"/>
    <col min="2305" max="2305" width="8.44140625" style="169" customWidth="1"/>
    <col min="2306" max="2306" width="14.44140625" style="169" customWidth="1"/>
    <col min="2307" max="2307" width="15.44140625" style="169" customWidth="1"/>
    <col min="2308" max="2308" width="16.44140625" style="169" customWidth="1"/>
    <col min="2309" max="2309" width="16.109375" style="169" customWidth="1"/>
    <col min="2310" max="2310" width="13.6640625" style="169" customWidth="1"/>
    <col min="2311" max="2311" width="18.88671875" style="169" customWidth="1"/>
    <col min="2312" max="2312" width="15.6640625" style="169" customWidth="1"/>
    <col min="2313" max="2314" width="16.5546875" style="169" customWidth="1"/>
    <col min="2315" max="2315" width="13.109375" style="169" bestFit="1" customWidth="1"/>
    <col min="2316" max="2316" width="13.44140625" style="169" customWidth="1"/>
    <col min="2317" max="2317" width="14.6640625" style="169" customWidth="1"/>
    <col min="2318" max="2318" width="14.6640625" style="169" bestFit="1" customWidth="1"/>
    <col min="2319" max="2323" width="14.44140625" style="169" customWidth="1"/>
    <col min="2324" max="2324" width="14.88671875" style="169" bestFit="1" customWidth="1"/>
    <col min="2325" max="2325" width="10.88671875" style="169" bestFit="1" customWidth="1"/>
    <col min="2326" max="2560" width="9.109375" style="169"/>
    <col min="2561" max="2561" width="8.44140625" style="169" customWidth="1"/>
    <col min="2562" max="2562" width="14.44140625" style="169" customWidth="1"/>
    <col min="2563" max="2563" width="15.44140625" style="169" customWidth="1"/>
    <col min="2564" max="2564" width="16.44140625" style="169" customWidth="1"/>
    <col min="2565" max="2565" width="16.109375" style="169" customWidth="1"/>
    <col min="2566" max="2566" width="13.6640625" style="169" customWidth="1"/>
    <col min="2567" max="2567" width="18.88671875" style="169" customWidth="1"/>
    <col min="2568" max="2568" width="15.6640625" style="169" customWidth="1"/>
    <col min="2569" max="2570" width="16.5546875" style="169" customWidth="1"/>
    <col min="2571" max="2571" width="13.109375" style="169" bestFit="1" customWidth="1"/>
    <col min="2572" max="2572" width="13.44140625" style="169" customWidth="1"/>
    <col min="2573" max="2573" width="14.6640625" style="169" customWidth="1"/>
    <col min="2574" max="2574" width="14.6640625" style="169" bestFit="1" customWidth="1"/>
    <col min="2575" max="2579" width="14.44140625" style="169" customWidth="1"/>
    <col min="2580" max="2580" width="14.88671875" style="169" bestFit="1" customWidth="1"/>
    <col min="2581" max="2581" width="10.88671875" style="169" bestFit="1" customWidth="1"/>
    <col min="2582" max="2816" width="9.109375" style="169"/>
    <col min="2817" max="2817" width="8.44140625" style="169" customWidth="1"/>
    <col min="2818" max="2818" width="14.44140625" style="169" customWidth="1"/>
    <col min="2819" max="2819" width="15.44140625" style="169" customWidth="1"/>
    <col min="2820" max="2820" width="16.44140625" style="169" customWidth="1"/>
    <col min="2821" max="2821" width="16.109375" style="169" customWidth="1"/>
    <col min="2822" max="2822" width="13.6640625" style="169" customWidth="1"/>
    <col min="2823" max="2823" width="18.88671875" style="169" customWidth="1"/>
    <col min="2824" max="2824" width="15.6640625" style="169" customWidth="1"/>
    <col min="2825" max="2826" width="16.5546875" style="169" customWidth="1"/>
    <col min="2827" max="2827" width="13.109375" style="169" bestFit="1" customWidth="1"/>
    <col min="2828" max="2828" width="13.44140625" style="169" customWidth="1"/>
    <col min="2829" max="2829" width="14.6640625" style="169" customWidth="1"/>
    <col min="2830" max="2830" width="14.6640625" style="169" bestFit="1" customWidth="1"/>
    <col min="2831" max="2835" width="14.44140625" style="169" customWidth="1"/>
    <col min="2836" max="2836" width="14.88671875" style="169" bestFit="1" customWidth="1"/>
    <col min="2837" max="2837" width="10.88671875" style="169" bestFit="1" customWidth="1"/>
    <col min="2838" max="3072" width="9.109375" style="169"/>
    <col min="3073" max="3073" width="8.44140625" style="169" customWidth="1"/>
    <col min="3074" max="3074" width="14.44140625" style="169" customWidth="1"/>
    <col min="3075" max="3075" width="15.44140625" style="169" customWidth="1"/>
    <col min="3076" max="3076" width="16.44140625" style="169" customWidth="1"/>
    <col min="3077" max="3077" width="16.109375" style="169" customWidth="1"/>
    <col min="3078" max="3078" width="13.6640625" style="169" customWidth="1"/>
    <col min="3079" max="3079" width="18.88671875" style="169" customWidth="1"/>
    <col min="3080" max="3080" width="15.6640625" style="169" customWidth="1"/>
    <col min="3081" max="3082" width="16.5546875" style="169" customWidth="1"/>
    <col min="3083" max="3083" width="13.109375" style="169" bestFit="1" customWidth="1"/>
    <col min="3084" max="3084" width="13.44140625" style="169" customWidth="1"/>
    <col min="3085" max="3085" width="14.6640625" style="169" customWidth="1"/>
    <col min="3086" max="3086" width="14.6640625" style="169" bestFit="1" customWidth="1"/>
    <col min="3087" max="3091" width="14.44140625" style="169" customWidth="1"/>
    <col min="3092" max="3092" width="14.88671875" style="169" bestFit="1" customWidth="1"/>
    <col min="3093" max="3093" width="10.88671875" style="169" bestFit="1" customWidth="1"/>
    <col min="3094" max="3328" width="9.109375" style="169"/>
    <col min="3329" max="3329" width="8.44140625" style="169" customWidth="1"/>
    <col min="3330" max="3330" width="14.44140625" style="169" customWidth="1"/>
    <col min="3331" max="3331" width="15.44140625" style="169" customWidth="1"/>
    <col min="3332" max="3332" width="16.44140625" style="169" customWidth="1"/>
    <col min="3333" max="3333" width="16.109375" style="169" customWidth="1"/>
    <col min="3334" max="3334" width="13.6640625" style="169" customWidth="1"/>
    <col min="3335" max="3335" width="18.88671875" style="169" customWidth="1"/>
    <col min="3336" max="3336" width="15.6640625" style="169" customWidth="1"/>
    <col min="3337" max="3338" width="16.5546875" style="169" customWidth="1"/>
    <col min="3339" max="3339" width="13.109375" style="169" bestFit="1" customWidth="1"/>
    <col min="3340" max="3340" width="13.44140625" style="169" customWidth="1"/>
    <col min="3341" max="3341" width="14.6640625" style="169" customWidth="1"/>
    <col min="3342" max="3342" width="14.6640625" style="169" bestFit="1" customWidth="1"/>
    <col min="3343" max="3347" width="14.44140625" style="169" customWidth="1"/>
    <col min="3348" max="3348" width="14.88671875" style="169" bestFit="1" customWidth="1"/>
    <col min="3349" max="3349" width="10.88671875" style="169" bestFit="1" customWidth="1"/>
    <col min="3350" max="3584" width="9.109375" style="169"/>
    <col min="3585" max="3585" width="8.44140625" style="169" customWidth="1"/>
    <col min="3586" max="3586" width="14.44140625" style="169" customWidth="1"/>
    <col min="3587" max="3587" width="15.44140625" style="169" customWidth="1"/>
    <col min="3588" max="3588" width="16.44140625" style="169" customWidth="1"/>
    <col min="3589" max="3589" width="16.109375" style="169" customWidth="1"/>
    <col min="3590" max="3590" width="13.6640625" style="169" customWidth="1"/>
    <col min="3591" max="3591" width="18.88671875" style="169" customWidth="1"/>
    <col min="3592" max="3592" width="15.6640625" style="169" customWidth="1"/>
    <col min="3593" max="3594" width="16.5546875" style="169" customWidth="1"/>
    <col min="3595" max="3595" width="13.109375" style="169" bestFit="1" customWidth="1"/>
    <col min="3596" max="3596" width="13.44140625" style="169" customWidth="1"/>
    <col min="3597" max="3597" width="14.6640625" style="169" customWidth="1"/>
    <col min="3598" max="3598" width="14.6640625" style="169" bestFit="1" customWidth="1"/>
    <col min="3599" max="3603" width="14.44140625" style="169" customWidth="1"/>
    <col min="3604" max="3604" width="14.88671875" style="169" bestFit="1" customWidth="1"/>
    <col min="3605" max="3605" width="10.88671875" style="169" bestFit="1" customWidth="1"/>
    <col min="3606" max="3840" width="9.109375" style="169"/>
    <col min="3841" max="3841" width="8.44140625" style="169" customWidth="1"/>
    <col min="3842" max="3842" width="14.44140625" style="169" customWidth="1"/>
    <col min="3843" max="3843" width="15.44140625" style="169" customWidth="1"/>
    <col min="3844" max="3844" width="16.44140625" style="169" customWidth="1"/>
    <col min="3845" max="3845" width="16.109375" style="169" customWidth="1"/>
    <col min="3846" max="3846" width="13.6640625" style="169" customWidth="1"/>
    <col min="3847" max="3847" width="18.88671875" style="169" customWidth="1"/>
    <col min="3848" max="3848" width="15.6640625" style="169" customWidth="1"/>
    <col min="3849" max="3850" width="16.5546875" style="169" customWidth="1"/>
    <col min="3851" max="3851" width="13.109375" style="169" bestFit="1" customWidth="1"/>
    <col min="3852" max="3852" width="13.44140625" style="169" customWidth="1"/>
    <col min="3853" max="3853" width="14.6640625" style="169" customWidth="1"/>
    <col min="3854" max="3854" width="14.6640625" style="169" bestFit="1" customWidth="1"/>
    <col min="3855" max="3859" width="14.44140625" style="169" customWidth="1"/>
    <col min="3860" max="3860" width="14.88671875" style="169" bestFit="1" customWidth="1"/>
    <col min="3861" max="3861" width="10.88671875" style="169" bestFit="1" customWidth="1"/>
    <col min="3862" max="4096" width="9.109375" style="169"/>
    <col min="4097" max="4097" width="8.44140625" style="169" customWidth="1"/>
    <col min="4098" max="4098" width="14.44140625" style="169" customWidth="1"/>
    <col min="4099" max="4099" width="15.44140625" style="169" customWidth="1"/>
    <col min="4100" max="4100" width="16.44140625" style="169" customWidth="1"/>
    <col min="4101" max="4101" width="16.109375" style="169" customWidth="1"/>
    <col min="4102" max="4102" width="13.6640625" style="169" customWidth="1"/>
    <col min="4103" max="4103" width="18.88671875" style="169" customWidth="1"/>
    <col min="4104" max="4104" width="15.6640625" style="169" customWidth="1"/>
    <col min="4105" max="4106" width="16.5546875" style="169" customWidth="1"/>
    <col min="4107" max="4107" width="13.109375" style="169" bestFit="1" customWidth="1"/>
    <col min="4108" max="4108" width="13.44140625" style="169" customWidth="1"/>
    <col min="4109" max="4109" width="14.6640625" style="169" customWidth="1"/>
    <col min="4110" max="4110" width="14.6640625" style="169" bestFit="1" customWidth="1"/>
    <col min="4111" max="4115" width="14.44140625" style="169" customWidth="1"/>
    <col min="4116" max="4116" width="14.88671875" style="169" bestFit="1" customWidth="1"/>
    <col min="4117" max="4117" width="10.88671875" style="169" bestFit="1" customWidth="1"/>
    <col min="4118" max="4352" width="9.109375" style="169"/>
    <col min="4353" max="4353" width="8.44140625" style="169" customWidth="1"/>
    <col min="4354" max="4354" width="14.44140625" style="169" customWidth="1"/>
    <col min="4355" max="4355" width="15.44140625" style="169" customWidth="1"/>
    <col min="4356" max="4356" width="16.44140625" style="169" customWidth="1"/>
    <col min="4357" max="4357" width="16.109375" style="169" customWidth="1"/>
    <col min="4358" max="4358" width="13.6640625" style="169" customWidth="1"/>
    <col min="4359" max="4359" width="18.88671875" style="169" customWidth="1"/>
    <col min="4360" max="4360" width="15.6640625" style="169" customWidth="1"/>
    <col min="4361" max="4362" width="16.5546875" style="169" customWidth="1"/>
    <col min="4363" max="4363" width="13.109375" style="169" bestFit="1" customWidth="1"/>
    <col min="4364" max="4364" width="13.44140625" style="169" customWidth="1"/>
    <col min="4365" max="4365" width="14.6640625" style="169" customWidth="1"/>
    <col min="4366" max="4366" width="14.6640625" style="169" bestFit="1" customWidth="1"/>
    <col min="4367" max="4371" width="14.44140625" style="169" customWidth="1"/>
    <col min="4372" max="4372" width="14.88671875" style="169" bestFit="1" customWidth="1"/>
    <col min="4373" max="4373" width="10.88671875" style="169" bestFit="1" customWidth="1"/>
    <col min="4374" max="4608" width="9.109375" style="169"/>
    <col min="4609" max="4609" width="8.44140625" style="169" customWidth="1"/>
    <col min="4610" max="4610" width="14.44140625" style="169" customWidth="1"/>
    <col min="4611" max="4611" width="15.44140625" style="169" customWidth="1"/>
    <col min="4612" max="4612" width="16.44140625" style="169" customWidth="1"/>
    <col min="4613" max="4613" width="16.109375" style="169" customWidth="1"/>
    <col min="4614" max="4614" width="13.6640625" style="169" customWidth="1"/>
    <col min="4615" max="4615" width="18.88671875" style="169" customWidth="1"/>
    <col min="4616" max="4616" width="15.6640625" style="169" customWidth="1"/>
    <col min="4617" max="4618" width="16.5546875" style="169" customWidth="1"/>
    <col min="4619" max="4619" width="13.109375" style="169" bestFit="1" customWidth="1"/>
    <col min="4620" max="4620" width="13.44140625" style="169" customWidth="1"/>
    <col min="4621" max="4621" width="14.6640625" style="169" customWidth="1"/>
    <col min="4622" max="4622" width="14.6640625" style="169" bestFit="1" customWidth="1"/>
    <col min="4623" max="4627" width="14.44140625" style="169" customWidth="1"/>
    <col min="4628" max="4628" width="14.88671875" style="169" bestFit="1" customWidth="1"/>
    <col min="4629" max="4629" width="10.88671875" style="169" bestFit="1" customWidth="1"/>
    <col min="4630" max="4864" width="9.109375" style="169"/>
    <col min="4865" max="4865" width="8.44140625" style="169" customWidth="1"/>
    <col min="4866" max="4866" width="14.44140625" style="169" customWidth="1"/>
    <col min="4867" max="4867" width="15.44140625" style="169" customWidth="1"/>
    <col min="4868" max="4868" width="16.44140625" style="169" customWidth="1"/>
    <col min="4869" max="4869" width="16.109375" style="169" customWidth="1"/>
    <col min="4870" max="4870" width="13.6640625" style="169" customWidth="1"/>
    <col min="4871" max="4871" width="18.88671875" style="169" customWidth="1"/>
    <col min="4872" max="4872" width="15.6640625" style="169" customWidth="1"/>
    <col min="4873" max="4874" width="16.5546875" style="169" customWidth="1"/>
    <col min="4875" max="4875" width="13.109375" style="169" bestFit="1" customWidth="1"/>
    <col min="4876" max="4876" width="13.44140625" style="169" customWidth="1"/>
    <col min="4877" max="4877" width="14.6640625" style="169" customWidth="1"/>
    <col min="4878" max="4878" width="14.6640625" style="169" bestFit="1" customWidth="1"/>
    <col min="4879" max="4883" width="14.44140625" style="169" customWidth="1"/>
    <col min="4884" max="4884" width="14.88671875" style="169" bestFit="1" customWidth="1"/>
    <col min="4885" max="4885" width="10.88671875" style="169" bestFit="1" customWidth="1"/>
    <col min="4886" max="5120" width="9.109375" style="169"/>
    <col min="5121" max="5121" width="8.44140625" style="169" customWidth="1"/>
    <col min="5122" max="5122" width="14.44140625" style="169" customWidth="1"/>
    <col min="5123" max="5123" width="15.44140625" style="169" customWidth="1"/>
    <col min="5124" max="5124" width="16.44140625" style="169" customWidth="1"/>
    <col min="5125" max="5125" width="16.109375" style="169" customWidth="1"/>
    <col min="5126" max="5126" width="13.6640625" style="169" customWidth="1"/>
    <col min="5127" max="5127" width="18.88671875" style="169" customWidth="1"/>
    <col min="5128" max="5128" width="15.6640625" style="169" customWidth="1"/>
    <col min="5129" max="5130" width="16.5546875" style="169" customWidth="1"/>
    <col min="5131" max="5131" width="13.109375" style="169" bestFit="1" customWidth="1"/>
    <col min="5132" max="5132" width="13.44140625" style="169" customWidth="1"/>
    <col min="5133" max="5133" width="14.6640625" style="169" customWidth="1"/>
    <col min="5134" max="5134" width="14.6640625" style="169" bestFit="1" customWidth="1"/>
    <col min="5135" max="5139" width="14.44140625" style="169" customWidth="1"/>
    <col min="5140" max="5140" width="14.88671875" style="169" bestFit="1" customWidth="1"/>
    <col min="5141" max="5141" width="10.88671875" style="169" bestFit="1" customWidth="1"/>
    <col min="5142" max="5376" width="9.109375" style="169"/>
    <col min="5377" max="5377" width="8.44140625" style="169" customWidth="1"/>
    <col min="5378" max="5378" width="14.44140625" style="169" customWidth="1"/>
    <col min="5379" max="5379" width="15.44140625" style="169" customWidth="1"/>
    <col min="5380" max="5380" width="16.44140625" style="169" customWidth="1"/>
    <col min="5381" max="5381" width="16.109375" style="169" customWidth="1"/>
    <col min="5382" max="5382" width="13.6640625" style="169" customWidth="1"/>
    <col min="5383" max="5383" width="18.88671875" style="169" customWidth="1"/>
    <col min="5384" max="5384" width="15.6640625" style="169" customWidth="1"/>
    <col min="5385" max="5386" width="16.5546875" style="169" customWidth="1"/>
    <col min="5387" max="5387" width="13.109375" style="169" bestFit="1" customWidth="1"/>
    <col min="5388" max="5388" width="13.44140625" style="169" customWidth="1"/>
    <col min="5389" max="5389" width="14.6640625" style="169" customWidth="1"/>
    <col min="5390" max="5390" width="14.6640625" style="169" bestFit="1" customWidth="1"/>
    <col min="5391" max="5395" width="14.44140625" style="169" customWidth="1"/>
    <col min="5396" max="5396" width="14.88671875" style="169" bestFit="1" customWidth="1"/>
    <col min="5397" max="5397" width="10.88671875" style="169" bestFit="1" customWidth="1"/>
    <col min="5398" max="5632" width="9.109375" style="169"/>
    <col min="5633" max="5633" width="8.44140625" style="169" customWidth="1"/>
    <col min="5634" max="5634" width="14.44140625" style="169" customWidth="1"/>
    <col min="5635" max="5635" width="15.44140625" style="169" customWidth="1"/>
    <col min="5636" max="5636" width="16.44140625" style="169" customWidth="1"/>
    <col min="5637" max="5637" width="16.109375" style="169" customWidth="1"/>
    <col min="5638" max="5638" width="13.6640625" style="169" customWidth="1"/>
    <col min="5639" max="5639" width="18.88671875" style="169" customWidth="1"/>
    <col min="5640" max="5640" width="15.6640625" style="169" customWidth="1"/>
    <col min="5641" max="5642" width="16.5546875" style="169" customWidth="1"/>
    <col min="5643" max="5643" width="13.109375" style="169" bestFit="1" customWidth="1"/>
    <col min="5644" max="5644" width="13.44140625" style="169" customWidth="1"/>
    <col min="5645" max="5645" width="14.6640625" style="169" customWidth="1"/>
    <col min="5646" max="5646" width="14.6640625" style="169" bestFit="1" customWidth="1"/>
    <col min="5647" max="5651" width="14.44140625" style="169" customWidth="1"/>
    <col min="5652" max="5652" width="14.88671875" style="169" bestFit="1" customWidth="1"/>
    <col min="5653" max="5653" width="10.88671875" style="169" bestFit="1" customWidth="1"/>
    <col min="5654" max="5888" width="9.109375" style="169"/>
    <col min="5889" max="5889" width="8.44140625" style="169" customWidth="1"/>
    <col min="5890" max="5890" width="14.44140625" style="169" customWidth="1"/>
    <col min="5891" max="5891" width="15.44140625" style="169" customWidth="1"/>
    <col min="5892" max="5892" width="16.44140625" style="169" customWidth="1"/>
    <col min="5893" max="5893" width="16.109375" style="169" customWidth="1"/>
    <col min="5894" max="5894" width="13.6640625" style="169" customWidth="1"/>
    <col min="5895" max="5895" width="18.88671875" style="169" customWidth="1"/>
    <col min="5896" max="5896" width="15.6640625" style="169" customWidth="1"/>
    <col min="5897" max="5898" width="16.5546875" style="169" customWidth="1"/>
    <col min="5899" max="5899" width="13.109375" style="169" bestFit="1" customWidth="1"/>
    <col min="5900" max="5900" width="13.44140625" style="169" customWidth="1"/>
    <col min="5901" max="5901" width="14.6640625" style="169" customWidth="1"/>
    <col min="5902" max="5902" width="14.6640625" style="169" bestFit="1" customWidth="1"/>
    <col min="5903" max="5907" width="14.44140625" style="169" customWidth="1"/>
    <col min="5908" max="5908" width="14.88671875" style="169" bestFit="1" customWidth="1"/>
    <col min="5909" max="5909" width="10.88671875" style="169" bestFit="1" customWidth="1"/>
    <col min="5910" max="6144" width="9.109375" style="169"/>
    <col min="6145" max="6145" width="8.44140625" style="169" customWidth="1"/>
    <col min="6146" max="6146" width="14.44140625" style="169" customWidth="1"/>
    <col min="6147" max="6147" width="15.44140625" style="169" customWidth="1"/>
    <col min="6148" max="6148" width="16.44140625" style="169" customWidth="1"/>
    <col min="6149" max="6149" width="16.109375" style="169" customWidth="1"/>
    <col min="6150" max="6150" width="13.6640625" style="169" customWidth="1"/>
    <col min="6151" max="6151" width="18.88671875" style="169" customWidth="1"/>
    <col min="6152" max="6152" width="15.6640625" style="169" customWidth="1"/>
    <col min="6153" max="6154" width="16.5546875" style="169" customWidth="1"/>
    <col min="6155" max="6155" width="13.109375" style="169" bestFit="1" customWidth="1"/>
    <col min="6156" max="6156" width="13.44140625" style="169" customWidth="1"/>
    <col min="6157" max="6157" width="14.6640625" style="169" customWidth="1"/>
    <col min="6158" max="6158" width="14.6640625" style="169" bestFit="1" customWidth="1"/>
    <col min="6159" max="6163" width="14.44140625" style="169" customWidth="1"/>
    <col min="6164" max="6164" width="14.88671875" style="169" bestFit="1" customWidth="1"/>
    <col min="6165" max="6165" width="10.88671875" style="169" bestFit="1" customWidth="1"/>
    <col min="6166" max="6400" width="9.109375" style="169"/>
    <col min="6401" max="6401" width="8.44140625" style="169" customWidth="1"/>
    <col min="6402" max="6402" width="14.44140625" style="169" customWidth="1"/>
    <col min="6403" max="6403" width="15.44140625" style="169" customWidth="1"/>
    <col min="6404" max="6404" width="16.44140625" style="169" customWidth="1"/>
    <col min="6405" max="6405" width="16.109375" style="169" customWidth="1"/>
    <col min="6406" max="6406" width="13.6640625" style="169" customWidth="1"/>
    <col min="6407" max="6407" width="18.88671875" style="169" customWidth="1"/>
    <col min="6408" max="6408" width="15.6640625" style="169" customWidth="1"/>
    <col min="6409" max="6410" width="16.5546875" style="169" customWidth="1"/>
    <col min="6411" max="6411" width="13.109375" style="169" bestFit="1" customWidth="1"/>
    <col min="6412" max="6412" width="13.44140625" style="169" customWidth="1"/>
    <col min="6413" max="6413" width="14.6640625" style="169" customWidth="1"/>
    <col min="6414" max="6414" width="14.6640625" style="169" bestFit="1" customWidth="1"/>
    <col min="6415" max="6419" width="14.44140625" style="169" customWidth="1"/>
    <col min="6420" max="6420" width="14.88671875" style="169" bestFit="1" customWidth="1"/>
    <col min="6421" max="6421" width="10.88671875" style="169" bestFit="1" customWidth="1"/>
    <col min="6422" max="6656" width="9.109375" style="169"/>
    <col min="6657" max="6657" width="8.44140625" style="169" customWidth="1"/>
    <col min="6658" max="6658" width="14.44140625" style="169" customWidth="1"/>
    <col min="6659" max="6659" width="15.44140625" style="169" customWidth="1"/>
    <col min="6660" max="6660" width="16.44140625" style="169" customWidth="1"/>
    <col min="6661" max="6661" width="16.109375" style="169" customWidth="1"/>
    <col min="6662" max="6662" width="13.6640625" style="169" customWidth="1"/>
    <col min="6663" max="6663" width="18.88671875" style="169" customWidth="1"/>
    <col min="6664" max="6664" width="15.6640625" style="169" customWidth="1"/>
    <col min="6665" max="6666" width="16.5546875" style="169" customWidth="1"/>
    <col min="6667" max="6667" width="13.109375" style="169" bestFit="1" customWidth="1"/>
    <col min="6668" max="6668" width="13.44140625" style="169" customWidth="1"/>
    <col min="6669" max="6669" width="14.6640625" style="169" customWidth="1"/>
    <col min="6670" max="6670" width="14.6640625" style="169" bestFit="1" customWidth="1"/>
    <col min="6671" max="6675" width="14.44140625" style="169" customWidth="1"/>
    <col min="6676" max="6676" width="14.88671875" style="169" bestFit="1" customWidth="1"/>
    <col min="6677" max="6677" width="10.88671875" style="169" bestFit="1" customWidth="1"/>
    <col min="6678" max="6912" width="9.109375" style="169"/>
    <col min="6913" max="6913" width="8.44140625" style="169" customWidth="1"/>
    <col min="6914" max="6914" width="14.44140625" style="169" customWidth="1"/>
    <col min="6915" max="6915" width="15.44140625" style="169" customWidth="1"/>
    <col min="6916" max="6916" width="16.44140625" style="169" customWidth="1"/>
    <col min="6917" max="6917" width="16.109375" style="169" customWidth="1"/>
    <col min="6918" max="6918" width="13.6640625" style="169" customWidth="1"/>
    <col min="6919" max="6919" width="18.88671875" style="169" customWidth="1"/>
    <col min="6920" max="6920" width="15.6640625" style="169" customWidth="1"/>
    <col min="6921" max="6922" width="16.5546875" style="169" customWidth="1"/>
    <col min="6923" max="6923" width="13.109375" style="169" bestFit="1" customWidth="1"/>
    <col min="6924" max="6924" width="13.44140625" style="169" customWidth="1"/>
    <col min="6925" max="6925" width="14.6640625" style="169" customWidth="1"/>
    <col min="6926" max="6926" width="14.6640625" style="169" bestFit="1" customWidth="1"/>
    <col min="6927" max="6931" width="14.44140625" style="169" customWidth="1"/>
    <col min="6932" max="6932" width="14.88671875" style="169" bestFit="1" customWidth="1"/>
    <col min="6933" max="6933" width="10.88671875" style="169" bestFit="1" customWidth="1"/>
    <col min="6934" max="7168" width="9.109375" style="169"/>
    <col min="7169" max="7169" width="8.44140625" style="169" customWidth="1"/>
    <col min="7170" max="7170" width="14.44140625" style="169" customWidth="1"/>
    <col min="7171" max="7171" width="15.44140625" style="169" customWidth="1"/>
    <col min="7172" max="7172" width="16.44140625" style="169" customWidth="1"/>
    <col min="7173" max="7173" width="16.109375" style="169" customWidth="1"/>
    <col min="7174" max="7174" width="13.6640625" style="169" customWidth="1"/>
    <col min="7175" max="7175" width="18.88671875" style="169" customWidth="1"/>
    <col min="7176" max="7176" width="15.6640625" style="169" customWidth="1"/>
    <col min="7177" max="7178" width="16.5546875" style="169" customWidth="1"/>
    <col min="7179" max="7179" width="13.109375" style="169" bestFit="1" customWidth="1"/>
    <col min="7180" max="7180" width="13.44140625" style="169" customWidth="1"/>
    <col min="7181" max="7181" width="14.6640625" style="169" customWidth="1"/>
    <col min="7182" max="7182" width="14.6640625" style="169" bestFit="1" customWidth="1"/>
    <col min="7183" max="7187" width="14.44140625" style="169" customWidth="1"/>
    <col min="7188" max="7188" width="14.88671875" style="169" bestFit="1" customWidth="1"/>
    <col min="7189" max="7189" width="10.88671875" style="169" bestFit="1" customWidth="1"/>
    <col min="7190" max="7424" width="9.109375" style="169"/>
    <col min="7425" max="7425" width="8.44140625" style="169" customWidth="1"/>
    <col min="7426" max="7426" width="14.44140625" style="169" customWidth="1"/>
    <col min="7427" max="7427" width="15.44140625" style="169" customWidth="1"/>
    <col min="7428" max="7428" width="16.44140625" style="169" customWidth="1"/>
    <col min="7429" max="7429" width="16.109375" style="169" customWidth="1"/>
    <col min="7430" max="7430" width="13.6640625" style="169" customWidth="1"/>
    <col min="7431" max="7431" width="18.88671875" style="169" customWidth="1"/>
    <col min="7432" max="7432" width="15.6640625" style="169" customWidth="1"/>
    <col min="7433" max="7434" width="16.5546875" style="169" customWidth="1"/>
    <col min="7435" max="7435" width="13.109375" style="169" bestFit="1" customWidth="1"/>
    <col min="7436" max="7436" width="13.44140625" style="169" customWidth="1"/>
    <col min="7437" max="7437" width="14.6640625" style="169" customWidth="1"/>
    <col min="7438" max="7438" width="14.6640625" style="169" bestFit="1" customWidth="1"/>
    <col min="7439" max="7443" width="14.44140625" style="169" customWidth="1"/>
    <col min="7444" max="7444" width="14.88671875" style="169" bestFit="1" customWidth="1"/>
    <col min="7445" max="7445" width="10.88671875" style="169" bestFit="1" customWidth="1"/>
    <col min="7446" max="7680" width="9.109375" style="169"/>
    <col min="7681" max="7681" width="8.44140625" style="169" customWidth="1"/>
    <col min="7682" max="7682" width="14.44140625" style="169" customWidth="1"/>
    <col min="7683" max="7683" width="15.44140625" style="169" customWidth="1"/>
    <col min="7684" max="7684" width="16.44140625" style="169" customWidth="1"/>
    <col min="7685" max="7685" width="16.109375" style="169" customWidth="1"/>
    <col min="7686" max="7686" width="13.6640625" style="169" customWidth="1"/>
    <col min="7687" max="7687" width="18.88671875" style="169" customWidth="1"/>
    <col min="7688" max="7688" width="15.6640625" style="169" customWidth="1"/>
    <col min="7689" max="7690" width="16.5546875" style="169" customWidth="1"/>
    <col min="7691" max="7691" width="13.109375" style="169" bestFit="1" customWidth="1"/>
    <col min="7692" max="7692" width="13.44140625" style="169" customWidth="1"/>
    <col min="7693" max="7693" width="14.6640625" style="169" customWidth="1"/>
    <col min="7694" max="7694" width="14.6640625" style="169" bestFit="1" customWidth="1"/>
    <col min="7695" max="7699" width="14.44140625" style="169" customWidth="1"/>
    <col min="7700" max="7700" width="14.88671875" style="169" bestFit="1" customWidth="1"/>
    <col min="7701" max="7701" width="10.88671875" style="169" bestFit="1" customWidth="1"/>
    <col min="7702" max="7936" width="9.109375" style="169"/>
    <col min="7937" max="7937" width="8.44140625" style="169" customWidth="1"/>
    <col min="7938" max="7938" width="14.44140625" style="169" customWidth="1"/>
    <col min="7939" max="7939" width="15.44140625" style="169" customWidth="1"/>
    <col min="7940" max="7940" width="16.44140625" style="169" customWidth="1"/>
    <col min="7941" max="7941" width="16.109375" style="169" customWidth="1"/>
    <col min="7942" max="7942" width="13.6640625" style="169" customWidth="1"/>
    <col min="7943" max="7943" width="18.88671875" style="169" customWidth="1"/>
    <col min="7944" max="7944" width="15.6640625" style="169" customWidth="1"/>
    <col min="7945" max="7946" width="16.5546875" style="169" customWidth="1"/>
    <col min="7947" max="7947" width="13.109375" style="169" bestFit="1" customWidth="1"/>
    <col min="7948" max="7948" width="13.44140625" style="169" customWidth="1"/>
    <col min="7949" max="7949" width="14.6640625" style="169" customWidth="1"/>
    <col min="7950" max="7950" width="14.6640625" style="169" bestFit="1" customWidth="1"/>
    <col min="7951" max="7955" width="14.44140625" style="169" customWidth="1"/>
    <col min="7956" max="7956" width="14.88671875" style="169" bestFit="1" customWidth="1"/>
    <col min="7957" max="7957" width="10.88671875" style="169" bestFit="1" customWidth="1"/>
    <col min="7958" max="8192" width="9.109375" style="169"/>
    <col min="8193" max="8193" width="8.44140625" style="169" customWidth="1"/>
    <col min="8194" max="8194" width="14.44140625" style="169" customWidth="1"/>
    <col min="8195" max="8195" width="15.44140625" style="169" customWidth="1"/>
    <col min="8196" max="8196" width="16.44140625" style="169" customWidth="1"/>
    <col min="8197" max="8197" width="16.109375" style="169" customWidth="1"/>
    <col min="8198" max="8198" width="13.6640625" style="169" customWidth="1"/>
    <col min="8199" max="8199" width="18.88671875" style="169" customWidth="1"/>
    <col min="8200" max="8200" width="15.6640625" style="169" customWidth="1"/>
    <col min="8201" max="8202" width="16.5546875" style="169" customWidth="1"/>
    <col min="8203" max="8203" width="13.109375" style="169" bestFit="1" customWidth="1"/>
    <col min="8204" max="8204" width="13.44140625" style="169" customWidth="1"/>
    <col min="8205" max="8205" width="14.6640625" style="169" customWidth="1"/>
    <col min="8206" max="8206" width="14.6640625" style="169" bestFit="1" customWidth="1"/>
    <col min="8207" max="8211" width="14.44140625" style="169" customWidth="1"/>
    <col min="8212" max="8212" width="14.88671875" style="169" bestFit="1" customWidth="1"/>
    <col min="8213" max="8213" width="10.88671875" style="169" bestFit="1" customWidth="1"/>
    <col min="8214" max="8448" width="9.109375" style="169"/>
    <col min="8449" max="8449" width="8.44140625" style="169" customWidth="1"/>
    <col min="8450" max="8450" width="14.44140625" style="169" customWidth="1"/>
    <col min="8451" max="8451" width="15.44140625" style="169" customWidth="1"/>
    <col min="8452" max="8452" width="16.44140625" style="169" customWidth="1"/>
    <col min="8453" max="8453" width="16.109375" style="169" customWidth="1"/>
    <col min="8454" max="8454" width="13.6640625" style="169" customWidth="1"/>
    <col min="8455" max="8455" width="18.88671875" style="169" customWidth="1"/>
    <col min="8456" max="8456" width="15.6640625" style="169" customWidth="1"/>
    <col min="8457" max="8458" width="16.5546875" style="169" customWidth="1"/>
    <col min="8459" max="8459" width="13.109375" style="169" bestFit="1" customWidth="1"/>
    <col min="8460" max="8460" width="13.44140625" style="169" customWidth="1"/>
    <col min="8461" max="8461" width="14.6640625" style="169" customWidth="1"/>
    <col min="8462" max="8462" width="14.6640625" style="169" bestFit="1" customWidth="1"/>
    <col min="8463" max="8467" width="14.44140625" style="169" customWidth="1"/>
    <col min="8468" max="8468" width="14.88671875" style="169" bestFit="1" customWidth="1"/>
    <col min="8469" max="8469" width="10.88671875" style="169" bestFit="1" customWidth="1"/>
    <col min="8470" max="8704" width="9.109375" style="169"/>
    <col min="8705" max="8705" width="8.44140625" style="169" customWidth="1"/>
    <col min="8706" max="8706" width="14.44140625" style="169" customWidth="1"/>
    <col min="8707" max="8707" width="15.44140625" style="169" customWidth="1"/>
    <col min="8708" max="8708" width="16.44140625" style="169" customWidth="1"/>
    <col min="8709" max="8709" width="16.109375" style="169" customWidth="1"/>
    <col min="8710" max="8710" width="13.6640625" style="169" customWidth="1"/>
    <col min="8711" max="8711" width="18.88671875" style="169" customWidth="1"/>
    <col min="8712" max="8712" width="15.6640625" style="169" customWidth="1"/>
    <col min="8713" max="8714" width="16.5546875" style="169" customWidth="1"/>
    <col min="8715" max="8715" width="13.109375" style="169" bestFit="1" customWidth="1"/>
    <col min="8716" max="8716" width="13.44140625" style="169" customWidth="1"/>
    <col min="8717" max="8717" width="14.6640625" style="169" customWidth="1"/>
    <col min="8718" max="8718" width="14.6640625" style="169" bestFit="1" customWidth="1"/>
    <col min="8719" max="8723" width="14.44140625" style="169" customWidth="1"/>
    <col min="8724" max="8724" width="14.88671875" style="169" bestFit="1" customWidth="1"/>
    <col min="8725" max="8725" width="10.88671875" style="169" bestFit="1" customWidth="1"/>
    <col min="8726" max="8960" width="9.109375" style="169"/>
    <col min="8961" max="8961" width="8.44140625" style="169" customWidth="1"/>
    <col min="8962" max="8962" width="14.44140625" style="169" customWidth="1"/>
    <col min="8963" max="8963" width="15.44140625" style="169" customWidth="1"/>
    <col min="8964" max="8964" width="16.44140625" style="169" customWidth="1"/>
    <col min="8965" max="8965" width="16.109375" style="169" customWidth="1"/>
    <col min="8966" max="8966" width="13.6640625" style="169" customWidth="1"/>
    <col min="8967" max="8967" width="18.88671875" style="169" customWidth="1"/>
    <col min="8968" max="8968" width="15.6640625" style="169" customWidth="1"/>
    <col min="8969" max="8970" width="16.5546875" style="169" customWidth="1"/>
    <col min="8971" max="8971" width="13.109375" style="169" bestFit="1" customWidth="1"/>
    <col min="8972" max="8972" width="13.44140625" style="169" customWidth="1"/>
    <col min="8973" max="8973" width="14.6640625" style="169" customWidth="1"/>
    <col min="8974" max="8974" width="14.6640625" style="169" bestFit="1" customWidth="1"/>
    <col min="8975" max="8979" width="14.44140625" style="169" customWidth="1"/>
    <col min="8980" max="8980" width="14.88671875" style="169" bestFit="1" customWidth="1"/>
    <col min="8981" max="8981" width="10.88671875" style="169" bestFit="1" customWidth="1"/>
    <col min="8982" max="9216" width="9.109375" style="169"/>
    <col min="9217" max="9217" width="8.44140625" style="169" customWidth="1"/>
    <col min="9218" max="9218" width="14.44140625" style="169" customWidth="1"/>
    <col min="9219" max="9219" width="15.44140625" style="169" customWidth="1"/>
    <col min="9220" max="9220" width="16.44140625" style="169" customWidth="1"/>
    <col min="9221" max="9221" width="16.109375" style="169" customWidth="1"/>
    <col min="9222" max="9222" width="13.6640625" style="169" customWidth="1"/>
    <col min="9223" max="9223" width="18.88671875" style="169" customWidth="1"/>
    <col min="9224" max="9224" width="15.6640625" style="169" customWidth="1"/>
    <col min="9225" max="9226" width="16.5546875" style="169" customWidth="1"/>
    <col min="9227" max="9227" width="13.109375" style="169" bestFit="1" customWidth="1"/>
    <col min="9228" max="9228" width="13.44140625" style="169" customWidth="1"/>
    <col min="9229" max="9229" width="14.6640625" style="169" customWidth="1"/>
    <col min="9230" max="9230" width="14.6640625" style="169" bestFit="1" customWidth="1"/>
    <col min="9231" max="9235" width="14.44140625" style="169" customWidth="1"/>
    <col min="9236" max="9236" width="14.88671875" style="169" bestFit="1" customWidth="1"/>
    <col min="9237" max="9237" width="10.88671875" style="169" bestFit="1" customWidth="1"/>
    <col min="9238" max="9472" width="9.109375" style="169"/>
    <col min="9473" max="9473" width="8.44140625" style="169" customWidth="1"/>
    <col min="9474" max="9474" width="14.44140625" style="169" customWidth="1"/>
    <col min="9475" max="9475" width="15.44140625" style="169" customWidth="1"/>
    <col min="9476" max="9476" width="16.44140625" style="169" customWidth="1"/>
    <col min="9477" max="9477" width="16.109375" style="169" customWidth="1"/>
    <col min="9478" max="9478" width="13.6640625" style="169" customWidth="1"/>
    <col min="9479" max="9479" width="18.88671875" style="169" customWidth="1"/>
    <col min="9480" max="9480" width="15.6640625" style="169" customWidth="1"/>
    <col min="9481" max="9482" width="16.5546875" style="169" customWidth="1"/>
    <col min="9483" max="9483" width="13.109375" style="169" bestFit="1" customWidth="1"/>
    <col min="9484" max="9484" width="13.44140625" style="169" customWidth="1"/>
    <col min="9485" max="9485" width="14.6640625" style="169" customWidth="1"/>
    <col min="9486" max="9486" width="14.6640625" style="169" bestFit="1" customWidth="1"/>
    <col min="9487" max="9491" width="14.44140625" style="169" customWidth="1"/>
    <col min="9492" max="9492" width="14.88671875" style="169" bestFit="1" customWidth="1"/>
    <col min="9493" max="9493" width="10.88671875" style="169" bestFit="1" customWidth="1"/>
    <col min="9494" max="9728" width="9.109375" style="169"/>
    <col min="9729" max="9729" width="8.44140625" style="169" customWidth="1"/>
    <col min="9730" max="9730" width="14.44140625" style="169" customWidth="1"/>
    <col min="9731" max="9731" width="15.44140625" style="169" customWidth="1"/>
    <col min="9732" max="9732" width="16.44140625" style="169" customWidth="1"/>
    <col min="9733" max="9733" width="16.109375" style="169" customWidth="1"/>
    <col min="9734" max="9734" width="13.6640625" style="169" customWidth="1"/>
    <col min="9735" max="9735" width="18.88671875" style="169" customWidth="1"/>
    <col min="9736" max="9736" width="15.6640625" style="169" customWidth="1"/>
    <col min="9737" max="9738" width="16.5546875" style="169" customWidth="1"/>
    <col min="9739" max="9739" width="13.109375" style="169" bestFit="1" customWidth="1"/>
    <col min="9740" max="9740" width="13.44140625" style="169" customWidth="1"/>
    <col min="9741" max="9741" width="14.6640625" style="169" customWidth="1"/>
    <col min="9742" max="9742" width="14.6640625" style="169" bestFit="1" customWidth="1"/>
    <col min="9743" max="9747" width="14.44140625" style="169" customWidth="1"/>
    <col min="9748" max="9748" width="14.88671875" style="169" bestFit="1" customWidth="1"/>
    <col min="9749" max="9749" width="10.88671875" style="169" bestFit="1" customWidth="1"/>
    <col min="9750" max="9984" width="9.109375" style="169"/>
    <col min="9985" max="9985" width="8.44140625" style="169" customWidth="1"/>
    <col min="9986" max="9986" width="14.44140625" style="169" customWidth="1"/>
    <col min="9987" max="9987" width="15.44140625" style="169" customWidth="1"/>
    <col min="9988" max="9988" width="16.44140625" style="169" customWidth="1"/>
    <col min="9989" max="9989" width="16.109375" style="169" customWidth="1"/>
    <col min="9990" max="9990" width="13.6640625" style="169" customWidth="1"/>
    <col min="9991" max="9991" width="18.88671875" style="169" customWidth="1"/>
    <col min="9992" max="9992" width="15.6640625" style="169" customWidth="1"/>
    <col min="9993" max="9994" width="16.5546875" style="169" customWidth="1"/>
    <col min="9995" max="9995" width="13.109375" style="169" bestFit="1" customWidth="1"/>
    <col min="9996" max="9996" width="13.44140625" style="169" customWidth="1"/>
    <col min="9997" max="9997" width="14.6640625" style="169" customWidth="1"/>
    <col min="9998" max="9998" width="14.6640625" style="169" bestFit="1" customWidth="1"/>
    <col min="9999" max="10003" width="14.44140625" style="169" customWidth="1"/>
    <col min="10004" max="10004" width="14.88671875" style="169" bestFit="1" customWidth="1"/>
    <col min="10005" max="10005" width="10.88671875" style="169" bestFit="1" customWidth="1"/>
    <col min="10006" max="10240" width="9.109375" style="169"/>
    <col min="10241" max="10241" width="8.44140625" style="169" customWidth="1"/>
    <col min="10242" max="10242" width="14.44140625" style="169" customWidth="1"/>
    <col min="10243" max="10243" width="15.44140625" style="169" customWidth="1"/>
    <col min="10244" max="10244" width="16.44140625" style="169" customWidth="1"/>
    <col min="10245" max="10245" width="16.109375" style="169" customWidth="1"/>
    <col min="10246" max="10246" width="13.6640625" style="169" customWidth="1"/>
    <col min="10247" max="10247" width="18.88671875" style="169" customWidth="1"/>
    <col min="10248" max="10248" width="15.6640625" style="169" customWidth="1"/>
    <col min="10249" max="10250" width="16.5546875" style="169" customWidth="1"/>
    <col min="10251" max="10251" width="13.109375" style="169" bestFit="1" customWidth="1"/>
    <col min="10252" max="10252" width="13.44140625" style="169" customWidth="1"/>
    <col min="10253" max="10253" width="14.6640625" style="169" customWidth="1"/>
    <col min="10254" max="10254" width="14.6640625" style="169" bestFit="1" customWidth="1"/>
    <col min="10255" max="10259" width="14.44140625" style="169" customWidth="1"/>
    <col min="10260" max="10260" width="14.88671875" style="169" bestFit="1" customWidth="1"/>
    <col min="10261" max="10261" width="10.88671875" style="169" bestFit="1" customWidth="1"/>
    <col min="10262" max="10496" width="9.109375" style="169"/>
    <col min="10497" max="10497" width="8.44140625" style="169" customWidth="1"/>
    <col min="10498" max="10498" width="14.44140625" style="169" customWidth="1"/>
    <col min="10499" max="10499" width="15.44140625" style="169" customWidth="1"/>
    <col min="10500" max="10500" width="16.44140625" style="169" customWidth="1"/>
    <col min="10501" max="10501" width="16.109375" style="169" customWidth="1"/>
    <col min="10502" max="10502" width="13.6640625" style="169" customWidth="1"/>
    <col min="10503" max="10503" width="18.88671875" style="169" customWidth="1"/>
    <col min="10504" max="10504" width="15.6640625" style="169" customWidth="1"/>
    <col min="10505" max="10506" width="16.5546875" style="169" customWidth="1"/>
    <col min="10507" max="10507" width="13.109375" style="169" bestFit="1" customWidth="1"/>
    <col min="10508" max="10508" width="13.44140625" style="169" customWidth="1"/>
    <col min="10509" max="10509" width="14.6640625" style="169" customWidth="1"/>
    <col min="10510" max="10510" width="14.6640625" style="169" bestFit="1" customWidth="1"/>
    <col min="10511" max="10515" width="14.44140625" style="169" customWidth="1"/>
    <col min="10516" max="10516" width="14.88671875" style="169" bestFit="1" customWidth="1"/>
    <col min="10517" max="10517" width="10.88671875" style="169" bestFit="1" customWidth="1"/>
    <col min="10518" max="10752" width="9.109375" style="169"/>
    <col min="10753" max="10753" width="8.44140625" style="169" customWidth="1"/>
    <col min="10754" max="10754" width="14.44140625" style="169" customWidth="1"/>
    <col min="10755" max="10755" width="15.44140625" style="169" customWidth="1"/>
    <col min="10756" max="10756" width="16.44140625" style="169" customWidth="1"/>
    <col min="10757" max="10757" width="16.109375" style="169" customWidth="1"/>
    <col min="10758" max="10758" width="13.6640625" style="169" customWidth="1"/>
    <col min="10759" max="10759" width="18.88671875" style="169" customWidth="1"/>
    <col min="10760" max="10760" width="15.6640625" style="169" customWidth="1"/>
    <col min="10761" max="10762" width="16.5546875" style="169" customWidth="1"/>
    <col min="10763" max="10763" width="13.109375" style="169" bestFit="1" customWidth="1"/>
    <col min="10764" max="10764" width="13.44140625" style="169" customWidth="1"/>
    <col min="10765" max="10765" width="14.6640625" style="169" customWidth="1"/>
    <col min="10766" max="10766" width="14.6640625" style="169" bestFit="1" customWidth="1"/>
    <col min="10767" max="10771" width="14.44140625" style="169" customWidth="1"/>
    <col min="10772" max="10772" width="14.88671875" style="169" bestFit="1" customWidth="1"/>
    <col min="10773" max="10773" width="10.88671875" style="169" bestFit="1" customWidth="1"/>
    <col min="10774" max="11008" width="9.109375" style="169"/>
    <col min="11009" max="11009" width="8.44140625" style="169" customWidth="1"/>
    <col min="11010" max="11010" width="14.44140625" style="169" customWidth="1"/>
    <col min="11011" max="11011" width="15.44140625" style="169" customWidth="1"/>
    <col min="11012" max="11012" width="16.44140625" style="169" customWidth="1"/>
    <col min="11013" max="11013" width="16.109375" style="169" customWidth="1"/>
    <col min="11014" max="11014" width="13.6640625" style="169" customWidth="1"/>
    <col min="11015" max="11015" width="18.88671875" style="169" customWidth="1"/>
    <col min="11016" max="11016" width="15.6640625" style="169" customWidth="1"/>
    <col min="11017" max="11018" width="16.5546875" style="169" customWidth="1"/>
    <col min="11019" max="11019" width="13.109375" style="169" bestFit="1" customWidth="1"/>
    <col min="11020" max="11020" width="13.44140625" style="169" customWidth="1"/>
    <col min="11021" max="11021" width="14.6640625" style="169" customWidth="1"/>
    <col min="11022" max="11022" width="14.6640625" style="169" bestFit="1" customWidth="1"/>
    <col min="11023" max="11027" width="14.44140625" style="169" customWidth="1"/>
    <col min="11028" max="11028" width="14.88671875" style="169" bestFit="1" customWidth="1"/>
    <col min="11029" max="11029" width="10.88671875" style="169" bestFit="1" customWidth="1"/>
    <col min="11030" max="11264" width="9.109375" style="169"/>
    <col min="11265" max="11265" width="8.44140625" style="169" customWidth="1"/>
    <col min="11266" max="11266" width="14.44140625" style="169" customWidth="1"/>
    <col min="11267" max="11267" width="15.44140625" style="169" customWidth="1"/>
    <col min="11268" max="11268" width="16.44140625" style="169" customWidth="1"/>
    <col min="11269" max="11269" width="16.109375" style="169" customWidth="1"/>
    <col min="11270" max="11270" width="13.6640625" style="169" customWidth="1"/>
    <col min="11271" max="11271" width="18.88671875" style="169" customWidth="1"/>
    <col min="11272" max="11272" width="15.6640625" style="169" customWidth="1"/>
    <col min="11273" max="11274" width="16.5546875" style="169" customWidth="1"/>
    <col min="11275" max="11275" width="13.109375" style="169" bestFit="1" customWidth="1"/>
    <col min="11276" max="11276" width="13.44140625" style="169" customWidth="1"/>
    <col min="11277" max="11277" width="14.6640625" style="169" customWidth="1"/>
    <col min="11278" max="11278" width="14.6640625" style="169" bestFit="1" customWidth="1"/>
    <col min="11279" max="11283" width="14.44140625" style="169" customWidth="1"/>
    <col min="11284" max="11284" width="14.88671875" style="169" bestFit="1" customWidth="1"/>
    <col min="11285" max="11285" width="10.88671875" style="169" bestFit="1" customWidth="1"/>
    <col min="11286" max="11520" width="9.109375" style="169"/>
    <col min="11521" max="11521" width="8.44140625" style="169" customWidth="1"/>
    <col min="11522" max="11522" width="14.44140625" style="169" customWidth="1"/>
    <col min="11523" max="11523" width="15.44140625" style="169" customWidth="1"/>
    <col min="11524" max="11524" width="16.44140625" style="169" customWidth="1"/>
    <col min="11525" max="11525" width="16.109375" style="169" customWidth="1"/>
    <col min="11526" max="11526" width="13.6640625" style="169" customWidth="1"/>
    <col min="11527" max="11527" width="18.88671875" style="169" customWidth="1"/>
    <col min="11528" max="11528" width="15.6640625" style="169" customWidth="1"/>
    <col min="11529" max="11530" width="16.5546875" style="169" customWidth="1"/>
    <col min="11531" max="11531" width="13.109375" style="169" bestFit="1" customWidth="1"/>
    <col min="11532" max="11532" width="13.44140625" style="169" customWidth="1"/>
    <col min="11533" max="11533" width="14.6640625" style="169" customWidth="1"/>
    <col min="11534" max="11534" width="14.6640625" style="169" bestFit="1" customWidth="1"/>
    <col min="11535" max="11539" width="14.44140625" style="169" customWidth="1"/>
    <col min="11540" max="11540" width="14.88671875" style="169" bestFit="1" customWidth="1"/>
    <col min="11541" max="11541" width="10.88671875" style="169" bestFit="1" customWidth="1"/>
    <col min="11542" max="11776" width="9.109375" style="169"/>
    <col min="11777" max="11777" width="8.44140625" style="169" customWidth="1"/>
    <col min="11778" max="11778" width="14.44140625" style="169" customWidth="1"/>
    <col min="11779" max="11779" width="15.44140625" style="169" customWidth="1"/>
    <col min="11780" max="11780" width="16.44140625" style="169" customWidth="1"/>
    <col min="11781" max="11781" width="16.109375" style="169" customWidth="1"/>
    <col min="11782" max="11782" width="13.6640625" style="169" customWidth="1"/>
    <col min="11783" max="11783" width="18.88671875" style="169" customWidth="1"/>
    <col min="11784" max="11784" width="15.6640625" style="169" customWidth="1"/>
    <col min="11785" max="11786" width="16.5546875" style="169" customWidth="1"/>
    <col min="11787" max="11787" width="13.109375" style="169" bestFit="1" customWidth="1"/>
    <col min="11788" max="11788" width="13.44140625" style="169" customWidth="1"/>
    <col min="11789" max="11789" width="14.6640625" style="169" customWidth="1"/>
    <col min="11790" max="11790" width="14.6640625" style="169" bestFit="1" customWidth="1"/>
    <col min="11791" max="11795" width="14.44140625" style="169" customWidth="1"/>
    <col min="11796" max="11796" width="14.88671875" style="169" bestFit="1" customWidth="1"/>
    <col min="11797" max="11797" width="10.88671875" style="169" bestFit="1" customWidth="1"/>
    <col min="11798" max="12032" width="9.109375" style="169"/>
    <col min="12033" max="12033" width="8.44140625" style="169" customWidth="1"/>
    <col min="12034" max="12034" width="14.44140625" style="169" customWidth="1"/>
    <col min="12035" max="12035" width="15.44140625" style="169" customWidth="1"/>
    <col min="12036" max="12036" width="16.44140625" style="169" customWidth="1"/>
    <col min="12037" max="12037" width="16.109375" style="169" customWidth="1"/>
    <col min="12038" max="12038" width="13.6640625" style="169" customWidth="1"/>
    <col min="12039" max="12039" width="18.88671875" style="169" customWidth="1"/>
    <col min="12040" max="12040" width="15.6640625" style="169" customWidth="1"/>
    <col min="12041" max="12042" width="16.5546875" style="169" customWidth="1"/>
    <col min="12043" max="12043" width="13.109375" style="169" bestFit="1" customWidth="1"/>
    <col min="12044" max="12044" width="13.44140625" style="169" customWidth="1"/>
    <col min="12045" max="12045" width="14.6640625" style="169" customWidth="1"/>
    <col min="12046" max="12046" width="14.6640625" style="169" bestFit="1" customWidth="1"/>
    <col min="12047" max="12051" width="14.44140625" style="169" customWidth="1"/>
    <col min="12052" max="12052" width="14.88671875" style="169" bestFit="1" customWidth="1"/>
    <col min="12053" max="12053" width="10.88671875" style="169" bestFit="1" customWidth="1"/>
    <col min="12054" max="12288" width="9.109375" style="169"/>
    <col min="12289" max="12289" width="8.44140625" style="169" customWidth="1"/>
    <col min="12290" max="12290" width="14.44140625" style="169" customWidth="1"/>
    <col min="12291" max="12291" width="15.44140625" style="169" customWidth="1"/>
    <col min="12292" max="12292" width="16.44140625" style="169" customWidth="1"/>
    <col min="12293" max="12293" width="16.109375" style="169" customWidth="1"/>
    <col min="12294" max="12294" width="13.6640625" style="169" customWidth="1"/>
    <col min="12295" max="12295" width="18.88671875" style="169" customWidth="1"/>
    <col min="12296" max="12296" width="15.6640625" style="169" customWidth="1"/>
    <col min="12297" max="12298" width="16.5546875" style="169" customWidth="1"/>
    <col min="12299" max="12299" width="13.109375" style="169" bestFit="1" customWidth="1"/>
    <col min="12300" max="12300" width="13.44140625" style="169" customWidth="1"/>
    <col min="12301" max="12301" width="14.6640625" style="169" customWidth="1"/>
    <col min="12302" max="12302" width="14.6640625" style="169" bestFit="1" customWidth="1"/>
    <col min="12303" max="12307" width="14.44140625" style="169" customWidth="1"/>
    <col min="12308" max="12308" width="14.88671875" style="169" bestFit="1" customWidth="1"/>
    <col min="12309" max="12309" width="10.88671875" style="169" bestFit="1" customWidth="1"/>
    <col min="12310" max="12544" width="9.109375" style="169"/>
    <col min="12545" max="12545" width="8.44140625" style="169" customWidth="1"/>
    <col min="12546" max="12546" width="14.44140625" style="169" customWidth="1"/>
    <col min="12547" max="12547" width="15.44140625" style="169" customWidth="1"/>
    <col min="12548" max="12548" width="16.44140625" style="169" customWidth="1"/>
    <col min="12549" max="12549" width="16.109375" style="169" customWidth="1"/>
    <col min="12550" max="12550" width="13.6640625" style="169" customWidth="1"/>
    <col min="12551" max="12551" width="18.88671875" style="169" customWidth="1"/>
    <col min="12552" max="12552" width="15.6640625" style="169" customWidth="1"/>
    <col min="12553" max="12554" width="16.5546875" style="169" customWidth="1"/>
    <col min="12555" max="12555" width="13.109375" style="169" bestFit="1" customWidth="1"/>
    <col min="12556" max="12556" width="13.44140625" style="169" customWidth="1"/>
    <col min="12557" max="12557" width="14.6640625" style="169" customWidth="1"/>
    <col min="12558" max="12558" width="14.6640625" style="169" bestFit="1" customWidth="1"/>
    <col min="12559" max="12563" width="14.44140625" style="169" customWidth="1"/>
    <col min="12564" max="12564" width="14.88671875" style="169" bestFit="1" customWidth="1"/>
    <col min="12565" max="12565" width="10.88671875" style="169" bestFit="1" customWidth="1"/>
    <col min="12566" max="12800" width="9.109375" style="169"/>
    <col min="12801" max="12801" width="8.44140625" style="169" customWidth="1"/>
    <col min="12802" max="12802" width="14.44140625" style="169" customWidth="1"/>
    <col min="12803" max="12803" width="15.44140625" style="169" customWidth="1"/>
    <col min="12804" max="12804" width="16.44140625" style="169" customWidth="1"/>
    <col min="12805" max="12805" width="16.109375" style="169" customWidth="1"/>
    <col min="12806" max="12806" width="13.6640625" style="169" customWidth="1"/>
    <col min="12807" max="12807" width="18.88671875" style="169" customWidth="1"/>
    <col min="12808" max="12808" width="15.6640625" style="169" customWidth="1"/>
    <col min="12809" max="12810" width="16.5546875" style="169" customWidth="1"/>
    <col min="12811" max="12811" width="13.109375" style="169" bestFit="1" customWidth="1"/>
    <col min="12812" max="12812" width="13.44140625" style="169" customWidth="1"/>
    <col min="12813" max="12813" width="14.6640625" style="169" customWidth="1"/>
    <col min="12814" max="12814" width="14.6640625" style="169" bestFit="1" customWidth="1"/>
    <col min="12815" max="12819" width="14.44140625" style="169" customWidth="1"/>
    <col min="12820" max="12820" width="14.88671875" style="169" bestFit="1" customWidth="1"/>
    <col min="12821" max="12821" width="10.88671875" style="169" bestFit="1" customWidth="1"/>
    <col min="12822" max="13056" width="9.109375" style="169"/>
    <col min="13057" max="13057" width="8.44140625" style="169" customWidth="1"/>
    <col min="13058" max="13058" width="14.44140625" style="169" customWidth="1"/>
    <col min="13059" max="13059" width="15.44140625" style="169" customWidth="1"/>
    <col min="13060" max="13060" width="16.44140625" style="169" customWidth="1"/>
    <col min="13061" max="13061" width="16.109375" style="169" customWidth="1"/>
    <col min="13062" max="13062" width="13.6640625" style="169" customWidth="1"/>
    <col min="13063" max="13063" width="18.88671875" style="169" customWidth="1"/>
    <col min="13064" max="13064" width="15.6640625" style="169" customWidth="1"/>
    <col min="13065" max="13066" width="16.5546875" style="169" customWidth="1"/>
    <col min="13067" max="13067" width="13.109375" style="169" bestFit="1" customWidth="1"/>
    <col min="13068" max="13068" width="13.44140625" style="169" customWidth="1"/>
    <col min="13069" max="13069" width="14.6640625" style="169" customWidth="1"/>
    <col min="13070" max="13070" width="14.6640625" style="169" bestFit="1" customWidth="1"/>
    <col min="13071" max="13075" width="14.44140625" style="169" customWidth="1"/>
    <col min="13076" max="13076" width="14.88671875" style="169" bestFit="1" customWidth="1"/>
    <col min="13077" max="13077" width="10.88671875" style="169" bestFit="1" customWidth="1"/>
    <col min="13078" max="13312" width="9.109375" style="169"/>
    <col min="13313" max="13313" width="8.44140625" style="169" customWidth="1"/>
    <col min="13314" max="13314" width="14.44140625" style="169" customWidth="1"/>
    <col min="13315" max="13315" width="15.44140625" style="169" customWidth="1"/>
    <col min="13316" max="13316" width="16.44140625" style="169" customWidth="1"/>
    <col min="13317" max="13317" width="16.109375" style="169" customWidth="1"/>
    <col min="13318" max="13318" width="13.6640625" style="169" customWidth="1"/>
    <col min="13319" max="13319" width="18.88671875" style="169" customWidth="1"/>
    <col min="13320" max="13320" width="15.6640625" style="169" customWidth="1"/>
    <col min="13321" max="13322" width="16.5546875" style="169" customWidth="1"/>
    <col min="13323" max="13323" width="13.109375" style="169" bestFit="1" customWidth="1"/>
    <col min="13324" max="13324" width="13.44140625" style="169" customWidth="1"/>
    <col min="13325" max="13325" width="14.6640625" style="169" customWidth="1"/>
    <col min="13326" max="13326" width="14.6640625" style="169" bestFit="1" customWidth="1"/>
    <col min="13327" max="13331" width="14.44140625" style="169" customWidth="1"/>
    <col min="13332" max="13332" width="14.88671875" style="169" bestFit="1" customWidth="1"/>
    <col min="13333" max="13333" width="10.88671875" style="169" bestFit="1" customWidth="1"/>
    <col min="13334" max="13568" width="9.109375" style="169"/>
    <col min="13569" max="13569" width="8.44140625" style="169" customWidth="1"/>
    <col min="13570" max="13570" width="14.44140625" style="169" customWidth="1"/>
    <col min="13571" max="13571" width="15.44140625" style="169" customWidth="1"/>
    <col min="13572" max="13572" width="16.44140625" style="169" customWidth="1"/>
    <col min="13573" max="13573" width="16.109375" style="169" customWidth="1"/>
    <col min="13574" max="13574" width="13.6640625" style="169" customWidth="1"/>
    <col min="13575" max="13575" width="18.88671875" style="169" customWidth="1"/>
    <col min="13576" max="13576" width="15.6640625" style="169" customWidth="1"/>
    <col min="13577" max="13578" width="16.5546875" style="169" customWidth="1"/>
    <col min="13579" max="13579" width="13.109375" style="169" bestFit="1" customWidth="1"/>
    <col min="13580" max="13580" width="13.44140625" style="169" customWidth="1"/>
    <col min="13581" max="13581" width="14.6640625" style="169" customWidth="1"/>
    <col min="13582" max="13582" width="14.6640625" style="169" bestFit="1" customWidth="1"/>
    <col min="13583" max="13587" width="14.44140625" style="169" customWidth="1"/>
    <col min="13588" max="13588" width="14.88671875" style="169" bestFit="1" customWidth="1"/>
    <col min="13589" max="13589" width="10.88671875" style="169" bestFit="1" customWidth="1"/>
    <col min="13590" max="13824" width="9.109375" style="169"/>
    <col min="13825" max="13825" width="8.44140625" style="169" customWidth="1"/>
    <col min="13826" max="13826" width="14.44140625" style="169" customWidth="1"/>
    <col min="13827" max="13827" width="15.44140625" style="169" customWidth="1"/>
    <col min="13828" max="13828" width="16.44140625" style="169" customWidth="1"/>
    <col min="13829" max="13829" width="16.109375" style="169" customWidth="1"/>
    <col min="13830" max="13830" width="13.6640625" style="169" customWidth="1"/>
    <col min="13831" max="13831" width="18.88671875" style="169" customWidth="1"/>
    <col min="13832" max="13832" width="15.6640625" style="169" customWidth="1"/>
    <col min="13833" max="13834" width="16.5546875" style="169" customWidth="1"/>
    <col min="13835" max="13835" width="13.109375" style="169" bestFit="1" customWidth="1"/>
    <col min="13836" max="13836" width="13.44140625" style="169" customWidth="1"/>
    <col min="13837" max="13837" width="14.6640625" style="169" customWidth="1"/>
    <col min="13838" max="13838" width="14.6640625" style="169" bestFit="1" customWidth="1"/>
    <col min="13839" max="13843" width="14.44140625" style="169" customWidth="1"/>
    <col min="13844" max="13844" width="14.88671875" style="169" bestFit="1" customWidth="1"/>
    <col min="13845" max="13845" width="10.88671875" style="169" bestFit="1" customWidth="1"/>
    <col min="13846" max="14080" width="9.109375" style="169"/>
    <col min="14081" max="14081" width="8.44140625" style="169" customWidth="1"/>
    <col min="14082" max="14082" width="14.44140625" style="169" customWidth="1"/>
    <col min="14083" max="14083" width="15.44140625" style="169" customWidth="1"/>
    <col min="14084" max="14084" width="16.44140625" style="169" customWidth="1"/>
    <col min="14085" max="14085" width="16.109375" style="169" customWidth="1"/>
    <col min="14086" max="14086" width="13.6640625" style="169" customWidth="1"/>
    <col min="14087" max="14087" width="18.88671875" style="169" customWidth="1"/>
    <col min="14088" max="14088" width="15.6640625" style="169" customWidth="1"/>
    <col min="14089" max="14090" width="16.5546875" style="169" customWidth="1"/>
    <col min="14091" max="14091" width="13.109375" style="169" bestFit="1" customWidth="1"/>
    <col min="14092" max="14092" width="13.44140625" style="169" customWidth="1"/>
    <col min="14093" max="14093" width="14.6640625" style="169" customWidth="1"/>
    <col min="14094" max="14094" width="14.6640625" style="169" bestFit="1" customWidth="1"/>
    <col min="14095" max="14099" width="14.44140625" style="169" customWidth="1"/>
    <col min="14100" max="14100" width="14.88671875" style="169" bestFit="1" customWidth="1"/>
    <col min="14101" max="14101" width="10.88671875" style="169" bestFit="1" customWidth="1"/>
    <col min="14102" max="14336" width="9.109375" style="169"/>
    <col min="14337" max="14337" width="8.44140625" style="169" customWidth="1"/>
    <col min="14338" max="14338" width="14.44140625" style="169" customWidth="1"/>
    <col min="14339" max="14339" width="15.44140625" style="169" customWidth="1"/>
    <col min="14340" max="14340" width="16.44140625" style="169" customWidth="1"/>
    <col min="14341" max="14341" width="16.109375" style="169" customWidth="1"/>
    <col min="14342" max="14342" width="13.6640625" style="169" customWidth="1"/>
    <col min="14343" max="14343" width="18.88671875" style="169" customWidth="1"/>
    <col min="14344" max="14344" width="15.6640625" style="169" customWidth="1"/>
    <col min="14345" max="14346" width="16.5546875" style="169" customWidth="1"/>
    <col min="14347" max="14347" width="13.109375" style="169" bestFit="1" customWidth="1"/>
    <col min="14348" max="14348" width="13.44140625" style="169" customWidth="1"/>
    <col min="14349" max="14349" width="14.6640625" style="169" customWidth="1"/>
    <col min="14350" max="14350" width="14.6640625" style="169" bestFit="1" customWidth="1"/>
    <col min="14351" max="14355" width="14.44140625" style="169" customWidth="1"/>
    <col min="14356" max="14356" width="14.88671875" style="169" bestFit="1" customWidth="1"/>
    <col min="14357" max="14357" width="10.88671875" style="169" bestFit="1" customWidth="1"/>
    <col min="14358" max="14592" width="9.109375" style="169"/>
    <col min="14593" max="14593" width="8.44140625" style="169" customWidth="1"/>
    <col min="14594" max="14594" width="14.44140625" style="169" customWidth="1"/>
    <col min="14595" max="14595" width="15.44140625" style="169" customWidth="1"/>
    <col min="14596" max="14596" width="16.44140625" style="169" customWidth="1"/>
    <col min="14597" max="14597" width="16.109375" style="169" customWidth="1"/>
    <col min="14598" max="14598" width="13.6640625" style="169" customWidth="1"/>
    <col min="14599" max="14599" width="18.88671875" style="169" customWidth="1"/>
    <col min="14600" max="14600" width="15.6640625" style="169" customWidth="1"/>
    <col min="14601" max="14602" width="16.5546875" style="169" customWidth="1"/>
    <col min="14603" max="14603" width="13.109375" style="169" bestFit="1" customWidth="1"/>
    <col min="14604" max="14604" width="13.44140625" style="169" customWidth="1"/>
    <col min="14605" max="14605" width="14.6640625" style="169" customWidth="1"/>
    <col min="14606" max="14606" width="14.6640625" style="169" bestFit="1" customWidth="1"/>
    <col min="14607" max="14611" width="14.44140625" style="169" customWidth="1"/>
    <col min="14612" max="14612" width="14.88671875" style="169" bestFit="1" customWidth="1"/>
    <col min="14613" max="14613" width="10.88671875" style="169" bestFit="1" customWidth="1"/>
    <col min="14614" max="14848" width="9.109375" style="169"/>
    <col min="14849" max="14849" width="8.44140625" style="169" customWidth="1"/>
    <col min="14850" max="14850" width="14.44140625" style="169" customWidth="1"/>
    <col min="14851" max="14851" width="15.44140625" style="169" customWidth="1"/>
    <col min="14852" max="14852" width="16.44140625" style="169" customWidth="1"/>
    <col min="14853" max="14853" width="16.109375" style="169" customWidth="1"/>
    <col min="14854" max="14854" width="13.6640625" style="169" customWidth="1"/>
    <col min="14855" max="14855" width="18.88671875" style="169" customWidth="1"/>
    <col min="14856" max="14856" width="15.6640625" style="169" customWidth="1"/>
    <col min="14857" max="14858" width="16.5546875" style="169" customWidth="1"/>
    <col min="14859" max="14859" width="13.109375" style="169" bestFit="1" customWidth="1"/>
    <col min="14860" max="14860" width="13.44140625" style="169" customWidth="1"/>
    <col min="14861" max="14861" width="14.6640625" style="169" customWidth="1"/>
    <col min="14862" max="14862" width="14.6640625" style="169" bestFit="1" customWidth="1"/>
    <col min="14863" max="14867" width="14.44140625" style="169" customWidth="1"/>
    <col min="14868" max="14868" width="14.88671875" style="169" bestFit="1" customWidth="1"/>
    <col min="14869" max="14869" width="10.88671875" style="169" bestFit="1" customWidth="1"/>
    <col min="14870" max="15104" width="9.109375" style="169"/>
    <col min="15105" max="15105" width="8.44140625" style="169" customWidth="1"/>
    <col min="15106" max="15106" width="14.44140625" style="169" customWidth="1"/>
    <col min="15107" max="15107" width="15.44140625" style="169" customWidth="1"/>
    <col min="15108" max="15108" width="16.44140625" style="169" customWidth="1"/>
    <col min="15109" max="15109" width="16.109375" style="169" customWidth="1"/>
    <col min="15110" max="15110" width="13.6640625" style="169" customWidth="1"/>
    <col min="15111" max="15111" width="18.88671875" style="169" customWidth="1"/>
    <col min="15112" max="15112" width="15.6640625" style="169" customWidth="1"/>
    <col min="15113" max="15114" width="16.5546875" style="169" customWidth="1"/>
    <col min="15115" max="15115" width="13.109375" style="169" bestFit="1" customWidth="1"/>
    <col min="15116" max="15116" width="13.44140625" style="169" customWidth="1"/>
    <col min="15117" max="15117" width="14.6640625" style="169" customWidth="1"/>
    <col min="15118" max="15118" width="14.6640625" style="169" bestFit="1" customWidth="1"/>
    <col min="15119" max="15123" width="14.44140625" style="169" customWidth="1"/>
    <col min="15124" max="15124" width="14.88671875" style="169" bestFit="1" customWidth="1"/>
    <col min="15125" max="15125" width="10.88671875" style="169" bestFit="1" customWidth="1"/>
    <col min="15126" max="15360" width="9.109375" style="169"/>
    <col min="15361" max="15361" width="8.44140625" style="169" customWidth="1"/>
    <col min="15362" max="15362" width="14.44140625" style="169" customWidth="1"/>
    <col min="15363" max="15363" width="15.44140625" style="169" customWidth="1"/>
    <col min="15364" max="15364" width="16.44140625" style="169" customWidth="1"/>
    <col min="15365" max="15365" width="16.109375" style="169" customWidth="1"/>
    <col min="15366" max="15366" width="13.6640625" style="169" customWidth="1"/>
    <col min="15367" max="15367" width="18.88671875" style="169" customWidth="1"/>
    <col min="15368" max="15368" width="15.6640625" style="169" customWidth="1"/>
    <col min="15369" max="15370" width="16.5546875" style="169" customWidth="1"/>
    <col min="15371" max="15371" width="13.109375" style="169" bestFit="1" customWidth="1"/>
    <col min="15372" max="15372" width="13.44140625" style="169" customWidth="1"/>
    <col min="15373" max="15373" width="14.6640625" style="169" customWidth="1"/>
    <col min="15374" max="15374" width="14.6640625" style="169" bestFit="1" customWidth="1"/>
    <col min="15375" max="15379" width="14.44140625" style="169" customWidth="1"/>
    <col min="15380" max="15380" width="14.88671875" style="169" bestFit="1" customWidth="1"/>
    <col min="15381" max="15381" width="10.88671875" style="169" bestFit="1" customWidth="1"/>
    <col min="15382" max="15616" width="9.109375" style="169"/>
    <col min="15617" max="15617" width="8.44140625" style="169" customWidth="1"/>
    <col min="15618" max="15618" width="14.44140625" style="169" customWidth="1"/>
    <col min="15619" max="15619" width="15.44140625" style="169" customWidth="1"/>
    <col min="15620" max="15620" width="16.44140625" style="169" customWidth="1"/>
    <col min="15621" max="15621" width="16.109375" style="169" customWidth="1"/>
    <col min="15622" max="15622" width="13.6640625" style="169" customWidth="1"/>
    <col min="15623" max="15623" width="18.88671875" style="169" customWidth="1"/>
    <col min="15624" max="15624" width="15.6640625" style="169" customWidth="1"/>
    <col min="15625" max="15626" width="16.5546875" style="169" customWidth="1"/>
    <col min="15627" max="15627" width="13.109375" style="169" bestFit="1" customWidth="1"/>
    <col min="15628" max="15628" width="13.44140625" style="169" customWidth="1"/>
    <col min="15629" max="15629" width="14.6640625" style="169" customWidth="1"/>
    <col min="15630" max="15630" width="14.6640625" style="169" bestFit="1" customWidth="1"/>
    <col min="15631" max="15635" width="14.44140625" style="169" customWidth="1"/>
    <col min="15636" max="15636" width="14.88671875" style="169" bestFit="1" customWidth="1"/>
    <col min="15637" max="15637" width="10.88671875" style="169" bestFit="1" customWidth="1"/>
    <col min="15638" max="15872" width="9.109375" style="169"/>
    <col min="15873" max="15873" width="8.44140625" style="169" customWidth="1"/>
    <col min="15874" max="15874" width="14.44140625" style="169" customWidth="1"/>
    <col min="15875" max="15875" width="15.44140625" style="169" customWidth="1"/>
    <col min="15876" max="15876" width="16.44140625" style="169" customWidth="1"/>
    <col min="15877" max="15877" width="16.109375" style="169" customWidth="1"/>
    <col min="15878" max="15878" width="13.6640625" style="169" customWidth="1"/>
    <col min="15879" max="15879" width="18.88671875" style="169" customWidth="1"/>
    <col min="15880" max="15880" width="15.6640625" style="169" customWidth="1"/>
    <col min="15881" max="15882" width="16.5546875" style="169" customWidth="1"/>
    <col min="15883" max="15883" width="13.109375" style="169" bestFit="1" customWidth="1"/>
    <col min="15884" max="15884" width="13.44140625" style="169" customWidth="1"/>
    <col min="15885" max="15885" width="14.6640625" style="169" customWidth="1"/>
    <col min="15886" max="15886" width="14.6640625" style="169" bestFit="1" customWidth="1"/>
    <col min="15887" max="15891" width="14.44140625" style="169" customWidth="1"/>
    <col min="15892" max="15892" width="14.88671875" style="169" bestFit="1" customWidth="1"/>
    <col min="15893" max="15893" width="10.88671875" style="169" bestFit="1" customWidth="1"/>
    <col min="15894" max="16128" width="9.109375" style="169"/>
    <col min="16129" max="16129" width="8.44140625" style="169" customWidth="1"/>
    <col min="16130" max="16130" width="14.44140625" style="169" customWidth="1"/>
    <col min="16131" max="16131" width="15.44140625" style="169" customWidth="1"/>
    <col min="16132" max="16132" width="16.44140625" style="169" customWidth="1"/>
    <col min="16133" max="16133" width="16.109375" style="169" customWidth="1"/>
    <col min="16134" max="16134" width="13.6640625" style="169" customWidth="1"/>
    <col min="16135" max="16135" width="18.88671875" style="169" customWidth="1"/>
    <col min="16136" max="16136" width="15.6640625" style="169" customWidth="1"/>
    <col min="16137" max="16138" width="16.5546875" style="169" customWidth="1"/>
    <col min="16139" max="16139" width="13.109375" style="169" bestFit="1" customWidth="1"/>
    <col min="16140" max="16140" width="13.44140625" style="169" customWidth="1"/>
    <col min="16141" max="16141" width="14.6640625" style="169" customWidth="1"/>
    <col min="16142" max="16142" width="14.6640625" style="169" bestFit="1" customWidth="1"/>
    <col min="16143" max="16147" width="14.44140625" style="169" customWidth="1"/>
    <col min="16148" max="16148" width="14.88671875" style="169" bestFit="1" customWidth="1"/>
    <col min="16149" max="16149" width="10.88671875" style="169" bestFit="1" customWidth="1"/>
    <col min="16150" max="16384" width="9.109375" style="169"/>
  </cols>
  <sheetData>
    <row r="1" spans="1:10" ht="18" customHeight="1" x14ac:dyDescent="0.25">
      <c r="A1" s="538" t="s">
        <v>364</v>
      </c>
      <c r="B1" s="538"/>
      <c r="C1" s="538"/>
      <c r="D1" s="538"/>
      <c r="E1" s="538"/>
      <c r="F1" s="538"/>
      <c r="G1" s="538"/>
      <c r="H1" s="538"/>
      <c r="I1" s="538"/>
      <c r="J1" s="538"/>
    </row>
    <row r="2" spans="1:10" x14ac:dyDescent="0.25">
      <c r="A2" s="170"/>
      <c r="B2" s="171"/>
      <c r="C2" s="172"/>
      <c r="D2" s="172"/>
      <c r="E2" s="173"/>
      <c r="F2" s="173"/>
    </row>
    <row r="3" spans="1:10" x14ac:dyDescent="0.25">
      <c r="A3" s="170" t="s">
        <v>365</v>
      </c>
      <c r="B3" s="539" t="str">
        <f>+'Cuadro de Costos'!B10</f>
        <v>Tramo 1: km 50 - km 173</v>
      </c>
      <c r="C3" s="539"/>
      <c r="D3" s="539"/>
      <c r="E3" s="539"/>
      <c r="F3" s="539"/>
      <c r="G3" s="539"/>
      <c r="H3" s="539"/>
      <c r="I3" s="539"/>
      <c r="J3" s="175"/>
    </row>
    <row r="4" spans="1:10" x14ac:dyDescent="0.25">
      <c r="A4" s="176"/>
      <c r="B4" s="539"/>
      <c r="C4" s="539"/>
      <c r="D4" s="539"/>
      <c r="E4" s="539"/>
      <c r="F4" s="539"/>
      <c r="G4" s="539"/>
      <c r="H4" s="539"/>
      <c r="I4" s="539"/>
      <c r="J4" s="175"/>
    </row>
    <row r="5" spans="1:10" ht="15" customHeight="1" x14ac:dyDescent="0.25">
      <c r="A5" s="540" t="str">
        <f>CONCATENATE("PLAZO: ",A42," MESES (",A43,")")</f>
        <v>PLAZO: 24 MESES (720 dias)</v>
      </c>
      <c r="B5" s="540"/>
      <c r="C5" s="540"/>
      <c r="E5" s="178" t="s">
        <v>366</v>
      </c>
    </row>
    <row r="7" spans="1:10" x14ac:dyDescent="0.25">
      <c r="C7" s="180" t="s">
        <v>367</v>
      </c>
      <c r="D7" s="541"/>
      <c r="E7" s="541"/>
      <c r="F7" s="541"/>
      <c r="H7" s="180" t="s">
        <v>368</v>
      </c>
      <c r="I7" s="181">
        <f ca="1">NOW()</f>
        <v>43033.716626388887</v>
      </c>
    </row>
    <row r="8" spans="1:10" x14ac:dyDescent="0.25">
      <c r="C8" s="180" t="str">
        <f>IF(D7=0,"MONTO ESTIMADO CON IVA:","MONTO DE CONTRATO CON IVA:")</f>
        <v>MONTO ESTIMADO CON IVA:</v>
      </c>
      <c r="D8" s="182">
        <f>+'Cuadro de Costos'!E10</f>
        <v>99200000</v>
      </c>
      <c r="E8" s="183" t="s">
        <v>369</v>
      </c>
      <c r="F8" s="169" t="s">
        <v>370</v>
      </c>
      <c r="H8" s="174" t="s">
        <v>371</v>
      </c>
      <c r="I8" s="184">
        <v>1</v>
      </c>
    </row>
    <row r="9" spans="1:10" hidden="1" x14ac:dyDescent="0.25">
      <c r="C9" s="180"/>
      <c r="D9" s="182"/>
      <c r="E9" s="177" t="s">
        <v>372</v>
      </c>
      <c r="I9" s="185"/>
    </row>
    <row r="10" spans="1:10" hidden="1" x14ac:dyDescent="0.25">
      <c r="C10" s="180"/>
      <c r="D10" s="182"/>
      <c r="E10" s="177" t="s">
        <v>369</v>
      </c>
      <c r="I10" s="185"/>
    </row>
    <row r="11" spans="1:10" x14ac:dyDescent="0.25">
      <c r="B11" s="169"/>
      <c r="C11" s="180" t="str">
        <f>IF(D7=0,"MONTO ESTIMADO SIN IVA:","MONTO DE CONTRATO SIN IVA:")</f>
        <v>MONTO ESTIMADO SIN IVA:</v>
      </c>
      <c r="D11" s="186">
        <f>D8</f>
        <v>99200000</v>
      </c>
      <c r="E11" s="187" t="s">
        <v>372</v>
      </c>
      <c r="F11" s="177"/>
    </row>
    <row r="12" spans="1:10" x14ac:dyDescent="0.25">
      <c r="B12" s="169"/>
      <c r="C12" s="180" t="s">
        <v>373</v>
      </c>
      <c r="D12" s="184">
        <v>100</v>
      </c>
      <c r="F12" s="177" t="s">
        <v>374</v>
      </c>
    </row>
    <row r="13" spans="1:10" x14ac:dyDescent="0.25">
      <c r="B13" s="169"/>
      <c r="C13" s="180" t="s">
        <v>375</v>
      </c>
      <c r="D13" s="188">
        <f>100-D12</f>
        <v>0</v>
      </c>
      <c r="F13" s="177"/>
    </row>
    <row r="14" spans="1:10" x14ac:dyDescent="0.25">
      <c r="B14" s="169"/>
      <c r="C14" s="180" t="s">
        <v>376</v>
      </c>
      <c r="D14" s="185">
        <v>20</v>
      </c>
      <c r="F14" s="177"/>
    </row>
    <row r="15" spans="1:10" x14ac:dyDescent="0.25">
      <c r="B15" s="180" t="s">
        <v>377</v>
      </c>
      <c r="C15" s="542"/>
      <c r="D15" s="542"/>
      <c r="E15" s="442" t="s">
        <v>378</v>
      </c>
      <c r="F15" s="443"/>
      <c r="H15" s="189" t="s">
        <v>379</v>
      </c>
      <c r="I15" s="184">
        <v>10</v>
      </c>
    </row>
    <row r="16" spans="1:10" ht="12.6" thickBot="1" x14ac:dyDescent="0.3">
      <c r="F16" s="190"/>
    </row>
    <row r="17" spans="1:11" ht="42" customHeight="1" thickBot="1" x14ac:dyDescent="0.3">
      <c r="A17" s="191" t="s">
        <v>380</v>
      </c>
      <c r="B17" s="192" t="s">
        <v>381</v>
      </c>
      <c r="C17" s="192" t="s">
        <v>382</v>
      </c>
      <c r="D17" s="193" t="str">
        <f>CONCATENATE("MONTO MENSUAL DESCONTADO ",ROUND(D14,0),"% ANTICIPO")</f>
        <v>MONTO MENSUAL DESCONTADO 20% ANTICIPO</v>
      </c>
      <c r="E17" s="194" t="s">
        <v>383</v>
      </c>
      <c r="F17" s="195" t="s">
        <v>384</v>
      </c>
      <c r="G17" s="196" t="s">
        <v>385</v>
      </c>
      <c r="H17" s="197" t="s">
        <v>386</v>
      </c>
      <c r="I17" s="198" t="str">
        <f>CONCATENATE("DESEMBOLSOS FONDO LOCAL (",ROUND(D13,0),"%) + IVA")</f>
        <v>DESEMBOLSOS FONDO LOCAL (0%) + IVA</v>
      </c>
      <c r="J17" s="198" t="str">
        <f>CONCATENATE("DESEMBOLSOS FONDO EXTERNO (",ROUND(D12,0),"%)")</f>
        <v>DESEMBOLSOS FONDO EXTERNO (100%)</v>
      </c>
      <c r="K17" s="398"/>
    </row>
    <row r="18" spans="1:11" ht="12.75" customHeight="1" x14ac:dyDescent="0.25">
      <c r="A18" s="199">
        <v>0</v>
      </c>
      <c r="B18" s="200">
        <f>D14/100</f>
        <v>0.2</v>
      </c>
      <c r="C18" s="200">
        <v>0</v>
      </c>
      <c r="D18" s="201">
        <f>ROUND(B18*D11,0)</f>
        <v>19840000</v>
      </c>
      <c r="E18" s="202">
        <f>D18</f>
        <v>19840000</v>
      </c>
      <c r="F18" s="203">
        <f>E18/$E$42</f>
        <v>0.2</v>
      </c>
      <c r="G18" s="204" t="s">
        <v>387</v>
      </c>
      <c r="H18" s="205">
        <f t="shared" ref="H18:H33" si="0">ROUND(D18*0.1,0)</f>
        <v>1984000</v>
      </c>
      <c r="I18" s="206">
        <f t="shared" ref="I18:I42" si="1">ROUNDUP((D18+H18-J18),-(LEN(D18)-$I$15))</f>
        <v>1984000</v>
      </c>
      <c r="J18" s="206">
        <f t="shared" ref="J18:J33" si="2">ROUNDUP(D18*$D$12/100,-(LEN(D18)-$I$15))</f>
        <v>19840000</v>
      </c>
      <c r="K18" s="398"/>
    </row>
    <row r="19" spans="1:11" ht="12.6" thickBot="1" x14ac:dyDescent="0.3">
      <c r="A19" s="207">
        <v>1</v>
      </c>
      <c r="B19" s="208">
        <v>2.5000000000000001E-2</v>
      </c>
      <c r="C19" s="208">
        <f t="shared" ref="C19:C42" si="3">B19+C18</f>
        <v>2.5000000000000001E-2</v>
      </c>
      <c r="D19" s="209">
        <f>ROUND(B19*$D$11*(100-$D$14)/100,0)</f>
        <v>1984000</v>
      </c>
      <c r="E19" s="210">
        <f t="shared" ref="E19:E33" si="4">E18+D19</f>
        <v>21824000</v>
      </c>
      <c r="F19" s="211">
        <f>E19/$E$42</f>
        <v>0.22</v>
      </c>
      <c r="G19" s="212" t="s">
        <v>196</v>
      </c>
      <c r="H19" s="213">
        <f t="shared" si="0"/>
        <v>198400</v>
      </c>
      <c r="I19" s="214">
        <f t="shared" si="1"/>
        <v>198400</v>
      </c>
      <c r="J19" s="214">
        <f t="shared" si="2"/>
        <v>1984000</v>
      </c>
      <c r="K19" s="398"/>
    </row>
    <row r="20" spans="1:11" x14ac:dyDescent="0.25">
      <c r="A20" s="207">
        <v>2</v>
      </c>
      <c r="B20" s="208">
        <v>0.03</v>
      </c>
      <c r="C20" s="208">
        <f t="shared" si="3"/>
        <v>5.5E-2</v>
      </c>
      <c r="D20" s="209">
        <f t="shared" ref="D20:D42" si="5">ROUND(B20*$D$11*(100-$D$14)/100,0)</f>
        <v>2380800</v>
      </c>
      <c r="E20" s="210">
        <f t="shared" si="4"/>
        <v>24204800</v>
      </c>
      <c r="F20" s="203">
        <f t="shared" ref="F20:F42" si="6">E20/$E$42</f>
        <v>0.24399999999999999</v>
      </c>
      <c r="G20" s="212" t="s">
        <v>197</v>
      </c>
      <c r="H20" s="213">
        <f t="shared" si="0"/>
        <v>238080</v>
      </c>
      <c r="I20" s="214">
        <f t="shared" si="1"/>
        <v>238080</v>
      </c>
      <c r="J20" s="214">
        <f t="shared" si="2"/>
        <v>2380800</v>
      </c>
      <c r="K20" s="399"/>
    </row>
    <row r="21" spans="1:11" ht="12.6" thickBot="1" x14ac:dyDescent="0.3">
      <c r="A21" s="207">
        <v>3</v>
      </c>
      <c r="B21" s="208">
        <v>3.5000000000000003E-2</v>
      </c>
      <c r="C21" s="208">
        <f>B21+C20</f>
        <v>0.09</v>
      </c>
      <c r="D21" s="209">
        <f t="shared" si="5"/>
        <v>2777600</v>
      </c>
      <c r="E21" s="210">
        <f t="shared" si="4"/>
        <v>26982400</v>
      </c>
      <c r="F21" s="211">
        <f t="shared" si="6"/>
        <v>0.27200000000000002</v>
      </c>
      <c r="G21" s="212" t="s">
        <v>198</v>
      </c>
      <c r="H21" s="213">
        <f t="shared" si="0"/>
        <v>277760</v>
      </c>
      <c r="I21" s="214">
        <f t="shared" si="1"/>
        <v>277760</v>
      </c>
      <c r="J21" s="214">
        <f t="shared" si="2"/>
        <v>2777600</v>
      </c>
      <c r="K21" s="398"/>
    </row>
    <row r="22" spans="1:11" x14ac:dyDescent="0.25">
      <c r="A22" s="207">
        <v>4</v>
      </c>
      <c r="B22" s="208">
        <v>3.5000000000000003E-2</v>
      </c>
      <c r="C22" s="208">
        <f t="shared" si="3"/>
        <v>0.125</v>
      </c>
      <c r="D22" s="209">
        <f t="shared" si="5"/>
        <v>2777600</v>
      </c>
      <c r="E22" s="210">
        <f t="shared" si="4"/>
        <v>29760000</v>
      </c>
      <c r="F22" s="203">
        <f t="shared" si="6"/>
        <v>0.3</v>
      </c>
      <c r="G22" s="212" t="s">
        <v>199</v>
      </c>
      <c r="H22" s="213">
        <f t="shared" si="0"/>
        <v>277760</v>
      </c>
      <c r="I22" s="214">
        <f t="shared" si="1"/>
        <v>277760</v>
      </c>
      <c r="J22" s="214">
        <f t="shared" si="2"/>
        <v>2777600</v>
      </c>
      <c r="K22" s="400"/>
    </row>
    <row r="23" spans="1:11" ht="12.6" thickBot="1" x14ac:dyDescent="0.3">
      <c r="A23" s="207">
        <v>5</v>
      </c>
      <c r="B23" s="208">
        <v>0.04</v>
      </c>
      <c r="C23" s="208">
        <f t="shared" si="3"/>
        <v>0.16500000000000001</v>
      </c>
      <c r="D23" s="209">
        <f t="shared" si="5"/>
        <v>3174400</v>
      </c>
      <c r="E23" s="210">
        <f t="shared" si="4"/>
        <v>32934400</v>
      </c>
      <c r="F23" s="211">
        <f t="shared" si="6"/>
        <v>0.33200000000000002</v>
      </c>
      <c r="G23" s="212" t="s">
        <v>200</v>
      </c>
      <c r="H23" s="213">
        <f t="shared" si="0"/>
        <v>317440</v>
      </c>
      <c r="I23" s="214">
        <f t="shared" si="1"/>
        <v>317440</v>
      </c>
      <c r="J23" s="214">
        <f t="shared" si="2"/>
        <v>3174400</v>
      </c>
      <c r="K23" s="400"/>
    </row>
    <row r="24" spans="1:11" x14ac:dyDescent="0.25">
      <c r="A24" s="207">
        <v>6</v>
      </c>
      <c r="B24" s="208">
        <v>4.4999999999999998E-2</v>
      </c>
      <c r="C24" s="208">
        <f t="shared" si="3"/>
        <v>0.21000000000000002</v>
      </c>
      <c r="D24" s="209">
        <f t="shared" si="5"/>
        <v>3571200</v>
      </c>
      <c r="E24" s="210">
        <f t="shared" si="4"/>
        <v>36505600</v>
      </c>
      <c r="F24" s="203">
        <f t="shared" si="6"/>
        <v>0.36799999999999999</v>
      </c>
      <c r="G24" s="212" t="s">
        <v>201</v>
      </c>
      <c r="H24" s="213">
        <f t="shared" si="0"/>
        <v>357120</v>
      </c>
      <c r="I24" s="214">
        <f t="shared" si="1"/>
        <v>357120</v>
      </c>
      <c r="J24" s="214">
        <f t="shared" si="2"/>
        <v>3571200</v>
      </c>
      <c r="K24" s="400"/>
    </row>
    <row r="25" spans="1:11" ht="12.6" thickBot="1" x14ac:dyDescent="0.3">
      <c r="A25" s="207">
        <v>7</v>
      </c>
      <c r="B25" s="208">
        <v>4.4999999999999998E-2</v>
      </c>
      <c r="C25" s="208">
        <f t="shared" si="3"/>
        <v>0.255</v>
      </c>
      <c r="D25" s="209">
        <f t="shared" si="5"/>
        <v>3571200</v>
      </c>
      <c r="E25" s="210">
        <f t="shared" si="4"/>
        <v>40076800</v>
      </c>
      <c r="F25" s="211">
        <f t="shared" si="6"/>
        <v>0.40400000000000003</v>
      </c>
      <c r="G25" s="212" t="s">
        <v>202</v>
      </c>
      <c r="H25" s="213">
        <f t="shared" si="0"/>
        <v>357120</v>
      </c>
      <c r="I25" s="214">
        <f t="shared" si="1"/>
        <v>357120</v>
      </c>
      <c r="J25" s="214">
        <f t="shared" si="2"/>
        <v>3571200</v>
      </c>
      <c r="K25" s="401"/>
    </row>
    <row r="26" spans="1:11" x14ac:dyDescent="0.25">
      <c r="A26" s="207">
        <v>8</v>
      </c>
      <c r="B26" s="208">
        <v>0.05</v>
      </c>
      <c r="C26" s="208">
        <f t="shared" si="3"/>
        <v>0.30499999999999999</v>
      </c>
      <c r="D26" s="209">
        <f t="shared" si="5"/>
        <v>3968000</v>
      </c>
      <c r="E26" s="210">
        <f t="shared" si="4"/>
        <v>44044800</v>
      </c>
      <c r="F26" s="203">
        <f t="shared" si="6"/>
        <v>0.44400000000000001</v>
      </c>
      <c r="G26" s="212" t="s">
        <v>203</v>
      </c>
      <c r="H26" s="213">
        <f t="shared" si="0"/>
        <v>396800</v>
      </c>
      <c r="I26" s="214">
        <f t="shared" si="1"/>
        <v>396800</v>
      </c>
      <c r="J26" s="214">
        <f t="shared" si="2"/>
        <v>3968000</v>
      </c>
      <c r="K26" s="400"/>
    </row>
    <row r="27" spans="1:11" ht="12.6" thickBot="1" x14ac:dyDescent="0.3">
      <c r="A27" s="207">
        <v>9</v>
      </c>
      <c r="B27" s="208">
        <v>5.5E-2</v>
      </c>
      <c r="C27" s="208">
        <f t="shared" si="3"/>
        <v>0.36</v>
      </c>
      <c r="D27" s="209">
        <f t="shared" si="5"/>
        <v>4364800</v>
      </c>
      <c r="E27" s="210">
        <f t="shared" si="4"/>
        <v>48409600</v>
      </c>
      <c r="F27" s="211">
        <f t="shared" si="6"/>
        <v>0.48799999999999999</v>
      </c>
      <c r="G27" s="212" t="s">
        <v>204</v>
      </c>
      <c r="H27" s="213">
        <f t="shared" si="0"/>
        <v>436480</v>
      </c>
      <c r="I27" s="214">
        <f t="shared" si="1"/>
        <v>436480</v>
      </c>
      <c r="J27" s="214">
        <f t="shared" si="2"/>
        <v>4364800</v>
      </c>
      <c r="K27" s="400"/>
    </row>
    <row r="28" spans="1:11" x14ac:dyDescent="0.25">
      <c r="A28" s="207">
        <v>10</v>
      </c>
      <c r="B28" s="208">
        <v>5.5E-2</v>
      </c>
      <c r="C28" s="208">
        <f t="shared" si="3"/>
        <v>0.41499999999999998</v>
      </c>
      <c r="D28" s="209">
        <f t="shared" si="5"/>
        <v>4364800</v>
      </c>
      <c r="E28" s="210">
        <f t="shared" si="4"/>
        <v>52774400</v>
      </c>
      <c r="F28" s="203">
        <f t="shared" si="6"/>
        <v>0.53200000000000003</v>
      </c>
      <c r="G28" s="212" t="s">
        <v>205</v>
      </c>
      <c r="H28" s="213">
        <f t="shared" si="0"/>
        <v>436480</v>
      </c>
      <c r="I28" s="214">
        <f t="shared" si="1"/>
        <v>436480</v>
      </c>
      <c r="J28" s="214">
        <f t="shared" si="2"/>
        <v>4364800</v>
      </c>
      <c r="K28" s="400"/>
    </row>
    <row r="29" spans="1:11" ht="12.6" thickBot="1" x14ac:dyDescent="0.3">
      <c r="A29" s="207">
        <v>11</v>
      </c>
      <c r="B29" s="208">
        <v>5.5E-2</v>
      </c>
      <c r="C29" s="208">
        <f t="shared" si="3"/>
        <v>0.47</v>
      </c>
      <c r="D29" s="209">
        <f t="shared" si="5"/>
        <v>4364800</v>
      </c>
      <c r="E29" s="210">
        <f t="shared" si="4"/>
        <v>57139200</v>
      </c>
      <c r="F29" s="211">
        <f t="shared" si="6"/>
        <v>0.57599999999999996</v>
      </c>
      <c r="G29" s="212" t="s">
        <v>206</v>
      </c>
      <c r="H29" s="213">
        <f t="shared" si="0"/>
        <v>436480</v>
      </c>
      <c r="I29" s="214">
        <f t="shared" si="1"/>
        <v>436480</v>
      </c>
      <c r="J29" s="214">
        <f t="shared" si="2"/>
        <v>4364800</v>
      </c>
      <c r="K29" s="400"/>
    </row>
    <row r="30" spans="1:11" x14ac:dyDescent="0.25">
      <c r="A30" s="207">
        <v>12</v>
      </c>
      <c r="B30" s="208">
        <v>0.06</v>
      </c>
      <c r="C30" s="208">
        <f t="shared" si="3"/>
        <v>0.53</v>
      </c>
      <c r="D30" s="209">
        <f t="shared" si="5"/>
        <v>4761600</v>
      </c>
      <c r="E30" s="210">
        <f t="shared" si="4"/>
        <v>61900800</v>
      </c>
      <c r="F30" s="203">
        <f t="shared" si="6"/>
        <v>0.624</v>
      </c>
      <c r="G30" s="212" t="s">
        <v>207</v>
      </c>
      <c r="H30" s="213">
        <f t="shared" si="0"/>
        <v>476160</v>
      </c>
      <c r="I30" s="214">
        <f t="shared" si="1"/>
        <v>476160</v>
      </c>
      <c r="J30" s="214">
        <f t="shared" si="2"/>
        <v>4761600</v>
      </c>
      <c r="K30" s="400"/>
    </row>
    <row r="31" spans="1:11" ht="12.6" thickBot="1" x14ac:dyDescent="0.3">
      <c r="A31" s="207">
        <v>13</v>
      </c>
      <c r="B31" s="208">
        <v>7.0000000000000007E-2</v>
      </c>
      <c r="C31" s="208">
        <f t="shared" si="3"/>
        <v>0.60000000000000009</v>
      </c>
      <c r="D31" s="209">
        <f t="shared" si="5"/>
        <v>5555200</v>
      </c>
      <c r="E31" s="210">
        <f t="shared" si="4"/>
        <v>67456000</v>
      </c>
      <c r="F31" s="211">
        <f t="shared" si="6"/>
        <v>0.68</v>
      </c>
      <c r="G31" s="212" t="s">
        <v>208</v>
      </c>
      <c r="H31" s="213">
        <f t="shared" si="0"/>
        <v>555520</v>
      </c>
      <c r="I31" s="214">
        <f t="shared" si="1"/>
        <v>555520</v>
      </c>
      <c r="J31" s="214">
        <f t="shared" si="2"/>
        <v>5555200</v>
      </c>
      <c r="K31" s="400"/>
    </row>
    <row r="32" spans="1:11" x14ac:dyDescent="0.25">
      <c r="A32" s="207">
        <v>14</v>
      </c>
      <c r="B32" s="208">
        <v>7.0000000000000007E-2</v>
      </c>
      <c r="C32" s="208">
        <f t="shared" si="3"/>
        <v>0.67000000000000015</v>
      </c>
      <c r="D32" s="209">
        <f t="shared" si="5"/>
        <v>5555200</v>
      </c>
      <c r="E32" s="210">
        <f t="shared" si="4"/>
        <v>73011200</v>
      </c>
      <c r="F32" s="203">
        <f t="shared" si="6"/>
        <v>0.73599999999999999</v>
      </c>
      <c r="G32" s="212" t="s">
        <v>209</v>
      </c>
      <c r="H32" s="213">
        <f t="shared" si="0"/>
        <v>555520</v>
      </c>
      <c r="I32" s="214">
        <f t="shared" si="1"/>
        <v>555520</v>
      </c>
      <c r="J32" s="214">
        <f t="shared" si="2"/>
        <v>5555200</v>
      </c>
      <c r="K32" s="402"/>
    </row>
    <row r="33" spans="1:11" ht="12.6" thickBot="1" x14ac:dyDescent="0.3">
      <c r="A33" s="207">
        <v>15</v>
      </c>
      <c r="B33" s="208">
        <v>6.5000000000000002E-2</v>
      </c>
      <c r="C33" s="208">
        <f t="shared" si="3"/>
        <v>0.7350000000000001</v>
      </c>
      <c r="D33" s="209">
        <f t="shared" si="5"/>
        <v>5158400</v>
      </c>
      <c r="E33" s="210">
        <f t="shared" si="4"/>
        <v>78169600</v>
      </c>
      <c r="F33" s="211">
        <f t="shared" si="6"/>
        <v>0.78800000000000003</v>
      </c>
      <c r="G33" s="212" t="s">
        <v>210</v>
      </c>
      <c r="H33" s="213">
        <f t="shared" si="0"/>
        <v>515840</v>
      </c>
      <c r="I33" s="214">
        <f t="shared" si="1"/>
        <v>515840</v>
      </c>
      <c r="J33" s="214">
        <f t="shared" si="2"/>
        <v>5158400</v>
      </c>
      <c r="K33" s="400"/>
    </row>
    <row r="34" spans="1:11" x14ac:dyDescent="0.25">
      <c r="A34" s="207">
        <v>16</v>
      </c>
      <c r="B34" s="208">
        <v>6.5000000000000002E-2</v>
      </c>
      <c r="C34" s="208">
        <f t="shared" si="3"/>
        <v>0.8</v>
      </c>
      <c r="D34" s="209">
        <f t="shared" si="5"/>
        <v>5158400</v>
      </c>
      <c r="E34" s="210">
        <f>E33+D34</f>
        <v>83328000</v>
      </c>
      <c r="F34" s="203">
        <f t="shared" si="6"/>
        <v>0.84</v>
      </c>
      <c r="G34" s="212" t="s">
        <v>211</v>
      </c>
      <c r="H34" s="213">
        <f>ROUND(D34*0.1,0)</f>
        <v>515840</v>
      </c>
      <c r="I34" s="214">
        <f t="shared" si="1"/>
        <v>515840</v>
      </c>
      <c r="J34" s="214">
        <f>ROUNDUP(D34*$D$12/100,-(LEN(D34)-$I$15))</f>
        <v>5158400</v>
      </c>
      <c r="K34" s="400"/>
    </row>
    <row r="35" spans="1:11" ht="12.6" thickBot="1" x14ac:dyDescent="0.3">
      <c r="A35" s="207">
        <v>17</v>
      </c>
      <c r="B35" s="208">
        <v>0.05</v>
      </c>
      <c r="C35" s="208">
        <f t="shared" si="3"/>
        <v>0.85000000000000009</v>
      </c>
      <c r="D35" s="209">
        <f t="shared" si="5"/>
        <v>3968000</v>
      </c>
      <c r="E35" s="210">
        <f>E34+D35</f>
        <v>87296000</v>
      </c>
      <c r="F35" s="211">
        <f t="shared" si="6"/>
        <v>0.88</v>
      </c>
      <c r="G35" s="212" t="s">
        <v>212</v>
      </c>
      <c r="H35" s="213">
        <f>ROUND(D35*0.1,0)</f>
        <v>396800</v>
      </c>
      <c r="I35" s="214">
        <f t="shared" si="1"/>
        <v>396800</v>
      </c>
      <c r="J35" s="214">
        <f>ROUNDUP(D35*$D$12/100,-(LEN(D35)-$I$15))</f>
        <v>3968000</v>
      </c>
      <c r="K35" s="400"/>
    </row>
    <row r="36" spans="1:11" ht="12.6" thickBot="1" x14ac:dyDescent="0.3">
      <c r="A36" s="219">
        <v>18</v>
      </c>
      <c r="B36" s="208">
        <v>0.05</v>
      </c>
      <c r="C36" s="208">
        <f t="shared" si="3"/>
        <v>0.90000000000000013</v>
      </c>
      <c r="D36" s="209">
        <f t="shared" si="5"/>
        <v>3968000</v>
      </c>
      <c r="E36" s="222">
        <f>E35+D36</f>
        <v>91264000</v>
      </c>
      <c r="F36" s="203">
        <f t="shared" si="6"/>
        <v>0.92</v>
      </c>
      <c r="G36" s="224" t="s">
        <v>213</v>
      </c>
      <c r="H36" s="225">
        <f>ROUND(D36*0.1,0)</f>
        <v>396800</v>
      </c>
      <c r="I36" s="214">
        <f t="shared" si="1"/>
        <v>396800</v>
      </c>
      <c r="J36" s="226">
        <f>ROUNDUP(D36*$D$12/100,-(LEN(D36)-$I$15))</f>
        <v>3968000</v>
      </c>
      <c r="K36" s="402"/>
    </row>
    <row r="37" spans="1:11" ht="12.6" thickBot="1" x14ac:dyDescent="0.3">
      <c r="A37" s="207">
        <v>19</v>
      </c>
      <c r="B37" s="208">
        <v>0.04</v>
      </c>
      <c r="C37" s="208">
        <f t="shared" si="3"/>
        <v>0.94000000000000017</v>
      </c>
      <c r="D37" s="209">
        <f t="shared" si="5"/>
        <v>3174400</v>
      </c>
      <c r="E37" s="210">
        <f t="shared" ref="E37:E42" si="7">E36+D37</f>
        <v>94438400</v>
      </c>
      <c r="F37" s="211">
        <f t="shared" si="6"/>
        <v>0.95199999999999996</v>
      </c>
      <c r="G37" s="212" t="s">
        <v>214</v>
      </c>
      <c r="H37" s="213">
        <f t="shared" ref="H37:H42" si="8">ROUND(D37*0.1,0)</f>
        <v>317440</v>
      </c>
      <c r="I37" s="214">
        <f t="shared" si="1"/>
        <v>317440</v>
      </c>
      <c r="J37" s="226">
        <f t="shared" ref="J37:J42" si="9">ROUNDUP(D37*$D$12/100,-(LEN(D37)-$I$15))</f>
        <v>3174400</v>
      </c>
      <c r="K37" s="402"/>
    </row>
    <row r="38" spans="1:11" ht="12.6" thickBot="1" x14ac:dyDescent="0.3">
      <c r="A38" s="219">
        <v>20</v>
      </c>
      <c r="B38" s="208">
        <v>0.02</v>
      </c>
      <c r="C38" s="208">
        <f t="shared" si="3"/>
        <v>0.96000000000000019</v>
      </c>
      <c r="D38" s="209">
        <f t="shared" si="5"/>
        <v>1587200</v>
      </c>
      <c r="E38" s="222">
        <f t="shared" si="7"/>
        <v>96025600</v>
      </c>
      <c r="F38" s="203">
        <f t="shared" si="6"/>
        <v>0.96799999999999997</v>
      </c>
      <c r="G38" s="224" t="s">
        <v>215</v>
      </c>
      <c r="H38" s="225">
        <f t="shared" si="8"/>
        <v>158720</v>
      </c>
      <c r="I38" s="214">
        <f t="shared" si="1"/>
        <v>158720</v>
      </c>
      <c r="J38" s="226">
        <f t="shared" si="9"/>
        <v>1587200</v>
      </c>
      <c r="K38" s="402"/>
    </row>
    <row r="39" spans="1:11" ht="12.6" thickBot="1" x14ac:dyDescent="0.3">
      <c r="A39" s="207">
        <v>21</v>
      </c>
      <c r="B39" s="238">
        <v>0.01</v>
      </c>
      <c r="C39" s="208">
        <f t="shared" si="3"/>
        <v>0.9700000000000002</v>
      </c>
      <c r="D39" s="209">
        <f t="shared" si="5"/>
        <v>793600</v>
      </c>
      <c r="E39" s="210">
        <f t="shared" si="7"/>
        <v>96819200</v>
      </c>
      <c r="F39" s="211">
        <f t="shared" si="6"/>
        <v>0.97599999999999998</v>
      </c>
      <c r="G39" s="212" t="s">
        <v>216</v>
      </c>
      <c r="H39" s="213">
        <f t="shared" si="8"/>
        <v>79360</v>
      </c>
      <c r="I39" s="226">
        <f>ROUNDUP((D39+H39-J39),-(LEN(D39)-$I$15))</f>
        <v>79360</v>
      </c>
      <c r="J39" s="226">
        <f t="shared" si="9"/>
        <v>793600</v>
      </c>
      <c r="K39" s="402"/>
    </row>
    <row r="40" spans="1:11" ht="12.6" thickBot="1" x14ac:dyDescent="0.3">
      <c r="A40" s="219">
        <v>22</v>
      </c>
      <c r="B40" s="208">
        <v>0.01</v>
      </c>
      <c r="C40" s="208">
        <f t="shared" si="3"/>
        <v>0.9800000000000002</v>
      </c>
      <c r="D40" s="209">
        <f t="shared" si="5"/>
        <v>793600</v>
      </c>
      <c r="E40" s="222">
        <f t="shared" si="7"/>
        <v>97612800</v>
      </c>
      <c r="F40" s="203">
        <f t="shared" si="6"/>
        <v>0.98399999999999999</v>
      </c>
      <c r="G40" s="224" t="s">
        <v>217</v>
      </c>
      <c r="H40" s="225">
        <f t="shared" si="8"/>
        <v>79360</v>
      </c>
      <c r="I40" s="214">
        <f t="shared" si="1"/>
        <v>79360</v>
      </c>
      <c r="J40" s="226">
        <f t="shared" si="9"/>
        <v>793600</v>
      </c>
      <c r="K40" s="402"/>
    </row>
    <row r="41" spans="1:11" ht="12.6" thickBot="1" x14ac:dyDescent="0.3">
      <c r="A41" s="207">
        <v>23</v>
      </c>
      <c r="B41" s="208">
        <v>0.01</v>
      </c>
      <c r="C41" s="208">
        <f t="shared" si="3"/>
        <v>0.99000000000000021</v>
      </c>
      <c r="D41" s="209">
        <f t="shared" ref="D41" si="10">ROUND(B41*$D$11*(100-$D$14)/100,0)</f>
        <v>793600</v>
      </c>
      <c r="E41" s="210">
        <f t="shared" si="7"/>
        <v>98406400</v>
      </c>
      <c r="F41" s="211">
        <f t="shared" si="6"/>
        <v>0.99199999999999999</v>
      </c>
      <c r="G41" s="212" t="s">
        <v>218</v>
      </c>
      <c r="H41" s="213">
        <f t="shared" si="8"/>
        <v>79360</v>
      </c>
      <c r="I41" s="214">
        <f t="shared" si="1"/>
        <v>79360</v>
      </c>
      <c r="J41" s="226">
        <f t="shared" si="9"/>
        <v>793600</v>
      </c>
      <c r="K41" s="402"/>
    </row>
    <row r="42" spans="1:11" ht="12.6" thickBot="1" x14ac:dyDescent="0.3">
      <c r="A42" s="219">
        <v>24</v>
      </c>
      <c r="B42" s="220">
        <v>0.01</v>
      </c>
      <c r="C42" s="208">
        <f t="shared" si="3"/>
        <v>1.0000000000000002</v>
      </c>
      <c r="D42" s="209">
        <f t="shared" si="5"/>
        <v>793600</v>
      </c>
      <c r="E42" s="222">
        <f t="shared" si="7"/>
        <v>99200000</v>
      </c>
      <c r="F42" s="203">
        <f t="shared" si="6"/>
        <v>1</v>
      </c>
      <c r="G42" s="224" t="s">
        <v>219</v>
      </c>
      <c r="H42" s="225">
        <f t="shared" si="8"/>
        <v>79360</v>
      </c>
      <c r="I42" s="226">
        <f t="shared" si="1"/>
        <v>79360</v>
      </c>
      <c r="J42" s="226">
        <f t="shared" si="9"/>
        <v>793600</v>
      </c>
      <c r="K42" s="402"/>
    </row>
    <row r="43" spans="1:11" ht="20.25" customHeight="1" thickBot="1" x14ac:dyDescent="0.3">
      <c r="A43" s="227" t="str">
        <f>A42*30 &amp; " dias"</f>
        <v>720 dias</v>
      </c>
      <c r="B43" s="228">
        <f>SUM(B19:B42)</f>
        <v>1.0000000000000002</v>
      </c>
      <c r="C43" s="229"/>
      <c r="D43" s="230">
        <f>SUM(D18:D42)</f>
        <v>99200000</v>
      </c>
      <c r="E43" s="169"/>
      <c r="H43" s="169"/>
      <c r="I43" s="231">
        <f>SUM(I18:I42)</f>
        <v>9920000</v>
      </c>
      <c r="J43" s="231">
        <f>SUM(J18:J42)</f>
        <v>99200000</v>
      </c>
      <c r="K43" s="400"/>
    </row>
    <row r="44" spans="1:11" ht="15" customHeight="1" x14ac:dyDescent="0.25">
      <c r="A44" s="174"/>
      <c r="F44" s="177"/>
      <c r="G44" s="177"/>
      <c r="H44" s="180" t="s">
        <v>388</v>
      </c>
      <c r="I44" s="536">
        <f>I43+J43</f>
        <v>109120000</v>
      </c>
      <c r="J44" s="537"/>
    </row>
    <row r="45" spans="1:11" x14ac:dyDescent="0.25">
      <c r="A45" s="173" t="s">
        <v>389</v>
      </c>
      <c r="B45" s="173"/>
      <c r="C45" s="173"/>
      <c r="H45" s="180" t="s">
        <v>390</v>
      </c>
      <c r="I45" s="189">
        <f>I44/1.1-D11</f>
        <v>0</v>
      </c>
    </row>
    <row r="46" spans="1:11" x14ac:dyDescent="0.25">
      <c r="B46" s="232"/>
    </row>
    <row r="47" spans="1:11" x14ac:dyDescent="0.25">
      <c r="B47" s="232"/>
    </row>
    <row r="49" spans="1:27" s="235" customFormat="1" ht="12.75" customHeight="1" x14ac:dyDescent="0.25">
      <c r="A49" s="233"/>
      <c r="B49" s="234" t="s">
        <v>391</v>
      </c>
      <c r="C49" s="234" t="s">
        <v>196</v>
      </c>
      <c r="D49" s="234" t="s">
        <v>197</v>
      </c>
      <c r="E49" s="234" t="s">
        <v>198</v>
      </c>
      <c r="F49" s="234" t="s">
        <v>199</v>
      </c>
      <c r="G49" s="234" t="s">
        <v>200</v>
      </c>
      <c r="H49" s="234" t="s">
        <v>201</v>
      </c>
      <c r="I49" s="234" t="s">
        <v>202</v>
      </c>
      <c r="J49" s="234" t="s">
        <v>203</v>
      </c>
      <c r="K49" s="234" t="s">
        <v>204</v>
      </c>
      <c r="L49" s="234" t="s">
        <v>205</v>
      </c>
      <c r="M49" s="234" t="s">
        <v>206</v>
      </c>
      <c r="N49" s="234" t="s">
        <v>207</v>
      </c>
      <c r="O49" s="234" t="s">
        <v>208</v>
      </c>
      <c r="P49" s="234" t="s">
        <v>209</v>
      </c>
      <c r="Q49" s="234" t="s">
        <v>210</v>
      </c>
      <c r="R49" s="234" t="s">
        <v>211</v>
      </c>
      <c r="S49" s="234" t="s">
        <v>212</v>
      </c>
      <c r="T49" s="234" t="s">
        <v>213</v>
      </c>
      <c r="U49" s="234" t="s">
        <v>214</v>
      </c>
      <c r="V49" s="234" t="s">
        <v>215</v>
      </c>
      <c r="W49" s="234" t="s">
        <v>216</v>
      </c>
      <c r="X49" s="234" t="s">
        <v>217</v>
      </c>
      <c r="Y49" s="234" t="s">
        <v>218</v>
      </c>
      <c r="Z49" s="234" t="s">
        <v>219</v>
      </c>
    </row>
    <row r="50" spans="1:27" x14ac:dyDescent="0.25">
      <c r="A50" s="236" t="s">
        <v>392</v>
      </c>
      <c r="B50" s="209">
        <v>0</v>
      </c>
      <c r="C50" s="209">
        <v>0</v>
      </c>
      <c r="D50" s="209">
        <v>0</v>
      </c>
      <c r="E50" s="209">
        <v>0</v>
      </c>
      <c r="F50" s="209">
        <v>0</v>
      </c>
      <c r="G50" s="209">
        <v>0</v>
      </c>
      <c r="H50" s="209">
        <v>0</v>
      </c>
      <c r="I50" s="209">
        <v>0</v>
      </c>
      <c r="J50" s="209">
        <v>0</v>
      </c>
      <c r="K50" s="209">
        <v>0</v>
      </c>
      <c r="L50" s="209">
        <v>0</v>
      </c>
      <c r="M50" s="209">
        <v>0</v>
      </c>
      <c r="N50" s="209">
        <v>0</v>
      </c>
      <c r="O50" s="209">
        <v>0</v>
      </c>
      <c r="P50" s="209">
        <v>0</v>
      </c>
      <c r="Q50" s="209">
        <v>0</v>
      </c>
      <c r="R50" s="209">
        <v>0</v>
      </c>
      <c r="S50" s="209">
        <v>0</v>
      </c>
      <c r="T50" s="209">
        <v>0</v>
      </c>
      <c r="U50" s="177">
        <f>SUM(B50:T50)</f>
        <v>0</v>
      </c>
      <c r="V50" s="177">
        <f t="shared" ref="V50:AA50" si="11">SUM(C50:U50)</f>
        <v>0</v>
      </c>
      <c r="W50" s="177">
        <f t="shared" si="11"/>
        <v>0</v>
      </c>
      <c r="X50" s="177">
        <f t="shared" si="11"/>
        <v>0</v>
      </c>
      <c r="Y50" s="177">
        <f t="shared" si="11"/>
        <v>0</v>
      </c>
      <c r="Z50" s="177">
        <f t="shared" si="11"/>
        <v>0</v>
      </c>
      <c r="AA50" s="177">
        <f t="shared" si="11"/>
        <v>0</v>
      </c>
    </row>
    <row r="51" spans="1:27" x14ac:dyDescent="0.25">
      <c r="A51" s="236" t="s">
        <v>393</v>
      </c>
      <c r="B51" s="209">
        <f>$J18</f>
        <v>19840000</v>
      </c>
      <c r="C51" s="209">
        <f>$J19</f>
        <v>1984000</v>
      </c>
      <c r="D51" s="209">
        <f>$J20</f>
        <v>2380800</v>
      </c>
      <c r="E51" s="209">
        <f>$J21</f>
        <v>2777600</v>
      </c>
      <c r="F51" s="209">
        <f>$J22</f>
        <v>2777600</v>
      </c>
      <c r="G51" s="209">
        <f>$J23</f>
        <v>3174400</v>
      </c>
      <c r="H51" s="209">
        <f>$J24</f>
        <v>3571200</v>
      </c>
      <c r="I51" s="209">
        <f>$J25</f>
        <v>3571200</v>
      </c>
      <c r="J51" s="209">
        <f>$J26</f>
        <v>3968000</v>
      </c>
      <c r="K51" s="209">
        <f>$J27</f>
        <v>4364800</v>
      </c>
      <c r="L51" s="209">
        <f>$J28</f>
        <v>4364800</v>
      </c>
      <c r="M51" s="209">
        <f>$J29</f>
        <v>4364800</v>
      </c>
      <c r="N51" s="209">
        <f>$J30</f>
        <v>4761600</v>
      </c>
      <c r="O51" s="209">
        <f>$J31</f>
        <v>5555200</v>
      </c>
      <c r="P51" s="209">
        <f>$J32</f>
        <v>5555200</v>
      </c>
      <c r="Q51" s="209">
        <f>$J33</f>
        <v>5158400</v>
      </c>
      <c r="R51" s="209">
        <f>$J34</f>
        <v>5158400</v>
      </c>
      <c r="S51" s="209">
        <f>$J35</f>
        <v>3968000</v>
      </c>
      <c r="T51" s="209">
        <f>$J36</f>
        <v>3968000</v>
      </c>
      <c r="U51" s="209">
        <f>$J37</f>
        <v>3174400</v>
      </c>
      <c r="V51" s="209">
        <f>$J38</f>
        <v>1587200</v>
      </c>
      <c r="W51" s="209">
        <f>$J39</f>
        <v>793600</v>
      </c>
      <c r="X51" s="209">
        <f>$J40</f>
        <v>793600</v>
      </c>
      <c r="Y51" s="209">
        <f>$J41</f>
        <v>793600</v>
      </c>
      <c r="Z51" s="209">
        <f>$J42</f>
        <v>793600</v>
      </c>
      <c r="AA51" s="177">
        <f>SUM(B51:Z51)</f>
        <v>99200000</v>
      </c>
    </row>
    <row r="52" spans="1:27" x14ac:dyDescent="0.25">
      <c r="B52" s="209">
        <f>B50+B51</f>
        <v>19840000</v>
      </c>
      <c r="C52" s="209">
        <f t="shared" ref="C52:Z52" si="12">C50+C51</f>
        <v>1984000</v>
      </c>
      <c r="D52" s="209">
        <f t="shared" si="12"/>
        <v>2380800</v>
      </c>
      <c r="E52" s="209">
        <f t="shared" si="12"/>
        <v>2777600</v>
      </c>
      <c r="F52" s="209">
        <f t="shared" si="12"/>
        <v>2777600</v>
      </c>
      <c r="G52" s="209">
        <f t="shared" si="12"/>
        <v>3174400</v>
      </c>
      <c r="H52" s="209">
        <f t="shared" si="12"/>
        <v>3571200</v>
      </c>
      <c r="I52" s="209">
        <f t="shared" si="12"/>
        <v>3571200</v>
      </c>
      <c r="J52" s="209">
        <f t="shared" si="12"/>
        <v>3968000</v>
      </c>
      <c r="K52" s="209">
        <f t="shared" si="12"/>
        <v>4364800</v>
      </c>
      <c r="L52" s="209">
        <f t="shared" si="12"/>
        <v>4364800</v>
      </c>
      <c r="M52" s="209">
        <f t="shared" si="12"/>
        <v>4364800</v>
      </c>
      <c r="N52" s="209">
        <f t="shared" si="12"/>
        <v>4761600</v>
      </c>
      <c r="O52" s="209">
        <f t="shared" si="12"/>
        <v>5555200</v>
      </c>
      <c r="P52" s="209">
        <f t="shared" si="12"/>
        <v>5555200</v>
      </c>
      <c r="Q52" s="209">
        <f t="shared" si="12"/>
        <v>5158400</v>
      </c>
      <c r="R52" s="209">
        <f t="shared" si="12"/>
        <v>5158400</v>
      </c>
      <c r="S52" s="209">
        <f t="shared" si="12"/>
        <v>3968000</v>
      </c>
      <c r="T52" s="209">
        <f t="shared" si="12"/>
        <v>3968000</v>
      </c>
      <c r="U52" s="209">
        <f t="shared" si="12"/>
        <v>3174400</v>
      </c>
      <c r="V52" s="209">
        <f t="shared" si="12"/>
        <v>1587200</v>
      </c>
      <c r="W52" s="209">
        <f t="shared" si="12"/>
        <v>793600</v>
      </c>
      <c r="X52" s="209">
        <f t="shared" si="12"/>
        <v>793600</v>
      </c>
      <c r="Y52" s="209">
        <f t="shared" si="12"/>
        <v>793600</v>
      </c>
      <c r="Z52" s="209">
        <f t="shared" si="12"/>
        <v>793600</v>
      </c>
      <c r="AA52" s="209">
        <f>U50+AA51</f>
        <v>99200000</v>
      </c>
    </row>
    <row r="53" spans="1:27" x14ac:dyDescent="0.25">
      <c r="B53" s="237">
        <f>SUM(B52:Z52)</f>
        <v>99200000</v>
      </c>
    </row>
  </sheetData>
  <mergeCells count="6">
    <mergeCell ref="I44:J44"/>
    <mergeCell ref="A1:J1"/>
    <mergeCell ref="B3:I4"/>
    <mergeCell ref="A5:C5"/>
    <mergeCell ref="D7:F7"/>
    <mergeCell ref="C15:D15"/>
  </mergeCells>
  <printOptions horizontalCentered="1"/>
  <pageMargins left="0.39370078740157483" right="0.39370078740157483" top="1.0236220472440944" bottom="0.78740157480314965" header="0.39370078740157483" footer="0.59055118110236227"/>
  <pageSetup scale="58" orientation="landscape" blackAndWhite="1" r:id="rId1"/>
  <headerFooter alignWithMargins="0">
    <oddHeader>&amp;C&amp;14Ministerio de Obras Públicas y Comunicaciones
Dirección de Caminos Vecinales
Departamento de Planificación y Proyectos</oddHeader>
    <oddFooter>&amp;L&amp;A&amp;C&amp;N&amp;R&amp;D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53"/>
  <sheetViews>
    <sheetView showGridLines="0" topLeftCell="A8" zoomScale="70" zoomScaleNormal="70" workbookViewId="0">
      <selection activeCell="D11" sqref="D11"/>
    </sheetView>
  </sheetViews>
  <sheetFormatPr defaultColWidth="9.109375" defaultRowHeight="12" x14ac:dyDescent="0.25"/>
  <cols>
    <col min="1" max="1" width="8.44140625" style="169" customWidth="1"/>
    <col min="2" max="2" width="14.44140625" style="179" customWidth="1"/>
    <col min="3" max="3" width="15.44140625" style="177" customWidth="1"/>
    <col min="4" max="4" width="16.44140625" style="177" customWidth="1"/>
    <col min="5" max="5" width="16.109375" style="177" customWidth="1"/>
    <col min="6" max="6" width="13.6640625" style="169" customWidth="1"/>
    <col min="7" max="7" width="18.88671875" style="169" customWidth="1"/>
    <col min="8" max="8" width="15.6640625" style="174" customWidth="1"/>
    <col min="9" max="10" width="16.5546875" style="169" customWidth="1"/>
    <col min="11" max="11" width="13.109375" style="169" customWidth="1"/>
    <col min="12" max="12" width="13.44140625" style="169" customWidth="1"/>
    <col min="13" max="14" width="14.6640625" style="169" customWidth="1"/>
    <col min="15" max="19" width="14.44140625" style="169" customWidth="1"/>
    <col min="20" max="20" width="14.88671875" style="169" customWidth="1"/>
    <col min="21" max="21" width="10.88671875" style="169" customWidth="1"/>
    <col min="22" max="22" width="9.109375" style="169"/>
    <col min="23" max="23" width="10.33203125" style="169" customWidth="1"/>
    <col min="24" max="26" width="9.109375" style="169"/>
    <col min="27" max="27" width="10" style="169" customWidth="1"/>
    <col min="28" max="256" width="9.109375" style="169"/>
    <col min="257" max="257" width="8.44140625" style="169" customWidth="1"/>
    <col min="258" max="258" width="14.44140625" style="169" customWidth="1"/>
    <col min="259" max="259" width="15.44140625" style="169" customWidth="1"/>
    <col min="260" max="260" width="16.44140625" style="169" customWidth="1"/>
    <col min="261" max="261" width="16.109375" style="169" customWidth="1"/>
    <col min="262" max="262" width="13.6640625" style="169" customWidth="1"/>
    <col min="263" max="263" width="18.88671875" style="169" customWidth="1"/>
    <col min="264" max="264" width="15.6640625" style="169" customWidth="1"/>
    <col min="265" max="266" width="16.5546875" style="169" customWidth="1"/>
    <col min="267" max="267" width="13.109375" style="169" customWidth="1"/>
    <col min="268" max="268" width="13.44140625" style="169" customWidth="1"/>
    <col min="269" max="270" width="14.6640625" style="169" customWidth="1"/>
    <col min="271" max="275" width="14.44140625" style="169" customWidth="1"/>
    <col min="276" max="276" width="14.88671875" style="169" customWidth="1"/>
    <col min="277" max="277" width="10.88671875" style="169" customWidth="1"/>
    <col min="278" max="512" width="9.109375" style="169"/>
    <col min="513" max="513" width="8.44140625" style="169" customWidth="1"/>
    <col min="514" max="514" width="14.44140625" style="169" customWidth="1"/>
    <col min="515" max="515" width="15.44140625" style="169" customWidth="1"/>
    <col min="516" max="516" width="16.44140625" style="169" customWidth="1"/>
    <col min="517" max="517" width="16.109375" style="169" customWidth="1"/>
    <col min="518" max="518" width="13.6640625" style="169" customWidth="1"/>
    <col min="519" max="519" width="18.88671875" style="169" customWidth="1"/>
    <col min="520" max="520" width="15.6640625" style="169" customWidth="1"/>
    <col min="521" max="522" width="16.5546875" style="169" customWidth="1"/>
    <col min="523" max="523" width="13.109375" style="169" customWidth="1"/>
    <col min="524" max="524" width="13.44140625" style="169" customWidth="1"/>
    <col min="525" max="526" width="14.6640625" style="169" customWidth="1"/>
    <col min="527" max="531" width="14.44140625" style="169" customWidth="1"/>
    <col min="532" max="532" width="14.88671875" style="169" customWidth="1"/>
    <col min="533" max="533" width="10.88671875" style="169" customWidth="1"/>
    <col min="534" max="768" width="9.109375" style="169"/>
    <col min="769" max="769" width="8.44140625" style="169" customWidth="1"/>
    <col min="770" max="770" width="14.44140625" style="169" customWidth="1"/>
    <col min="771" max="771" width="15.44140625" style="169" customWidth="1"/>
    <col min="772" max="772" width="16.44140625" style="169" customWidth="1"/>
    <col min="773" max="773" width="16.109375" style="169" customWidth="1"/>
    <col min="774" max="774" width="13.6640625" style="169" customWidth="1"/>
    <col min="775" max="775" width="18.88671875" style="169" customWidth="1"/>
    <col min="776" max="776" width="15.6640625" style="169" customWidth="1"/>
    <col min="777" max="778" width="16.5546875" style="169" customWidth="1"/>
    <col min="779" max="779" width="13.109375" style="169" customWidth="1"/>
    <col min="780" max="780" width="13.44140625" style="169" customWidth="1"/>
    <col min="781" max="782" width="14.6640625" style="169" customWidth="1"/>
    <col min="783" max="787" width="14.44140625" style="169" customWidth="1"/>
    <col min="788" max="788" width="14.88671875" style="169" customWidth="1"/>
    <col min="789" max="789" width="10.88671875" style="169" customWidth="1"/>
    <col min="790" max="1024" width="9.109375" style="169"/>
    <col min="1025" max="1025" width="8.44140625" style="169" customWidth="1"/>
    <col min="1026" max="1026" width="14.44140625" style="169" customWidth="1"/>
    <col min="1027" max="1027" width="15.44140625" style="169" customWidth="1"/>
    <col min="1028" max="1028" width="16.44140625" style="169" customWidth="1"/>
    <col min="1029" max="1029" width="16.109375" style="169" customWidth="1"/>
    <col min="1030" max="1030" width="13.6640625" style="169" customWidth="1"/>
    <col min="1031" max="1031" width="18.88671875" style="169" customWidth="1"/>
    <col min="1032" max="1032" width="15.6640625" style="169" customWidth="1"/>
    <col min="1033" max="1034" width="16.5546875" style="169" customWidth="1"/>
    <col min="1035" max="1035" width="13.109375" style="169" customWidth="1"/>
    <col min="1036" max="1036" width="13.44140625" style="169" customWidth="1"/>
    <col min="1037" max="1038" width="14.6640625" style="169" customWidth="1"/>
    <col min="1039" max="1043" width="14.44140625" style="169" customWidth="1"/>
    <col min="1044" max="1044" width="14.88671875" style="169" customWidth="1"/>
    <col min="1045" max="1045" width="10.88671875" style="169" customWidth="1"/>
    <col min="1046" max="1280" width="9.109375" style="169"/>
    <col min="1281" max="1281" width="8.44140625" style="169" customWidth="1"/>
    <col min="1282" max="1282" width="14.44140625" style="169" customWidth="1"/>
    <col min="1283" max="1283" width="15.44140625" style="169" customWidth="1"/>
    <col min="1284" max="1284" width="16.44140625" style="169" customWidth="1"/>
    <col min="1285" max="1285" width="16.109375" style="169" customWidth="1"/>
    <col min="1286" max="1286" width="13.6640625" style="169" customWidth="1"/>
    <col min="1287" max="1287" width="18.88671875" style="169" customWidth="1"/>
    <col min="1288" max="1288" width="15.6640625" style="169" customWidth="1"/>
    <col min="1289" max="1290" width="16.5546875" style="169" customWidth="1"/>
    <col min="1291" max="1291" width="13.109375" style="169" customWidth="1"/>
    <col min="1292" max="1292" width="13.44140625" style="169" customWidth="1"/>
    <col min="1293" max="1294" width="14.6640625" style="169" customWidth="1"/>
    <col min="1295" max="1299" width="14.44140625" style="169" customWidth="1"/>
    <col min="1300" max="1300" width="14.88671875" style="169" customWidth="1"/>
    <col min="1301" max="1301" width="10.88671875" style="169" customWidth="1"/>
    <col min="1302" max="1536" width="9.109375" style="169"/>
    <col min="1537" max="1537" width="8.44140625" style="169" customWidth="1"/>
    <col min="1538" max="1538" width="14.44140625" style="169" customWidth="1"/>
    <col min="1539" max="1539" width="15.44140625" style="169" customWidth="1"/>
    <col min="1540" max="1540" width="16.44140625" style="169" customWidth="1"/>
    <col min="1541" max="1541" width="16.109375" style="169" customWidth="1"/>
    <col min="1542" max="1542" width="13.6640625" style="169" customWidth="1"/>
    <col min="1543" max="1543" width="18.88671875" style="169" customWidth="1"/>
    <col min="1544" max="1544" width="15.6640625" style="169" customWidth="1"/>
    <col min="1545" max="1546" width="16.5546875" style="169" customWidth="1"/>
    <col min="1547" max="1547" width="13.109375" style="169" customWidth="1"/>
    <col min="1548" max="1548" width="13.44140625" style="169" customWidth="1"/>
    <col min="1549" max="1550" width="14.6640625" style="169" customWidth="1"/>
    <col min="1551" max="1555" width="14.44140625" style="169" customWidth="1"/>
    <col min="1556" max="1556" width="14.88671875" style="169" customWidth="1"/>
    <col min="1557" max="1557" width="10.88671875" style="169" customWidth="1"/>
    <col min="1558" max="1792" width="9.109375" style="169"/>
    <col min="1793" max="1793" width="8.44140625" style="169" customWidth="1"/>
    <col min="1794" max="1794" width="14.44140625" style="169" customWidth="1"/>
    <col min="1795" max="1795" width="15.44140625" style="169" customWidth="1"/>
    <col min="1796" max="1796" width="16.44140625" style="169" customWidth="1"/>
    <col min="1797" max="1797" width="16.109375" style="169" customWidth="1"/>
    <col min="1798" max="1798" width="13.6640625" style="169" customWidth="1"/>
    <col min="1799" max="1799" width="18.88671875" style="169" customWidth="1"/>
    <col min="1800" max="1800" width="15.6640625" style="169" customWidth="1"/>
    <col min="1801" max="1802" width="16.5546875" style="169" customWidth="1"/>
    <col min="1803" max="1803" width="13.109375" style="169" customWidth="1"/>
    <col min="1804" max="1804" width="13.44140625" style="169" customWidth="1"/>
    <col min="1805" max="1806" width="14.6640625" style="169" customWidth="1"/>
    <col min="1807" max="1811" width="14.44140625" style="169" customWidth="1"/>
    <col min="1812" max="1812" width="14.88671875" style="169" customWidth="1"/>
    <col min="1813" max="1813" width="10.88671875" style="169" customWidth="1"/>
    <col min="1814" max="2048" width="9.109375" style="169"/>
    <col min="2049" max="2049" width="8.44140625" style="169" customWidth="1"/>
    <col min="2050" max="2050" width="14.44140625" style="169" customWidth="1"/>
    <col min="2051" max="2051" width="15.44140625" style="169" customWidth="1"/>
    <col min="2052" max="2052" width="16.44140625" style="169" customWidth="1"/>
    <col min="2053" max="2053" width="16.109375" style="169" customWidth="1"/>
    <col min="2054" max="2054" width="13.6640625" style="169" customWidth="1"/>
    <col min="2055" max="2055" width="18.88671875" style="169" customWidth="1"/>
    <col min="2056" max="2056" width="15.6640625" style="169" customWidth="1"/>
    <col min="2057" max="2058" width="16.5546875" style="169" customWidth="1"/>
    <col min="2059" max="2059" width="13.109375" style="169" customWidth="1"/>
    <col min="2060" max="2060" width="13.44140625" style="169" customWidth="1"/>
    <col min="2061" max="2062" width="14.6640625" style="169" customWidth="1"/>
    <col min="2063" max="2067" width="14.44140625" style="169" customWidth="1"/>
    <col min="2068" max="2068" width="14.88671875" style="169" customWidth="1"/>
    <col min="2069" max="2069" width="10.88671875" style="169" customWidth="1"/>
    <col min="2070" max="2304" width="9.109375" style="169"/>
    <col min="2305" max="2305" width="8.44140625" style="169" customWidth="1"/>
    <col min="2306" max="2306" width="14.44140625" style="169" customWidth="1"/>
    <col min="2307" max="2307" width="15.44140625" style="169" customWidth="1"/>
    <col min="2308" max="2308" width="16.44140625" style="169" customWidth="1"/>
    <col min="2309" max="2309" width="16.109375" style="169" customWidth="1"/>
    <col min="2310" max="2310" width="13.6640625" style="169" customWidth="1"/>
    <col min="2311" max="2311" width="18.88671875" style="169" customWidth="1"/>
    <col min="2312" max="2312" width="15.6640625" style="169" customWidth="1"/>
    <col min="2313" max="2314" width="16.5546875" style="169" customWidth="1"/>
    <col min="2315" max="2315" width="13.109375" style="169" customWidth="1"/>
    <col min="2316" max="2316" width="13.44140625" style="169" customWidth="1"/>
    <col min="2317" max="2318" width="14.6640625" style="169" customWidth="1"/>
    <col min="2319" max="2323" width="14.44140625" style="169" customWidth="1"/>
    <col min="2324" max="2324" width="14.88671875" style="169" customWidth="1"/>
    <col min="2325" max="2325" width="10.88671875" style="169" customWidth="1"/>
    <col min="2326" max="2560" width="9.109375" style="169"/>
    <col min="2561" max="2561" width="8.44140625" style="169" customWidth="1"/>
    <col min="2562" max="2562" width="14.44140625" style="169" customWidth="1"/>
    <col min="2563" max="2563" width="15.44140625" style="169" customWidth="1"/>
    <col min="2564" max="2564" width="16.44140625" style="169" customWidth="1"/>
    <col min="2565" max="2565" width="16.109375" style="169" customWidth="1"/>
    <col min="2566" max="2566" width="13.6640625" style="169" customWidth="1"/>
    <col min="2567" max="2567" width="18.88671875" style="169" customWidth="1"/>
    <col min="2568" max="2568" width="15.6640625" style="169" customWidth="1"/>
    <col min="2569" max="2570" width="16.5546875" style="169" customWidth="1"/>
    <col min="2571" max="2571" width="13.109375" style="169" customWidth="1"/>
    <col min="2572" max="2572" width="13.44140625" style="169" customWidth="1"/>
    <col min="2573" max="2574" width="14.6640625" style="169" customWidth="1"/>
    <col min="2575" max="2579" width="14.44140625" style="169" customWidth="1"/>
    <col min="2580" max="2580" width="14.88671875" style="169" customWidth="1"/>
    <col min="2581" max="2581" width="10.88671875" style="169" customWidth="1"/>
    <col min="2582" max="2816" width="9.109375" style="169"/>
    <col min="2817" max="2817" width="8.44140625" style="169" customWidth="1"/>
    <col min="2818" max="2818" width="14.44140625" style="169" customWidth="1"/>
    <col min="2819" max="2819" width="15.44140625" style="169" customWidth="1"/>
    <col min="2820" max="2820" width="16.44140625" style="169" customWidth="1"/>
    <col min="2821" max="2821" width="16.109375" style="169" customWidth="1"/>
    <col min="2822" max="2822" width="13.6640625" style="169" customWidth="1"/>
    <col min="2823" max="2823" width="18.88671875" style="169" customWidth="1"/>
    <col min="2824" max="2824" width="15.6640625" style="169" customWidth="1"/>
    <col min="2825" max="2826" width="16.5546875" style="169" customWidth="1"/>
    <col min="2827" max="2827" width="13.109375" style="169" customWidth="1"/>
    <col min="2828" max="2828" width="13.44140625" style="169" customWidth="1"/>
    <col min="2829" max="2830" width="14.6640625" style="169" customWidth="1"/>
    <col min="2831" max="2835" width="14.44140625" style="169" customWidth="1"/>
    <col min="2836" max="2836" width="14.88671875" style="169" customWidth="1"/>
    <col min="2837" max="2837" width="10.88671875" style="169" customWidth="1"/>
    <col min="2838" max="3072" width="9.109375" style="169"/>
    <col min="3073" max="3073" width="8.44140625" style="169" customWidth="1"/>
    <col min="3074" max="3074" width="14.44140625" style="169" customWidth="1"/>
    <col min="3075" max="3075" width="15.44140625" style="169" customWidth="1"/>
    <col min="3076" max="3076" width="16.44140625" style="169" customWidth="1"/>
    <col min="3077" max="3077" width="16.109375" style="169" customWidth="1"/>
    <col min="3078" max="3078" width="13.6640625" style="169" customWidth="1"/>
    <col min="3079" max="3079" width="18.88671875" style="169" customWidth="1"/>
    <col min="3080" max="3080" width="15.6640625" style="169" customWidth="1"/>
    <col min="3081" max="3082" width="16.5546875" style="169" customWidth="1"/>
    <col min="3083" max="3083" width="13.109375" style="169" customWidth="1"/>
    <col min="3084" max="3084" width="13.44140625" style="169" customWidth="1"/>
    <col min="3085" max="3086" width="14.6640625" style="169" customWidth="1"/>
    <col min="3087" max="3091" width="14.44140625" style="169" customWidth="1"/>
    <col min="3092" max="3092" width="14.88671875" style="169" customWidth="1"/>
    <col min="3093" max="3093" width="10.88671875" style="169" customWidth="1"/>
    <col min="3094" max="3328" width="9.109375" style="169"/>
    <col min="3329" max="3329" width="8.44140625" style="169" customWidth="1"/>
    <col min="3330" max="3330" width="14.44140625" style="169" customWidth="1"/>
    <col min="3331" max="3331" width="15.44140625" style="169" customWidth="1"/>
    <col min="3332" max="3332" width="16.44140625" style="169" customWidth="1"/>
    <col min="3333" max="3333" width="16.109375" style="169" customWidth="1"/>
    <col min="3334" max="3334" width="13.6640625" style="169" customWidth="1"/>
    <col min="3335" max="3335" width="18.88671875" style="169" customWidth="1"/>
    <col min="3336" max="3336" width="15.6640625" style="169" customWidth="1"/>
    <col min="3337" max="3338" width="16.5546875" style="169" customWidth="1"/>
    <col min="3339" max="3339" width="13.109375" style="169" customWidth="1"/>
    <col min="3340" max="3340" width="13.44140625" style="169" customWidth="1"/>
    <col min="3341" max="3342" width="14.6640625" style="169" customWidth="1"/>
    <col min="3343" max="3347" width="14.44140625" style="169" customWidth="1"/>
    <col min="3348" max="3348" width="14.88671875" style="169" customWidth="1"/>
    <col min="3349" max="3349" width="10.88671875" style="169" customWidth="1"/>
    <col min="3350" max="3584" width="9.109375" style="169"/>
    <col min="3585" max="3585" width="8.44140625" style="169" customWidth="1"/>
    <col min="3586" max="3586" width="14.44140625" style="169" customWidth="1"/>
    <col min="3587" max="3587" width="15.44140625" style="169" customWidth="1"/>
    <col min="3588" max="3588" width="16.44140625" style="169" customWidth="1"/>
    <col min="3589" max="3589" width="16.109375" style="169" customWidth="1"/>
    <col min="3590" max="3590" width="13.6640625" style="169" customWidth="1"/>
    <col min="3591" max="3591" width="18.88671875" style="169" customWidth="1"/>
    <col min="3592" max="3592" width="15.6640625" style="169" customWidth="1"/>
    <col min="3593" max="3594" width="16.5546875" style="169" customWidth="1"/>
    <col min="3595" max="3595" width="13.109375" style="169" customWidth="1"/>
    <col min="3596" max="3596" width="13.44140625" style="169" customWidth="1"/>
    <col min="3597" max="3598" width="14.6640625" style="169" customWidth="1"/>
    <col min="3599" max="3603" width="14.44140625" style="169" customWidth="1"/>
    <col min="3604" max="3604" width="14.88671875" style="169" customWidth="1"/>
    <col min="3605" max="3605" width="10.88671875" style="169" customWidth="1"/>
    <col min="3606" max="3840" width="9.109375" style="169"/>
    <col min="3841" max="3841" width="8.44140625" style="169" customWidth="1"/>
    <col min="3842" max="3842" width="14.44140625" style="169" customWidth="1"/>
    <col min="3843" max="3843" width="15.44140625" style="169" customWidth="1"/>
    <col min="3844" max="3844" width="16.44140625" style="169" customWidth="1"/>
    <col min="3845" max="3845" width="16.109375" style="169" customWidth="1"/>
    <col min="3846" max="3846" width="13.6640625" style="169" customWidth="1"/>
    <col min="3847" max="3847" width="18.88671875" style="169" customWidth="1"/>
    <col min="3848" max="3848" width="15.6640625" style="169" customWidth="1"/>
    <col min="3849" max="3850" width="16.5546875" style="169" customWidth="1"/>
    <col min="3851" max="3851" width="13.109375" style="169" customWidth="1"/>
    <col min="3852" max="3852" width="13.44140625" style="169" customWidth="1"/>
    <col min="3853" max="3854" width="14.6640625" style="169" customWidth="1"/>
    <col min="3855" max="3859" width="14.44140625" style="169" customWidth="1"/>
    <col min="3860" max="3860" width="14.88671875" style="169" customWidth="1"/>
    <col min="3861" max="3861" width="10.88671875" style="169" customWidth="1"/>
    <col min="3862" max="4096" width="9.109375" style="169"/>
    <col min="4097" max="4097" width="8.44140625" style="169" customWidth="1"/>
    <col min="4098" max="4098" width="14.44140625" style="169" customWidth="1"/>
    <col min="4099" max="4099" width="15.44140625" style="169" customWidth="1"/>
    <col min="4100" max="4100" width="16.44140625" style="169" customWidth="1"/>
    <col min="4101" max="4101" width="16.109375" style="169" customWidth="1"/>
    <col min="4102" max="4102" width="13.6640625" style="169" customWidth="1"/>
    <col min="4103" max="4103" width="18.88671875" style="169" customWidth="1"/>
    <col min="4104" max="4104" width="15.6640625" style="169" customWidth="1"/>
    <col min="4105" max="4106" width="16.5546875" style="169" customWidth="1"/>
    <col min="4107" max="4107" width="13.109375" style="169" customWidth="1"/>
    <col min="4108" max="4108" width="13.44140625" style="169" customWidth="1"/>
    <col min="4109" max="4110" width="14.6640625" style="169" customWidth="1"/>
    <col min="4111" max="4115" width="14.44140625" style="169" customWidth="1"/>
    <col min="4116" max="4116" width="14.88671875" style="169" customWidth="1"/>
    <col min="4117" max="4117" width="10.88671875" style="169" customWidth="1"/>
    <col min="4118" max="4352" width="9.109375" style="169"/>
    <col min="4353" max="4353" width="8.44140625" style="169" customWidth="1"/>
    <col min="4354" max="4354" width="14.44140625" style="169" customWidth="1"/>
    <col min="4355" max="4355" width="15.44140625" style="169" customWidth="1"/>
    <col min="4356" max="4356" width="16.44140625" style="169" customWidth="1"/>
    <col min="4357" max="4357" width="16.109375" style="169" customWidth="1"/>
    <col min="4358" max="4358" width="13.6640625" style="169" customWidth="1"/>
    <col min="4359" max="4359" width="18.88671875" style="169" customWidth="1"/>
    <col min="4360" max="4360" width="15.6640625" style="169" customWidth="1"/>
    <col min="4361" max="4362" width="16.5546875" style="169" customWidth="1"/>
    <col min="4363" max="4363" width="13.109375" style="169" customWidth="1"/>
    <col min="4364" max="4364" width="13.44140625" style="169" customWidth="1"/>
    <col min="4365" max="4366" width="14.6640625" style="169" customWidth="1"/>
    <col min="4367" max="4371" width="14.44140625" style="169" customWidth="1"/>
    <col min="4372" max="4372" width="14.88671875" style="169" customWidth="1"/>
    <col min="4373" max="4373" width="10.88671875" style="169" customWidth="1"/>
    <col min="4374" max="4608" width="9.109375" style="169"/>
    <col min="4609" max="4609" width="8.44140625" style="169" customWidth="1"/>
    <col min="4610" max="4610" width="14.44140625" style="169" customWidth="1"/>
    <col min="4611" max="4611" width="15.44140625" style="169" customWidth="1"/>
    <col min="4612" max="4612" width="16.44140625" style="169" customWidth="1"/>
    <col min="4613" max="4613" width="16.109375" style="169" customWidth="1"/>
    <col min="4614" max="4614" width="13.6640625" style="169" customWidth="1"/>
    <col min="4615" max="4615" width="18.88671875" style="169" customWidth="1"/>
    <col min="4616" max="4616" width="15.6640625" style="169" customWidth="1"/>
    <col min="4617" max="4618" width="16.5546875" style="169" customWidth="1"/>
    <col min="4619" max="4619" width="13.109375" style="169" customWidth="1"/>
    <col min="4620" max="4620" width="13.44140625" style="169" customWidth="1"/>
    <col min="4621" max="4622" width="14.6640625" style="169" customWidth="1"/>
    <col min="4623" max="4627" width="14.44140625" style="169" customWidth="1"/>
    <col min="4628" max="4628" width="14.88671875" style="169" customWidth="1"/>
    <col min="4629" max="4629" width="10.88671875" style="169" customWidth="1"/>
    <col min="4630" max="4864" width="9.109375" style="169"/>
    <col min="4865" max="4865" width="8.44140625" style="169" customWidth="1"/>
    <col min="4866" max="4866" width="14.44140625" style="169" customWidth="1"/>
    <col min="4867" max="4867" width="15.44140625" style="169" customWidth="1"/>
    <col min="4868" max="4868" width="16.44140625" style="169" customWidth="1"/>
    <col min="4869" max="4869" width="16.109375" style="169" customWidth="1"/>
    <col min="4870" max="4870" width="13.6640625" style="169" customWidth="1"/>
    <col min="4871" max="4871" width="18.88671875" style="169" customWidth="1"/>
    <col min="4872" max="4872" width="15.6640625" style="169" customWidth="1"/>
    <col min="4873" max="4874" width="16.5546875" style="169" customWidth="1"/>
    <col min="4875" max="4875" width="13.109375" style="169" customWidth="1"/>
    <col min="4876" max="4876" width="13.44140625" style="169" customWidth="1"/>
    <col min="4877" max="4878" width="14.6640625" style="169" customWidth="1"/>
    <col min="4879" max="4883" width="14.44140625" style="169" customWidth="1"/>
    <col min="4884" max="4884" width="14.88671875" style="169" customWidth="1"/>
    <col min="4885" max="4885" width="10.88671875" style="169" customWidth="1"/>
    <col min="4886" max="5120" width="9.109375" style="169"/>
    <col min="5121" max="5121" width="8.44140625" style="169" customWidth="1"/>
    <col min="5122" max="5122" width="14.44140625" style="169" customWidth="1"/>
    <col min="5123" max="5123" width="15.44140625" style="169" customWidth="1"/>
    <col min="5124" max="5124" width="16.44140625" style="169" customWidth="1"/>
    <col min="5125" max="5125" width="16.109375" style="169" customWidth="1"/>
    <col min="5126" max="5126" width="13.6640625" style="169" customWidth="1"/>
    <col min="5127" max="5127" width="18.88671875" style="169" customWidth="1"/>
    <col min="5128" max="5128" width="15.6640625" style="169" customWidth="1"/>
    <col min="5129" max="5130" width="16.5546875" style="169" customWidth="1"/>
    <col min="5131" max="5131" width="13.109375" style="169" customWidth="1"/>
    <col min="5132" max="5132" width="13.44140625" style="169" customWidth="1"/>
    <col min="5133" max="5134" width="14.6640625" style="169" customWidth="1"/>
    <col min="5135" max="5139" width="14.44140625" style="169" customWidth="1"/>
    <col min="5140" max="5140" width="14.88671875" style="169" customWidth="1"/>
    <col min="5141" max="5141" width="10.88671875" style="169" customWidth="1"/>
    <col min="5142" max="5376" width="9.109375" style="169"/>
    <col min="5377" max="5377" width="8.44140625" style="169" customWidth="1"/>
    <col min="5378" max="5378" width="14.44140625" style="169" customWidth="1"/>
    <col min="5379" max="5379" width="15.44140625" style="169" customWidth="1"/>
    <col min="5380" max="5380" width="16.44140625" style="169" customWidth="1"/>
    <col min="5381" max="5381" width="16.109375" style="169" customWidth="1"/>
    <col min="5382" max="5382" width="13.6640625" style="169" customWidth="1"/>
    <col min="5383" max="5383" width="18.88671875" style="169" customWidth="1"/>
    <col min="5384" max="5384" width="15.6640625" style="169" customWidth="1"/>
    <col min="5385" max="5386" width="16.5546875" style="169" customWidth="1"/>
    <col min="5387" max="5387" width="13.109375" style="169" customWidth="1"/>
    <col min="5388" max="5388" width="13.44140625" style="169" customWidth="1"/>
    <col min="5389" max="5390" width="14.6640625" style="169" customWidth="1"/>
    <col min="5391" max="5395" width="14.44140625" style="169" customWidth="1"/>
    <col min="5396" max="5396" width="14.88671875" style="169" customWidth="1"/>
    <col min="5397" max="5397" width="10.88671875" style="169" customWidth="1"/>
    <col min="5398" max="5632" width="9.109375" style="169"/>
    <col min="5633" max="5633" width="8.44140625" style="169" customWidth="1"/>
    <col min="5634" max="5634" width="14.44140625" style="169" customWidth="1"/>
    <col min="5635" max="5635" width="15.44140625" style="169" customWidth="1"/>
    <col min="5636" max="5636" width="16.44140625" style="169" customWidth="1"/>
    <col min="5637" max="5637" width="16.109375" style="169" customWidth="1"/>
    <col min="5638" max="5638" width="13.6640625" style="169" customWidth="1"/>
    <col min="5639" max="5639" width="18.88671875" style="169" customWidth="1"/>
    <col min="5640" max="5640" width="15.6640625" style="169" customWidth="1"/>
    <col min="5641" max="5642" width="16.5546875" style="169" customWidth="1"/>
    <col min="5643" max="5643" width="13.109375" style="169" customWidth="1"/>
    <col min="5644" max="5644" width="13.44140625" style="169" customWidth="1"/>
    <col min="5645" max="5646" width="14.6640625" style="169" customWidth="1"/>
    <col min="5647" max="5651" width="14.44140625" style="169" customWidth="1"/>
    <col min="5652" max="5652" width="14.88671875" style="169" customWidth="1"/>
    <col min="5653" max="5653" width="10.88671875" style="169" customWidth="1"/>
    <col min="5654" max="5888" width="9.109375" style="169"/>
    <col min="5889" max="5889" width="8.44140625" style="169" customWidth="1"/>
    <col min="5890" max="5890" width="14.44140625" style="169" customWidth="1"/>
    <col min="5891" max="5891" width="15.44140625" style="169" customWidth="1"/>
    <col min="5892" max="5892" width="16.44140625" style="169" customWidth="1"/>
    <col min="5893" max="5893" width="16.109375" style="169" customWidth="1"/>
    <col min="5894" max="5894" width="13.6640625" style="169" customWidth="1"/>
    <col min="5895" max="5895" width="18.88671875" style="169" customWidth="1"/>
    <col min="5896" max="5896" width="15.6640625" style="169" customWidth="1"/>
    <col min="5897" max="5898" width="16.5546875" style="169" customWidth="1"/>
    <col min="5899" max="5899" width="13.109375" style="169" customWidth="1"/>
    <col min="5900" max="5900" width="13.44140625" style="169" customWidth="1"/>
    <col min="5901" max="5902" width="14.6640625" style="169" customWidth="1"/>
    <col min="5903" max="5907" width="14.44140625" style="169" customWidth="1"/>
    <col min="5908" max="5908" width="14.88671875" style="169" customWidth="1"/>
    <col min="5909" max="5909" width="10.88671875" style="169" customWidth="1"/>
    <col min="5910" max="6144" width="9.109375" style="169"/>
    <col min="6145" max="6145" width="8.44140625" style="169" customWidth="1"/>
    <col min="6146" max="6146" width="14.44140625" style="169" customWidth="1"/>
    <col min="6147" max="6147" width="15.44140625" style="169" customWidth="1"/>
    <col min="6148" max="6148" width="16.44140625" style="169" customWidth="1"/>
    <col min="6149" max="6149" width="16.109375" style="169" customWidth="1"/>
    <col min="6150" max="6150" width="13.6640625" style="169" customWidth="1"/>
    <col min="6151" max="6151" width="18.88671875" style="169" customWidth="1"/>
    <col min="6152" max="6152" width="15.6640625" style="169" customWidth="1"/>
    <col min="6153" max="6154" width="16.5546875" style="169" customWidth="1"/>
    <col min="6155" max="6155" width="13.109375" style="169" customWidth="1"/>
    <col min="6156" max="6156" width="13.44140625" style="169" customWidth="1"/>
    <col min="6157" max="6158" width="14.6640625" style="169" customWidth="1"/>
    <col min="6159" max="6163" width="14.44140625" style="169" customWidth="1"/>
    <col min="6164" max="6164" width="14.88671875" style="169" customWidth="1"/>
    <col min="6165" max="6165" width="10.88671875" style="169" customWidth="1"/>
    <col min="6166" max="6400" width="9.109375" style="169"/>
    <col min="6401" max="6401" width="8.44140625" style="169" customWidth="1"/>
    <col min="6402" max="6402" width="14.44140625" style="169" customWidth="1"/>
    <col min="6403" max="6403" width="15.44140625" style="169" customWidth="1"/>
    <col min="6404" max="6404" width="16.44140625" style="169" customWidth="1"/>
    <col min="6405" max="6405" width="16.109375" style="169" customWidth="1"/>
    <col min="6406" max="6406" width="13.6640625" style="169" customWidth="1"/>
    <col min="6407" max="6407" width="18.88671875" style="169" customWidth="1"/>
    <col min="6408" max="6408" width="15.6640625" style="169" customWidth="1"/>
    <col min="6409" max="6410" width="16.5546875" style="169" customWidth="1"/>
    <col min="6411" max="6411" width="13.109375" style="169" customWidth="1"/>
    <col min="6412" max="6412" width="13.44140625" style="169" customWidth="1"/>
    <col min="6413" max="6414" width="14.6640625" style="169" customWidth="1"/>
    <col min="6415" max="6419" width="14.44140625" style="169" customWidth="1"/>
    <col min="6420" max="6420" width="14.88671875" style="169" customWidth="1"/>
    <col min="6421" max="6421" width="10.88671875" style="169" customWidth="1"/>
    <col min="6422" max="6656" width="9.109375" style="169"/>
    <col min="6657" max="6657" width="8.44140625" style="169" customWidth="1"/>
    <col min="6658" max="6658" width="14.44140625" style="169" customWidth="1"/>
    <col min="6659" max="6659" width="15.44140625" style="169" customWidth="1"/>
    <col min="6660" max="6660" width="16.44140625" style="169" customWidth="1"/>
    <col min="6661" max="6661" width="16.109375" style="169" customWidth="1"/>
    <col min="6662" max="6662" width="13.6640625" style="169" customWidth="1"/>
    <col min="6663" max="6663" width="18.88671875" style="169" customWidth="1"/>
    <col min="6664" max="6664" width="15.6640625" style="169" customWidth="1"/>
    <col min="6665" max="6666" width="16.5546875" style="169" customWidth="1"/>
    <col min="6667" max="6667" width="13.109375" style="169" customWidth="1"/>
    <col min="6668" max="6668" width="13.44140625" style="169" customWidth="1"/>
    <col min="6669" max="6670" width="14.6640625" style="169" customWidth="1"/>
    <col min="6671" max="6675" width="14.44140625" style="169" customWidth="1"/>
    <col min="6676" max="6676" width="14.88671875" style="169" customWidth="1"/>
    <col min="6677" max="6677" width="10.88671875" style="169" customWidth="1"/>
    <col min="6678" max="6912" width="9.109375" style="169"/>
    <col min="6913" max="6913" width="8.44140625" style="169" customWidth="1"/>
    <col min="6914" max="6914" width="14.44140625" style="169" customWidth="1"/>
    <col min="6915" max="6915" width="15.44140625" style="169" customWidth="1"/>
    <col min="6916" max="6916" width="16.44140625" style="169" customWidth="1"/>
    <col min="6917" max="6917" width="16.109375" style="169" customWidth="1"/>
    <col min="6918" max="6918" width="13.6640625" style="169" customWidth="1"/>
    <col min="6919" max="6919" width="18.88671875" style="169" customWidth="1"/>
    <col min="6920" max="6920" width="15.6640625" style="169" customWidth="1"/>
    <col min="6921" max="6922" width="16.5546875" style="169" customWidth="1"/>
    <col min="6923" max="6923" width="13.109375" style="169" customWidth="1"/>
    <col min="6924" max="6924" width="13.44140625" style="169" customWidth="1"/>
    <col min="6925" max="6926" width="14.6640625" style="169" customWidth="1"/>
    <col min="6927" max="6931" width="14.44140625" style="169" customWidth="1"/>
    <col min="6932" max="6932" width="14.88671875" style="169" customWidth="1"/>
    <col min="6933" max="6933" width="10.88671875" style="169" customWidth="1"/>
    <col min="6934" max="7168" width="9.109375" style="169"/>
    <col min="7169" max="7169" width="8.44140625" style="169" customWidth="1"/>
    <col min="7170" max="7170" width="14.44140625" style="169" customWidth="1"/>
    <col min="7171" max="7171" width="15.44140625" style="169" customWidth="1"/>
    <col min="7172" max="7172" width="16.44140625" style="169" customWidth="1"/>
    <col min="7173" max="7173" width="16.109375" style="169" customWidth="1"/>
    <col min="7174" max="7174" width="13.6640625" style="169" customWidth="1"/>
    <col min="7175" max="7175" width="18.88671875" style="169" customWidth="1"/>
    <col min="7176" max="7176" width="15.6640625" style="169" customWidth="1"/>
    <col min="7177" max="7178" width="16.5546875" style="169" customWidth="1"/>
    <col min="7179" max="7179" width="13.109375" style="169" customWidth="1"/>
    <col min="7180" max="7180" width="13.44140625" style="169" customWidth="1"/>
    <col min="7181" max="7182" width="14.6640625" style="169" customWidth="1"/>
    <col min="7183" max="7187" width="14.44140625" style="169" customWidth="1"/>
    <col min="7188" max="7188" width="14.88671875" style="169" customWidth="1"/>
    <col min="7189" max="7189" width="10.88671875" style="169" customWidth="1"/>
    <col min="7190" max="7424" width="9.109375" style="169"/>
    <col min="7425" max="7425" width="8.44140625" style="169" customWidth="1"/>
    <col min="7426" max="7426" width="14.44140625" style="169" customWidth="1"/>
    <col min="7427" max="7427" width="15.44140625" style="169" customWidth="1"/>
    <col min="7428" max="7428" width="16.44140625" style="169" customWidth="1"/>
    <col min="7429" max="7429" width="16.109375" style="169" customWidth="1"/>
    <col min="7430" max="7430" width="13.6640625" style="169" customWidth="1"/>
    <col min="7431" max="7431" width="18.88671875" style="169" customWidth="1"/>
    <col min="7432" max="7432" width="15.6640625" style="169" customWidth="1"/>
    <col min="7433" max="7434" width="16.5546875" style="169" customWidth="1"/>
    <col min="7435" max="7435" width="13.109375" style="169" customWidth="1"/>
    <col min="7436" max="7436" width="13.44140625" style="169" customWidth="1"/>
    <col min="7437" max="7438" width="14.6640625" style="169" customWidth="1"/>
    <col min="7439" max="7443" width="14.44140625" style="169" customWidth="1"/>
    <col min="7444" max="7444" width="14.88671875" style="169" customWidth="1"/>
    <col min="7445" max="7445" width="10.88671875" style="169" customWidth="1"/>
    <col min="7446" max="7680" width="9.109375" style="169"/>
    <col min="7681" max="7681" width="8.44140625" style="169" customWidth="1"/>
    <col min="7682" max="7682" width="14.44140625" style="169" customWidth="1"/>
    <col min="7683" max="7683" width="15.44140625" style="169" customWidth="1"/>
    <col min="7684" max="7684" width="16.44140625" style="169" customWidth="1"/>
    <col min="7685" max="7685" width="16.109375" style="169" customWidth="1"/>
    <col min="7686" max="7686" width="13.6640625" style="169" customWidth="1"/>
    <col min="7687" max="7687" width="18.88671875" style="169" customWidth="1"/>
    <col min="7688" max="7688" width="15.6640625" style="169" customWidth="1"/>
    <col min="7689" max="7690" width="16.5546875" style="169" customWidth="1"/>
    <col min="7691" max="7691" width="13.109375" style="169" customWidth="1"/>
    <col min="7692" max="7692" width="13.44140625" style="169" customWidth="1"/>
    <col min="7693" max="7694" width="14.6640625" style="169" customWidth="1"/>
    <col min="7695" max="7699" width="14.44140625" style="169" customWidth="1"/>
    <col min="7700" max="7700" width="14.88671875" style="169" customWidth="1"/>
    <col min="7701" max="7701" width="10.88671875" style="169" customWidth="1"/>
    <col min="7702" max="7936" width="9.109375" style="169"/>
    <col min="7937" max="7937" width="8.44140625" style="169" customWidth="1"/>
    <col min="7938" max="7938" width="14.44140625" style="169" customWidth="1"/>
    <col min="7939" max="7939" width="15.44140625" style="169" customWidth="1"/>
    <col min="7940" max="7940" width="16.44140625" style="169" customWidth="1"/>
    <col min="7941" max="7941" width="16.109375" style="169" customWidth="1"/>
    <col min="7942" max="7942" width="13.6640625" style="169" customWidth="1"/>
    <col min="7943" max="7943" width="18.88671875" style="169" customWidth="1"/>
    <col min="7944" max="7944" width="15.6640625" style="169" customWidth="1"/>
    <col min="7945" max="7946" width="16.5546875" style="169" customWidth="1"/>
    <col min="7947" max="7947" width="13.109375" style="169" customWidth="1"/>
    <col min="7948" max="7948" width="13.44140625" style="169" customWidth="1"/>
    <col min="7949" max="7950" width="14.6640625" style="169" customWidth="1"/>
    <col min="7951" max="7955" width="14.44140625" style="169" customWidth="1"/>
    <col min="7956" max="7956" width="14.88671875" style="169" customWidth="1"/>
    <col min="7957" max="7957" width="10.88671875" style="169" customWidth="1"/>
    <col min="7958" max="8192" width="9.109375" style="169"/>
    <col min="8193" max="8193" width="8.44140625" style="169" customWidth="1"/>
    <col min="8194" max="8194" width="14.44140625" style="169" customWidth="1"/>
    <col min="8195" max="8195" width="15.44140625" style="169" customWidth="1"/>
    <col min="8196" max="8196" width="16.44140625" style="169" customWidth="1"/>
    <col min="8197" max="8197" width="16.109375" style="169" customWidth="1"/>
    <col min="8198" max="8198" width="13.6640625" style="169" customWidth="1"/>
    <col min="8199" max="8199" width="18.88671875" style="169" customWidth="1"/>
    <col min="8200" max="8200" width="15.6640625" style="169" customWidth="1"/>
    <col min="8201" max="8202" width="16.5546875" style="169" customWidth="1"/>
    <col min="8203" max="8203" width="13.109375" style="169" customWidth="1"/>
    <col min="8204" max="8204" width="13.44140625" style="169" customWidth="1"/>
    <col min="8205" max="8206" width="14.6640625" style="169" customWidth="1"/>
    <col min="8207" max="8211" width="14.44140625" style="169" customWidth="1"/>
    <col min="8212" max="8212" width="14.88671875" style="169" customWidth="1"/>
    <col min="8213" max="8213" width="10.88671875" style="169" customWidth="1"/>
    <col min="8214" max="8448" width="9.109375" style="169"/>
    <col min="8449" max="8449" width="8.44140625" style="169" customWidth="1"/>
    <col min="8450" max="8450" width="14.44140625" style="169" customWidth="1"/>
    <col min="8451" max="8451" width="15.44140625" style="169" customWidth="1"/>
    <col min="8452" max="8452" width="16.44140625" style="169" customWidth="1"/>
    <col min="8453" max="8453" width="16.109375" style="169" customWidth="1"/>
    <col min="8454" max="8454" width="13.6640625" style="169" customWidth="1"/>
    <col min="8455" max="8455" width="18.88671875" style="169" customWidth="1"/>
    <col min="8456" max="8456" width="15.6640625" style="169" customWidth="1"/>
    <col min="8457" max="8458" width="16.5546875" style="169" customWidth="1"/>
    <col min="8459" max="8459" width="13.109375" style="169" customWidth="1"/>
    <col min="8460" max="8460" width="13.44140625" style="169" customWidth="1"/>
    <col min="8461" max="8462" width="14.6640625" style="169" customWidth="1"/>
    <col min="8463" max="8467" width="14.44140625" style="169" customWidth="1"/>
    <col min="8468" max="8468" width="14.88671875" style="169" customWidth="1"/>
    <col min="8469" max="8469" width="10.88671875" style="169" customWidth="1"/>
    <col min="8470" max="8704" width="9.109375" style="169"/>
    <col min="8705" max="8705" width="8.44140625" style="169" customWidth="1"/>
    <col min="8706" max="8706" width="14.44140625" style="169" customWidth="1"/>
    <col min="8707" max="8707" width="15.44140625" style="169" customWidth="1"/>
    <col min="8708" max="8708" width="16.44140625" style="169" customWidth="1"/>
    <col min="8709" max="8709" width="16.109375" style="169" customWidth="1"/>
    <col min="8710" max="8710" width="13.6640625" style="169" customWidth="1"/>
    <col min="8711" max="8711" width="18.88671875" style="169" customWidth="1"/>
    <col min="8712" max="8712" width="15.6640625" style="169" customWidth="1"/>
    <col min="8713" max="8714" width="16.5546875" style="169" customWidth="1"/>
    <col min="8715" max="8715" width="13.109375" style="169" customWidth="1"/>
    <col min="8716" max="8716" width="13.44140625" style="169" customWidth="1"/>
    <col min="8717" max="8718" width="14.6640625" style="169" customWidth="1"/>
    <col min="8719" max="8723" width="14.44140625" style="169" customWidth="1"/>
    <col min="8724" max="8724" width="14.88671875" style="169" customWidth="1"/>
    <col min="8725" max="8725" width="10.88671875" style="169" customWidth="1"/>
    <col min="8726" max="8960" width="9.109375" style="169"/>
    <col min="8961" max="8961" width="8.44140625" style="169" customWidth="1"/>
    <col min="8962" max="8962" width="14.44140625" style="169" customWidth="1"/>
    <col min="8963" max="8963" width="15.44140625" style="169" customWidth="1"/>
    <col min="8964" max="8964" width="16.44140625" style="169" customWidth="1"/>
    <col min="8965" max="8965" width="16.109375" style="169" customWidth="1"/>
    <col min="8966" max="8966" width="13.6640625" style="169" customWidth="1"/>
    <col min="8967" max="8967" width="18.88671875" style="169" customWidth="1"/>
    <col min="8968" max="8968" width="15.6640625" style="169" customWidth="1"/>
    <col min="8969" max="8970" width="16.5546875" style="169" customWidth="1"/>
    <col min="8971" max="8971" width="13.109375" style="169" customWidth="1"/>
    <col min="8972" max="8972" width="13.44140625" style="169" customWidth="1"/>
    <col min="8973" max="8974" width="14.6640625" style="169" customWidth="1"/>
    <col min="8975" max="8979" width="14.44140625" style="169" customWidth="1"/>
    <col min="8980" max="8980" width="14.88671875" style="169" customWidth="1"/>
    <col min="8981" max="8981" width="10.88671875" style="169" customWidth="1"/>
    <col min="8982" max="9216" width="9.109375" style="169"/>
    <col min="9217" max="9217" width="8.44140625" style="169" customWidth="1"/>
    <col min="9218" max="9218" width="14.44140625" style="169" customWidth="1"/>
    <col min="9219" max="9219" width="15.44140625" style="169" customWidth="1"/>
    <col min="9220" max="9220" width="16.44140625" style="169" customWidth="1"/>
    <col min="9221" max="9221" width="16.109375" style="169" customWidth="1"/>
    <col min="9222" max="9222" width="13.6640625" style="169" customWidth="1"/>
    <col min="9223" max="9223" width="18.88671875" style="169" customWidth="1"/>
    <col min="9224" max="9224" width="15.6640625" style="169" customWidth="1"/>
    <col min="9225" max="9226" width="16.5546875" style="169" customWidth="1"/>
    <col min="9227" max="9227" width="13.109375" style="169" customWidth="1"/>
    <col min="9228" max="9228" width="13.44140625" style="169" customWidth="1"/>
    <col min="9229" max="9230" width="14.6640625" style="169" customWidth="1"/>
    <col min="9231" max="9235" width="14.44140625" style="169" customWidth="1"/>
    <col min="9236" max="9236" width="14.88671875" style="169" customWidth="1"/>
    <col min="9237" max="9237" width="10.88671875" style="169" customWidth="1"/>
    <col min="9238" max="9472" width="9.109375" style="169"/>
    <col min="9473" max="9473" width="8.44140625" style="169" customWidth="1"/>
    <col min="9474" max="9474" width="14.44140625" style="169" customWidth="1"/>
    <col min="9475" max="9475" width="15.44140625" style="169" customWidth="1"/>
    <col min="9476" max="9476" width="16.44140625" style="169" customWidth="1"/>
    <col min="9477" max="9477" width="16.109375" style="169" customWidth="1"/>
    <col min="9478" max="9478" width="13.6640625" style="169" customWidth="1"/>
    <col min="9479" max="9479" width="18.88671875" style="169" customWidth="1"/>
    <col min="9480" max="9480" width="15.6640625" style="169" customWidth="1"/>
    <col min="9481" max="9482" width="16.5546875" style="169" customWidth="1"/>
    <col min="9483" max="9483" width="13.109375" style="169" customWidth="1"/>
    <col min="9484" max="9484" width="13.44140625" style="169" customWidth="1"/>
    <col min="9485" max="9486" width="14.6640625" style="169" customWidth="1"/>
    <col min="9487" max="9491" width="14.44140625" style="169" customWidth="1"/>
    <col min="9492" max="9492" width="14.88671875" style="169" customWidth="1"/>
    <col min="9493" max="9493" width="10.88671875" style="169" customWidth="1"/>
    <col min="9494" max="9728" width="9.109375" style="169"/>
    <col min="9729" max="9729" width="8.44140625" style="169" customWidth="1"/>
    <col min="9730" max="9730" width="14.44140625" style="169" customWidth="1"/>
    <col min="9731" max="9731" width="15.44140625" style="169" customWidth="1"/>
    <col min="9732" max="9732" width="16.44140625" style="169" customWidth="1"/>
    <col min="9733" max="9733" width="16.109375" style="169" customWidth="1"/>
    <col min="9734" max="9734" width="13.6640625" style="169" customWidth="1"/>
    <col min="9735" max="9735" width="18.88671875" style="169" customWidth="1"/>
    <col min="9736" max="9736" width="15.6640625" style="169" customWidth="1"/>
    <col min="9737" max="9738" width="16.5546875" style="169" customWidth="1"/>
    <col min="9739" max="9739" width="13.109375" style="169" customWidth="1"/>
    <col min="9740" max="9740" width="13.44140625" style="169" customWidth="1"/>
    <col min="9741" max="9742" width="14.6640625" style="169" customWidth="1"/>
    <col min="9743" max="9747" width="14.44140625" style="169" customWidth="1"/>
    <col min="9748" max="9748" width="14.88671875" style="169" customWidth="1"/>
    <col min="9749" max="9749" width="10.88671875" style="169" customWidth="1"/>
    <col min="9750" max="9984" width="9.109375" style="169"/>
    <col min="9985" max="9985" width="8.44140625" style="169" customWidth="1"/>
    <col min="9986" max="9986" width="14.44140625" style="169" customWidth="1"/>
    <col min="9987" max="9987" width="15.44140625" style="169" customWidth="1"/>
    <col min="9988" max="9988" width="16.44140625" style="169" customWidth="1"/>
    <col min="9989" max="9989" width="16.109375" style="169" customWidth="1"/>
    <col min="9990" max="9990" width="13.6640625" style="169" customWidth="1"/>
    <col min="9991" max="9991" width="18.88671875" style="169" customWidth="1"/>
    <col min="9992" max="9992" width="15.6640625" style="169" customWidth="1"/>
    <col min="9993" max="9994" width="16.5546875" style="169" customWidth="1"/>
    <col min="9995" max="9995" width="13.109375" style="169" customWidth="1"/>
    <col min="9996" max="9996" width="13.44140625" style="169" customWidth="1"/>
    <col min="9997" max="9998" width="14.6640625" style="169" customWidth="1"/>
    <col min="9999" max="10003" width="14.44140625" style="169" customWidth="1"/>
    <col min="10004" max="10004" width="14.88671875" style="169" customWidth="1"/>
    <col min="10005" max="10005" width="10.88671875" style="169" customWidth="1"/>
    <col min="10006" max="10240" width="9.109375" style="169"/>
    <col min="10241" max="10241" width="8.44140625" style="169" customWidth="1"/>
    <col min="10242" max="10242" width="14.44140625" style="169" customWidth="1"/>
    <col min="10243" max="10243" width="15.44140625" style="169" customWidth="1"/>
    <col min="10244" max="10244" width="16.44140625" style="169" customWidth="1"/>
    <col min="10245" max="10245" width="16.109375" style="169" customWidth="1"/>
    <col min="10246" max="10246" width="13.6640625" style="169" customWidth="1"/>
    <col min="10247" max="10247" width="18.88671875" style="169" customWidth="1"/>
    <col min="10248" max="10248" width="15.6640625" style="169" customWidth="1"/>
    <col min="10249" max="10250" width="16.5546875" style="169" customWidth="1"/>
    <col min="10251" max="10251" width="13.109375" style="169" customWidth="1"/>
    <col min="10252" max="10252" width="13.44140625" style="169" customWidth="1"/>
    <col min="10253" max="10254" width="14.6640625" style="169" customWidth="1"/>
    <col min="10255" max="10259" width="14.44140625" style="169" customWidth="1"/>
    <col min="10260" max="10260" width="14.88671875" style="169" customWidth="1"/>
    <col min="10261" max="10261" width="10.88671875" style="169" customWidth="1"/>
    <col min="10262" max="10496" width="9.109375" style="169"/>
    <col min="10497" max="10497" width="8.44140625" style="169" customWidth="1"/>
    <col min="10498" max="10498" width="14.44140625" style="169" customWidth="1"/>
    <col min="10499" max="10499" width="15.44140625" style="169" customWidth="1"/>
    <col min="10500" max="10500" width="16.44140625" style="169" customWidth="1"/>
    <col min="10501" max="10501" width="16.109375" style="169" customWidth="1"/>
    <col min="10502" max="10502" width="13.6640625" style="169" customWidth="1"/>
    <col min="10503" max="10503" width="18.88671875" style="169" customWidth="1"/>
    <col min="10504" max="10504" width="15.6640625" style="169" customWidth="1"/>
    <col min="10505" max="10506" width="16.5546875" style="169" customWidth="1"/>
    <col min="10507" max="10507" width="13.109375" style="169" customWidth="1"/>
    <col min="10508" max="10508" width="13.44140625" style="169" customWidth="1"/>
    <col min="10509" max="10510" width="14.6640625" style="169" customWidth="1"/>
    <col min="10511" max="10515" width="14.44140625" style="169" customWidth="1"/>
    <col min="10516" max="10516" width="14.88671875" style="169" customWidth="1"/>
    <col min="10517" max="10517" width="10.88671875" style="169" customWidth="1"/>
    <col min="10518" max="10752" width="9.109375" style="169"/>
    <col min="10753" max="10753" width="8.44140625" style="169" customWidth="1"/>
    <col min="10754" max="10754" width="14.44140625" style="169" customWidth="1"/>
    <col min="10755" max="10755" width="15.44140625" style="169" customWidth="1"/>
    <col min="10756" max="10756" width="16.44140625" style="169" customWidth="1"/>
    <col min="10757" max="10757" width="16.109375" style="169" customWidth="1"/>
    <col min="10758" max="10758" width="13.6640625" style="169" customWidth="1"/>
    <col min="10759" max="10759" width="18.88671875" style="169" customWidth="1"/>
    <col min="10760" max="10760" width="15.6640625" style="169" customWidth="1"/>
    <col min="10761" max="10762" width="16.5546875" style="169" customWidth="1"/>
    <col min="10763" max="10763" width="13.109375" style="169" customWidth="1"/>
    <col min="10764" max="10764" width="13.44140625" style="169" customWidth="1"/>
    <col min="10765" max="10766" width="14.6640625" style="169" customWidth="1"/>
    <col min="10767" max="10771" width="14.44140625" style="169" customWidth="1"/>
    <col min="10772" max="10772" width="14.88671875" style="169" customWidth="1"/>
    <col min="10773" max="10773" width="10.88671875" style="169" customWidth="1"/>
    <col min="10774" max="11008" width="9.109375" style="169"/>
    <col min="11009" max="11009" width="8.44140625" style="169" customWidth="1"/>
    <col min="11010" max="11010" width="14.44140625" style="169" customWidth="1"/>
    <col min="11011" max="11011" width="15.44140625" style="169" customWidth="1"/>
    <col min="11012" max="11012" width="16.44140625" style="169" customWidth="1"/>
    <col min="11013" max="11013" width="16.109375" style="169" customWidth="1"/>
    <col min="11014" max="11014" width="13.6640625" style="169" customWidth="1"/>
    <col min="11015" max="11015" width="18.88671875" style="169" customWidth="1"/>
    <col min="11016" max="11016" width="15.6640625" style="169" customWidth="1"/>
    <col min="11017" max="11018" width="16.5546875" style="169" customWidth="1"/>
    <col min="11019" max="11019" width="13.109375" style="169" customWidth="1"/>
    <col min="11020" max="11020" width="13.44140625" style="169" customWidth="1"/>
    <col min="11021" max="11022" width="14.6640625" style="169" customWidth="1"/>
    <col min="11023" max="11027" width="14.44140625" style="169" customWidth="1"/>
    <col min="11028" max="11028" width="14.88671875" style="169" customWidth="1"/>
    <col min="11029" max="11029" width="10.88671875" style="169" customWidth="1"/>
    <col min="11030" max="11264" width="9.109375" style="169"/>
    <col min="11265" max="11265" width="8.44140625" style="169" customWidth="1"/>
    <col min="11266" max="11266" width="14.44140625" style="169" customWidth="1"/>
    <col min="11267" max="11267" width="15.44140625" style="169" customWidth="1"/>
    <col min="11268" max="11268" width="16.44140625" style="169" customWidth="1"/>
    <col min="11269" max="11269" width="16.109375" style="169" customWidth="1"/>
    <col min="11270" max="11270" width="13.6640625" style="169" customWidth="1"/>
    <col min="11271" max="11271" width="18.88671875" style="169" customWidth="1"/>
    <col min="11272" max="11272" width="15.6640625" style="169" customWidth="1"/>
    <col min="11273" max="11274" width="16.5546875" style="169" customWidth="1"/>
    <col min="11275" max="11275" width="13.109375" style="169" customWidth="1"/>
    <col min="11276" max="11276" width="13.44140625" style="169" customWidth="1"/>
    <col min="11277" max="11278" width="14.6640625" style="169" customWidth="1"/>
    <col min="11279" max="11283" width="14.44140625" style="169" customWidth="1"/>
    <col min="11284" max="11284" width="14.88671875" style="169" customWidth="1"/>
    <col min="11285" max="11285" width="10.88671875" style="169" customWidth="1"/>
    <col min="11286" max="11520" width="9.109375" style="169"/>
    <col min="11521" max="11521" width="8.44140625" style="169" customWidth="1"/>
    <col min="11522" max="11522" width="14.44140625" style="169" customWidth="1"/>
    <col min="11523" max="11523" width="15.44140625" style="169" customWidth="1"/>
    <col min="11524" max="11524" width="16.44140625" style="169" customWidth="1"/>
    <col min="11525" max="11525" width="16.109375" style="169" customWidth="1"/>
    <col min="11526" max="11526" width="13.6640625" style="169" customWidth="1"/>
    <col min="11527" max="11527" width="18.88671875" style="169" customWidth="1"/>
    <col min="11528" max="11528" width="15.6640625" style="169" customWidth="1"/>
    <col min="11529" max="11530" width="16.5546875" style="169" customWidth="1"/>
    <col min="11531" max="11531" width="13.109375" style="169" customWidth="1"/>
    <col min="11532" max="11532" width="13.44140625" style="169" customWidth="1"/>
    <col min="11533" max="11534" width="14.6640625" style="169" customWidth="1"/>
    <col min="11535" max="11539" width="14.44140625" style="169" customWidth="1"/>
    <col min="11540" max="11540" width="14.88671875" style="169" customWidth="1"/>
    <col min="11541" max="11541" width="10.88671875" style="169" customWidth="1"/>
    <col min="11542" max="11776" width="9.109375" style="169"/>
    <col min="11777" max="11777" width="8.44140625" style="169" customWidth="1"/>
    <col min="11778" max="11778" width="14.44140625" style="169" customWidth="1"/>
    <col min="11779" max="11779" width="15.44140625" style="169" customWidth="1"/>
    <col min="11780" max="11780" width="16.44140625" style="169" customWidth="1"/>
    <col min="11781" max="11781" width="16.109375" style="169" customWidth="1"/>
    <col min="11782" max="11782" width="13.6640625" style="169" customWidth="1"/>
    <col min="11783" max="11783" width="18.88671875" style="169" customWidth="1"/>
    <col min="11784" max="11784" width="15.6640625" style="169" customWidth="1"/>
    <col min="11785" max="11786" width="16.5546875" style="169" customWidth="1"/>
    <col min="11787" max="11787" width="13.109375" style="169" customWidth="1"/>
    <col min="11788" max="11788" width="13.44140625" style="169" customWidth="1"/>
    <col min="11789" max="11790" width="14.6640625" style="169" customWidth="1"/>
    <col min="11791" max="11795" width="14.44140625" style="169" customWidth="1"/>
    <col min="11796" max="11796" width="14.88671875" style="169" customWidth="1"/>
    <col min="11797" max="11797" width="10.88671875" style="169" customWidth="1"/>
    <col min="11798" max="12032" width="9.109375" style="169"/>
    <col min="12033" max="12033" width="8.44140625" style="169" customWidth="1"/>
    <col min="12034" max="12034" width="14.44140625" style="169" customWidth="1"/>
    <col min="12035" max="12035" width="15.44140625" style="169" customWidth="1"/>
    <col min="12036" max="12036" width="16.44140625" style="169" customWidth="1"/>
    <col min="12037" max="12037" width="16.109375" style="169" customWidth="1"/>
    <col min="12038" max="12038" width="13.6640625" style="169" customWidth="1"/>
    <col min="12039" max="12039" width="18.88671875" style="169" customWidth="1"/>
    <col min="12040" max="12040" width="15.6640625" style="169" customWidth="1"/>
    <col min="12041" max="12042" width="16.5546875" style="169" customWidth="1"/>
    <col min="12043" max="12043" width="13.109375" style="169" customWidth="1"/>
    <col min="12044" max="12044" width="13.44140625" style="169" customWidth="1"/>
    <col min="12045" max="12046" width="14.6640625" style="169" customWidth="1"/>
    <col min="12047" max="12051" width="14.44140625" style="169" customWidth="1"/>
    <col min="12052" max="12052" width="14.88671875" style="169" customWidth="1"/>
    <col min="12053" max="12053" width="10.88671875" style="169" customWidth="1"/>
    <col min="12054" max="12288" width="9.109375" style="169"/>
    <col min="12289" max="12289" width="8.44140625" style="169" customWidth="1"/>
    <col min="12290" max="12290" width="14.44140625" style="169" customWidth="1"/>
    <col min="12291" max="12291" width="15.44140625" style="169" customWidth="1"/>
    <col min="12292" max="12292" width="16.44140625" style="169" customWidth="1"/>
    <col min="12293" max="12293" width="16.109375" style="169" customWidth="1"/>
    <col min="12294" max="12294" width="13.6640625" style="169" customWidth="1"/>
    <col min="12295" max="12295" width="18.88671875" style="169" customWidth="1"/>
    <col min="12296" max="12296" width="15.6640625" style="169" customWidth="1"/>
    <col min="12297" max="12298" width="16.5546875" style="169" customWidth="1"/>
    <col min="12299" max="12299" width="13.109375" style="169" customWidth="1"/>
    <col min="12300" max="12300" width="13.44140625" style="169" customWidth="1"/>
    <col min="12301" max="12302" width="14.6640625" style="169" customWidth="1"/>
    <col min="12303" max="12307" width="14.44140625" style="169" customWidth="1"/>
    <col min="12308" max="12308" width="14.88671875" style="169" customWidth="1"/>
    <col min="12309" max="12309" width="10.88671875" style="169" customWidth="1"/>
    <col min="12310" max="12544" width="9.109375" style="169"/>
    <col min="12545" max="12545" width="8.44140625" style="169" customWidth="1"/>
    <col min="12546" max="12546" width="14.44140625" style="169" customWidth="1"/>
    <col min="12547" max="12547" width="15.44140625" style="169" customWidth="1"/>
    <col min="12548" max="12548" width="16.44140625" style="169" customWidth="1"/>
    <col min="12549" max="12549" width="16.109375" style="169" customWidth="1"/>
    <col min="12550" max="12550" width="13.6640625" style="169" customWidth="1"/>
    <col min="12551" max="12551" width="18.88671875" style="169" customWidth="1"/>
    <col min="12552" max="12552" width="15.6640625" style="169" customWidth="1"/>
    <col min="12553" max="12554" width="16.5546875" style="169" customWidth="1"/>
    <col min="12555" max="12555" width="13.109375" style="169" customWidth="1"/>
    <col min="12556" max="12556" width="13.44140625" style="169" customWidth="1"/>
    <col min="12557" max="12558" width="14.6640625" style="169" customWidth="1"/>
    <col min="12559" max="12563" width="14.44140625" style="169" customWidth="1"/>
    <col min="12564" max="12564" width="14.88671875" style="169" customWidth="1"/>
    <col min="12565" max="12565" width="10.88671875" style="169" customWidth="1"/>
    <col min="12566" max="12800" width="9.109375" style="169"/>
    <col min="12801" max="12801" width="8.44140625" style="169" customWidth="1"/>
    <col min="12802" max="12802" width="14.44140625" style="169" customWidth="1"/>
    <col min="12803" max="12803" width="15.44140625" style="169" customWidth="1"/>
    <col min="12804" max="12804" width="16.44140625" style="169" customWidth="1"/>
    <col min="12805" max="12805" width="16.109375" style="169" customWidth="1"/>
    <col min="12806" max="12806" width="13.6640625" style="169" customWidth="1"/>
    <col min="12807" max="12807" width="18.88671875" style="169" customWidth="1"/>
    <col min="12808" max="12808" width="15.6640625" style="169" customWidth="1"/>
    <col min="12809" max="12810" width="16.5546875" style="169" customWidth="1"/>
    <col min="12811" max="12811" width="13.109375" style="169" customWidth="1"/>
    <col min="12812" max="12812" width="13.44140625" style="169" customWidth="1"/>
    <col min="12813" max="12814" width="14.6640625" style="169" customWidth="1"/>
    <col min="12815" max="12819" width="14.44140625" style="169" customWidth="1"/>
    <col min="12820" max="12820" width="14.88671875" style="169" customWidth="1"/>
    <col min="12821" max="12821" width="10.88671875" style="169" customWidth="1"/>
    <col min="12822" max="13056" width="9.109375" style="169"/>
    <col min="13057" max="13057" width="8.44140625" style="169" customWidth="1"/>
    <col min="13058" max="13058" width="14.44140625" style="169" customWidth="1"/>
    <col min="13059" max="13059" width="15.44140625" style="169" customWidth="1"/>
    <col min="13060" max="13060" width="16.44140625" style="169" customWidth="1"/>
    <col min="13061" max="13061" width="16.109375" style="169" customWidth="1"/>
    <col min="13062" max="13062" width="13.6640625" style="169" customWidth="1"/>
    <col min="13063" max="13063" width="18.88671875" style="169" customWidth="1"/>
    <col min="13064" max="13064" width="15.6640625" style="169" customWidth="1"/>
    <col min="13065" max="13066" width="16.5546875" style="169" customWidth="1"/>
    <col min="13067" max="13067" width="13.109375" style="169" customWidth="1"/>
    <col min="13068" max="13068" width="13.44140625" style="169" customWidth="1"/>
    <col min="13069" max="13070" width="14.6640625" style="169" customWidth="1"/>
    <col min="13071" max="13075" width="14.44140625" style="169" customWidth="1"/>
    <col min="13076" max="13076" width="14.88671875" style="169" customWidth="1"/>
    <col min="13077" max="13077" width="10.88671875" style="169" customWidth="1"/>
    <col min="13078" max="13312" width="9.109375" style="169"/>
    <col min="13313" max="13313" width="8.44140625" style="169" customWidth="1"/>
    <col min="13314" max="13314" width="14.44140625" style="169" customWidth="1"/>
    <col min="13315" max="13315" width="15.44140625" style="169" customWidth="1"/>
    <col min="13316" max="13316" width="16.44140625" style="169" customWidth="1"/>
    <col min="13317" max="13317" width="16.109375" style="169" customWidth="1"/>
    <col min="13318" max="13318" width="13.6640625" style="169" customWidth="1"/>
    <col min="13319" max="13319" width="18.88671875" style="169" customWidth="1"/>
    <col min="13320" max="13320" width="15.6640625" style="169" customWidth="1"/>
    <col min="13321" max="13322" width="16.5546875" style="169" customWidth="1"/>
    <col min="13323" max="13323" width="13.109375" style="169" customWidth="1"/>
    <col min="13324" max="13324" width="13.44140625" style="169" customWidth="1"/>
    <col min="13325" max="13326" width="14.6640625" style="169" customWidth="1"/>
    <col min="13327" max="13331" width="14.44140625" style="169" customWidth="1"/>
    <col min="13332" max="13332" width="14.88671875" style="169" customWidth="1"/>
    <col min="13333" max="13333" width="10.88671875" style="169" customWidth="1"/>
    <col min="13334" max="13568" width="9.109375" style="169"/>
    <col min="13569" max="13569" width="8.44140625" style="169" customWidth="1"/>
    <col min="13570" max="13570" width="14.44140625" style="169" customWidth="1"/>
    <col min="13571" max="13571" width="15.44140625" style="169" customWidth="1"/>
    <col min="13572" max="13572" width="16.44140625" style="169" customWidth="1"/>
    <col min="13573" max="13573" width="16.109375" style="169" customWidth="1"/>
    <col min="13574" max="13574" width="13.6640625" style="169" customWidth="1"/>
    <col min="13575" max="13575" width="18.88671875" style="169" customWidth="1"/>
    <col min="13576" max="13576" width="15.6640625" style="169" customWidth="1"/>
    <col min="13577" max="13578" width="16.5546875" style="169" customWidth="1"/>
    <col min="13579" max="13579" width="13.109375" style="169" customWidth="1"/>
    <col min="13580" max="13580" width="13.44140625" style="169" customWidth="1"/>
    <col min="13581" max="13582" width="14.6640625" style="169" customWidth="1"/>
    <col min="13583" max="13587" width="14.44140625" style="169" customWidth="1"/>
    <col min="13588" max="13588" width="14.88671875" style="169" customWidth="1"/>
    <col min="13589" max="13589" width="10.88671875" style="169" customWidth="1"/>
    <col min="13590" max="13824" width="9.109375" style="169"/>
    <col min="13825" max="13825" width="8.44140625" style="169" customWidth="1"/>
    <col min="13826" max="13826" width="14.44140625" style="169" customWidth="1"/>
    <col min="13827" max="13827" width="15.44140625" style="169" customWidth="1"/>
    <col min="13828" max="13828" width="16.44140625" style="169" customWidth="1"/>
    <col min="13829" max="13829" width="16.109375" style="169" customWidth="1"/>
    <col min="13830" max="13830" width="13.6640625" style="169" customWidth="1"/>
    <col min="13831" max="13831" width="18.88671875" style="169" customWidth="1"/>
    <col min="13832" max="13832" width="15.6640625" style="169" customWidth="1"/>
    <col min="13833" max="13834" width="16.5546875" style="169" customWidth="1"/>
    <col min="13835" max="13835" width="13.109375" style="169" customWidth="1"/>
    <col min="13836" max="13836" width="13.44140625" style="169" customWidth="1"/>
    <col min="13837" max="13838" width="14.6640625" style="169" customWidth="1"/>
    <col min="13839" max="13843" width="14.44140625" style="169" customWidth="1"/>
    <col min="13844" max="13844" width="14.88671875" style="169" customWidth="1"/>
    <col min="13845" max="13845" width="10.88671875" style="169" customWidth="1"/>
    <col min="13846" max="14080" width="9.109375" style="169"/>
    <col min="14081" max="14081" width="8.44140625" style="169" customWidth="1"/>
    <col min="14082" max="14082" width="14.44140625" style="169" customWidth="1"/>
    <col min="14083" max="14083" width="15.44140625" style="169" customWidth="1"/>
    <col min="14084" max="14084" width="16.44140625" style="169" customWidth="1"/>
    <col min="14085" max="14085" width="16.109375" style="169" customWidth="1"/>
    <col min="14086" max="14086" width="13.6640625" style="169" customWidth="1"/>
    <col min="14087" max="14087" width="18.88671875" style="169" customWidth="1"/>
    <col min="14088" max="14088" width="15.6640625" style="169" customWidth="1"/>
    <col min="14089" max="14090" width="16.5546875" style="169" customWidth="1"/>
    <col min="14091" max="14091" width="13.109375" style="169" customWidth="1"/>
    <col min="14092" max="14092" width="13.44140625" style="169" customWidth="1"/>
    <col min="14093" max="14094" width="14.6640625" style="169" customWidth="1"/>
    <col min="14095" max="14099" width="14.44140625" style="169" customWidth="1"/>
    <col min="14100" max="14100" width="14.88671875" style="169" customWidth="1"/>
    <col min="14101" max="14101" width="10.88671875" style="169" customWidth="1"/>
    <col min="14102" max="14336" width="9.109375" style="169"/>
    <col min="14337" max="14337" width="8.44140625" style="169" customWidth="1"/>
    <col min="14338" max="14338" width="14.44140625" style="169" customWidth="1"/>
    <col min="14339" max="14339" width="15.44140625" style="169" customWidth="1"/>
    <col min="14340" max="14340" width="16.44140625" style="169" customWidth="1"/>
    <col min="14341" max="14341" width="16.109375" style="169" customWidth="1"/>
    <col min="14342" max="14342" width="13.6640625" style="169" customWidth="1"/>
    <col min="14343" max="14343" width="18.88671875" style="169" customWidth="1"/>
    <col min="14344" max="14344" width="15.6640625" style="169" customWidth="1"/>
    <col min="14345" max="14346" width="16.5546875" style="169" customWidth="1"/>
    <col min="14347" max="14347" width="13.109375" style="169" customWidth="1"/>
    <col min="14348" max="14348" width="13.44140625" style="169" customWidth="1"/>
    <col min="14349" max="14350" width="14.6640625" style="169" customWidth="1"/>
    <col min="14351" max="14355" width="14.44140625" style="169" customWidth="1"/>
    <col min="14356" max="14356" width="14.88671875" style="169" customWidth="1"/>
    <col min="14357" max="14357" width="10.88671875" style="169" customWidth="1"/>
    <col min="14358" max="14592" width="9.109375" style="169"/>
    <col min="14593" max="14593" width="8.44140625" style="169" customWidth="1"/>
    <col min="14594" max="14594" width="14.44140625" style="169" customWidth="1"/>
    <col min="14595" max="14595" width="15.44140625" style="169" customWidth="1"/>
    <col min="14596" max="14596" width="16.44140625" style="169" customWidth="1"/>
    <col min="14597" max="14597" width="16.109375" style="169" customWidth="1"/>
    <col min="14598" max="14598" width="13.6640625" style="169" customWidth="1"/>
    <col min="14599" max="14599" width="18.88671875" style="169" customWidth="1"/>
    <col min="14600" max="14600" width="15.6640625" style="169" customWidth="1"/>
    <col min="14601" max="14602" width="16.5546875" style="169" customWidth="1"/>
    <col min="14603" max="14603" width="13.109375" style="169" customWidth="1"/>
    <col min="14604" max="14604" width="13.44140625" style="169" customWidth="1"/>
    <col min="14605" max="14606" width="14.6640625" style="169" customWidth="1"/>
    <col min="14607" max="14611" width="14.44140625" style="169" customWidth="1"/>
    <col min="14612" max="14612" width="14.88671875" style="169" customWidth="1"/>
    <col min="14613" max="14613" width="10.88671875" style="169" customWidth="1"/>
    <col min="14614" max="14848" width="9.109375" style="169"/>
    <col min="14849" max="14849" width="8.44140625" style="169" customWidth="1"/>
    <col min="14850" max="14850" width="14.44140625" style="169" customWidth="1"/>
    <col min="14851" max="14851" width="15.44140625" style="169" customWidth="1"/>
    <col min="14852" max="14852" width="16.44140625" style="169" customWidth="1"/>
    <col min="14853" max="14853" width="16.109375" style="169" customWidth="1"/>
    <col min="14854" max="14854" width="13.6640625" style="169" customWidth="1"/>
    <col min="14855" max="14855" width="18.88671875" style="169" customWidth="1"/>
    <col min="14856" max="14856" width="15.6640625" style="169" customWidth="1"/>
    <col min="14857" max="14858" width="16.5546875" style="169" customWidth="1"/>
    <col min="14859" max="14859" width="13.109375" style="169" customWidth="1"/>
    <col min="14860" max="14860" width="13.44140625" style="169" customWidth="1"/>
    <col min="14861" max="14862" width="14.6640625" style="169" customWidth="1"/>
    <col min="14863" max="14867" width="14.44140625" style="169" customWidth="1"/>
    <col min="14868" max="14868" width="14.88671875" style="169" customWidth="1"/>
    <col min="14869" max="14869" width="10.88671875" style="169" customWidth="1"/>
    <col min="14870" max="15104" width="9.109375" style="169"/>
    <col min="15105" max="15105" width="8.44140625" style="169" customWidth="1"/>
    <col min="15106" max="15106" width="14.44140625" style="169" customWidth="1"/>
    <col min="15107" max="15107" width="15.44140625" style="169" customWidth="1"/>
    <col min="15108" max="15108" width="16.44140625" style="169" customWidth="1"/>
    <col min="15109" max="15109" width="16.109375" style="169" customWidth="1"/>
    <col min="15110" max="15110" width="13.6640625" style="169" customWidth="1"/>
    <col min="15111" max="15111" width="18.88671875" style="169" customWidth="1"/>
    <col min="15112" max="15112" width="15.6640625" style="169" customWidth="1"/>
    <col min="15113" max="15114" width="16.5546875" style="169" customWidth="1"/>
    <col min="15115" max="15115" width="13.109375" style="169" customWidth="1"/>
    <col min="15116" max="15116" width="13.44140625" style="169" customWidth="1"/>
    <col min="15117" max="15118" width="14.6640625" style="169" customWidth="1"/>
    <col min="15119" max="15123" width="14.44140625" style="169" customWidth="1"/>
    <col min="15124" max="15124" width="14.88671875" style="169" customWidth="1"/>
    <col min="15125" max="15125" width="10.88671875" style="169" customWidth="1"/>
    <col min="15126" max="15360" width="9.109375" style="169"/>
    <col min="15361" max="15361" width="8.44140625" style="169" customWidth="1"/>
    <col min="15362" max="15362" width="14.44140625" style="169" customWidth="1"/>
    <col min="15363" max="15363" width="15.44140625" style="169" customWidth="1"/>
    <col min="15364" max="15364" width="16.44140625" style="169" customWidth="1"/>
    <col min="15365" max="15365" width="16.109375" style="169" customWidth="1"/>
    <col min="15366" max="15366" width="13.6640625" style="169" customWidth="1"/>
    <col min="15367" max="15367" width="18.88671875" style="169" customWidth="1"/>
    <col min="15368" max="15368" width="15.6640625" style="169" customWidth="1"/>
    <col min="15369" max="15370" width="16.5546875" style="169" customWidth="1"/>
    <col min="15371" max="15371" width="13.109375" style="169" customWidth="1"/>
    <col min="15372" max="15372" width="13.44140625" style="169" customWidth="1"/>
    <col min="15373" max="15374" width="14.6640625" style="169" customWidth="1"/>
    <col min="15375" max="15379" width="14.44140625" style="169" customWidth="1"/>
    <col min="15380" max="15380" width="14.88671875" style="169" customWidth="1"/>
    <col min="15381" max="15381" width="10.88671875" style="169" customWidth="1"/>
    <col min="15382" max="15616" width="9.109375" style="169"/>
    <col min="15617" max="15617" width="8.44140625" style="169" customWidth="1"/>
    <col min="15618" max="15618" width="14.44140625" style="169" customWidth="1"/>
    <col min="15619" max="15619" width="15.44140625" style="169" customWidth="1"/>
    <col min="15620" max="15620" width="16.44140625" style="169" customWidth="1"/>
    <col min="15621" max="15621" width="16.109375" style="169" customWidth="1"/>
    <col min="15622" max="15622" width="13.6640625" style="169" customWidth="1"/>
    <col min="15623" max="15623" width="18.88671875" style="169" customWidth="1"/>
    <col min="15624" max="15624" width="15.6640625" style="169" customWidth="1"/>
    <col min="15625" max="15626" width="16.5546875" style="169" customWidth="1"/>
    <col min="15627" max="15627" width="13.109375" style="169" customWidth="1"/>
    <col min="15628" max="15628" width="13.44140625" style="169" customWidth="1"/>
    <col min="15629" max="15630" width="14.6640625" style="169" customWidth="1"/>
    <col min="15631" max="15635" width="14.44140625" style="169" customWidth="1"/>
    <col min="15636" max="15636" width="14.88671875" style="169" customWidth="1"/>
    <col min="15637" max="15637" width="10.88671875" style="169" customWidth="1"/>
    <col min="15638" max="15872" width="9.109375" style="169"/>
    <col min="15873" max="15873" width="8.44140625" style="169" customWidth="1"/>
    <col min="15874" max="15874" width="14.44140625" style="169" customWidth="1"/>
    <col min="15875" max="15875" width="15.44140625" style="169" customWidth="1"/>
    <col min="15876" max="15876" width="16.44140625" style="169" customWidth="1"/>
    <col min="15877" max="15877" width="16.109375" style="169" customWidth="1"/>
    <col min="15878" max="15878" width="13.6640625" style="169" customWidth="1"/>
    <col min="15879" max="15879" width="18.88671875" style="169" customWidth="1"/>
    <col min="15880" max="15880" width="15.6640625" style="169" customWidth="1"/>
    <col min="15881" max="15882" width="16.5546875" style="169" customWidth="1"/>
    <col min="15883" max="15883" width="13.109375" style="169" customWidth="1"/>
    <col min="15884" max="15884" width="13.44140625" style="169" customWidth="1"/>
    <col min="15885" max="15886" width="14.6640625" style="169" customWidth="1"/>
    <col min="15887" max="15891" width="14.44140625" style="169" customWidth="1"/>
    <col min="15892" max="15892" width="14.88671875" style="169" customWidth="1"/>
    <col min="15893" max="15893" width="10.88671875" style="169" customWidth="1"/>
    <col min="15894" max="16128" width="9.109375" style="169"/>
    <col min="16129" max="16129" width="8.44140625" style="169" customWidth="1"/>
    <col min="16130" max="16130" width="14.44140625" style="169" customWidth="1"/>
    <col min="16131" max="16131" width="15.44140625" style="169" customWidth="1"/>
    <col min="16132" max="16132" width="16.44140625" style="169" customWidth="1"/>
    <col min="16133" max="16133" width="16.109375" style="169" customWidth="1"/>
    <col min="16134" max="16134" width="13.6640625" style="169" customWidth="1"/>
    <col min="16135" max="16135" width="18.88671875" style="169" customWidth="1"/>
    <col min="16136" max="16136" width="15.6640625" style="169" customWidth="1"/>
    <col min="16137" max="16138" width="16.5546875" style="169" customWidth="1"/>
    <col min="16139" max="16139" width="13.109375" style="169" customWidth="1"/>
    <col min="16140" max="16140" width="13.44140625" style="169" customWidth="1"/>
    <col min="16141" max="16142" width="14.6640625" style="169" customWidth="1"/>
    <col min="16143" max="16147" width="14.44140625" style="169" customWidth="1"/>
    <col min="16148" max="16148" width="14.88671875" style="169" customWidth="1"/>
    <col min="16149" max="16149" width="10.88671875" style="169" customWidth="1"/>
    <col min="16150" max="16384" width="9.109375" style="169"/>
  </cols>
  <sheetData>
    <row r="1" spans="1:10" ht="18" customHeight="1" x14ac:dyDescent="0.25">
      <c r="A1" s="538" t="s">
        <v>364</v>
      </c>
      <c r="B1" s="538"/>
      <c r="C1" s="538"/>
      <c r="D1" s="538"/>
      <c r="E1" s="538"/>
      <c r="F1" s="538"/>
      <c r="G1" s="538"/>
      <c r="H1" s="538"/>
      <c r="I1" s="538"/>
      <c r="J1" s="538"/>
    </row>
    <row r="2" spans="1:10" x14ac:dyDescent="0.25">
      <c r="A2" s="170"/>
      <c r="B2" s="171"/>
      <c r="C2" s="172"/>
      <c r="D2" s="172"/>
      <c r="E2" s="173"/>
      <c r="F2" s="173"/>
    </row>
    <row r="3" spans="1:10" x14ac:dyDescent="0.25">
      <c r="A3" s="170" t="s">
        <v>365</v>
      </c>
      <c r="B3" s="539" t="str">
        <f>+'Cuadro de Costos'!B11</f>
        <v>Tramo 2: km 173 - km 326</v>
      </c>
      <c r="C3" s="539"/>
      <c r="D3" s="539"/>
      <c r="E3" s="539"/>
      <c r="F3" s="539"/>
      <c r="G3" s="539"/>
      <c r="H3" s="539"/>
      <c r="I3" s="539"/>
      <c r="J3" s="175"/>
    </row>
    <row r="4" spans="1:10" x14ac:dyDescent="0.25">
      <c r="A4" s="176"/>
      <c r="B4" s="539"/>
      <c r="C4" s="539"/>
      <c r="D4" s="539"/>
      <c r="E4" s="539"/>
      <c r="F4" s="539"/>
      <c r="G4" s="539"/>
      <c r="H4" s="539"/>
      <c r="I4" s="539"/>
      <c r="J4" s="175"/>
    </row>
    <row r="5" spans="1:10" ht="15" customHeight="1" x14ac:dyDescent="0.25">
      <c r="A5" s="540" t="str">
        <f>CONCATENATE("PLAZO: ",A42," MESES (",A43,")")</f>
        <v>PLAZO: 24 MESES (720 dias)</v>
      </c>
      <c r="B5" s="540"/>
      <c r="C5" s="540"/>
      <c r="E5" s="178" t="s">
        <v>366</v>
      </c>
    </row>
    <row r="7" spans="1:10" x14ac:dyDescent="0.25">
      <c r="C7" s="180" t="s">
        <v>367</v>
      </c>
      <c r="D7" s="541"/>
      <c r="E7" s="541"/>
      <c r="F7" s="541"/>
      <c r="H7" s="180" t="s">
        <v>368</v>
      </c>
      <c r="I7" s="181">
        <f ca="1">NOW()</f>
        <v>43033.716626388887</v>
      </c>
    </row>
    <row r="8" spans="1:10" x14ac:dyDescent="0.25">
      <c r="C8" s="180" t="str">
        <f>IF(D7=0,"MONTO ESTIMADO CON IVA:","MONTO DE CONTRATO CON IVA:")</f>
        <v>MONTO ESTIMADO CON IVA:</v>
      </c>
      <c r="D8" s="182">
        <f>+'Cuadro de Costos'!E11</f>
        <v>136200000</v>
      </c>
      <c r="E8" s="183" t="s">
        <v>369</v>
      </c>
      <c r="F8" s="169" t="s">
        <v>370</v>
      </c>
      <c r="H8" s="174" t="s">
        <v>371</v>
      </c>
      <c r="I8" s="184">
        <v>1</v>
      </c>
    </row>
    <row r="9" spans="1:10" hidden="1" x14ac:dyDescent="0.25">
      <c r="C9" s="180"/>
      <c r="D9" s="182"/>
      <c r="E9" s="177" t="s">
        <v>372</v>
      </c>
      <c r="I9" s="185"/>
    </row>
    <row r="10" spans="1:10" hidden="1" x14ac:dyDescent="0.25">
      <c r="C10" s="180"/>
      <c r="D10" s="182"/>
      <c r="E10" s="177" t="s">
        <v>369</v>
      </c>
      <c r="I10" s="185"/>
    </row>
    <row r="11" spans="1:10" x14ac:dyDescent="0.25">
      <c r="B11" s="169"/>
      <c r="C11" s="180" t="str">
        <f>IF(D7=0,"MONTO ESTIMADO SIN IVA:","MONTO DE CONTRATO SIN IVA:")</f>
        <v>MONTO ESTIMADO SIN IVA:</v>
      </c>
      <c r="D11" s="186">
        <f>D8</f>
        <v>136200000</v>
      </c>
      <c r="E11" s="187" t="s">
        <v>372</v>
      </c>
      <c r="F11" s="177"/>
    </row>
    <row r="12" spans="1:10" x14ac:dyDescent="0.25">
      <c r="B12" s="169"/>
      <c r="C12" s="180" t="s">
        <v>373</v>
      </c>
      <c r="D12" s="184">
        <v>100</v>
      </c>
      <c r="F12" s="177" t="s">
        <v>374</v>
      </c>
    </row>
    <row r="13" spans="1:10" x14ac:dyDescent="0.25">
      <c r="B13" s="169"/>
      <c r="C13" s="180" t="s">
        <v>375</v>
      </c>
      <c r="D13" s="188">
        <f>100-D12</f>
        <v>0</v>
      </c>
      <c r="F13" s="177"/>
    </row>
    <row r="14" spans="1:10" x14ac:dyDescent="0.25">
      <c r="B14" s="169"/>
      <c r="C14" s="180" t="s">
        <v>376</v>
      </c>
      <c r="D14" s="185">
        <v>20</v>
      </c>
      <c r="F14" s="177"/>
    </row>
    <row r="15" spans="1:10" x14ac:dyDescent="0.25">
      <c r="B15" s="180" t="s">
        <v>377</v>
      </c>
      <c r="C15" s="542"/>
      <c r="D15" s="542"/>
      <c r="E15" s="442" t="s">
        <v>378</v>
      </c>
      <c r="F15" s="443"/>
      <c r="H15" s="189" t="s">
        <v>379</v>
      </c>
      <c r="I15" s="184">
        <v>10</v>
      </c>
    </row>
    <row r="16" spans="1:10" ht="12.6" thickBot="1" x14ac:dyDescent="0.3">
      <c r="F16" s="190"/>
    </row>
    <row r="17" spans="1:11" ht="42" customHeight="1" thickBot="1" x14ac:dyDescent="0.3">
      <c r="A17" s="191" t="s">
        <v>380</v>
      </c>
      <c r="B17" s="192" t="s">
        <v>381</v>
      </c>
      <c r="C17" s="192" t="s">
        <v>382</v>
      </c>
      <c r="D17" s="193" t="str">
        <f>CONCATENATE("MONTO MENSUAL DESCONTADO ",ROUND(D14,0),"% ANTICIPO")</f>
        <v>MONTO MENSUAL DESCONTADO 20% ANTICIPO</v>
      </c>
      <c r="E17" s="194" t="s">
        <v>383</v>
      </c>
      <c r="F17" s="195" t="s">
        <v>384</v>
      </c>
      <c r="G17" s="196" t="s">
        <v>385</v>
      </c>
      <c r="H17" s="197" t="s">
        <v>386</v>
      </c>
      <c r="I17" s="198" t="str">
        <f>CONCATENATE("DESEMBOLSOS FONDO LOCAL (",ROUND(D13,0),"%) + IVA")</f>
        <v>DESEMBOLSOS FONDO LOCAL (0%) + IVA</v>
      </c>
      <c r="J17" s="198" t="str">
        <f>CONCATENATE("DESEMBOLSOS FONDO EXTERNO (",ROUND(D12,0),"%)")</f>
        <v>DESEMBOLSOS FONDO EXTERNO (100%)</v>
      </c>
      <c r="K17" s="398"/>
    </row>
    <row r="18" spans="1:11" ht="12.75" customHeight="1" x14ac:dyDescent="0.25">
      <c r="A18" s="199">
        <v>0</v>
      </c>
      <c r="B18" s="200">
        <f>D14/100</f>
        <v>0.2</v>
      </c>
      <c r="C18" s="200">
        <v>0</v>
      </c>
      <c r="D18" s="201">
        <f>ROUND(B18*D11,0)</f>
        <v>27240000</v>
      </c>
      <c r="E18" s="202">
        <f>D18</f>
        <v>27240000</v>
      </c>
      <c r="F18" s="203">
        <f>E18/$E$42</f>
        <v>0.2</v>
      </c>
      <c r="G18" s="204" t="s">
        <v>387</v>
      </c>
      <c r="H18" s="205">
        <f t="shared" ref="H18:H33" si="0">ROUND(D18*0.1,0)</f>
        <v>2724000</v>
      </c>
      <c r="I18" s="206">
        <f t="shared" ref="I18:I42" si="1">ROUNDUP((D18+H18-J18),-(LEN(D18)-$I$15))</f>
        <v>2724000</v>
      </c>
      <c r="J18" s="206">
        <f t="shared" ref="J18:J33" si="2">ROUNDUP(D18*$D$12/100,-(LEN(D18)-$I$15))</f>
        <v>27240000</v>
      </c>
      <c r="K18" s="398"/>
    </row>
    <row r="19" spans="1:11" ht="12.6" thickBot="1" x14ac:dyDescent="0.3">
      <c r="A19" s="207">
        <v>1</v>
      </c>
      <c r="B19" s="208">
        <v>2.5000000000000001E-2</v>
      </c>
      <c r="C19" s="208">
        <f t="shared" ref="C19:C42" si="3">B19+C18</f>
        <v>2.5000000000000001E-2</v>
      </c>
      <c r="D19" s="209">
        <f>ROUND(B19*$D$11*(100-$D$14)/100,0)</f>
        <v>2724000</v>
      </c>
      <c r="E19" s="210">
        <f t="shared" ref="E19:E33" si="4">E18+D19</f>
        <v>29964000</v>
      </c>
      <c r="F19" s="211">
        <f>E19/$E$42</f>
        <v>0.22</v>
      </c>
      <c r="G19" s="212" t="s">
        <v>196</v>
      </c>
      <c r="H19" s="213">
        <f t="shared" si="0"/>
        <v>272400</v>
      </c>
      <c r="I19" s="214">
        <f t="shared" si="1"/>
        <v>272400</v>
      </c>
      <c r="J19" s="214">
        <f t="shared" si="2"/>
        <v>2724000</v>
      </c>
      <c r="K19" s="398"/>
    </row>
    <row r="20" spans="1:11" x14ac:dyDescent="0.25">
      <c r="A20" s="207">
        <v>2</v>
      </c>
      <c r="B20" s="208">
        <v>0.03</v>
      </c>
      <c r="C20" s="208">
        <f t="shared" si="3"/>
        <v>5.5E-2</v>
      </c>
      <c r="D20" s="209">
        <f t="shared" ref="D20:D42" si="5">ROUND(B20*$D$11*(100-$D$14)/100,0)</f>
        <v>3268800</v>
      </c>
      <c r="E20" s="210">
        <f t="shared" si="4"/>
        <v>33232800</v>
      </c>
      <c r="F20" s="203">
        <f t="shared" ref="F20:F42" si="6">E20/$E$42</f>
        <v>0.24399999999999999</v>
      </c>
      <c r="G20" s="212" t="s">
        <v>197</v>
      </c>
      <c r="H20" s="213">
        <f t="shared" si="0"/>
        <v>326880</v>
      </c>
      <c r="I20" s="214">
        <f t="shared" si="1"/>
        <v>326880</v>
      </c>
      <c r="J20" s="214">
        <f t="shared" si="2"/>
        <v>3268800</v>
      </c>
      <c r="K20" s="399"/>
    </row>
    <row r="21" spans="1:11" ht="12.6" thickBot="1" x14ac:dyDescent="0.3">
      <c r="A21" s="207">
        <v>3</v>
      </c>
      <c r="B21" s="208">
        <v>3.5000000000000003E-2</v>
      </c>
      <c r="C21" s="208">
        <f>B21+C20</f>
        <v>0.09</v>
      </c>
      <c r="D21" s="209">
        <f t="shared" si="5"/>
        <v>3813600</v>
      </c>
      <c r="E21" s="210">
        <f t="shared" si="4"/>
        <v>37046400</v>
      </c>
      <c r="F21" s="211">
        <f t="shared" si="6"/>
        <v>0.27200000000000002</v>
      </c>
      <c r="G21" s="212" t="s">
        <v>198</v>
      </c>
      <c r="H21" s="213">
        <f t="shared" si="0"/>
        <v>381360</v>
      </c>
      <c r="I21" s="214">
        <f t="shared" si="1"/>
        <v>381360</v>
      </c>
      <c r="J21" s="214">
        <f t="shared" si="2"/>
        <v>3813600</v>
      </c>
      <c r="K21" s="398"/>
    </row>
    <row r="22" spans="1:11" x14ac:dyDescent="0.25">
      <c r="A22" s="207">
        <v>4</v>
      </c>
      <c r="B22" s="208">
        <v>3.5000000000000003E-2</v>
      </c>
      <c r="C22" s="208">
        <f t="shared" si="3"/>
        <v>0.125</v>
      </c>
      <c r="D22" s="209">
        <f t="shared" si="5"/>
        <v>3813600</v>
      </c>
      <c r="E22" s="210">
        <f t="shared" si="4"/>
        <v>40860000</v>
      </c>
      <c r="F22" s="203">
        <f t="shared" si="6"/>
        <v>0.3</v>
      </c>
      <c r="G22" s="212" t="s">
        <v>199</v>
      </c>
      <c r="H22" s="213">
        <f t="shared" si="0"/>
        <v>381360</v>
      </c>
      <c r="I22" s="214">
        <f t="shared" si="1"/>
        <v>381360</v>
      </c>
      <c r="J22" s="214">
        <f t="shared" si="2"/>
        <v>3813600</v>
      </c>
      <c r="K22" s="400"/>
    </row>
    <row r="23" spans="1:11" ht="12.6" thickBot="1" x14ac:dyDescent="0.3">
      <c r="A23" s="207">
        <v>5</v>
      </c>
      <c r="B23" s="208">
        <v>0.04</v>
      </c>
      <c r="C23" s="208">
        <f t="shared" si="3"/>
        <v>0.16500000000000001</v>
      </c>
      <c r="D23" s="209">
        <f t="shared" si="5"/>
        <v>4358400</v>
      </c>
      <c r="E23" s="210">
        <f t="shared" si="4"/>
        <v>45218400</v>
      </c>
      <c r="F23" s="211">
        <f t="shared" si="6"/>
        <v>0.33200000000000002</v>
      </c>
      <c r="G23" s="212" t="s">
        <v>200</v>
      </c>
      <c r="H23" s="213">
        <f t="shared" si="0"/>
        <v>435840</v>
      </c>
      <c r="I23" s="214">
        <f t="shared" si="1"/>
        <v>435840</v>
      </c>
      <c r="J23" s="214">
        <f t="shared" si="2"/>
        <v>4358400</v>
      </c>
      <c r="K23" s="400"/>
    </row>
    <row r="24" spans="1:11" x14ac:dyDescent="0.25">
      <c r="A24" s="207">
        <v>6</v>
      </c>
      <c r="B24" s="208">
        <v>4.4999999999999998E-2</v>
      </c>
      <c r="C24" s="208">
        <f t="shared" si="3"/>
        <v>0.21000000000000002</v>
      </c>
      <c r="D24" s="209">
        <f t="shared" si="5"/>
        <v>4903200</v>
      </c>
      <c r="E24" s="210">
        <f t="shared" si="4"/>
        <v>50121600</v>
      </c>
      <c r="F24" s="203">
        <f t="shared" si="6"/>
        <v>0.36799999999999999</v>
      </c>
      <c r="G24" s="212" t="s">
        <v>201</v>
      </c>
      <c r="H24" s="213">
        <f t="shared" si="0"/>
        <v>490320</v>
      </c>
      <c r="I24" s="214">
        <f t="shared" si="1"/>
        <v>490320</v>
      </c>
      <c r="J24" s="214">
        <f t="shared" si="2"/>
        <v>4903200</v>
      </c>
      <c r="K24" s="400"/>
    </row>
    <row r="25" spans="1:11" ht="12.6" thickBot="1" x14ac:dyDescent="0.3">
      <c r="A25" s="207">
        <v>7</v>
      </c>
      <c r="B25" s="208">
        <v>4.4999999999999998E-2</v>
      </c>
      <c r="C25" s="208">
        <f t="shared" si="3"/>
        <v>0.255</v>
      </c>
      <c r="D25" s="209">
        <f t="shared" si="5"/>
        <v>4903200</v>
      </c>
      <c r="E25" s="210">
        <f t="shared" si="4"/>
        <v>55024800</v>
      </c>
      <c r="F25" s="211">
        <f t="shared" si="6"/>
        <v>0.40400000000000003</v>
      </c>
      <c r="G25" s="212" t="s">
        <v>202</v>
      </c>
      <c r="H25" s="213">
        <f t="shared" si="0"/>
        <v>490320</v>
      </c>
      <c r="I25" s="214">
        <f t="shared" si="1"/>
        <v>490320</v>
      </c>
      <c r="J25" s="214">
        <f t="shared" si="2"/>
        <v>4903200</v>
      </c>
      <c r="K25" s="401"/>
    </row>
    <row r="26" spans="1:11" x14ac:dyDescent="0.25">
      <c r="A26" s="207">
        <v>8</v>
      </c>
      <c r="B26" s="208">
        <v>0.05</v>
      </c>
      <c r="C26" s="208">
        <f t="shared" si="3"/>
        <v>0.30499999999999999</v>
      </c>
      <c r="D26" s="209">
        <f t="shared" si="5"/>
        <v>5448000</v>
      </c>
      <c r="E26" s="210">
        <f t="shared" si="4"/>
        <v>60472800</v>
      </c>
      <c r="F26" s="203">
        <f t="shared" si="6"/>
        <v>0.44400000000000001</v>
      </c>
      <c r="G26" s="212" t="s">
        <v>203</v>
      </c>
      <c r="H26" s="213">
        <f t="shared" si="0"/>
        <v>544800</v>
      </c>
      <c r="I26" s="214">
        <f t="shared" si="1"/>
        <v>544800</v>
      </c>
      <c r="J26" s="214">
        <f t="shared" si="2"/>
        <v>5448000</v>
      </c>
      <c r="K26" s="400"/>
    </row>
    <row r="27" spans="1:11" ht="12.6" thickBot="1" x14ac:dyDescent="0.3">
      <c r="A27" s="207">
        <v>9</v>
      </c>
      <c r="B27" s="208">
        <v>5.5E-2</v>
      </c>
      <c r="C27" s="208">
        <f t="shared" si="3"/>
        <v>0.36</v>
      </c>
      <c r="D27" s="209">
        <f t="shared" si="5"/>
        <v>5992800</v>
      </c>
      <c r="E27" s="210">
        <f t="shared" si="4"/>
        <v>66465600</v>
      </c>
      <c r="F27" s="211">
        <f t="shared" si="6"/>
        <v>0.48799999999999999</v>
      </c>
      <c r="G27" s="212" t="s">
        <v>204</v>
      </c>
      <c r="H27" s="213">
        <f t="shared" si="0"/>
        <v>599280</v>
      </c>
      <c r="I27" s="214">
        <f t="shared" si="1"/>
        <v>599280</v>
      </c>
      <c r="J27" s="214">
        <f t="shared" si="2"/>
        <v>5992800</v>
      </c>
      <c r="K27" s="400"/>
    </row>
    <row r="28" spans="1:11" x14ac:dyDescent="0.25">
      <c r="A28" s="207">
        <v>10</v>
      </c>
      <c r="B28" s="208">
        <v>5.5E-2</v>
      </c>
      <c r="C28" s="208">
        <f t="shared" si="3"/>
        <v>0.41499999999999998</v>
      </c>
      <c r="D28" s="209">
        <f t="shared" si="5"/>
        <v>5992800</v>
      </c>
      <c r="E28" s="210">
        <f t="shared" si="4"/>
        <v>72458400</v>
      </c>
      <c r="F28" s="203">
        <f t="shared" si="6"/>
        <v>0.53200000000000003</v>
      </c>
      <c r="G28" s="212" t="s">
        <v>205</v>
      </c>
      <c r="H28" s="213">
        <f t="shared" si="0"/>
        <v>599280</v>
      </c>
      <c r="I28" s="214">
        <f t="shared" si="1"/>
        <v>599280</v>
      </c>
      <c r="J28" s="214">
        <f t="shared" si="2"/>
        <v>5992800</v>
      </c>
      <c r="K28" s="400"/>
    </row>
    <row r="29" spans="1:11" ht="12.6" thickBot="1" x14ac:dyDescent="0.3">
      <c r="A29" s="207">
        <v>11</v>
      </c>
      <c r="B29" s="208">
        <v>5.5E-2</v>
      </c>
      <c r="C29" s="208">
        <f t="shared" si="3"/>
        <v>0.47</v>
      </c>
      <c r="D29" s="209">
        <f t="shared" si="5"/>
        <v>5992800</v>
      </c>
      <c r="E29" s="210">
        <f t="shared" si="4"/>
        <v>78451200</v>
      </c>
      <c r="F29" s="211">
        <f t="shared" si="6"/>
        <v>0.57599999999999996</v>
      </c>
      <c r="G29" s="212" t="s">
        <v>206</v>
      </c>
      <c r="H29" s="213">
        <f t="shared" si="0"/>
        <v>599280</v>
      </c>
      <c r="I29" s="214">
        <f t="shared" si="1"/>
        <v>599280</v>
      </c>
      <c r="J29" s="214">
        <f t="shared" si="2"/>
        <v>5992800</v>
      </c>
      <c r="K29" s="400"/>
    </row>
    <row r="30" spans="1:11" x14ac:dyDescent="0.25">
      <c r="A30" s="207">
        <v>12</v>
      </c>
      <c r="B30" s="208">
        <v>0.06</v>
      </c>
      <c r="C30" s="208">
        <f t="shared" si="3"/>
        <v>0.53</v>
      </c>
      <c r="D30" s="209">
        <f t="shared" si="5"/>
        <v>6537600</v>
      </c>
      <c r="E30" s="210">
        <f t="shared" si="4"/>
        <v>84988800</v>
      </c>
      <c r="F30" s="203">
        <f t="shared" si="6"/>
        <v>0.624</v>
      </c>
      <c r="G30" s="212" t="s">
        <v>207</v>
      </c>
      <c r="H30" s="213">
        <f t="shared" si="0"/>
        <v>653760</v>
      </c>
      <c r="I30" s="214">
        <f t="shared" si="1"/>
        <v>653760</v>
      </c>
      <c r="J30" s="214">
        <f t="shared" si="2"/>
        <v>6537600</v>
      </c>
      <c r="K30" s="400"/>
    </row>
    <row r="31" spans="1:11" ht="12.6" thickBot="1" x14ac:dyDescent="0.3">
      <c r="A31" s="207">
        <v>13</v>
      </c>
      <c r="B31" s="208">
        <v>7.0000000000000007E-2</v>
      </c>
      <c r="C31" s="208">
        <f t="shared" si="3"/>
        <v>0.60000000000000009</v>
      </c>
      <c r="D31" s="209">
        <f t="shared" si="5"/>
        <v>7627200</v>
      </c>
      <c r="E31" s="210">
        <f t="shared" si="4"/>
        <v>92616000</v>
      </c>
      <c r="F31" s="211">
        <f t="shared" si="6"/>
        <v>0.68</v>
      </c>
      <c r="G31" s="212" t="s">
        <v>208</v>
      </c>
      <c r="H31" s="213">
        <f t="shared" si="0"/>
        <v>762720</v>
      </c>
      <c r="I31" s="214">
        <f t="shared" si="1"/>
        <v>762720</v>
      </c>
      <c r="J31" s="214">
        <f t="shared" si="2"/>
        <v>7627200</v>
      </c>
      <c r="K31" s="400"/>
    </row>
    <row r="32" spans="1:11" x14ac:dyDescent="0.25">
      <c r="A32" s="207">
        <v>14</v>
      </c>
      <c r="B32" s="208">
        <v>7.0000000000000007E-2</v>
      </c>
      <c r="C32" s="208">
        <f t="shared" si="3"/>
        <v>0.67000000000000015</v>
      </c>
      <c r="D32" s="209">
        <f t="shared" si="5"/>
        <v>7627200</v>
      </c>
      <c r="E32" s="210">
        <f t="shared" si="4"/>
        <v>100243200</v>
      </c>
      <c r="F32" s="203">
        <f t="shared" si="6"/>
        <v>0.73599999999999999</v>
      </c>
      <c r="G32" s="212" t="s">
        <v>209</v>
      </c>
      <c r="H32" s="213">
        <f t="shared" si="0"/>
        <v>762720</v>
      </c>
      <c r="I32" s="214">
        <f t="shared" si="1"/>
        <v>762720</v>
      </c>
      <c r="J32" s="214">
        <f t="shared" si="2"/>
        <v>7627200</v>
      </c>
      <c r="K32" s="402"/>
    </row>
    <row r="33" spans="1:11" ht="12.6" thickBot="1" x14ac:dyDescent="0.3">
      <c r="A33" s="207">
        <v>15</v>
      </c>
      <c r="B33" s="208">
        <v>6.5000000000000002E-2</v>
      </c>
      <c r="C33" s="208">
        <f t="shared" si="3"/>
        <v>0.7350000000000001</v>
      </c>
      <c r="D33" s="209">
        <f t="shared" si="5"/>
        <v>7082400</v>
      </c>
      <c r="E33" s="210">
        <f t="shared" si="4"/>
        <v>107325600</v>
      </c>
      <c r="F33" s="211">
        <f t="shared" si="6"/>
        <v>0.78800000000000003</v>
      </c>
      <c r="G33" s="212" t="s">
        <v>210</v>
      </c>
      <c r="H33" s="213">
        <f t="shared" si="0"/>
        <v>708240</v>
      </c>
      <c r="I33" s="214">
        <f t="shared" si="1"/>
        <v>708240</v>
      </c>
      <c r="J33" s="214">
        <f t="shared" si="2"/>
        <v>7082400</v>
      </c>
      <c r="K33" s="400"/>
    </row>
    <row r="34" spans="1:11" x14ac:dyDescent="0.25">
      <c r="A34" s="207">
        <v>16</v>
      </c>
      <c r="B34" s="208">
        <v>6.5000000000000002E-2</v>
      </c>
      <c r="C34" s="208">
        <f t="shared" si="3"/>
        <v>0.8</v>
      </c>
      <c r="D34" s="209">
        <f t="shared" si="5"/>
        <v>7082400</v>
      </c>
      <c r="E34" s="210">
        <f>E33+D34</f>
        <v>114408000</v>
      </c>
      <c r="F34" s="203">
        <f t="shared" si="6"/>
        <v>0.84</v>
      </c>
      <c r="G34" s="212" t="s">
        <v>211</v>
      </c>
      <c r="H34" s="213">
        <f>ROUND(D34*0.1,0)</f>
        <v>708240</v>
      </c>
      <c r="I34" s="214">
        <f t="shared" si="1"/>
        <v>708240</v>
      </c>
      <c r="J34" s="214">
        <f>ROUNDUP(D34*$D$12/100,-(LEN(D34)-$I$15))</f>
        <v>7082400</v>
      </c>
      <c r="K34" s="400"/>
    </row>
    <row r="35" spans="1:11" ht="12.6" thickBot="1" x14ac:dyDescent="0.3">
      <c r="A35" s="207">
        <v>17</v>
      </c>
      <c r="B35" s="208">
        <v>0.05</v>
      </c>
      <c r="C35" s="208">
        <f t="shared" si="3"/>
        <v>0.85000000000000009</v>
      </c>
      <c r="D35" s="209">
        <f t="shared" si="5"/>
        <v>5448000</v>
      </c>
      <c r="E35" s="210">
        <f>E34+D35</f>
        <v>119856000</v>
      </c>
      <c r="F35" s="211">
        <f t="shared" si="6"/>
        <v>0.88</v>
      </c>
      <c r="G35" s="212" t="s">
        <v>212</v>
      </c>
      <c r="H35" s="213">
        <f>ROUND(D35*0.1,0)</f>
        <v>544800</v>
      </c>
      <c r="I35" s="214">
        <f t="shared" si="1"/>
        <v>544800</v>
      </c>
      <c r="J35" s="214">
        <f>ROUNDUP(D35*$D$12/100,-(LEN(D35)-$I$15))</f>
        <v>5448000</v>
      </c>
      <c r="K35" s="400"/>
    </row>
    <row r="36" spans="1:11" ht="12.6" thickBot="1" x14ac:dyDescent="0.3">
      <c r="A36" s="219">
        <v>18</v>
      </c>
      <c r="B36" s="208">
        <v>0.05</v>
      </c>
      <c r="C36" s="208">
        <f t="shared" si="3"/>
        <v>0.90000000000000013</v>
      </c>
      <c r="D36" s="209">
        <f t="shared" si="5"/>
        <v>5448000</v>
      </c>
      <c r="E36" s="222">
        <f>E35+D36</f>
        <v>125304000</v>
      </c>
      <c r="F36" s="203">
        <f t="shared" si="6"/>
        <v>0.92</v>
      </c>
      <c r="G36" s="224" t="s">
        <v>213</v>
      </c>
      <c r="H36" s="225">
        <f>ROUND(D36*0.1,0)</f>
        <v>544800</v>
      </c>
      <c r="I36" s="214">
        <f t="shared" si="1"/>
        <v>544800</v>
      </c>
      <c r="J36" s="226">
        <f>ROUNDUP(D36*$D$12/100,-(LEN(D36)-$I$15))</f>
        <v>5448000</v>
      </c>
      <c r="K36" s="402"/>
    </row>
    <row r="37" spans="1:11" ht="12.6" thickBot="1" x14ac:dyDescent="0.3">
      <c r="A37" s="207">
        <v>19</v>
      </c>
      <c r="B37" s="208">
        <v>0.04</v>
      </c>
      <c r="C37" s="208">
        <f t="shared" si="3"/>
        <v>0.94000000000000017</v>
      </c>
      <c r="D37" s="209">
        <f t="shared" si="5"/>
        <v>4358400</v>
      </c>
      <c r="E37" s="210">
        <f t="shared" ref="E37:E42" si="7">E36+D37</f>
        <v>129662400</v>
      </c>
      <c r="F37" s="211">
        <f t="shared" si="6"/>
        <v>0.95199999999999996</v>
      </c>
      <c r="G37" s="212" t="s">
        <v>214</v>
      </c>
      <c r="H37" s="213">
        <f t="shared" ref="H37:H42" si="8">ROUND(D37*0.1,0)</f>
        <v>435840</v>
      </c>
      <c r="I37" s="214">
        <f t="shared" si="1"/>
        <v>435840</v>
      </c>
      <c r="J37" s="226">
        <f t="shared" ref="J37:J42" si="9">ROUNDUP(D37*$D$12/100,-(LEN(D37)-$I$15))</f>
        <v>4358400</v>
      </c>
      <c r="K37" s="402"/>
    </row>
    <row r="38" spans="1:11" ht="12.6" thickBot="1" x14ac:dyDescent="0.3">
      <c r="A38" s="219">
        <v>20</v>
      </c>
      <c r="B38" s="208">
        <v>0.02</v>
      </c>
      <c r="C38" s="208">
        <f t="shared" si="3"/>
        <v>0.96000000000000019</v>
      </c>
      <c r="D38" s="209">
        <f t="shared" si="5"/>
        <v>2179200</v>
      </c>
      <c r="E38" s="222">
        <f t="shared" si="7"/>
        <v>131841600</v>
      </c>
      <c r="F38" s="203">
        <f t="shared" si="6"/>
        <v>0.96799999999999997</v>
      </c>
      <c r="G38" s="224" t="s">
        <v>215</v>
      </c>
      <c r="H38" s="225">
        <f t="shared" si="8"/>
        <v>217920</v>
      </c>
      <c r="I38" s="214">
        <f t="shared" si="1"/>
        <v>217920</v>
      </c>
      <c r="J38" s="226">
        <f t="shared" si="9"/>
        <v>2179200</v>
      </c>
      <c r="K38" s="402"/>
    </row>
    <row r="39" spans="1:11" ht="12.6" thickBot="1" x14ac:dyDescent="0.3">
      <c r="A39" s="207">
        <v>21</v>
      </c>
      <c r="B39" s="238">
        <v>0.01</v>
      </c>
      <c r="C39" s="208">
        <f t="shared" si="3"/>
        <v>0.9700000000000002</v>
      </c>
      <c r="D39" s="209">
        <f t="shared" si="5"/>
        <v>1089600</v>
      </c>
      <c r="E39" s="210">
        <f t="shared" si="7"/>
        <v>132931200</v>
      </c>
      <c r="F39" s="211">
        <f t="shared" si="6"/>
        <v>0.97599999999999998</v>
      </c>
      <c r="G39" s="212" t="s">
        <v>216</v>
      </c>
      <c r="H39" s="213">
        <f t="shared" si="8"/>
        <v>108960</v>
      </c>
      <c r="I39" s="226">
        <f>ROUNDUP((D39+H39-J39),-(LEN(D39)-$I$15))</f>
        <v>108960</v>
      </c>
      <c r="J39" s="226">
        <f t="shared" si="9"/>
        <v>1089600</v>
      </c>
      <c r="K39" s="402"/>
    </row>
    <row r="40" spans="1:11" ht="12.6" thickBot="1" x14ac:dyDescent="0.3">
      <c r="A40" s="219">
        <v>22</v>
      </c>
      <c r="B40" s="208">
        <v>0.01</v>
      </c>
      <c r="C40" s="208">
        <f t="shared" si="3"/>
        <v>0.9800000000000002</v>
      </c>
      <c r="D40" s="209">
        <f t="shared" si="5"/>
        <v>1089600</v>
      </c>
      <c r="E40" s="222">
        <f t="shared" si="7"/>
        <v>134020800</v>
      </c>
      <c r="F40" s="203">
        <f t="shared" si="6"/>
        <v>0.98399999999999999</v>
      </c>
      <c r="G40" s="224" t="s">
        <v>217</v>
      </c>
      <c r="H40" s="225">
        <f t="shared" si="8"/>
        <v>108960</v>
      </c>
      <c r="I40" s="214">
        <f t="shared" si="1"/>
        <v>108960</v>
      </c>
      <c r="J40" s="226">
        <f t="shared" si="9"/>
        <v>1089600</v>
      </c>
      <c r="K40" s="402"/>
    </row>
    <row r="41" spans="1:11" ht="12.6" thickBot="1" x14ac:dyDescent="0.3">
      <c r="A41" s="207">
        <v>23</v>
      </c>
      <c r="B41" s="208">
        <v>0.01</v>
      </c>
      <c r="C41" s="208">
        <f t="shared" si="3"/>
        <v>0.99000000000000021</v>
      </c>
      <c r="D41" s="209">
        <f t="shared" si="5"/>
        <v>1089600</v>
      </c>
      <c r="E41" s="210">
        <f t="shared" si="7"/>
        <v>135110400</v>
      </c>
      <c r="F41" s="211">
        <f t="shared" si="6"/>
        <v>0.99199999999999999</v>
      </c>
      <c r="G41" s="212" t="s">
        <v>218</v>
      </c>
      <c r="H41" s="213">
        <f t="shared" si="8"/>
        <v>108960</v>
      </c>
      <c r="I41" s="214">
        <f t="shared" si="1"/>
        <v>108960</v>
      </c>
      <c r="J41" s="226">
        <f t="shared" si="9"/>
        <v>1089600</v>
      </c>
      <c r="K41" s="402"/>
    </row>
    <row r="42" spans="1:11" ht="12.6" thickBot="1" x14ac:dyDescent="0.3">
      <c r="A42" s="219">
        <v>24</v>
      </c>
      <c r="B42" s="220">
        <v>0.01</v>
      </c>
      <c r="C42" s="208">
        <f t="shared" si="3"/>
        <v>1.0000000000000002</v>
      </c>
      <c r="D42" s="209">
        <f t="shared" si="5"/>
        <v>1089600</v>
      </c>
      <c r="E42" s="222">
        <f t="shared" si="7"/>
        <v>136200000</v>
      </c>
      <c r="F42" s="203">
        <f t="shared" si="6"/>
        <v>1</v>
      </c>
      <c r="G42" s="224" t="s">
        <v>219</v>
      </c>
      <c r="H42" s="225">
        <f t="shared" si="8"/>
        <v>108960</v>
      </c>
      <c r="I42" s="226">
        <f t="shared" si="1"/>
        <v>108960</v>
      </c>
      <c r="J42" s="226">
        <f t="shared" si="9"/>
        <v>1089600</v>
      </c>
      <c r="K42" s="402"/>
    </row>
    <row r="43" spans="1:11" ht="20.25" customHeight="1" thickBot="1" x14ac:dyDescent="0.3">
      <c r="A43" s="227" t="str">
        <f>A42*30 &amp; " dias"</f>
        <v>720 dias</v>
      </c>
      <c r="B43" s="228">
        <f>SUM(B19:B42)</f>
        <v>1.0000000000000002</v>
      </c>
      <c r="C43" s="229"/>
      <c r="D43" s="230">
        <f>SUM(D18:D42)</f>
        <v>136200000</v>
      </c>
      <c r="E43" s="169"/>
      <c r="H43" s="169"/>
      <c r="I43" s="231">
        <f>SUM(I18:I42)</f>
        <v>13620000</v>
      </c>
      <c r="J43" s="231">
        <f>SUM(J18:J42)</f>
        <v>136200000</v>
      </c>
      <c r="K43" s="400"/>
    </row>
    <row r="44" spans="1:11" ht="15" customHeight="1" x14ac:dyDescent="0.25">
      <c r="A44" s="174"/>
      <c r="F44" s="177"/>
      <c r="G44" s="177"/>
      <c r="H44" s="180" t="s">
        <v>388</v>
      </c>
      <c r="I44" s="536">
        <f>I43+J43</f>
        <v>149820000</v>
      </c>
      <c r="J44" s="537"/>
    </row>
    <row r="45" spans="1:11" x14ac:dyDescent="0.25">
      <c r="A45" s="173" t="s">
        <v>389</v>
      </c>
      <c r="B45" s="173"/>
      <c r="C45" s="173"/>
      <c r="H45" s="180" t="s">
        <v>390</v>
      </c>
      <c r="I45" s="189">
        <f>I44/1.1-D11</f>
        <v>0</v>
      </c>
    </row>
    <row r="46" spans="1:11" x14ac:dyDescent="0.25">
      <c r="B46" s="232"/>
    </row>
    <row r="47" spans="1:11" x14ac:dyDescent="0.25">
      <c r="B47" s="232"/>
    </row>
    <row r="49" spans="1:27" s="235" customFormat="1" ht="12.75" customHeight="1" x14ac:dyDescent="0.25">
      <c r="A49" s="233"/>
      <c r="B49" s="234" t="s">
        <v>391</v>
      </c>
      <c r="C49" s="234" t="s">
        <v>196</v>
      </c>
      <c r="D49" s="234" t="s">
        <v>197</v>
      </c>
      <c r="E49" s="234" t="s">
        <v>198</v>
      </c>
      <c r="F49" s="234" t="s">
        <v>199</v>
      </c>
      <c r="G49" s="234" t="s">
        <v>200</v>
      </c>
      <c r="H49" s="234" t="s">
        <v>201</v>
      </c>
      <c r="I49" s="234" t="s">
        <v>202</v>
      </c>
      <c r="J49" s="234" t="s">
        <v>203</v>
      </c>
      <c r="K49" s="234" t="s">
        <v>204</v>
      </c>
      <c r="L49" s="234" t="s">
        <v>205</v>
      </c>
      <c r="M49" s="234" t="s">
        <v>206</v>
      </c>
      <c r="N49" s="234" t="s">
        <v>207</v>
      </c>
      <c r="O49" s="234" t="s">
        <v>208</v>
      </c>
      <c r="P49" s="234" t="s">
        <v>209</v>
      </c>
      <c r="Q49" s="234" t="s">
        <v>210</v>
      </c>
      <c r="R49" s="234" t="s">
        <v>211</v>
      </c>
      <c r="S49" s="234" t="s">
        <v>212</v>
      </c>
      <c r="T49" s="234" t="s">
        <v>213</v>
      </c>
      <c r="U49" s="234" t="s">
        <v>214</v>
      </c>
      <c r="V49" s="234" t="s">
        <v>215</v>
      </c>
      <c r="W49" s="234" t="s">
        <v>216</v>
      </c>
      <c r="X49" s="234" t="s">
        <v>217</v>
      </c>
      <c r="Y49" s="234" t="s">
        <v>218</v>
      </c>
      <c r="Z49" s="234" t="s">
        <v>219</v>
      </c>
    </row>
    <row r="50" spans="1:27" x14ac:dyDescent="0.25">
      <c r="A50" s="236" t="s">
        <v>392</v>
      </c>
      <c r="B50" s="209">
        <v>0</v>
      </c>
      <c r="C50" s="209">
        <v>0</v>
      </c>
      <c r="D50" s="209">
        <v>0</v>
      </c>
      <c r="E50" s="209">
        <v>0</v>
      </c>
      <c r="F50" s="209">
        <v>0</v>
      </c>
      <c r="G50" s="209">
        <v>0</v>
      </c>
      <c r="H50" s="209">
        <v>0</v>
      </c>
      <c r="I50" s="209">
        <v>0</v>
      </c>
      <c r="J50" s="209">
        <v>0</v>
      </c>
      <c r="K50" s="209">
        <v>0</v>
      </c>
      <c r="L50" s="209">
        <v>0</v>
      </c>
      <c r="M50" s="209">
        <v>0</v>
      </c>
      <c r="N50" s="209">
        <v>0</v>
      </c>
      <c r="O50" s="209">
        <v>0</v>
      </c>
      <c r="P50" s="209">
        <v>0</v>
      </c>
      <c r="Q50" s="209">
        <v>0</v>
      </c>
      <c r="R50" s="209">
        <v>0</v>
      </c>
      <c r="S50" s="209">
        <v>0</v>
      </c>
      <c r="T50" s="209">
        <v>0</v>
      </c>
      <c r="U50" s="177">
        <f>SUM(B50:T50)</f>
        <v>0</v>
      </c>
      <c r="V50" s="177">
        <f t="shared" ref="V50:AA50" si="10">SUM(C50:U50)</f>
        <v>0</v>
      </c>
      <c r="W50" s="177">
        <f t="shared" si="10"/>
        <v>0</v>
      </c>
      <c r="X50" s="177">
        <f t="shared" si="10"/>
        <v>0</v>
      </c>
      <c r="Y50" s="177">
        <f t="shared" si="10"/>
        <v>0</v>
      </c>
      <c r="Z50" s="177">
        <f t="shared" si="10"/>
        <v>0</v>
      </c>
      <c r="AA50" s="177">
        <f t="shared" si="10"/>
        <v>0</v>
      </c>
    </row>
    <row r="51" spans="1:27" x14ac:dyDescent="0.25">
      <c r="A51" s="236" t="s">
        <v>393</v>
      </c>
      <c r="B51" s="209">
        <f>$J18</f>
        <v>27240000</v>
      </c>
      <c r="C51" s="209">
        <f>$J19</f>
        <v>2724000</v>
      </c>
      <c r="D51" s="209">
        <f>$J20</f>
        <v>3268800</v>
      </c>
      <c r="E51" s="209">
        <f>$J21</f>
        <v>3813600</v>
      </c>
      <c r="F51" s="209">
        <f>$J22</f>
        <v>3813600</v>
      </c>
      <c r="G51" s="209">
        <f>$J23</f>
        <v>4358400</v>
      </c>
      <c r="H51" s="209">
        <f>$J24</f>
        <v>4903200</v>
      </c>
      <c r="I51" s="209">
        <f>$J25</f>
        <v>4903200</v>
      </c>
      <c r="J51" s="209">
        <f>$J26</f>
        <v>5448000</v>
      </c>
      <c r="K51" s="209">
        <f>$J27</f>
        <v>5992800</v>
      </c>
      <c r="L51" s="209">
        <f>$J28</f>
        <v>5992800</v>
      </c>
      <c r="M51" s="209">
        <f>$J29</f>
        <v>5992800</v>
      </c>
      <c r="N51" s="209">
        <f>$J30</f>
        <v>6537600</v>
      </c>
      <c r="O51" s="209">
        <f>$J31</f>
        <v>7627200</v>
      </c>
      <c r="P51" s="209">
        <f>$J32</f>
        <v>7627200</v>
      </c>
      <c r="Q51" s="209">
        <f>$J33</f>
        <v>7082400</v>
      </c>
      <c r="R51" s="209">
        <f>$J34</f>
        <v>7082400</v>
      </c>
      <c r="S51" s="209">
        <f>$J35</f>
        <v>5448000</v>
      </c>
      <c r="T51" s="209">
        <f>$J36</f>
        <v>5448000</v>
      </c>
      <c r="U51" s="209">
        <f>$J37</f>
        <v>4358400</v>
      </c>
      <c r="V51" s="209">
        <f>$J38</f>
        <v>2179200</v>
      </c>
      <c r="W51" s="209">
        <f>$J39</f>
        <v>1089600</v>
      </c>
      <c r="X51" s="209">
        <f>$J40</f>
        <v>1089600</v>
      </c>
      <c r="Y51" s="209">
        <f>$J41</f>
        <v>1089600</v>
      </c>
      <c r="Z51" s="209">
        <f>$J42</f>
        <v>1089600</v>
      </c>
      <c r="AA51" s="177">
        <f>SUM(B51:Z51)</f>
        <v>136200000</v>
      </c>
    </row>
    <row r="52" spans="1:27" x14ac:dyDescent="0.25">
      <c r="B52" s="209">
        <f>B50+B51</f>
        <v>27240000</v>
      </c>
      <c r="C52" s="209">
        <f t="shared" ref="C52:Z52" si="11">C50+C51</f>
        <v>2724000</v>
      </c>
      <c r="D52" s="209">
        <f t="shared" si="11"/>
        <v>3268800</v>
      </c>
      <c r="E52" s="209">
        <f t="shared" si="11"/>
        <v>3813600</v>
      </c>
      <c r="F52" s="209">
        <f t="shared" si="11"/>
        <v>3813600</v>
      </c>
      <c r="G52" s="209">
        <f t="shared" si="11"/>
        <v>4358400</v>
      </c>
      <c r="H52" s="209">
        <f t="shared" si="11"/>
        <v>4903200</v>
      </c>
      <c r="I52" s="209">
        <f t="shared" si="11"/>
        <v>4903200</v>
      </c>
      <c r="J52" s="209">
        <f t="shared" si="11"/>
        <v>5448000</v>
      </c>
      <c r="K52" s="209">
        <f t="shared" si="11"/>
        <v>5992800</v>
      </c>
      <c r="L52" s="209">
        <f t="shared" si="11"/>
        <v>5992800</v>
      </c>
      <c r="M52" s="209">
        <f t="shared" si="11"/>
        <v>5992800</v>
      </c>
      <c r="N52" s="209">
        <f t="shared" si="11"/>
        <v>6537600</v>
      </c>
      <c r="O52" s="209">
        <f t="shared" si="11"/>
        <v>7627200</v>
      </c>
      <c r="P52" s="209">
        <f t="shared" si="11"/>
        <v>7627200</v>
      </c>
      <c r="Q52" s="209">
        <f t="shared" si="11"/>
        <v>7082400</v>
      </c>
      <c r="R52" s="209">
        <f t="shared" si="11"/>
        <v>7082400</v>
      </c>
      <c r="S52" s="209">
        <f t="shared" si="11"/>
        <v>5448000</v>
      </c>
      <c r="T52" s="209">
        <f t="shared" si="11"/>
        <v>5448000</v>
      </c>
      <c r="U52" s="209">
        <f t="shared" si="11"/>
        <v>4358400</v>
      </c>
      <c r="V52" s="209">
        <f t="shared" si="11"/>
        <v>2179200</v>
      </c>
      <c r="W52" s="209">
        <f t="shared" si="11"/>
        <v>1089600</v>
      </c>
      <c r="X52" s="209">
        <f t="shared" si="11"/>
        <v>1089600</v>
      </c>
      <c r="Y52" s="209">
        <f t="shared" si="11"/>
        <v>1089600</v>
      </c>
      <c r="Z52" s="209">
        <f t="shared" si="11"/>
        <v>1089600</v>
      </c>
      <c r="AA52" s="209">
        <f>U50+AA51</f>
        <v>136200000</v>
      </c>
    </row>
    <row r="53" spans="1:27" x14ac:dyDescent="0.25">
      <c r="B53" s="237">
        <f>SUM(B52:Z52)</f>
        <v>136200000</v>
      </c>
    </row>
  </sheetData>
  <mergeCells count="6">
    <mergeCell ref="I44:J44"/>
    <mergeCell ref="A1:J1"/>
    <mergeCell ref="B3:I4"/>
    <mergeCell ref="A5:C5"/>
    <mergeCell ref="D7:F7"/>
    <mergeCell ref="C15:D15"/>
  </mergeCells>
  <printOptions horizontalCentered="1"/>
  <pageMargins left="0.39370078740157483" right="0.39370078740157483" top="1.0236220472440944" bottom="0.78740157480314965" header="0.39370078740157483" footer="0.59055118110236227"/>
  <pageSetup scale="58" orientation="landscape" blackAndWhite="1" r:id="rId1"/>
  <headerFooter alignWithMargins="0">
    <oddHeader>&amp;C&amp;14Ministerio de Obras Públicas y Comunicaciones
Dirección de Caminos Vecinales
Departamento de Planificación y Proyectos</oddHeader>
    <oddFooter>&amp;L&amp;A&amp;C&amp;N&amp;R&amp;D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11</vt:i4>
      </vt:variant>
    </vt:vector>
  </HeadingPairs>
  <TitlesOfParts>
    <vt:vector size="24" baseType="lpstr">
      <vt:lpstr>Cuadro de Costos</vt:lpstr>
      <vt:lpstr>CC D</vt:lpstr>
      <vt:lpstr>PEP</vt:lpstr>
      <vt:lpstr>POA Año 1</vt:lpstr>
      <vt:lpstr>PF M BID</vt:lpstr>
      <vt:lpstr>PF A BID</vt:lpstr>
      <vt:lpstr>PA</vt:lpstr>
      <vt:lpstr>Tramo 1</vt:lpstr>
      <vt:lpstr>Tramo 2</vt:lpstr>
      <vt:lpstr>Tramo3</vt:lpstr>
      <vt:lpstr>Tramo 4</vt:lpstr>
      <vt:lpstr>Fisc Tramo 1</vt:lpstr>
      <vt:lpstr>Fisc Tramo 2</vt:lpstr>
      <vt:lpstr>'CC D'!Print_Area</vt:lpstr>
      <vt:lpstr>'PF M BID'!Print_Area</vt:lpstr>
      <vt:lpstr>'Tramo 1'!Print_Area</vt:lpstr>
      <vt:lpstr>'Tramo 2'!Print_Area</vt:lpstr>
      <vt:lpstr>'Tramo 4'!Print_Area</vt:lpstr>
      <vt:lpstr>Tramo3!Print_Area</vt:lpstr>
      <vt:lpstr>'CC D'!Print_Titles</vt:lpstr>
      <vt:lpstr>PEP!Print_Titles</vt:lpstr>
      <vt:lpstr>'PF A BID'!Print_Titles</vt:lpstr>
      <vt:lpstr>'PF M BID'!Print_Titles</vt:lpstr>
      <vt:lpstr>'POA Año 1'!Print_Titles</vt:lpstr>
    </vt:vector>
  </TitlesOfParts>
  <Manager/>
  <Company>Piratas Unidos S.A.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PGODOY</dc:creator>
  <cp:keywords/>
  <dc:description/>
  <cp:lastModifiedBy>Godoy Blanco,Pablo Enrique</cp:lastModifiedBy>
  <cp:revision/>
  <dcterms:created xsi:type="dcterms:W3CDTF">2012-11-30T15:52:30Z</dcterms:created>
  <dcterms:modified xsi:type="dcterms:W3CDTF">2017-10-25T20:12:47Z</dcterms:modified>
  <cp:category/>
  <cp:contentStatus/>
</cp:coreProperties>
</file>