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pivotTables/pivotTable11.xml" ContentType="application/vnd.openxmlformats-officedocument.spreadsheetml.pivotTable+xml"/>
  <Override PartName="/xl/charts/chart6.xml" ContentType="application/vnd.openxmlformats-officedocument.drawingml.chart+xml"/>
  <Override PartName="/xl/charts/chart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pivotTables/pivotTable10.xml" ContentType="application/vnd.openxmlformats-officedocument.spreadsheetml.pivotTabl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pivotTables/pivotTable5.xml" ContentType="application/vnd.openxmlformats-officedocument.spreadsheetml.pivotTable+xml"/>
  <Override PartName="/xl/pivotTables/pivotTable4.xml" ContentType="application/vnd.openxmlformats-officedocument.spreadsheetml.pivotTable+xml"/>
  <Override PartName="/xl/pivotTables/pivotTable1.xml" ContentType="application/vnd.openxmlformats-officedocument.spreadsheetml.pivotTable+xml"/>
  <Override PartName="/xl/pivotTables/pivotTable3.xml" ContentType="application/vnd.openxmlformats-officedocument.spreadsheetml.pivotTable+xml"/>
  <Override PartName="/xl/pivotTables/pivotTable7.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pivotTables/pivotTable9.xml" ContentType="application/vnd.openxmlformats-officedocument.spreadsheetml.pivotTable+xml"/>
  <Override PartName="/xl/pivotTables/pivotTable8.xml" ContentType="application/vnd.openxmlformats-officedocument.spreadsheetml.pivotTable+xml"/>
  <Override PartName="/xl/tables/table2.xml" ContentType="application/vnd.openxmlformats-officedocument.spreadsheetml.tabl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comments1.xml" ContentType="application/vnd.openxmlformats-officedocument.spreadsheetml.comments+xml"/>
  <Override PartName="/xl/pivotCache/pivotCacheRecords4.xml" ContentType="application/vnd.openxmlformats-officedocument.spreadsheetml.pivotCacheRecord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70" windowWidth="19440" windowHeight="7530" firstSheet="15" activeTab="24"/>
  </bookViews>
  <sheets>
    <sheet name="Referencias_Dimensiones" sheetId="1" r:id="rId1"/>
    <sheet name="Referencias_Maquinaria" sheetId="2" r:id="rId2"/>
    <sheet name="Referencias_M.Tierras" sheetId="3" r:id="rId3"/>
    <sheet name="Referencias_Otros" sheetId="4" r:id="rId4"/>
    <sheet name="Base de Datos Obras" sheetId="5" r:id="rId5"/>
    <sheet name="Leame BD" sheetId="19" r:id="rId6"/>
    <sheet name="Hoja4" sheetId="28" state="hidden" r:id="rId7"/>
    <sheet name="Hoja1" sheetId="29" state="hidden" r:id="rId8"/>
    <sheet name="Hoja2" sheetId="30" state="hidden" r:id="rId9"/>
    <sheet name="GEI Gral Combust" sheetId="22" r:id="rId10"/>
    <sheet name="Combust Fija HRSaño" sheetId="34" r:id="rId11"/>
    <sheet name="Combust Fija Cálc" sheetId="23" r:id="rId12"/>
    <sheet name="Combust Móvil Activ" sheetId="36" r:id="rId13"/>
    <sheet name="Combust Móvil Cálc" sheetId="27" r:id="rId14"/>
    <sheet name="GEI Gral PTAS" sheetId="38" r:id="rId15"/>
    <sheet name="GEI PTAS Cálc" sheetId="40" r:id="rId16"/>
    <sheet name="B_intervenida" sheetId="41" r:id="rId17"/>
    <sheet name="Combustion leña" sheetId="42" r:id="rId18"/>
    <sheet name="Descomposicion" sheetId="43" r:id="rId19"/>
    <sheet name="PRV" sheetId="44" r:id="rId20"/>
    <sheet name="Compensacion" sheetId="45" r:id="rId21"/>
    <sheet name="Emisiones de GEI" sheetId="46" r:id="rId22"/>
    <sheet name="Captura de CO2e" sheetId="47" r:id="rId23"/>
    <sheet name="Balance" sheetId="48" r:id="rId24"/>
    <sheet name="GEI TOTAL EMISIONES" sheetId="31" r:id="rId25"/>
  </sheets>
  <definedNames>
    <definedName name="_xlnm._FilterDatabase" localSheetId="16" hidden="1">B_intervenida!$A$2:$Y$91</definedName>
    <definedName name="_xlnm._FilterDatabase" localSheetId="4" hidden="1">'Base de Datos Obras'!$A$1:$V$92</definedName>
    <definedName name="_xlnm._FilterDatabase" localSheetId="17" hidden="1">'Combustion leña'!$A$2:$AF$37</definedName>
    <definedName name="_xlnm._FilterDatabase" localSheetId="18" hidden="1">Descomposicion!$A$2:$P$2</definedName>
    <definedName name="_xlnm._FilterDatabase" localSheetId="19" hidden="1">PRV!$A$2:$P$44</definedName>
    <definedName name="_xlnm._FilterDatabase" localSheetId="0" hidden="1">Referencias_M.Tierras!$A$3:$AJ$3</definedName>
    <definedName name="_xlnm.Print_Area" localSheetId="4">'Base de Datos Obras'!$A$1:$L$91</definedName>
  </definedNames>
  <calcPr calcId="145621"/>
  <pivotCaches>
    <pivotCache cacheId="0" r:id="rId26"/>
    <pivotCache cacheId="1" r:id="rId27"/>
    <pivotCache cacheId="2" r:id="rId28"/>
    <pivotCache cacheId="3" r:id="rId29"/>
  </pivotCaches>
</workbook>
</file>

<file path=xl/calcChain.xml><?xml version="1.0" encoding="utf-8"?>
<calcChain xmlns="http://schemas.openxmlformats.org/spreadsheetml/2006/main">
  <c r="R28" i="31" l="1"/>
  <c r="R27" i="31"/>
  <c r="H179" i="34" l="1"/>
  <c r="H180" i="34"/>
  <c r="H181" i="34"/>
  <c r="H182" i="34"/>
  <c r="H183" i="34"/>
  <c r="H178" i="34"/>
  <c r="Y18" i="31" l="1"/>
  <c r="Y17" i="31"/>
  <c r="Y16" i="31"/>
  <c r="Y15" i="31"/>
  <c r="X18" i="31"/>
  <c r="X17" i="31"/>
  <c r="X16" i="31"/>
  <c r="X15" i="31"/>
  <c r="W15" i="31"/>
  <c r="X19" i="31" l="1"/>
  <c r="X14" i="31"/>
  <c r="K39" i="46"/>
  <c r="Q39" i="46"/>
  <c r="G17" i="31"/>
  <c r="F17" i="31"/>
  <c r="J14" i="31"/>
  <c r="F14" i="31"/>
  <c r="U20" i="31"/>
  <c r="L27" i="31"/>
  <c r="M27" i="31"/>
  <c r="N27" i="31"/>
  <c r="O27" i="31"/>
  <c r="K27" i="31"/>
  <c r="L8" i="46"/>
  <c r="L39" i="46" l="1"/>
  <c r="G14" i="31"/>
  <c r="G21" i="47"/>
  <c r="F21" i="47"/>
  <c r="E21" i="47"/>
  <c r="D21" i="47"/>
  <c r="C21" i="47"/>
  <c r="B21" i="47"/>
  <c r="A21" i="47"/>
  <c r="F20" i="47"/>
  <c r="E20" i="47"/>
  <c r="D20" i="47"/>
  <c r="C20" i="47"/>
  <c r="B20" i="47"/>
  <c r="A20" i="47"/>
  <c r="E19" i="47"/>
  <c r="D19" i="47"/>
  <c r="C19" i="47"/>
  <c r="B19" i="47"/>
  <c r="A19" i="47"/>
  <c r="D18" i="47"/>
  <c r="C18" i="47"/>
  <c r="B18" i="47"/>
  <c r="A18" i="47"/>
  <c r="C17" i="47"/>
  <c r="B17" i="47"/>
  <c r="A17" i="47"/>
  <c r="U39" i="46"/>
  <c r="M23" i="48" s="1"/>
  <c r="T39" i="46"/>
  <c r="L23" i="48" s="1"/>
  <c r="S39" i="46"/>
  <c r="K23" i="48" s="1"/>
  <c r="R39" i="46"/>
  <c r="J23" i="48" s="1"/>
  <c r="O39" i="46"/>
  <c r="G23" i="48" s="1"/>
  <c r="C23" i="48"/>
  <c r="H40" i="45"/>
  <c r="I40" i="45" s="1"/>
  <c r="J40" i="45" s="1"/>
  <c r="K40" i="45" s="1"/>
  <c r="L40" i="45" s="1"/>
  <c r="L29" i="46" s="1"/>
  <c r="G18" i="31" s="1"/>
  <c r="E40" i="45"/>
  <c r="E41" i="45" s="1"/>
  <c r="H39" i="45"/>
  <c r="I39" i="45" s="1"/>
  <c r="J39" i="45" s="1"/>
  <c r="K39" i="45" s="1"/>
  <c r="L39" i="45" s="1"/>
  <c r="K29" i="46" s="1"/>
  <c r="G39" i="45"/>
  <c r="G40" i="45" s="1"/>
  <c r="G41" i="45" s="1"/>
  <c r="G42" i="45" s="1"/>
  <c r="E39" i="45"/>
  <c r="C39" i="45"/>
  <c r="C40" i="45" s="1"/>
  <c r="U29" i="45"/>
  <c r="T29" i="45"/>
  <c r="S29" i="45"/>
  <c r="R29" i="45"/>
  <c r="Q29" i="45"/>
  <c r="P29" i="45"/>
  <c r="O29" i="45"/>
  <c r="N29" i="45"/>
  <c r="M29" i="45"/>
  <c r="U28" i="45"/>
  <c r="T28" i="45"/>
  <c r="S28" i="45"/>
  <c r="R28" i="45"/>
  <c r="Q28" i="45"/>
  <c r="P28" i="45"/>
  <c r="O28" i="45"/>
  <c r="N28" i="45"/>
  <c r="M28" i="45"/>
  <c r="U27" i="45"/>
  <c r="T27" i="45"/>
  <c r="S27" i="45"/>
  <c r="R27" i="45"/>
  <c r="Q27" i="45"/>
  <c r="P27" i="45"/>
  <c r="O27" i="45"/>
  <c r="N27" i="45"/>
  <c r="M27" i="45"/>
  <c r="U26" i="45"/>
  <c r="T26" i="45"/>
  <c r="S26" i="45"/>
  <c r="R26" i="45"/>
  <c r="Q26" i="45"/>
  <c r="P26" i="45"/>
  <c r="O26" i="45"/>
  <c r="N26" i="45"/>
  <c r="M26" i="45"/>
  <c r="U25" i="45"/>
  <c r="T25" i="45"/>
  <c r="S25" i="45"/>
  <c r="R25" i="45"/>
  <c r="Q25" i="45"/>
  <c r="P25" i="45"/>
  <c r="O25" i="45"/>
  <c r="N25" i="45"/>
  <c r="M25" i="45"/>
  <c r="U24" i="45"/>
  <c r="T24" i="45"/>
  <c r="S24" i="45"/>
  <c r="R24" i="45"/>
  <c r="Q24" i="45"/>
  <c r="P24" i="45"/>
  <c r="O24" i="45"/>
  <c r="N24" i="45"/>
  <c r="M24" i="45"/>
  <c r="R23" i="45"/>
  <c r="N23" i="45"/>
  <c r="M23" i="45"/>
  <c r="J23" i="45"/>
  <c r="U23" i="45" s="1"/>
  <c r="I23" i="45"/>
  <c r="T23" i="45" s="1"/>
  <c r="H23" i="45"/>
  <c r="S23" i="45" s="1"/>
  <c r="G23" i="45"/>
  <c r="F23" i="45"/>
  <c r="Q23" i="45" s="1"/>
  <c r="E23" i="45"/>
  <c r="P23" i="45" s="1"/>
  <c r="D23" i="45"/>
  <c r="O23" i="45" s="1"/>
  <c r="M22" i="45"/>
  <c r="J21" i="45"/>
  <c r="U21" i="45" s="1"/>
  <c r="F21" i="45"/>
  <c r="E21" i="45"/>
  <c r="P21" i="45" s="1"/>
  <c r="J13" i="45"/>
  <c r="H13" i="45"/>
  <c r="F13" i="45"/>
  <c r="I13" i="45" s="1"/>
  <c r="J12" i="45"/>
  <c r="H12" i="45"/>
  <c r="F12" i="45"/>
  <c r="I12" i="45" s="1"/>
  <c r="J11" i="45"/>
  <c r="H11" i="45"/>
  <c r="F11" i="45"/>
  <c r="I11" i="45" s="1"/>
  <c r="J10" i="45"/>
  <c r="H10" i="45"/>
  <c r="F10" i="45"/>
  <c r="I10" i="45" s="1"/>
  <c r="J9" i="45"/>
  <c r="H9" i="45"/>
  <c r="F9" i="45"/>
  <c r="I9" i="45" s="1"/>
  <c r="J8" i="45"/>
  <c r="H8" i="45"/>
  <c r="F8" i="45"/>
  <c r="I8" i="45" s="1"/>
  <c r="J7" i="45"/>
  <c r="H7" i="45"/>
  <c r="F7" i="45"/>
  <c r="J6" i="45"/>
  <c r="H6" i="45"/>
  <c r="C6" i="45"/>
  <c r="I22" i="45" s="1"/>
  <c r="T22" i="45" s="1"/>
  <c r="J5" i="45"/>
  <c r="H5" i="45"/>
  <c r="C5" i="45"/>
  <c r="H21" i="45" s="1"/>
  <c r="S21" i="45" s="1"/>
  <c r="J4" i="45"/>
  <c r="I4" i="45"/>
  <c r="H4" i="45"/>
  <c r="F4" i="45"/>
  <c r="O44" i="44"/>
  <c r="P44" i="44" s="1"/>
  <c r="K44" i="44"/>
  <c r="L44" i="44" s="1"/>
  <c r="J44" i="44"/>
  <c r="N44" i="44" s="1"/>
  <c r="G44" i="44"/>
  <c r="N43" i="44"/>
  <c r="O43" i="44" s="1"/>
  <c r="P43" i="44" s="1"/>
  <c r="K43" i="44"/>
  <c r="L43" i="44" s="1"/>
  <c r="J43" i="44"/>
  <c r="G43" i="44"/>
  <c r="N42" i="44"/>
  <c r="O42" i="44" s="1"/>
  <c r="P42" i="44" s="1"/>
  <c r="J42" i="44"/>
  <c r="K42" i="44" s="1"/>
  <c r="L42" i="44" s="1"/>
  <c r="G42" i="44"/>
  <c r="N41" i="44"/>
  <c r="O41" i="44" s="1"/>
  <c r="P41" i="44" s="1"/>
  <c r="J41" i="44"/>
  <c r="K41" i="44" s="1"/>
  <c r="L41" i="44" s="1"/>
  <c r="G41" i="44"/>
  <c r="J40" i="44"/>
  <c r="N40" i="44" s="1"/>
  <c r="O40" i="44" s="1"/>
  <c r="P40" i="44" s="1"/>
  <c r="G40" i="44"/>
  <c r="J39" i="44"/>
  <c r="G39" i="44"/>
  <c r="J38" i="44"/>
  <c r="K38" i="44" s="1"/>
  <c r="L38" i="44" s="1"/>
  <c r="G38" i="44"/>
  <c r="I37" i="44"/>
  <c r="J37" i="44" s="1"/>
  <c r="K37" i="44" s="1"/>
  <c r="L37" i="44" s="1"/>
  <c r="G37" i="44"/>
  <c r="I36" i="44"/>
  <c r="J36" i="44" s="1"/>
  <c r="K36" i="44" s="1"/>
  <c r="L36" i="44" s="1"/>
  <c r="G36" i="44"/>
  <c r="I35" i="44"/>
  <c r="J35" i="44" s="1"/>
  <c r="K35" i="44" s="1"/>
  <c r="L35" i="44" s="1"/>
  <c r="G35" i="44"/>
  <c r="I34" i="44"/>
  <c r="J34" i="44" s="1"/>
  <c r="K34" i="44" s="1"/>
  <c r="L34" i="44" s="1"/>
  <c r="G34" i="44"/>
  <c r="I33" i="44"/>
  <c r="J33" i="44" s="1"/>
  <c r="K33" i="44" s="1"/>
  <c r="L33" i="44" s="1"/>
  <c r="G33" i="44"/>
  <c r="J32" i="44"/>
  <c r="K32" i="44" s="1"/>
  <c r="L32" i="44" s="1"/>
  <c r="G32" i="44"/>
  <c r="J31" i="44"/>
  <c r="N31" i="44" s="1"/>
  <c r="O31" i="44" s="1"/>
  <c r="P31" i="44" s="1"/>
  <c r="J30" i="44"/>
  <c r="K30" i="44" s="1"/>
  <c r="L30" i="44" s="1"/>
  <c r="I29" i="44"/>
  <c r="J29" i="44" s="1"/>
  <c r="I28" i="44"/>
  <c r="J28" i="44" s="1"/>
  <c r="J27" i="44"/>
  <c r="J26" i="44"/>
  <c r="N26" i="44" s="1"/>
  <c r="O26" i="44" s="1"/>
  <c r="P26" i="44" s="1"/>
  <c r="J25" i="44"/>
  <c r="J24" i="44"/>
  <c r="N24" i="44" s="1"/>
  <c r="O24" i="44" s="1"/>
  <c r="P24" i="44" s="1"/>
  <c r="J23" i="44"/>
  <c r="J22" i="44"/>
  <c r="N22" i="44" s="1"/>
  <c r="O22" i="44" s="1"/>
  <c r="P22" i="44" s="1"/>
  <c r="J21" i="44"/>
  <c r="J20" i="44"/>
  <c r="N20" i="44" s="1"/>
  <c r="O20" i="44" s="1"/>
  <c r="P20" i="44" s="1"/>
  <c r="J19" i="44"/>
  <c r="T18" i="44"/>
  <c r="C22" i="47" s="1"/>
  <c r="J5" i="47" s="1"/>
  <c r="S18" i="44"/>
  <c r="B22" i="47" s="1"/>
  <c r="I5" i="47" s="1"/>
  <c r="N18" i="44"/>
  <c r="O18" i="44" s="1"/>
  <c r="P18" i="44" s="1"/>
  <c r="J18" i="44"/>
  <c r="K18" i="44" s="1"/>
  <c r="L18" i="44" s="1"/>
  <c r="AC17" i="44"/>
  <c r="L21" i="47" s="1"/>
  <c r="AB17" i="44"/>
  <c r="K21" i="47" s="1"/>
  <c r="AA17" i="44"/>
  <c r="J21" i="47" s="1"/>
  <c r="Z17" i="44"/>
  <c r="I21" i="47" s="1"/>
  <c r="Y17" i="44"/>
  <c r="H21" i="47" s="1"/>
  <c r="R17" i="44"/>
  <c r="J17" i="44"/>
  <c r="N17" i="44" s="1"/>
  <c r="O17" i="44" s="1"/>
  <c r="P17" i="44" s="1"/>
  <c r="AC16" i="44"/>
  <c r="L20" i="47" s="1"/>
  <c r="AB16" i="44"/>
  <c r="K20" i="47" s="1"/>
  <c r="AA16" i="44"/>
  <c r="J20" i="47" s="1"/>
  <c r="Z16" i="44"/>
  <c r="I20" i="47" s="1"/>
  <c r="Y16" i="44"/>
  <c r="H20" i="47" s="1"/>
  <c r="X16" i="44"/>
  <c r="G20" i="47" s="1"/>
  <c r="R16" i="44"/>
  <c r="J16" i="44"/>
  <c r="AC15" i="44"/>
  <c r="L19" i="47" s="1"/>
  <c r="AB15" i="44"/>
  <c r="K19" i="47" s="1"/>
  <c r="AA15" i="44"/>
  <c r="J19" i="47" s="1"/>
  <c r="Z15" i="44"/>
  <c r="I19" i="47" s="1"/>
  <c r="Y15" i="44"/>
  <c r="H19" i="47" s="1"/>
  <c r="X15" i="44"/>
  <c r="G19" i="47" s="1"/>
  <c r="W15" i="44"/>
  <c r="F19" i="47" s="1"/>
  <c r="R15" i="44"/>
  <c r="J15" i="44"/>
  <c r="AC14" i="44"/>
  <c r="L18" i="47" s="1"/>
  <c r="AB14" i="44"/>
  <c r="AA14" i="44"/>
  <c r="J18" i="47" s="1"/>
  <c r="Z14" i="44"/>
  <c r="I18" i="47" s="1"/>
  <c r="Y14" i="44"/>
  <c r="H18" i="47" s="1"/>
  <c r="X14" i="44"/>
  <c r="W14" i="44"/>
  <c r="F18" i="47" s="1"/>
  <c r="V14" i="44"/>
  <c r="E18" i="47" s="1"/>
  <c r="R14" i="44"/>
  <c r="J14" i="44"/>
  <c r="K14" i="44" s="1"/>
  <c r="L14" i="44" s="1"/>
  <c r="AC13" i="44"/>
  <c r="AB13" i="44"/>
  <c r="K17" i="47" s="1"/>
  <c r="AA13" i="44"/>
  <c r="Z13" i="44"/>
  <c r="I17" i="47" s="1"/>
  <c r="Y13" i="44"/>
  <c r="X13" i="44"/>
  <c r="G17" i="47" s="1"/>
  <c r="W13" i="44"/>
  <c r="V13" i="44"/>
  <c r="E17" i="47" s="1"/>
  <c r="U13" i="44"/>
  <c r="R13" i="44"/>
  <c r="N13" i="44"/>
  <c r="O13" i="44" s="1"/>
  <c r="P13" i="44" s="1"/>
  <c r="K13" i="44"/>
  <c r="L13" i="44" s="1"/>
  <c r="J13" i="44"/>
  <c r="J12" i="44"/>
  <c r="K12" i="44" s="1"/>
  <c r="L12" i="44" s="1"/>
  <c r="J11" i="44"/>
  <c r="N11" i="44" s="1"/>
  <c r="O11" i="44" s="1"/>
  <c r="P11" i="44" s="1"/>
  <c r="N10" i="44"/>
  <c r="O10" i="44" s="1"/>
  <c r="P10" i="44" s="1"/>
  <c r="J10" i="44"/>
  <c r="K10" i="44" s="1"/>
  <c r="L10" i="44" s="1"/>
  <c r="J9" i="44"/>
  <c r="K9" i="44" s="1"/>
  <c r="L9" i="44" s="1"/>
  <c r="J8" i="44"/>
  <c r="N8" i="44" s="1"/>
  <c r="O8" i="44" s="1"/>
  <c r="P8" i="44" s="1"/>
  <c r="J7" i="44"/>
  <c r="K7" i="44" s="1"/>
  <c r="L7" i="44" s="1"/>
  <c r="J6" i="44"/>
  <c r="N6" i="44" s="1"/>
  <c r="O6" i="44" s="1"/>
  <c r="P6" i="44" s="1"/>
  <c r="N5" i="44"/>
  <c r="O5" i="44" s="1"/>
  <c r="P5" i="44" s="1"/>
  <c r="J5" i="44"/>
  <c r="K5" i="44" s="1"/>
  <c r="L5" i="44" s="1"/>
  <c r="J4" i="44"/>
  <c r="K4" i="44" s="1"/>
  <c r="L4" i="44" s="1"/>
  <c r="J3" i="44"/>
  <c r="K3" i="44" s="1"/>
  <c r="L3" i="44" s="1"/>
  <c r="G77" i="43"/>
  <c r="I77" i="43" s="1"/>
  <c r="J77" i="43" s="1"/>
  <c r="K77" i="43" s="1"/>
  <c r="L77" i="43" s="1"/>
  <c r="G76" i="43"/>
  <c r="I76" i="43" s="1"/>
  <c r="J76" i="43" s="1"/>
  <c r="K76" i="43" s="1"/>
  <c r="L76" i="43" s="1"/>
  <c r="G75" i="43"/>
  <c r="I75" i="43" s="1"/>
  <c r="J75" i="43" s="1"/>
  <c r="K75" i="43" s="1"/>
  <c r="L75" i="43" s="1"/>
  <c r="G74" i="43"/>
  <c r="I74" i="43" s="1"/>
  <c r="J74" i="43" s="1"/>
  <c r="K74" i="43" s="1"/>
  <c r="L74" i="43" s="1"/>
  <c r="J73" i="43"/>
  <c r="K73" i="43" s="1"/>
  <c r="L73" i="43" s="1"/>
  <c r="I73" i="43"/>
  <c r="G73" i="43"/>
  <c r="G72" i="43"/>
  <c r="I72" i="43" s="1"/>
  <c r="J72" i="43" s="1"/>
  <c r="K72" i="43" s="1"/>
  <c r="L72" i="43" s="1"/>
  <c r="G71" i="43"/>
  <c r="I71" i="43" s="1"/>
  <c r="J71" i="43" s="1"/>
  <c r="K71" i="43" s="1"/>
  <c r="L71" i="43" s="1"/>
  <c r="G70" i="43"/>
  <c r="I70" i="43" s="1"/>
  <c r="J70" i="43" s="1"/>
  <c r="K70" i="43" s="1"/>
  <c r="L70" i="43" s="1"/>
  <c r="G69" i="43"/>
  <c r="I69" i="43" s="1"/>
  <c r="J69" i="43" s="1"/>
  <c r="K69" i="43" s="1"/>
  <c r="L69" i="43" s="1"/>
  <c r="G68" i="43"/>
  <c r="I68" i="43" s="1"/>
  <c r="J68" i="43" s="1"/>
  <c r="K68" i="43" s="1"/>
  <c r="L68" i="43" s="1"/>
  <c r="G67" i="43"/>
  <c r="I67" i="43" s="1"/>
  <c r="J67" i="43" s="1"/>
  <c r="K67" i="43" s="1"/>
  <c r="L67" i="43" s="1"/>
  <c r="G66" i="43"/>
  <c r="I66" i="43" s="1"/>
  <c r="J66" i="43" s="1"/>
  <c r="K66" i="43" s="1"/>
  <c r="L66" i="43" s="1"/>
  <c r="J65" i="43"/>
  <c r="K65" i="43" s="1"/>
  <c r="L65" i="43" s="1"/>
  <c r="I65" i="43"/>
  <c r="G65" i="43"/>
  <c r="G64" i="43"/>
  <c r="I64" i="43" s="1"/>
  <c r="J64" i="43" s="1"/>
  <c r="K64" i="43" s="1"/>
  <c r="L64" i="43" s="1"/>
  <c r="G63" i="43"/>
  <c r="I63" i="43" s="1"/>
  <c r="J63" i="43" s="1"/>
  <c r="K63" i="43" s="1"/>
  <c r="L63" i="43" s="1"/>
  <c r="G62" i="43"/>
  <c r="I62" i="43" s="1"/>
  <c r="J62" i="43" s="1"/>
  <c r="K62" i="43" s="1"/>
  <c r="L62" i="43" s="1"/>
  <c r="G61" i="43"/>
  <c r="I61" i="43" s="1"/>
  <c r="J61" i="43" s="1"/>
  <c r="K61" i="43" s="1"/>
  <c r="L61" i="43" s="1"/>
  <c r="G60" i="43"/>
  <c r="I60" i="43" s="1"/>
  <c r="J60" i="43" s="1"/>
  <c r="K60" i="43" s="1"/>
  <c r="L60" i="43" s="1"/>
  <c r="G59" i="43"/>
  <c r="I59" i="43" s="1"/>
  <c r="J59" i="43" s="1"/>
  <c r="K59" i="43" s="1"/>
  <c r="L59" i="43" s="1"/>
  <c r="G58" i="43"/>
  <c r="I58" i="43" s="1"/>
  <c r="J58" i="43" s="1"/>
  <c r="K58" i="43" s="1"/>
  <c r="L58" i="43" s="1"/>
  <c r="J57" i="43"/>
  <c r="K57" i="43" s="1"/>
  <c r="L57" i="43" s="1"/>
  <c r="I57" i="43"/>
  <c r="G57" i="43"/>
  <c r="G56" i="43"/>
  <c r="I56" i="43" s="1"/>
  <c r="J56" i="43" s="1"/>
  <c r="K56" i="43" s="1"/>
  <c r="L56" i="43" s="1"/>
  <c r="G55" i="43"/>
  <c r="I55" i="43" s="1"/>
  <c r="J55" i="43" s="1"/>
  <c r="K55" i="43" s="1"/>
  <c r="L55" i="43" s="1"/>
  <c r="G54" i="43"/>
  <c r="I54" i="43" s="1"/>
  <c r="J54" i="43" s="1"/>
  <c r="K54" i="43" s="1"/>
  <c r="L54" i="43" s="1"/>
  <c r="G53" i="43"/>
  <c r="I53" i="43" s="1"/>
  <c r="J53" i="43" s="1"/>
  <c r="K53" i="43" s="1"/>
  <c r="L53" i="43" s="1"/>
  <c r="G52" i="43"/>
  <c r="I52" i="43" s="1"/>
  <c r="J52" i="43" s="1"/>
  <c r="K52" i="43" s="1"/>
  <c r="L52" i="43" s="1"/>
  <c r="I51" i="43"/>
  <c r="J51" i="43" s="1"/>
  <c r="K51" i="43" s="1"/>
  <c r="L51" i="43" s="1"/>
  <c r="G51" i="43"/>
  <c r="G50" i="43"/>
  <c r="I50" i="43" s="1"/>
  <c r="J50" i="43" s="1"/>
  <c r="K50" i="43" s="1"/>
  <c r="L50" i="43" s="1"/>
  <c r="G49" i="43"/>
  <c r="I49" i="43" s="1"/>
  <c r="J49" i="43" s="1"/>
  <c r="K49" i="43" s="1"/>
  <c r="L49" i="43" s="1"/>
  <c r="I48" i="43"/>
  <c r="J48" i="43" s="1"/>
  <c r="K48" i="43" s="1"/>
  <c r="L48" i="43" s="1"/>
  <c r="G48" i="43"/>
  <c r="I47" i="43"/>
  <c r="J47" i="43" s="1"/>
  <c r="K47" i="43" s="1"/>
  <c r="L47" i="43" s="1"/>
  <c r="G47" i="43"/>
  <c r="AC46" i="43"/>
  <c r="AD46" i="43" s="1"/>
  <c r="AC47" i="43" s="1"/>
  <c r="AD47" i="43" s="1"/>
  <c r="AC48" i="43" s="1"/>
  <c r="AD48" i="43" s="1"/>
  <c r="AC49" i="43" s="1"/>
  <c r="AD49" i="43" s="1"/>
  <c r="AC50" i="43" s="1"/>
  <c r="AD50" i="43" s="1"/>
  <c r="AC51" i="43" s="1"/>
  <c r="AD51" i="43" s="1"/>
  <c r="AC52" i="43" s="1"/>
  <c r="AD52" i="43" s="1"/>
  <c r="G46" i="43"/>
  <c r="I46" i="43" s="1"/>
  <c r="J46" i="43" s="1"/>
  <c r="K46" i="43" s="1"/>
  <c r="L46" i="43" s="1"/>
  <c r="AD45" i="43"/>
  <c r="AA45" i="43"/>
  <c r="I45" i="43"/>
  <c r="J45" i="43" s="1"/>
  <c r="K45" i="43" s="1"/>
  <c r="L45" i="43" s="1"/>
  <c r="G45" i="43"/>
  <c r="AD44" i="43"/>
  <c r="Y44" i="43"/>
  <c r="K44" i="43"/>
  <c r="L44" i="43" s="1"/>
  <c r="I44" i="43"/>
  <c r="J44" i="43" s="1"/>
  <c r="G44" i="43"/>
  <c r="AD43" i="43"/>
  <c r="AB43" i="43"/>
  <c r="AB44" i="43" s="1"/>
  <c r="AB45" i="43" s="1"/>
  <c r="AA46" i="43" s="1"/>
  <c r="AB46" i="43" s="1"/>
  <c r="AA47" i="43" s="1"/>
  <c r="AB47" i="43" s="1"/>
  <c r="AA48" i="43" s="1"/>
  <c r="AB48" i="43" s="1"/>
  <c r="AA49" i="43" s="1"/>
  <c r="AB49" i="43" s="1"/>
  <c r="AA50" i="43" s="1"/>
  <c r="AB50" i="43" s="1"/>
  <c r="AA51" i="43" s="1"/>
  <c r="AB51" i="43" s="1"/>
  <c r="AA52" i="43" s="1"/>
  <c r="AB52" i="43" s="1"/>
  <c r="W43" i="43"/>
  <c r="I43" i="43"/>
  <c r="J43" i="43" s="1"/>
  <c r="K43" i="43" s="1"/>
  <c r="L43" i="43" s="1"/>
  <c r="G43" i="43"/>
  <c r="AD42" i="43"/>
  <c r="AB42" i="43"/>
  <c r="Z42" i="43"/>
  <c r="Z43" i="43" s="1"/>
  <c r="X42" i="43"/>
  <c r="V42" i="43"/>
  <c r="U43" i="43" s="1"/>
  <c r="AE43" i="43" s="1"/>
  <c r="AF43" i="43" s="1"/>
  <c r="AG43" i="43" s="1"/>
  <c r="AH43" i="43" s="1"/>
  <c r="B28" i="46" s="1"/>
  <c r="L15" i="46" s="1"/>
  <c r="U42" i="43"/>
  <c r="AE42" i="43" s="1"/>
  <c r="AF42" i="43" s="1"/>
  <c r="AG42" i="43" s="1"/>
  <c r="AH42" i="43" s="1"/>
  <c r="B27" i="46" s="1"/>
  <c r="K15" i="46" s="1"/>
  <c r="G42" i="43"/>
  <c r="I42" i="43" s="1"/>
  <c r="AA15" i="43"/>
  <c r="Y13" i="43"/>
  <c r="X12" i="43"/>
  <c r="W13" i="43" s="1"/>
  <c r="X13" i="43" s="1"/>
  <c r="W14" i="43" s="1"/>
  <c r="X14" i="43" s="1"/>
  <c r="W15" i="43" s="1"/>
  <c r="X15" i="43" s="1"/>
  <c r="W16" i="43" s="1"/>
  <c r="X16" i="43" s="1"/>
  <c r="W17" i="43" s="1"/>
  <c r="X17" i="43" s="1"/>
  <c r="W18" i="43" s="1"/>
  <c r="X18" i="43" s="1"/>
  <c r="W19" i="43" s="1"/>
  <c r="X19" i="43" s="1"/>
  <c r="W20" i="43" s="1"/>
  <c r="X20" i="43" s="1"/>
  <c r="W21" i="43" s="1"/>
  <c r="X21" i="43" s="1"/>
  <c r="W12" i="43"/>
  <c r="AB11" i="43"/>
  <c r="AB12" i="43" s="1"/>
  <c r="AB13" i="43" s="1"/>
  <c r="AB14" i="43" s="1"/>
  <c r="AB15" i="43" s="1"/>
  <c r="AA16" i="43" s="1"/>
  <c r="AB16" i="43" s="1"/>
  <c r="AA17" i="43" s="1"/>
  <c r="AB17" i="43" s="1"/>
  <c r="AA18" i="43" s="1"/>
  <c r="AB18" i="43" s="1"/>
  <c r="AA19" i="43" s="1"/>
  <c r="AB19" i="43" s="1"/>
  <c r="AA20" i="43" s="1"/>
  <c r="AB20" i="43" s="1"/>
  <c r="AA21" i="43" s="1"/>
  <c r="AB21" i="43" s="1"/>
  <c r="Z11" i="43"/>
  <c r="Z12" i="43" s="1"/>
  <c r="X11" i="43"/>
  <c r="U11" i="43"/>
  <c r="AC11" i="43" s="1"/>
  <c r="AD11" i="43" s="1"/>
  <c r="AE11" i="43" s="1"/>
  <c r="AF11" i="43" s="1"/>
  <c r="AG11" i="43" s="1"/>
  <c r="F37" i="42"/>
  <c r="E37" i="42"/>
  <c r="F36" i="42"/>
  <c r="E36" i="42"/>
  <c r="F35" i="42"/>
  <c r="E35" i="42"/>
  <c r="F34" i="42"/>
  <c r="E34" i="42"/>
  <c r="F33" i="42"/>
  <c r="E33" i="42"/>
  <c r="F32" i="42"/>
  <c r="E32" i="42"/>
  <c r="F31" i="42"/>
  <c r="E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5" i="42"/>
  <c r="F4" i="42"/>
  <c r="F3" i="42"/>
  <c r="F125" i="41"/>
  <c r="G125" i="41" s="1"/>
  <c r="H125" i="41" s="1"/>
  <c r="J24" i="41" s="1"/>
  <c r="E115" i="41"/>
  <c r="G115" i="41" s="1"/>
  <c r="H115" i="41" s="1"/>
  <c r="I115" i="41" s="1"/>
  <c r="J115" i="41" s="1"/>
  <c r="E114" i="41"/>
  <c r="G114" i="41" s="1"/>
  <c r="H114" i="41" s="1"/>
  <c r="I114" i="41" s="1"/>
  <c r="J114" i="41" s="1"/>
  <c r="E113" i="41"/>
  <c r="G113" i="41" s="1"/>
  <c r="H113" i="41" s="1"/>
  <c r="I113" i="41" s="1"/>
  <c r="J113" i="41" s="1"/>
  <c r="E111" i="41"/>
  <c r="G111" i="41" s="1"/>
  <c r="H111" i="41" s="1"/>
  <c r="I111" i="41" s="1"/>
  <c r="J111" i="41" s="1"/>
  <c r="G110" i="41"/>
  <c r="H110" i="41" s="1"/>
  <c r="I110" i="41" s="1"/>
  <c r="E110" i="41"/>
  <c r="E109" i="41"/>
  <c r="G109" i="41" s="1"/>
  <c r="H109" i="41" s="1"/>
  <c r="I109" i="41" s="1"/>
  <c r="J109" i="41" s="1"/>
  <c r="E108" i="41"/>
  <c r="G108" i="41" s="1"/>
  <c r="H108" i="41" s="1"/>
  <c r="I108" i="41" s="1"/>
  <c r="J108" i="41" s="1"/>
  <c r="E107" i="41"/>
  <c r="G107" i="41" s="1"/>
  <c r="H107" i="41" s="1"/>
  <c r="I107" i="41" s="1"/>
  <c r="J107" i="41" s="1"/>
  <c r="E106" i="41"/>
  <c r="G106" i="41" s="1"/>
  <c r="H106" i="41" s="1"/>
  <c r="I106" i="41" s="1"/>
  <c r="J106" i="41" s="1"/>
  <c r="E105" i="41"/>
  <c r="G105" i="41" s="1"/>
  <c r="H105" i="41" s="1"/>
  <c r="I105" i="41" s="1"/>
  <c r="J105" i="41" s="1"/>
  <c r="E104" i="41"/>
  <c r="G104" i="41" s="1"/>
  <c r="H104" i="41" s="1"/>
  <c r="I104" i="41" s="1"/>
  <c r="J104" i="41" s="1"/>
  <c r="I19" i="41" s="1"/>
  <c r="E103" i="41"/>
  <c r="G103" i="41" s="1"/>
  <c r="H103" i="41" s="1"/>
  <c r="I103" i="41" s="1"/>
  <c r="J103" i="41" s="1"/>
  <c r="I38" i="41" s="1"/>
  <c r="E102" i="41"/>
  <c r="G102" i="41" s="1"/>
  <c r="H102" i="41" s="1"/>
  <c r="I102" i="41" s="1"/>
  <c r="J102" i="41" s="1"/>
  <c r="I86" i="41" s="1"/>
  <c r="E101" i="41"/>
  <c r="G101" i="41" s="1"/>
  <c r="H101" i="41" s="1"/>
  <c r="I101" i="41" s="1"/>
  <c r="Q91" i="41"/>
  <c r="V91" i="41" s="1"/>
  <c r="P91" i="41"/>
  <c r="U91" i="41" s="1"/>
  <c r="O91" i="41"/>
  <c r="T91" i="41" s="1"/>
  <c r="N91" i="41"/>
  <c r="S91" i="41" s="1"/>
  <c r="H91" i="41"/>
  <c r="U90" i="41"/>
  <c r="Q90" i="41"/>
  <c r="V90" i="41" s="1"/>
  <c r="P90" i="41"/>
  <c r="O90" i="41"/>
  <c r="T90" i="41" s="1"/>
  <c r="N90" i="41"/>
  <c r="S90" i="41" s="1"/>
  <c r="D90" i="41"/>
  <c r="Q89" i="41"/>
  <c r="V89" i="41" s="1"/>
  <c r="P89" i="41"/>
  <c r="U89" i="41" s="1"/>
  <c r="O89" i="41"/>
  <c r="T89" i="41" s="1"/>
  <c r="N89" i="41"/>
  <c r="S89" i="41" s="1"/>
  <c r="H89" i="41"/>
  <c r="D89" i="41"/>
  <c r="T88" i="41"/>
  <c r="Q88" i="41"/>
  <c r="V88" i="41" s="1"/>
  <c r="P88" i="41"/>
  <c r="U88" i="41" s="1"/>
  <c r="O88" i="41"/>
  <c r="N88" i="41"/>
  <c r="S88" i="41" s="1"/>
  <c r="H88" i="41"/>
  <c r="D88" i="41"/>
  <c r="T87" i="41"/>
  <c r="G5" i="43" s="1"/>
  <c r="Q87" i="41"/>
  <c r="J37" i="42" s="1"/>
  <c r="O87" i="41"/>
  <c r="H37" i="42" s="1"/>
  <c r="H87" i="41"/>
  <c r="D87" i="41"/>
  <c r="K87" i="41" s="1"/>
  <c r="O86" i="41"/>
  <c r="H36" i="42" s="1"/>
  <c r="H86" i="41"/>
  <c r="D86" i="41"/>
  <c r="L86" i="41" s="1"/>
  <c r="Q86" i="41" s="1"/>
  <c r="J36" i="42" s="1"/>
  <c r="Q85" i="41"/>
  <c r="V85" i="41" s="1"/>
  <c r="P85" i="41"/>
  <c r="U85" i="41" s="1"/>
  <c r="O85" i="41"/>
  <c r="T85" i="41" s="1"/>
  <c r="N85" i="41"/>
  <c r="S85" i="41" s="1"/>
  <c r="H85" i="41"/>
  <c r="D85" i="41"/>
  <c r="U84" i="41"/>
  <c r="H35" i="43" s="1"/>
  <c r="Q84" i="41"/>
  <c r="J35" i="42" s="1"/>
  <c r="P84" i="41"/>
  <c r="I35" i="42" s="1"/>
  <c r="O84" i="41"/>
  <c r="H84" i="41"/>
  <c r="D84" i="41"/>
  <c r="Q83" i="41"/>
  <c r="V83" i="41" s="1"/>
  <c r="P83" i="41"/>
  <c r="U83" i="41" s="1"/>
  <c r="O83" i="41"/>
  <c r="T83" i="41" s="1"/>
  <c r="N83" i="41"/>
  <c r="H83" i="41"/>
  <c r="Q82" i="41"/>
  <c r="J34" i="42" s="1"/>
  <c r="O82" i="41"/>
  <c r="H82" i="41"/>
  <c r="D82" i="41"/>
  <c r="K82" i="41" s="1"/>
  <c r="Q81" i="41"/>
  <c r="V81" i="41" s="1"/>
  <c r="P81" i="41"/>
  <c r="U81" i="41" s="1"/>
  <c r="O81" i="41"/>
  <c r="T81" i="41" s="1"/>
  <c r="N81" i="41"/>
  <c r="R81" i="41" s="1"/>
  <c r="H81" i="41"/>
  <c r="D81" i="41"/>
  <c r="Q80" i="41"/>
  <c r="O80" i="41"/>
  <c r="H33" i="42" s="1"/>
  <c r="H80" i="41"/>
  <c r="D80" i="41"/>
  <c r="K80" i="41" s="1"/>
  <c r="P80" i="41" s="1"/>
  <c r="I33" i="42" s="1"/>
  <c r="Q79" i="41"/>
  <c r="V79" i="41" s="1"/>
  <c r="P79" i="41"/>
  <c r="U79" i="41" s="1"/>
  <c r="O79" i="41"/>
  <c r="T79" i="41" s="1"/>
  <c r="N79" i="41"/>
  <c r="H79" i="41"/>
  <c r="D79" i="41"/>
  <c r="Q78" i="41"/>
  <c r="J32" i="42" s="1"/>
  <c r="O78" i="41"/>
  <c r="K78" i="41"/>
  <c r="P78" i="41" s="1"/>
  <c r="I32" i="42" s="1"/>
  <c r="H78" i="41"/>
  <c r="Q77" i="41"/>
  <c r="J31" i="42" s="1"/>
  <c r="P77" i="41"/>
  <c r="O77" i="41"/>
  <c r="H31" i="42" s="1"/>
  <c r="H77" i="41"/>
  <c r="D77" i="41"/>
  <c r="Q76" i="41"/>
  <c r="P76" i="41"/>
  <c r="I30" i="42" s="1"/>
  <c r="O76" i="41"/>
  <c r="H30" i="42" s="1"/>
  <c r="D76" i="41"/>
  <c r="Q75" i="41"/>
  <c r="V75" i="41" s="1"/>
  <c r="P75" i="41"/>
  <c r="U75" i="41" s="1"/>
  <c r="O75" i="41"/>
  <c r="T75" i="41" s="1"/>
  <c r="N75" i="41"/>
  <c r="S75" i="41" s="1"/>
  <c r="D75" i="41"/>
  <c r="Q74" i="41"/>
  <c r="V74" i="41" s="1"/>
  <c r="P74" i="41"/>
  <c r="U74" i="41" s="1"/>
  <c r="O74" i="41"/>
  <c r="T74" i="41" s="1"/>
  <c r="N74" i="41"/>
  <c r="D74" i="41"/>
  <c r="U73" i="41"/>
  <c r="Q73" i="41"/>
  <c r="V73" i="41" s="1"/>
  <c r="P73" i="41"/>
  <c r="O73" i="41"/>
  <c r="T73" i="41" s="1"/>
  <c r="N73" i="41"/>
  <c r="D73" i="41"/>
  <c r="T72" i="41"/>
  <c r="Q72" i="41"/>
  <c r="V72" i="41" s="1"/>
  <c r="P72" i="41"/>
  <c r="U72" i="41" s="1"/>
  <c r="O72" i="41"/>
  <c r="N72" i="41"/>
  <c r="S72" i="41" s="1"/>
  <c r="D72" i="41"/>
  <c r="Q71" i="41"/>
  <c r="V71" i="41" s="1"/>
  <c r="P71" i="41"/>
  <c r="U71" i="41" s="1"/>
  <c r="O71" i="41"/>
  <c r="T71" i="41" s="1"/>
  <c r="N71" i="41"/>
  <c r="S71" i="41" s="1"/>
  <c r="D71" i="41"/>
  <c r="V70" i="41"/>
  <c r="Q70" i="41"/>
  <c r="P70" i="41"/>
  <c r="U70" i="41" s="1"/>
  <c r="O70" i="41"/>
  <c r="T70" i="41" s="1"/>
  <c r="N70" i="41"/>
  <c r="R70" i="41" s="1"/>
  <c r="D70" i="41"/>
  <c r="Q69" i="41"/>
  <c r="V69" i="41" s="1"/>
  <c r="P69" i="41"/>
  <c r="U69" i="41" s="1"/>
  <c r="O69" i="41"/>
  <c r="T69" i="41" s="1"/>
  <c r="N69" i="41"/>
  <c r="D69" i="41"/>
  <c r="T68" i="41"/>
  <c r="Q68" i="41"/>
  <c r="V68" i="41" s="1"/>
  <c r="P68" i="41"/>
  <c r="U68" i="41" s="1"/>
  <c r="O68" i="41"/>
  <c r="N68" i="41"/>
  <c r="S68" i="41" s="1"/>
  <c r="Q67" i="41"/>
  <c r="V67" i="41" s="1"/>
  <c r="P67" i="41"/>
  <c r="U67" i="41" s="1"/>
  <c r="O67" i="41"/>
  <c r="T67" i="41" s="1"/>
  <c r="N67" i="41"/>
  <c r="D67" i="41"/>
  <c r="U66" i="41"/>
  <c r="Q66" i="41"/>
  <c r="V66" i="41" s="1"/>
  <c r="P66" i="41"/>
  <c r="O66" i="41"/>
  <c r="T66" i="41" s="1"/>
  <c r="N66" i="41"/>
  <c r="R66" i="41" s="1"/>
  <c r="D66" i="41"/>
  <c r="Q65" i="41"/>
  <c r="V65" i="41" s="1"/>
  <c r="P65" i="41"/>
  <c r="U65" i="41" s="1"/>
  <c r="O65" i="41"/>
  <c r="T65" i="41" s="1"/>
  <c r="N65" i="41"/>
  <c r="S65" i="41" s="1"/>
  <c r="H65" i="41"/>
  <c r="Q64" i="41"/>
  <c r="V64" i="41" s="1"/>
  <c r="P64" i="41"/>
  <c r="U64" i="41" s="1"/>
  <c r="O64" i="41"/>
  <c r="T64" i="41" s="1"/>
  <c r="N64" i="41"/>
  <c r="S64" i="41" s="1"/>
  <c r="D64" i="41"/>
  <c r="Q63" i="41"/>
  <c r="V63" i="41" s="1"/>
  <c r="P63" i="41"/>
  <c r="U63" i="41" s="1"/>
  <c r="O63" i="41"/>
  <c r="T63" i="41" s="1"/>
  <c r="N63" i="41"/>
  <c r="T62" i="41"/>
  <c r="G32" i="43" s="1"/>
  <c r="Q62" i="41"/>
  <c r="J29" i="42" s="1"/>
  <c r="P62" i="41"/>
  <c r="I29" i="42" s="1"/>
  <c r="O62" i="41"/>
  <c r="H29" i="42" s="1"/>
  <c r="Q61" i="41"/>
  <c r="V61" i="41" s="1"/>
  <c r="P61" i="41"/>
  <c r="U61" i="41" s="1"/>
  <c r="O61" i="41"/>
  <c r="T61" i="41" s="1"/>
  <c r="N61" i="41"/>
  <c r="U60" i="41"/>
  <c r="Q60" i="41"/>
  <c r="V60" i="41" s="1"/>
  <c r="P60" i="41"/>
  <c r="O60" i="41"/>
  <c r="T60" i="41" s="1"/>
  <c r="N60" i="41"/>
  <c r="Q59" i="41"/>
  <c r="V59" i="41" s="1"/>
  <c r="P59" i="41"/>
  <c r="U59" i="41" s="1"/>
  <c r="O59" i="41"/>
  <c r="T59" i="41" s="1"/>
  <c r="N59" i="41"/>
  <c r="S59" i="41" s="1"/>
  <c r="U58" i="41"/>
  <c r="H31" i="43" s="1"/>
  <c r="Q58" i="41"/>
  <c r="J28" i="42" s="1"/>
  <c r="P58" i="41"/>
  <c r="I28" i="42" s="1"/>
  <c r="O58" i="41"/>
  <c r="T57" i="41"/>
  <c r="Q57" i="41"/>
  <c r="V57" i="41" s="1"/>
  <c r="P57" i="41"/>
  <c r="U57" i="41" s="1"/>
  <c r="O57" i="41"/>
  <c r="N57" i="41"/>
  <c r="S57" i="41" s="1"/>
  <c r="V56" i="41"/>
  <c r="Q56" i="41"/>
  <c r="P56" i="41"/>
  <c r="U56" i="41" s="1"/>
  <c r="O56" i="41"/>
  <c r="T56" i="41" s="1"/>
  <c r="N56" i="41"/>
  <c r="S56" i="41" s="1"/>
  <c r="W56" i="41" s="1"/>
  <c r="Q55" i="41"/>
  <c r="J27" i="42" s="1"/>
  <c r="P55" i="41"/>
  <c r="I27" i="42" s="1"/>
  <c r="O55" i="41"/>
  <c r="H27" i="42" s="1"/>
  <c r="Q54" i="41"/>
  <c r="P54" i="41"/>
  <c r="I26" i="42" s="1"/>
  <c r="O54" i="41"/>
  <c r="H26" i="42" s="1"/>
  <c r="V53" i="41"/>
  <c r="I30" i="43" s="1"/>
  <c r="Q53" i="41"/>
  <c r="J25" i="42" s="1"/>
  <c r="P53" i="41"/>
  <c r="O53" i="41"/>
  <c r="H25" i="42" s="1"/>
  <c r="N53" i="41"/>
  <c r="G25" i="42" s="1"/>
  <c r="Q52" i="41"/>
  <c r="V52" i="41" s="1"/>
  <c r="P52" i="41"/>
  <c r="U52" i="41" s="1"/>
  <c r="O52" i="41"/>
  <c r="T52" i="41" s="1"/>
  <c r="N52" i="41"/>
  <c r="S52" i="41" s="1"/>
  <c r="V51" i="41"/>
  <c r="Q51" i="41"/>
  <c r="P51" i="41"/>
  <c r="U51" i="41" s="1"/>
  <c r="O51" i="41"/>
  <c r="T51" i="41" s="1"/>
  <c r="N51" i="41"/>
  <c r="S51" i="41" s="1"/>
  <c r="W51" i="41" s="1"/>
  <c r="Q50" i="41"/>
  <c r="J24" i="42" s="1"/>
  <c r="N50" i="41"/>
  <c r="K50" i="41"/>
  <c r="J50" i="41"/>
  <c r="O50" i="41" s="1"/>
  <c r="H24" i="42" s="1"/>
  <c r="Q49" i="41"/>
  <c r="J23" i="42" s="1"/>
  <c r="P49" i="41"/>
  <c r="I23" i="42" s="1"/>
  <c r="O49" i="41"/>
  <c r="H23" i="42" s="1"/>
  <c r="O48" i="41"/>
  <c r="H22" i="42" s="1"/>
  <c r="L48" i="41"/>
  <c r="Q48" i="41" s="1"/>
  <c r="J22" i="42" s="1"/>
  <c r="K48" i="41"/>
  <c r="P48" i="41" s="1"/>
  <c r="I22" i="42" s="1"/>
  <c r="Q47" i="41"/>
  <c r="J21" i="42" s="1"/>
  <c r="O47" i="41"/>
  <c r="T47" i="41" s="1"/>
  <c r="G12" i="43" s="1"/>
  <c r="K47" i="41"/>
  <c r="Q46" i="41"/>
  <c r="J20" i="42" s="1"/>
  <c r="P46" i="41"/>
  <c r="I20" i="42" s="1"/>
  <c r="O46" i="41"/>
  <c r="H20" i="42" s="1"/>
  <c r="N46" i="41"/>
  <c r="V45" i="41"/>
  <c r="I26" i="43" s="1"/>
  <c r="T45" i="41"/>
  <c r="G26" i="43" s="1"/>
  <c r="Q45" i="41"/>
  <c r="J19" i="42" s="1"/>
  <c r="P45" i="41"/>
  <c r="O45" i="41"/>
  <c r="H19" i="42" s="1"/>
  <c r="U44" i="41"/>
  <c r="Q44" i="41"/>
  <c r="V44" i="41" s="1"/>
  <c r="P44" i="41"/>
  <c r="O44" i="41"/>
  <c r="T44" i="41" s="1"/>
  <c r="N44" i="41"/>
  <c r="S44" i="41" s="1"/>
  <c r="Q43" i="41"/>
  <c r="V43" i="41" s="1"/>
  <c r="P43" i="41"/>
  <c r="U43" i="41" s="1"/>
  <c r="O43" i="41"/>
  <c r="T43" i="41" s="1"/>
  <c r="N43" i="41"/>
  <c r="S43" i="41" s="1"/>
  <c r="Q42" i="41"/>
  <c r="V42" i="41" s="1"/>
  <c r="P42" i="41"/>
  <c r="U42" i="41" s="1"/>
  <c r="O42" i="41"/>
  <c r="T42" i="41" s="1"/>
  <c r="N42" i="41"/>
  <c r="S42" i="41" s="1"/>
  <c r="Q41" i="41"/>
  <c r="V41" i="41" s="1"/>
  <c r="P41" i="41"/>
  <c r="U41" i="41" s="1"/>
  <c r="O41" i="41"/>
  <c r="T41" i="41" s="1"/>
  <c r="N41" i="41"/>
  <c r="U40" i="41"/>
  <c r="H25" i="43" s="1"/>
  <c r="Q40" i="41"/>
  <c r="J18" i="42" s="1"/>
  <c r="P40" i="41"/>
  <c r="I18" i="42" s="1"/>
  <c r="O40" i="41"/>
  <c r="N40" i="41"/>
  <c r="G18" i="42" s="1"/>
  <c r="P39" i="41"/>
  <c r="I17" i="42" s="1"/>
  <c r="O39" i="41"/>
  <c r="H17" i="42" s="1"/>
  <c r="L39" i="41"/>
  <c r="Q39" i="41" s="1"/>
  <c r="J17" i="42" s="1"/>
  <c r="K39" i="41"/>
  <c r="T38" i="41"/>
  <c r="G11" i="43" s="1"/>
  <c r="Q38" i="41"/>
  <c r="J16" i="42" s="1"/>
  <c r="O38" i="41"/>
  <c r="H16" i="42" s="1"/>
  <c r="K38" i="41"/>
  <c r="T37" i="41"/>
  <c r="Q37" i="41"/>
  <c r="V37" i="41" s="1"/>
  <c r="P37" i="41"/>
  <c r="U37" i="41" s="1"/>
  <c r="O37" i="41"/>
  <c r="N37" i="41"/>
  <c r="S37" i="41" s="1"/>
  <c r="V36" i="41"/>
  <c r="I10" i="43" s="1"/>
  <c r="Q36" i="41"/>
  <c r="J15" i="42" s="1"/>
  <c r="P36" i="41"/>
  <c r="I15" i="42" s="1"/>
  <c r="O36" i="41"/>
  <c r="H15" i="42" s="1"/>
  <c r="K36" i="41"/>
  <c r="Q35" i="41"/>
  <c r="V35" i="41" s="1"/>
  <c r="P35" i="41"/>
  <c r="U35" i="41" s="1"/>
  <c r="O35" i="41"/>
  <c r="T35" i="41" s="1"/>
  <c r="N35" i="41"/>
  <c r="U34" i="41"/>
  <c r="Q34" i="41"/>
  <c r="V34" i="41" s="1"/>
  <c r="P34" i="41"/>
  <c r="O34" i="41"/>
  <c r="T34" i="41" s="1"/>
  <c r="N34" i="41"/>
  <c r="S34" i="41" s="1"/>
  <c r="T33" i="41"/>
  <c r="Q33" i="41"/>
  <c r="V33" i="41" s="1"/>
  <c r="P33" i="41"/>
  <c r="U33" i="41" s="1"/>
  <c r="O33" i="41"/>
  <c r="N33" i="41"/>
  <c r="S33" i="41" s="1"/>
  <c r="T32" i="41"/>
  <c r="Q32" i="41"/>
  <c r="V32" i="41" s="1"/>
  <c r="P32" i="41"/>
  <c r="U32" i="41" s="1"/>
  <c r="O32" i="41"/>
  <c r="N32" i="41"/>
  <c r="S32" i="41" s="1"/>
  <c r="Q31" i="41"/>
  <c r="V31" i="41" s="1"/>
  <c r="P31" i="41"/>
  <c r="U31" i="41" s="1"/>
  <c r="O31" i="41"/>
  <c r="T31" i="41" s="1"/>
  <c r="N31" i="41"/>
  <c r="S31" i="41" s="1"/>
  <c r="T30" i="41"/>
  <c r="Q30" i="41"/>
  <c r="V30" i="41" s="1"/>
  <c r="P30" i="41"/>
  <c r="U30" i="41" s="1"/>
  <c r="O30" i="41"/>
  <c r="N30" i="41"/>
  <c r="S30" i="41" s="1"/>
  <c r="V29" i="41"/>
  <c r="Q29" i="41"/>
  <c r="P29" i="41"/>
  <c r="U29" i="41" s="1"/>
  <c r="O29" i="41"/>
  <c r="T29" i="41" s="1"/>
  <c r="N29" i="41"/>
  <c r="S29" i="41" s="1"/>
  <c r="Q28" i="41"/>
  <c r="J14" i="42" s="1"/>
  <c r="P28" i="41"/>
  <c r="I14" i="42" s="1"/>
  <c r="O28" i="41"/>
  <c r="H14" i="42" s="1"/>
  <c r="K28" i="41"/>
  <c r="T27" i="41"/>
  <c r="G4" i="43" s="1"/>
  <c r="Q27" i="41"/>
  <c r="J13" i="42" s="1"/>
  <c r="P27" i="41"/>
  <c r="I13" i="42" s="1"/>
  <c r="O27" i="41"/>
  <c r="H13" i="42" s="1"/>
  <c r="Q26" i="41"/>
  <c r="P26" i="41"/>
  <c r="I12" i="42" s="1"/>
  <c r="O26" i="41"/>
  <c r="H12" i="42" s="1"/>
  <c r="Q25" i="41"/>
  <c r="V25" i="41" s="1"/>
  <c r="I23" i="43" s="1"/>
  <c r="P25" i="41"/>
  <c r="O25" i="41"/>
  <c r="H11" i="42" s="1"/>
  <c r="N25" i="41"/>
  <c r="G11" i="42" s="1"/>
  <c r="Q24" i="41"/>
  <c r="J10" i="42" s="1"/>
  <c r="N24" i="41"/>
  <c r="K24" i="41"/>
  <c r="O23" i="41"/>
  <c r="H9" i="42" s="1"/>
  <c r="L23" i="41"/>
  <c r="K23" i="41"/>
  <c r="P23" i="41" s="1"/>
  <c r="I9" i="42" s="1"/>
  <c r="O22" i="41"/>
  <c r="H8" i="42" s="1"/>
  <c r="L22" i="41"/>
  <c r="K22" i="41"/>
  <c r="Q21" i="41"/>
  <c r="V21" i="41" s="1"/>
  <c r="P21" i="41"/>
  <c r="U21" i="41" s="1"/>
  <c r="O21" i="41"/>
  <c r="T21" i="41" s="1"/>
  <c r="N21" i="41"/>
  <c r="S21" i="41" s="1"/>
  <c r="Q20" i="41"/>
  <c r="J7" i="42" s="1"/>
  <c r="P20" i="41"/>
  <c r="I7" i="42" s="1"/>
  <c r="O20" i="41"/>
  <c r="H7" i="42" s="1"/>
  <c r="U19" i="41"/>
  <c r="H20" i="43" s="1"/>
  <c r="Q19" i="41"/>
  <c r="J6" i="42" s="1"/>
  <c r="P19" i="41"/>
  <c r="I6" i="42" s="1"/>
  <c r="O19" i="41"/>
  <c r="H6" i="42" s="1"/>
  <c r="T18" i="41"/>
  <c r="G6" i="43" s="1"/>
  <c r="Q18" i="41"/>
  <c r="J5" i="42" s="1"/>
  <c r="P18" i="41"/>
  <c r="I5" i="42" s="1"/>
  <c r="O18" i="41"/>
  <c r="H5" i="42" s="1"/>
  <c r="Q17" i="41"/>
  <c r="J4" i="42" s="1"/>
  <c r="P17" i="41"/>
  <c r="I4" i="42" s="1"/>
  <c r="O17" i="41"/>
  <c r="H4" i="42" s="1"/>
  <c r="Q16" i="41"/>
  <c r="V16" i="41" s="1"/>
  <c r="P16" i="41"/>
  <c r="U16" i="41" s="1"/>
  <c r="O16" i="41"/>
  <c r="T16" i="41" s="1"/>
  <c r="N16" i="41"/>
  <c r="S16" i="41" s="1"/>
  <c r="T15" i="41"/>
  <c r="Q15" i="41"/>
  <c r="V15" i="41" s="1"/>
  <c r="P15" i="41"/>
  <c r="U15" i="41" s="1"/>
  <c r="O15" i="41"/>
  <c r="N15" i="41"/>
  <c r="S15" i="41" s="1"/>
  <c r="V14" i="41"/>
  <c r="Q14" i="41"/>
  <c r="P14" i="41"/>
  <c r="U14" i="41" s="1"/>
  <c r="O14" i="41"/>
  <c r="T14" i="41" s="1"/>
  <c r="N14" i="41"/>
  <c r="S14" i="41" s="1"/>
  <c r="Q13" i="41"/>
  <c r="V13" i="41" s="1"/>
  <c r="P13" i="41"/>
  <c r="U13" i="41" s="1"/>
  <c r="O13" i="41"/>
  <c r="T13" i="41" s="1"/>
  <c r="N13" i="41"/>
  <c r="S13" i="41" s="1"/>
  <c r="Q12" i="41"/>
  <c r="J3" i="42" s="1"/>
  <c r="P12" i="41"/>
  <c r="I3" i="42" s="1"/>
  <c r="N12" i="41"/>
  <c r="S12" i="41" s="1"/>
  <c r="K12" i="41"/>
  <c r="J12" i="41"/>
  <c r="O12" i="41" s="1"/>
  <c r="H3" i="42" s="1"/>
  <c r="Q11" i="41"/>
  <c r="V11" i="41" s="1"/>
  <c r="P11" i="41"/>
  <c r="U11" i="41" s="1"/>
  <c r="O11" i="41"/>
  <c r="T11" i="41" s="1"/>
  <c r="N11" i="41"/>
  <c r="S11" i="41" s="1"/>
  <c r="Q10" i="41"/>
  <c r="V10" i="41" s="1"/>
  <c r="P10" i="41"/>
  <c r="U10" i="41" s="1"/>
  <c r="O10" i="41"/>
  <c r="T10" i="41" s="1"/>
  <c r="N10" i="41"/>
  <c r="S10" i="41" s="1"/>
  <c r="Q9" i="41"/>
  <c r="V9" i="41" s="1"/>
  <c r="P9" i="41"/>
  <c r="U9" i="41" s="1"/>
  <c r="O9" i="41"/>
  <c r="T9" i="41" s="1"/>
  <c r="N9" i="41"/>
  <c r="S9" i="41" s="1"/>
  <c r="T8" i="41"/>
  <c r="Q8" i="41"/>
  <c r="V8" i="41" s="1"/>
  <c r="P8" i="41"/>
  <c r="U8" i="41" s="1"/>
  <c r="O8" i="41"/>
  <c r="N8" i="41"/>
  <c r="S8" i="41" s="1"/>
  <c r="Q7" i="41"/>
  <c r="V7" i="41" s="1"/>
  <c r="P7" i="41"/>
  <c r="U7" i="41" s="1"/>
  <c r="O7" i="41"/>
  <c r="T7" i="41" s="1"/>
  <c r="N7" i="41"/>
  <c r="Q6" i="41"/>
  <c r="V6" i="41" s="1"/>
  <c r="P6" i="41"/>
  <c r="U6" i="41" s="1"/>
  <c r="O6" i="41"/>
  <c r="T6" i="41" s="1"/>
  <c r="N6" i="41"/>
  <c r="S6" i="41" s="1"/>
  <c r="Q5" i="41"/>
  <c r="V5" i="41" s="1"/>
  <c r="P5" i="41"/>
  <c r="U5" i="41" s="1"/>
  <c r="O5" i="41"/>
  <c r="T5" i="41" s="1"/>
  <c r="N5" i="41"/>
  <c r="T4" i="41"/>
  <c r="Q4" i="41"/>
  <c r="V4" i="41" s="1"/>
  <c r="P4" i="41"/>
  <c r="U4" i="41" s="1"/>
  <c r="O4" i="41"/>
  <c r="N4" i="41"/>
  <c r="S4" i="41" s="1"/>
  <c r="Q3" i="41"/>
  <c r="V3" i="41" s="1"/>
  <c r="P3" i="41"/>
  <c r="U3" i="41" s="1"/>
  <c r="O3" i="41"/>
  <c r="T3" i="41" s="1"/>
  <c r="N3" i="41"/>
  <c r="S3" i="41" s="1"/>
  <c r="P5" i="46"/>
  <c r="M6" i="46"/>
  <c r="P6" i="46"/>
  <c r="M8" i="46"/>
  <c r="L7" i="46"/>
  <c r="L6" i="46"/>
  <c r="L5" i="46"/>
  <c r="N6" i="46"/>
  <c r="M7" i="46"/>
  <c r="N7" i="46"/>
  <c r="N5" i="46"/>
  <c r="M5" i="46"/>
  <c r="N8" i="46"/>
  <c r="P7" i="46"/>
  <c r="P8" i="46"/>
  <c r="K14" i="31" l="1"/>
  <c r="I14" i="31"/>
  <c r="H14" i="31"/>
  <c r="K28" i="44"/>
  <c r="L28" i="44" s="1"/>
  <c r="N28" i="44"/>
  <c r="O28" i="44" s="1"/>
  <c r="P28" i="44" s="1"/>
  <c r="W14" i="31"/>
  <c r="R5" i="41"/>
  <c r="R7" i="41"/>
  <c r="W11" i="41"/>
  <c r="W29" i="41"/>
  <c r="R29" i="41"/>
  <c r="T36" i="41"/>
  <c r="G10" i="43" s="1"/>
  <c r="S40" i="41"/>
  <c r="F25" i="43" s="1"/>
  <c r="T49" i="41"/>
  <c r="G28" i="43" s="1"/>
  <c r="T53" i="41"/>
  <c r="G30" i="43" s="1"/>
  <c r="T55" i="41"/>
  <c r="G15" i="43" s="1"/>
  <c r="W59" i="41"/>
  <c r="R60" i="41"/>
  <c r="S60" i="41"/>
  <c r="R73" i="41"/>
  <c r="S73" i="41"/>
  <c r="V77" i="41"/>
  <c r="I34" i="43" s="1"/>
  <c r="W91" i="41"/>
  <c r="J11" i="42"/>
  <c r="V11" i="43"/>
  <c r="U12" i="43" s="1"/>
  <c r="AC12" i="43" s="1"/>
  <c r="AD12" i="43" s="1"/>
  <c r="AE12" i="43" s="1"/>
  <c r="AF12" i="43" s="1"/>
  <c r="AG12" i="43" s="1"/>
  <c r="B13" i="46" s="1"/>
  <c r="L14" i="46" s="1"/>
  <c r="L16" i="46" s="1"/>
  <c r="N4" i="44"/>
  <c r="O4" i="44" s="1"/>
  <c r="P4" i="44" s="1"/>
  <c r="K6" i="44"/>
  <c r="L6" i="44" s="1"/>
  <c r="K8" i="44"/>
  <c r="L8" i="44" s="1"/>
  <c r="K11" i="44"/>
  <c r="L11" i="44" s="1"/>
  <c r="N12" i="44"/>
  <c r="O12" i="44" s="1"/>
  <c r="P12" i="44" s="1"/>
  <c r="N14" i="44"/>
  <c r="O14" i="44" s="1"/>
  <c r="P14" i="44" s="1"/>
  <c r="K17" i="44"/>
  <c r="L17" i="44" s="1"/>
  <c r="N32" i="44"/>
  <c r="O32" i="44" s="1"/>
  <c r="P32" i="44" s="1"/>
  <c r="N33" i="44"/>
  <c r="O33" i="44" s="1"/>
  <c r="P33" i="44" s="1"/>
  <c r="N34" i="44"/>
  <c r="O34" i="44" s="1"/>
  <c r="P34" i="44" s="1"/>
  <c r="N35" i="44"/>
  <c r="O35" i="44" s="1"/>
  <c r="P35" i="44" s="1"/>
  <c r="N36" i="44"/>
  <c r="O36" i="44" s="1"/>
  <c r="P36" i="44" s="1"/>
  <c r="N37" i="44"/>
  <c r="O37" i="44" s="1"/>
  <c r="P37" i="44" s="1"/>
  <c r="N38" i="44"/>
  <c r="O38" i="44" s="1"/>
  <c r="P38" i="44" s="1"/>
  <c r="B21" i="45"/>
  <c r="G21" i="45"/>
  <c r="W43" i="41"/>
  <c r="R51" i="41"/>
  <c r="S70" i="41"/>
  <c r="W70" i="41" s="1"/>
  <c r="W71" i="41"/>
  <c r="S81" i="41"/>
  <c r="W81" i="41" s="1"/>
  <c r="I80" i="41"/>
  <c r="X43" i="43"/>
  <c r="W44" i="43" s="1"/>
  <c r="X44" i="43" s="1"/>
  <c r="W45" i="43" s="1"/>
  <c r="X45" i="43" s="1"/>
  <c r="W46" i="43" s="1"/>
  <c r="X46" i="43" s="1"/>
  <c r="W47" i="43" s="1"/>
  <c r="X47" i="43" s="1"/>
  <c r="W48" i="43" s="1"/>
  <c r="X48" i="43" s="1"/>
  <c r="W49" i="43" s="1"/>
  <c r="X49" i="43" s="1"/>
  <c r="W50" i="43" s="1"/>
  <c r="X50" i="43" s="1"/>
  <c r="W51" i="43" s="1"/>
  <c r="X51" i="43" s="1"/>
  <c r="W52" i="43" s="1"/>
  <c r="X52" i="43" s="1"/>
  <c r="V18" i="44"/>
  <c r="E22" i="47" s="1"/>
  <c r="L5" i="47" s="1"/>
  <c r="I16" i="31" s="1"/>
  <c r="F5" i="45"/>
  <c r="C21" i="45"/>
  <c r="I21" i="45"/>
  <c r="C5" i="48"/>
  <c r="F18" i="31"/>
  <c r="T12" i="41"/>
  <c r="G37" i="43" s="1"/>
  <c r="U12" i="41"/>
  <c r="H37" i="43" s="1"/>
  <c r="V20" i="41"/>
  <c r="I7" i="43" s="1"/>
  <c r="T23" i="41"/>
  <c r="G3" i="43" s="1"/>
  <c r="R25" i="41"/>
  <c r="W33" i="41"/>
  <c r="R35" i="41"/>
  <c r="S35" i="41"/>
  <c r="R41" i="41"/>
  <c r="S41" i="41"/>
  <c r="W41" i="41" s="1"/>
  <c r="R61" i="41"/>
  <c r="S61" i="41"/>
  <c r="H21" i="42"/>
  <c r="W3" i="41"/>
  <c r="R3" i="41"/>
  <c r="W6" i="41"/>
  <c r="W10" i="41"/>
  <c r="V12" i="41"/>
  <c r="I37" i="43" s="1"/>
  <c r="W16" i="41"/>
  <c r="W21" i="41"/>
  <c r="T28" i="41"/>
  <c r="G9" i="43" s="1"/>
  <c r="W31" i="41"/>
  <c r="R31" i="41"/>
  <c r="W42" i="41"/>
  <c r="T46" i="41"/>
  <c r="G27" i="43" s="1"/>
  <c r="R63" i="41"/>
  <c r="R67" i="41"/>
  <c r="S67" i="41"/>
  <c r="W67" i="41" s="1"/>
  <c r="R69" i="41"/>
  <c r="R74" i="41"/>
  <c r="T77" i="41"/>
  <c r="G34" i="43" s="1"/>
  <c r="R79" i="41"/>
  <c r="S79" i="41"/>
  <c r="W79" i="41" s="1"/>
  <c r="R83" i="41"/>
  <c r="K86" i="41"/>
  <c r="P86" i="41" s="1"/>
  <c r="I36" i="42" s="1"/>
  <c r="N9" i="44"/>
  <c r="O9" i="44" s="1"/>
  <c r="P9" i="44" s="1"/>
  <c r="K31" i="44"/>
  <c r="L31" i="44" s="1"/>
  <c r="L38" i="46"/>
  <c r="G15" i="31"/>
  <c r="J7" i="47"/>
  <c r="D6" i="48" s="1"/>
  <c r="D26" i="48" s="1"/>
  <c r="G16" i="31"/>
  <c r="I7" i="47"/>
  <c r="C6" i="48" s="1"/>
  <c r="C26" i="48" s="1"/>
  <c r="F16" i="31"/>
  <c r="M39" i="46"/>
  <c r="E23" i="48" s="1"/>
  <c r="P39" i="46"/>
  <c r="H23" i="48" s="1"/>
  <c r="L22" i="46"/>
  <c r="D23" i="48"/>
  <c r="N39" i="46"/>
  <c r="F23" i="48" s="1"/>
  <c r="F37" i="43"/>
  <c r="W12" i="41"/>
  <c r="W4" i="41"/>
  <c r="S19" i="41"/>
  <c r="N19" i="41"/>
  <c r="W13" i="41"/>
  <c r="W73" i="41"/>
  <c r="W85" i="41"/>
  <c r="W8" i="41"/>
  <c r="W14" i="41"/>
  <c r="W44" i="41"/>
  <c r="I87" i="41"/>
  <c r="J101" i="41"/>
  <c r="N80" i="41"/>
  <c r="S80" i="41" s="1"/>
  <c r="I112" i="41"/>
  <c r="J112" i="41" s="1"/>
  <c r="J110" i="41"/>
  <c r="O24" i="41"/>
  <c r="T24" i="41" s="1"/>
  <c r="G22" i="43" s="1"/>
  <c r="W9" i="41"/>
  <c r="W15" i="41"/>
  <c r="W35" i="41"/>
  <c r="W61" i="41"/>
  <c r="W64" i="41"/>
  <c r="W75" i="41"/>
  <c r="P82" i="41"/>
  <c r="I34" i="42" s="1"/>
  <c r="U82" i="41"/>
  <c r="H18" i="43" s="1"/>
  <c r="W90" i="41"/>
  <c r="I45" i="41"/>
  <c r="I84" i="41"/>
  <c r="I54" i="41"/>
  <c r="I18" i="41"/>
  <c r="I17" i="41"/>
  <c r="I78" i="41"/>
  <c r="I47" i="41"/>
  <c r="N86" i="41"/>
  <c r="S86" i="41" s="1"/>
  <c r="I58" i="41"/>
  <c r="I49" i="41"/>
  <c r="W60" i="41"/>
  <c r="N38" i="41"/>
  <c r="S38" i="41" s="1"/>
  <c r="I36" i="41"/>
  <c r="I28" i="41"/>
  <c r="R14" i="41"/>
  <c r="S7" i="41"/>
  <c r="W7" i="41" s="1"/>
  <c r="T17" i="41"/>
  <c r="G19" i="43" s="1"/>
  <c r="U18" i="41"/>
  <c r="H6" i="43" s="1"/>
  <c r="V19" i="41"/>
  <c r="I20" i="43" s="1"/>
  <c r="T22" i="41"/>
  <c r="G21" i="43" s="1"/>
  <c r="G10" i="42"/>
  <c r="S24" i="41"/>
  <c r="S25" i="41"/>
  <c r="W30" i="41"/>
  <c r="R4" i="41"/>
  <c r="R13" i="41"/>
  <c r="U17" i="41"/>
  <c r="H19" i="43" s="1"/>
  <c r="V18" i="41"/>
  <c r="I6" i="43" s="1"/>
  <c r="P24" i="41"/>
  <c r="I10" i="42" s="1"/>
  <c r="V40" i="41"/>
  <c r="I25" i="43" s="1"/>
  <c r="V46" i="41"/>
  <c r="I27" i="43" s="1"/>
  <c r="G24" i="42"/>
  <c r="S50" i="41"/>
  <c r="T50" i="41"/>
  <c r="G29" i="43" s="1"/>
  <c r="J26" i="42"/>
  <c r="V54" i="41"/>
  <c r="I14" i="43" s="1"/>
  <c r="U55" i="41"/>
  <c r="H15" i="43" s="1"/>
  <c r="S63" i="41"/>
  <c r="W63" i="41" s="1"/>
  <c r="S66" i="41"/>
  <c r="W66" i="41" s="1"/>
  <c r="S69" i="41"/>
  <c r="W69" i="41" s="1"/>
  <c r="R72" i="41"/>
  <c r="H32" i="42"/>
  <c r="T78" i="41"/>
  <c r="G16" i="43" s="1"/>
  <c r="U78" i="41"/>
  <c r="H16" i="43" s="1"/>
  <c r="J33" i="42"/>
  <c r="V80" i="41"/>
  <c r="I17" i="43" s="1"/>
  <c r="V82" i="41"/>
  <c r="I18" i="43" s="1"/>
  <c r="S83" i="41"/>
  <c r="W83" i="41" s="1"/>
  <c r="H35" i="42"/>
  <c r="T84" i="41"/>
  <c r="G35" i="43" s="1"/>
  <c r="T86" i="41"/>
  <c r="G36" i="43" s="1"/>
  <c r="R90" i="41"/>
  <c r="R16" i="41"/>
  <c r="S5" i="41"/>
  <c r="W5" i="41" s="1"/>
  <c r="P22" i="41"/>
  <c r="I8" i="42" s="1"/>
  <c r="U23" i="41"/>
  <c r="H3" i="43" s="1"/>
  <c r="V27" i="41"/>
  <c r="I4" i="43" s="1"/>
  <c r="U36" i="41"/>
  <c r="H10" i="43" s="1"/>
  <c r="R43" i="41"/>
  <c r="R44" i="41"/>
  <c r="R6" i="41"/>
  <c r="R8" i="41"/>
  <c r="R10" i="41"/>
  <c r="R15" i="41"/>
  <c r="T20" i="41"/>
  <c r="G7" i="43" s="1"/>
  <c r="R21" i="41"/>
  <c r="Q22" i="41"/>
  <c r="J8" i="42" s="1"/>
  <c r="Q23" i="41"/>
  <c r="J9" i="42" s="1"/>
  <c r="I11" i="42"/>
  <c r="U25" i="41"/>
  <c r="H23" i="43" s="1"/>
  <c r="T25" i="41"/>
  <c r="G23" i="43" s="1"/>
  <c r="T26" i="41"/>
  <c r="G8" i="43" s="1"/>
  <c r="U28" i="41"/>
  <c r="H9" i="43" s="1"/>
  <c r="W32" i="41"/>
  <c r="R32" i="41"/>
  <c r="R33" i="41"/>
  <c r="U49" i="41"/>
  <c r="H28" i="43" s="1"/>
  <c r="W52" i="41"/>
  <c r="R52" i="41"/>
  <c r="R53" i="41"/>
  <c r="W72" i="41"/>
  <c r="S74" i="41"/>
  <c r="W74" i="41" s="1"/>
  <c r="U76" i="41"/>
  <c r="H33" i="43" s="1"/>
  <c r="V17" i="41"/>
  <c r="I19" i="43" s="1"/>
  <c r="T19" i="41"/>
  <c r="G20" i="43" s="1"/>
  <c r="U20" i="41"/>
  <c r="H7" i="43" s="1"/>
  <c r="V24" i="41"/>
  <c r="I22" i="43" s="1"/>
  <c r="U26" i="41"/>
  <c r="H8" i="43" s="1"/>
  <c r="V28" i="41"/>
  <c r="I9" i="43" s="1"/>
  <c r="W34" i="41"/>
  <c r="R34" i="41"/>
  <c r="W37" i="41"/>
  <c r="R37" i="41"/>
  <c r="P38" i="41"/>
  <c r="I16" i="42" s="1"/>
  <c r="V39" i="41"/>
  <c r="I24" i="43" s="1"/>
  <c r="R40" i="41"/>
  <c r="W40" i="41"/>
  <c r="G20" i="42"/>
  <c r="K20" i="42" s="1"/>
  <c r="M20" i="42" s="1"/>
  <c r="O20" i="42" s="1"/>
  <c r="P20" i="42" s="1"/>
  <c r="S46" i="41"/>
  <c r="R46" i="41"/>
  <c r="P47" i="41"/>
  <c r="I21" i="42" s="1"/>
  <c r="V48" i="41"/>
  <c r="I13" i="43" s="1"/>
  <c r="V49" i="41"/>
  <c r="I28" i="43" s="1"/>
  <c r="P50" i="41"/>
  <c r="I24" i="42" s="1"/>
  <c r="S53" i="41"/>
  <c r="V55" i="41"/>
  <c r="I15" i="43" s="1"/>
  <c r="T58" i="41"/>
  <c r="G31" i="43" s="1"/>
  <c r="H28" i="42"/>
  <c r="R59" i="41"/>
  <c r="U62" i="41"/>
  <c r="H32" i="43" s="1"/>
  <c r="R64" i="41"/>
  <c r="R75" i="41"/>
  <c r="J30" i="42"/>
  <c r="V76" i="41"/>
  <c r="I33" i="43" s="1"/>
  <c r="V78" i="41"/>
  <c r="I16" i="43" s="1"/>
  <c r="V86" i="41"/>
  <c r="I36" i="43" s="1"/>
  <c r="P87" i="41"/>
  <c r="I37" i="42" s="1"/>
  <c r="W88" i="41"/>
  <c r="R88" i="41"/>
  <c r="G3" i="42"/>
  <c r="K3" i="42" s="1"/>
  <c r="M3" i="42" s="1"/>
  <c r="O3" i="42" s="1"/>
  <c r="P3" i="42" s="1"/>
  <c r="V38" i="41"/>
  <c r="I11" i="43" s="1"/>
  <c r="T39" i="41"/>
  <c r="G24" i="43" s="1"/>
  <c r="H18" i="42"/>
  <c r="K18" i="42" s="1"/>
  <c r="M18" i="42" s="1"/>
  <c r="O18" i="42" s="1"/>
  <c r="P18" i="42" s="1"/>
  <c r="T40" i="41"/>
  <c r="G25" i="43" s="1"/>
  <c r="J25" i="43"/>
  <c r="L25" i="43" s="1"/>
  <c r="M25" i="43" s="1"/>
  <c r="N25" i="43" s="1"/>
  <c r="O25" i="43" s="1"/>
  <c r="P25" i="43" s="1"/>
  <c r="R42" i="41"/>
  <c r="I19" i="42"/>
  <c r="U45" i="41"/>
  <c r="H26" i="43" s="1"/>
  <c r="V47" i="41"/>
  <c r="I12" i="43" s="1"/>
  <c r="T48" i="41"/>
  <c r="G13" i="43" s="1"/>
  <c r="V50" i="41"/>
  <c r="I29" i="43" s="1"/>
  <c r="I25" i="42"/>
  <c r="K25" i="42" s="1"/>
  <c r="M25" i="42" s="1"/>
  <c r="O25" i="42" s="1"/>
  <c r="P25" i="42" s="1"/>
  <c r="U53" i="41"/>
  <c r="H30" i="43" s="1"/>
  <c r="T54" i="41"/>
  <c r="G14" i="43" s="1"/>
  <c r="R56" i="41"/>
  <c r="V62" i="41"/>
  <c r="I32" i="43" s="1"/>
  <c r="W65" i="41"/>
  <c r="R65" i="41"/>
  <c r="W68" i="41"/>
  <c r="R68" i="41"/>
  <c r="I77" i="41"/>
  <c r="I31" i="42"/>
  <c r="U77" i="41"/>
  <c r="H34" i="43" s="1"/>
  <c r="T80" i="41"/>
  <c r="G17" i="43" s="1"/>
  <c r="V84" i="41"/>
  <c r="I35" i="43" s="1"/>
  <c r="R85" i="41"/>
  <c r="U86" i="41"/>
  <c r="H36" i="43" s="1"/>
  <c r="V87" i="41"/>
  <c r="I5" i="43" s="1"/>
  <c r="R91" i="41"/>
  <c r="R9" i="41"/>
  <c r="R11" i="41"/>
  <c r="R12" i="41"/>
  <c r="K11" i="42"/>
  <c r="M11" i="42" s="1"/>
  <c r="O11" i="42" s="1"/>
  <c r="P11" i="42" s="1"/>
  <c r="J12" i="42"/>
  <c r="V26" i="41"/>
  <c r="I8" i="43" s="1"/>
  <c r="U27" i="41"/>
  <c r="H4" i="43" s="1"/>
  <c r="R30" i="41"/>
  <c r="U39" i="41"/>
  <c r="H24" i="43" s="1"/>
  <c r="U46" i="41"/>
  <c r="H27" i="43" s="1"/>
  <c r="U48" i="41"/>
  <c r="H13" i="43" s="1"/>
  <c r="U54" i="41"/>
  <c r="H14" i="43" s="1"/>
  <c r="W57" i="41"/>
  <c r="R57" i="41"/>
  <c r="V58" i="41"/>
  <c r="I31" i="43" s="1"/>
  <c r="R71" i="41"/>
  <c r="T76" i="41"/>
  <c r="G33" i="43" s="1"/>
  <c r="U80" i="41"/>
  <c r="H17" i="43" s="1"/>
  <c r="I82" i="41"/>
  <c r="H34" i="42"/>
  <c r="T82" i="41"/>
  <c r="G18" i="43" s="1"/>
  <c r="W89" i="41"/>
  <c r="R89" i="41"/>
  <c r="V12" i="43"/>
  <c r="D22" i="48"/>
  <c r="B12" i="46"/>
  <c r="K14" i="46"/>
  <c r="K16" i="46" s="1"/>
  <c r="F15" i="31" s="1"/>
  <c r="Z13" i="43"/>
  <c r="Y14" i="43" s="1"/>
  <c r="Z14" i="43" s="1"/>
  <c r="Y15" i="43" s="1"/>
  <c r="Z15" i="43" s="1"/>
  <c r="Y16" i="43" s="1"/>
  <c r="Z16" i="43" s="1"/>
  <c r="Y17" i="43" s="1"/>
  <c r="Z17" i="43" s="1"/>
  <c r="Y18" i="43" s="1"/>
  <c r="Z18" i="43" s="1"/>
  <c r="Y19" i="43" s="1"/>
  <c r="Z19" i="43" s="1"/>
  <c r="Y20" i="43" s="1"/>
  <c r="Z20" i="43" s="1"/>
  <c r="Y21" i="43" s="1"/>
  <c r="Z21" i="43" s="1"/>
  <c r="V43" i="43"/>
  <c r="I78" i="43"/>
  <c r="J42" i="43"/>
  <c r="Z44" i="43"/>
  <c r="Y45" i="43" s="1"/>
  <c r="Z45" i="43" s="1"/>
  <c r="Y46" i="43" s="1"/>
  <c r="Z46" i="43" s="1"/>
  <c r="Y47" i="43" s="1"/>
  <c r="Z47" i="43" s="1"/>
  <c r="Y48" i="43" s="1"/>
  <c r="Z48" i="43" s="1"/>
  <c r="Y49" i="43" s="1"/>
  <c r="Z49" i="43" s="1"/>
  <c r="Y50" i="43" s="1"/>
  <c r="Z50" i="43" s="1"/>
  <c r="Y51" i="43" s="1"/>
  <c r="Z51" i="43" s="1"/>
  <c r="Y52" i="43" s="1"/>
  <c r="Z52" i="43" s="1"/>
  <c r="N3" i="44"/>
  <c r="O3" i="44" s="1"/>
  <c r="P3" i="44" s="1"/>
  <c r="N7" i="44"/>
  <c r="O7" i="44" s="1"/>
  <c r="P7" i="44" s="1"/>
  <c r="N16" i="44"/>
  <c r="O16" i="44" s="1"/>
  <c r="P16" i="44" s="1"/>
  <c r="K16" i="44"/>
  <c r="L16" i="44" s="1"/>
  <c r="K19" i="44"/>
  <c r="L19" i="44" s="1"/>
  <c r="N19" i="44"/>
  <c r="O19" i="44" s="1"/>
  <c r="P19" i="44" s="1"/>
  <c r="K21" i="44"/>
  <c r="L21" i="44" s="1"/>
  <c r="N21" i="44"/>
  <c r="O21" i="44" s="1"/>
  <c r="P21" i="44" s="1"/>
  <c r="K23" i="44"/>
  <c r="L23" i="44" s="1"/>
  <c r="N23" i="44"/>
  <c r="O23" i="44" s="1"/>
  <c r="P23" i="44" s="1"/>
  <c r="K25" i="44"/>
  <c r="L25" i="44" s="1"/>
  <c r="N25" i="44"/>
  <c r="O25" i="44" s="1"/>
  <c r="P25" i="44" s="1"/>
  <c r="K27" i="44"/>
  <c r="L27" i="44" s="1"/>
  <c r="N27" i="44"/>
  <c r="O27" i="44" s="1"/>
  <c r="P27" i="44" s="1"/>
  <c r="K39" i="44"/>
  <c r="L39" i="44" s="1"/>
  <c r="N39" i="44"/>
  <c r="O39" i="44" s="1"/>
  <c r="P39" i="44" s="1"/>
  <c r="I30" i="45"/>
  <c r="I31" i="45" s="1"/>
  <c r="B42" i="46"/>
  <c r="F17" i="47"/>
  <c r="W18" i="44"/>
  <c r="F22" i="47" s="1"/>
  <c r="M5" i="47" s="1"/>
  <c r="J16" i="31" s="1"/>
  <c r="J17" i="47"/>
  <c r="AA18" i="44"/>
  <c r="J22" i="47" s="1"/>
  <c r="Q5" i="47" s="1"/>
  <c r="R16" i="31" s="1"/>
  <c r="K15" i="44"/>
  <c r="L15" i="44" s="1"/>
  <c r="N15" i="44"/>
  <c r="O15" i="44" s="1"/>
  <c r="P15" i="44" s="1"/>
  <c r="G78" i="43"/>
  <c r="N29" i="44"/>
  <c r="O29" i="44" s="1"/>
  <c r="P29" i="44" s="1"/>
  <c r="K29" i="44"/>
  <c r="L29" i="44" s="1"/>
  <c r="D17" i="47"/>
  <c r="U18" i="44"/>
  <c r="D22" i="47" s="1"/>
  <c r="K5" i="47" s="1"/>
  <c r="H17" i="47"/>
  <c r="Y18" i="44"/>
  <c r="H22" i="47" s="1"/>
  <c r="O5" i="47" s="1"/>
  <c r="P16" i="31" s="1"/>
  <c r="L17" i="47"/>
  <c r="AC18" i="44"/>
  <c r="L22" i="47" s="1"/>
  <c r="S5" i="47" s="1"/>
  <c r="T16" i="31" s="1"/>
  <c r="G18" i="47"/>
  <c r="X18" i="44"/>
  <c r="G22" i="47" s="1"/>
  <c r="N5" i="47" s="1"/>
  <c r="K16" i="31" s="1"/>
  <c r="K18" i="47"/>
  <c r="AB18" i="44"/>
  <c r="K22" i="47" s="1"/>
  <c r="R5" i="47" s="1"/>
  <c r="Z18" i="44"/>
  <c r="I22" i="47" s="1"/>
  <c r="P5" i="47" s="1"/>
  <c r="Q16" i="31" s="1"/>
  <c r="B43" i="46"/>
  <c r="I5" i="45"/>
  <c r="B41" i="45" s="1"/>
  <c r="N21" i="45"/>
  <c r="H22" i="45"/>
  <c r="K20" i="44"/>
  <c r="L20" i="44" s="1"/>
  <c r="K22" i="44"/>
  <c r="L22" i="44" s="1"/>
  <c r="K24" i="44"/>
  <c r="L24" i="44" s="1"/>
  <c r="K26" i="44"/>
  <c r="L26" i="44" s="1"/>
  <c r="N30" i="44"/>
  <c r="O30" i="44" s="1"/>
  <c r="P30" i="44" s="1"/>
  <c r="K40" i="44"/>
  <c r="L40" i="44" s="1"/>
  <c r="Q21" i="45"/>
  <c r="D22" i="45"/>
  <c r="O22" i="45" s="1"/>
  <c r="G22" i="45"/>
  <c r="R22" i="45" s="1"/>
  <c r="C22" i="45"/>
  <c r="N22" i="45" s="1"/>
  <c r="I7" i="45"/>
  <c r="F43" i="45" s="1"/>
  <c r="G43" i="45" s="1"/>
  <c r="F44" i="45" s="1"/>
  <c r="G44" i="45" s="1"/>
  <c r="F45" i="45" s="1"/>
  <c r="G45" i="45" s="1"/>
  <c r="F46" i="45" s="1"/>
  <c r="G46" i="45" s="1"/>
  <c r="F47" i="45" s="1"/>
  <c r="G47" i="45" s="1"/>
  <c r="F48" i="45" s="1"/>
  <c r="G48" i="45" s="1"/>
  <c r="F49" i="45" s="1"/>
  <c r="G49" i="45" s="1"/>
  <c r="E22" i="45"/>
  <c r="J22" i="45"/>
  <c r="F6" i="45"/>
  <c r="R21" i="45"/>
  <c r="T21" i="45"/>
  <c r="T30" i="45" s="1"/>
  <c r="T31" i="45" s="1"/>
  <c r="T32" i="45" s="1"/>
  <c r="B10" i="47" s="1"/>
  <c r="R6" i="47" s="1"/>
  <c r="S17" i="31" s="1"/>
  <c r="F22" i="45"/>
  <c r="Q22" i="45" s="1"/>
  <c r="D21" i="45"/>
  <c r="M21" i="45" l="1"/>
  <c r="M30" i="45" s="1"/>
  <c r="M31" i="45" s="1"/>
  <c r="M32" i="45" s="1"/>
  <c r="B3" i="47" s="1"/>
  <c r="K6" i="47" s="1"/>
  <c r="H17" i="31" s="1"/>
  <c r="B30" i="45"/>
  <c r="B31" i="45" s="1"/>
  <c r="J37" i="43"/>
  <c r="L37" i="43" s="1"/>
  <c r="M37" i="43" s="1"/>
  <c r="N37" i="43" s="1"/>
  <c r="O37" i="43" s="1"/>
  <c r="P37" i="43" s="1"/>
  <c r="N30" i="45"/>
  <c r="N31" i="45" s="1"/>
  <c r="N32" i="45" s="1"/>
  <c r="B4" i="47" s="1"/>
  <c r="L6" i="47" s="1"/>
  <c r="L7" i="47" s="1"/>
  <c r="F6" i="48" s="1"/>
  <c r="F26" i="48" s="1"/>
  <c r="U22" i="41"/>
  <c r="H21" i="43" s="1"/>
  <c r="V22" i="41"/>
  <c r="I21" i="43" s="1"/>
  <c r="I17" i="31"/>
  <c r="R7" i="47"/>
  <c r="L6" i="48" s="1"/>
  <c r="L26" i="48" s="1"/>
  <c r="S16" i="31"/>
  <c r="H16" i="31"/>
  <c r="W16" i="31" s="1"/>
  <c r="E28" i="31"/>
  <c r="F28" i="31"/>
  <c r="K24" i="42"/>
  <c r="M24" i="42" s="1"/>
  <c r="O24" i="42" s="1"/>
  <c r="P24" i="42" s="1"/>
  <c r="G38" i="43"/>
  <c r="S25" i="42"/>
  <c r="W25" i="42" s="1"/>
  <c r="AA25" i="42" s="1"/>
  <c r="T25" i="42"/>
  <c r="X25" i="42" s="1"/>
  <c r="AB25" i="42" s="1"/>
  <c r="R25" i="42"/>
  <c r="Q25" i="42"/>
  <c r="AE25" i="42" s="1"/>
  <c r="F11" i="43"/>
  <c r="R18" i="42"/>
  <c r="Q18" i="42"/>
  <c r="AE18" i="42" s="1"/>
  <c r="T18" i="42"/>
  <c r="X18" i="42" s="1"/>
  <c r="AB18" i="42" s="1"/>
  <c r="S18" i="42"/>
  <c r="W18" i="42" s="1"/>
  <c r="AA18" i="42" s="1"/>
  <c r="P22" i="45"/>
  <c r="P30" i="45" s="1"/>
  <c r="P31" i="45" s="1"/>
  <c r="P32" i="45" s="1"/>
  <c r="B6" i="47" s="1"/>
  <c r="N6" i="47" s="1"/>
  <c r="K17" i="31" s="1"/>
  <c r="E30" i="45"/>
  <c r="E31" i="45" s="1"/>
  <c r="D30" i="45"/>
  <c r="D31" i="45" s="1"/>
  <c r="O21" i="45"/>
  <c r="O30" i="45" s="1"/>
  <c r="O31" i="45" s="1"/>
  <c r="O32" i="45" s="1"/>
  <c r="B5" i="47" s="1"/>
  <c r="M6" i="47" s="1"/>
  <c r="I6" i="45"/>
  <c r="D42" i="45" s="1"/>
  <c r="E42" i="45" s="1"/>
  <c r="D43" i="45"/>
  <c r="E43" i="45" s="1"/>
  <c r="D44" i="45" s="1"/>
  <c r="E44" i="45" s="1"/>
  <c r="D45" i="45" s="1"/>
  <c r="E45" i="45" s="1"/>
  <c r="D46" i="45" s="1"/>
  <c r="E46" i="45" s="1"/>
  <c r="D47" i="45" s="1"/>
  <c r="E47" i="45" s="1"/>
  <c r="D48" i="45" s="1"/>
  <c r="E48" i="45" s="1"/>
  <c r="D49" i="45" s="1"/>
  <c r="E49" i="45" s="1"/>
  <c r="K40" i="46"/>
  <c r="C24" i="48" s="1"/>
  <c r="P45" i="44"/>
  <c r="U44" i="43"/>
  <c r="AE44" i="43" s="1"/>
  <c r="AF44" i="43" s="1"/>
  <c r="AG44" i="43" s="1"/>
  <c r="AH44" i="43" s="1"/>
  <c r="B29" i="46" s="1"/>
  <c r="M15" i="46" s="1"/>
  <c r="V44" i="43"/>
  <c r="F27" i="43"/>
  <c r="J27" i="43" s="1"/>
  <c r="L27" i="43" s="1"/>
  <c r="M27" i="43" s="1"/>
  <c r="N27" i="43" s="1"/>
  <c r="O27" i="43" s="1"/>
  <c r="P27" i="43" s="1"/>
  <c r="W46" i="41"/>
  <c r="F23" i="43"/>
  <c r="J23" i="43" s="1"/>
  <c r="L23" i="43" s="1"/>
  <c r="M23" i="43" s="1"/>
  <c r="N23" i="43" s="1"/>
  <c r="O23" i="43" s="1"/>
  <c r="P23" i="43" s="1"/>
  <c r="W25" i="41"/>
  <c r="N58" i="41"/>
  <c r="U38" i="41"/>
  <c r="H11" i="43" s="1"/>
  <c r="N17" i="41"/>
  <c r="N45" i="41"/>
  <c r="S45" i="41" s="1"/>
  <c r="F17" i="43"/>
  <c r="J17" i="43" s="1"/>
  <c r="L17" i="43" s="1"/>
  <c r="M17" i="43" s="1"/>
  <c r="N17" i="43" s="1"/>
  <c r="O17" i="43" s="1"/>
  <c r="P17" i="43" s="1"/>
  <c r="W80" i="41"/>
  <c r="N87" i="41"/>
  <c r="S87" i="41" s="1"/>
  <c r="U47" i="41"/>
  <c r="H12" i="43" s="1"/>
  <c r="U22" i="45"/>
  <c r="U30" i="45" s="1"/>
  <c r="U31" i="45" s="1"/>
  <c r="U32" i="45" s="1"/>
  <c r="B11" i="47" s="1"/>
  <c r="S6" i="47" s="1"/>
  <c r="T17" i="31" s="1"/>
  <c r="J30" i="45"/>
  <c r="J31" i="45" s="1"/>
  <c r="Q30" i="45"/>
  <c r="Q31" i="45" s="1"/>
  <c r="Q32" i="45" s="1"/>
  <c r="B7" i="47" s="1"/>
  <c r="O6" i="47" s="1"/>
  <c r="C30" i="45"/>
  <c r="C31" i="45" s="1"/>
  <c r="N7" i="47"/>
  <c r="H6" i="48" s="1"/>
  <c r="H26" i="48" s="1"/>
  <c r="F30" i="45"/>
  <c r="F31" i="45" s="1"/>
  <c r="T20" i="42"/>
  <c r="X20" i="42" s="1"/>
  <c r="AB20" i="42" s="1"/>
  <c r="S20" i="42"/>
  <c r="W20" i="42" s="1"/>
  <c r="AA20" i="42" s="1"/>
  <c r="R20" i="42"/>
  <c r="Q20" i="42"/>
  <c r="AE20" i="42" s="1"/>
  <c r="F29" i="43"/>
  <c r="F22" i="43"/>
  <c r="N28" i="41"/>
  <c r="G36" i="42"/>
  <c r="K36" i="42" s="1"/>
  <c r="M36" i="42" s="1"/>
  <c r="O36" i="42" s="1"/>
  <c r="P36" i="42" s="1"/>
  <c r="R86" i="41"/>
  <c r="U24" i="41"/>
  <c r="H22" i="43" s="1"/>
  <c r="N18" i="41"/>
  <c r="H10" i="42"/>
  <c r="K10" i="42" s="1"/>
  <c r="M10" i="42" s="1"/>
  <c r="O10" i="42" s="1"/>
  <c r="P10" i="42" s="1"/>
  <c r="R24" i="41"/>
  <c r="G33" i="42"/>
  <c r="K33" i="42" s="1"/>
  <c r="M33" i="42" s="1"/>
  <c r="O33" i="42" s="1"/>
  <c r="P33" i="42" s="1"/>
  <c r="R80" i="41"/>
  <c r="G6" i="42"/>
  <c r="K6" i="42" s="1"/>
  <c r="M6" i="42" s="1"/>
  <c r="O6" i="42" s="1"/>
  <c r="P6" i="42" s="1"/>
  <c r="R19" i="41"/>
  <c r="V23" i="41"/>
  <c r="I3" i="43" s="1"/>
  <c r="I38" i="43" s="1"/>
  <c r="R30" i="45"/>
  <c r="R31" i="45" s="1"/>
  <c r="R32" i="45" s="1"/>
  <c r="B8" i="47" s="1"/>
  <c r="P6" i="47" s="1"/>
  <c r="Q17" i="31" s="1"/>
  <c r="H30" i="45"/>
  <c r="H31" i="45" s="1"/>
  <c r="S22" i="45"/>
  <c r="S30" i="45" s="1"/>
  <c r="S31" i="45" s="1"/>
  <c r="S32" i="45" s="1"/>
  <c r="B9" i="47" s="1"/>
  <c r="Q6" i="47" s="1"/>
  <c r="H41" i="45"/>
  <c r="I41" i="45" s="1"/>
  <c r="J41" i="45" s="1"/>
  <c r="K41" i="45" s="1"/>
  <c r="L41" i="45" s="1"/>
  <c r="C41" i="45"/>
  <c r="B42" i="45" s="1"/>
  <c r="P7" i="47"/>
  <c r="J6" i="48" s="1"/>
  <c r="J26" i="48" s="1"/>
  <c r="K42" i="43"/>
  <c r="J78" i="43"/>
  <c r="K22" i="46"/>
  <c r="K38" i="46"/>
  <c r="U13" i="43"/>
  <c r="AC13" i="43" s="1"/>
  <c r="AD13" i="43" s="1"/>
  <c r="AE13" i="43" s="1"/>
  <c r="AF13" i="43" s="1"/>
  <c r="AG13" i="43" s="1"/>
  <c r="B14" i="46" s="1"/>
  <c r="M14" i="46" s="1"/>
  <c r="M16" i="46" s="1"/>
  <c r="H15" i="31" s="1"/>
  <c r="Q11" i="42"/>
  <c r="AE11" i="42" s="1"/>
  <c r="S11" i="42"/>
  <c r="W11" i="42" s="1"/>
  <c r="AA11" i="42" s="1"/>
  <c r="T11" i="42"/>
  <c r="X11" i="42" s="1"/>
  <c r="AB11" i="42" s="1"/>
  <c r="R11" i="42"/>
  <c r="S77" i="41"/>
  <c r="N77" i="41"/>
  <c r="F30" i="43"/>
  <c r="J30" i="43" s="1"/>
  <c r="L30" i="43" s="1"/>
  <c r="M30" i="43" s="1"/>
  <c r="N30" i="43" s="1"/>
  <c r="O30" i="43" s="1"/>
  <c r="P30" i="43" s="1"/>
  <c r="W53" i="41"/>
  <c r="T24" i="42"/>
  <c r="X24" i="42" s="1"/>
  <c r="AB24" i="42" s="1"/>
  <c r="S24" i="42"/>
  <c r="W24" i="42" s="1"/>
  <c r="AA24" i="42" s="1"/>
  <c r="R24" i="42"/>
  <c r="Q24" i="42"/>
  <c r="AE24" i="42" s="1"/>
  <c r="R50" i="41"/>
  <c r="N36" i="41"/>
  <c r="F36" i="43"/>
  <c r="J36" i="43" s="1"/>
  <c r="L36" i="43" s="1"/>
  <c r="M36" i="43" s="1"/>
  <c r="N36" i="43" s="1"/>
  <c r="O36" i="43" s="1"/>
  <c r="P36" i="43" s="1"/>
  <c r="W86" i="41"/>
  <c r="N47" i="41"/>
  <c r="N54" i="41"/>
  <c r="J116" i="41"/>
  <c r="I23" i="41"/>
  <c r="I48" i="41"/>
  <c r="I62" i="41"/>
  <c r="I22" i="41"/>
  <c r="I55" i="41"/>
  <c r="I39" i="41"/>
  <c r="F20" i="43"/>
  <c r="J20" i="43" s="1"/>
  <c r="L20" i="43" s="1"/>
  <c r="M20" i="43" s="1"/>
  <c r="N20" i="43" s="1"/>
  <c r="O20" i="43" s="1"/>
  <c r="P20" i="43" s="1"/>
  <c r="W19" i="41"/>
  <c r="G30" i="45"/>
  <c r="G31" i="45" s="1"/>
  <c r="D5" i="48"/>
  <c r="D7" i="48" s="1"/>
  <c r="L40" i="46"/>
  <c r="S7" i="47"/>
  <c r="M6" i="48" s="1"/>
  <c r="M26" i="48" s="1"/>
  <c r="N82" i="41"/>
  <c r="R3" i="42"/>
  <c r="T3" i="42"/>
  <c r="X3" i="42" s="1"/>
  <c r="AB3" i="42" s="1"/>
  <c r="S3" i="42"/>
  <c r="W3" i="42" s="1"/>
  <c r="AA3" i="42" s="1"/>
  <c r="Q3" i="42"/>
  <c r="AE3" i="42" s="1"/>
  <c r="G16" i="42"/>
  <c r="K16" i="42" s="1"/>
  <c r="M16" i="42" s="1"/>
  <c r="O16" i="42" s="1"/>
  <c r="P16" i="42" s="1"/>
  <c r="R38" i="41"/>
  <c r="N49" i="41"/>
  <c r="U87" i="41"/>
  <c r="H5" i="43" s="1"/>
  <c r="N78" i="41"/>
  <c r="S78" i="41" s="1"/>
  <c r="N84" i="41"/>
  <c r="S84" i="41" s="1"/>
  <c r="U50" i="41"/>
  <c r="H29" i="43" s="1"/>
  <c r="I76" i="41"/>
  <c r="I20" i="41"/>
  <c r="I27" i="41"/>
  <c r="I26" i="41"/>
  <c r="I116" i="41"/>
  <c r="I23" i="48"/>
  <c r="K7" i="47" l="1"/>
  <c r="E6" i="48" s="1"/>
  <c r="E26" i="48" s="1"/>
  <c r="W38" i="41"/>
  <c r="W24" i="41"/>
  <c r="O7" i="47"/>
  <c r="I6" i="48" s="1"/>
  <c r="I26" i="48" s="1"/>
  <c r="P17" i="31"/>
  <c r="Q7" i="47"/>
  <c r="K6" i="48" s="1"/>
  <c r="K26" i="48" s="1"/>
  <c r="R17" i="31"/>
  <c r="M7" i="47"/>
  <c r="G6" i="48" s="1"/>
  <c r="J17" i="31"/>
  <c r="W17" i="31" s="1"/>
  <c r="J22" i="43"/>
  <c r="L22" i="43" s="1"/>
  <c r="M22" i="43" s="1"/>
  <c r="N22" i="43" s="1"/>
  <c r="O22" i="43" s="1"/>
  <c r="P22" i="43" s="1"/>
  <c r="H38" i="43"/>
  <c r="F26" i="43"/>
  <c r="J26" i="43" s="1"/>
  <c r="L26" i="43" s="1"/>
  <c r="M26" i="43" s="1"/>
  <c r="N26" i="43" s="1"/>
  <c r="O26" i="43" s="1"/>
  <c r="P26" i="43" s="1"/>
  <c r="W45" i="41"/>
  <c r="R10" i="42"/>
  <c r="Q10" i="42"/>
  <c r="AE10" i="42" s="1"/>
  <c r="T10" i="42"/>
  <c r="X10" i="42" s="1"/>
  <c r="AB10" i="42" s="1"/>
  <c r="S10" i="42"/>
  <c r="W10" i="42" s="1"/>
  <c r="AA10" i="42" s="1"/>
  <c r="F5" i="43"/>
  <c r="J5" i="43" s="1"/>
  <c r="L5" i="43" s="1"/>
  <c r="M5" i="43" s="1"/>
  <c r="N5" i="43" s="1"/>
  <c r="O5" i="43" s="1"/>
  <c r="P5" i="43" s="1"/>
  <c r="W87" i="41"/>
  <c r="F35" i="43"/>
  <c r="J35" i="43" s="1"/>
  <c r="L35" i="43" s="1"/>
  <c r="M35" i="43" s="1"/>
  <c r="N35" i="43" s="1"/>
  <c r="O35" i="43" s="1"/>
  <c r="P35" i="43" s="1"/>
  <c r="W84" i="41"/>
  <c r="F16" i="43"/>
  <c r="J16" i="43" s="1"/>
  <c r="L16" i="43" s="1"/>
  <c r="M16" i="43" s="1"/>
  <c r="N16" i="43" s="1"/>
  <c r="O16" i="43" s="1"/>
  <c r="P16" i="43" s="1"/>
  <c r="W78" i="41"/>
  <c r="G26" i="48"/>
  <c r="N20" i="41"/>
  <c r="G34" i="42"/>
  <c r="K34" i="42" s="1"/>
  <c r="M34" i="42" s="1"/>
  <c r="O34" i="42" s="1"/>
  <c r="P34" i="42" s="1"/>
  <c r="R82" i="41"/>
  <c r="N39" i="41"/>
  <c r="S39" i="41"/>
  <c r="G26" i="42"/>
  <c r="K26" i="42" s="1"/>
  <c r="M26" i="42" s="1"/>
  <c r="O26" i="42" s="1"/>
  <c r="P26" i="42" s="1"/>
  <c r="R54" i="41"/>
  <c r="F34" i="43"/>
  <c r="J34" i="43" s="1"/>
  <c r="L34" i="43" s="1"/>
  <c r="M34" i="43" s="1"/>
  <c r="N34" i="43" s="1"/>
  <c r="O34" i="43" s="1"/>
  <c r="P34" i="43" s="1"/>
  <c r="W77" i="41"/>
  <c r="G4" i="42"/>
  <c r="K4" i="42" s="1"/>
  <c r="M4" i="42" s="1"/>
  <c r="O4" i="42" s="1"/>
  <c r="P4" i="42" s="1"/>
  <c r="R17" i="41"/>
  <c r="M38" i="46"/>
  <c r="M22" i="46"/>
  <c r="H42" i="45"/>
  <c r="I42" i="45" s="1"/>
  <c r="J42" i="45" s="1"/>
  <c r="K42" i="45" s="1"/>
  <c r="L42" i="45" s="1"/>
  <c r="C42" i="45"/>
  <c r="B43" i="45" s="1"/>
  <c r="G5" i="42"/>
  <c r="K5" i="42" s="1"/>
  <c r="M5" i="42" s="1"/>
  <c r="O5" i="42" s="1"/>
  <c r="P5" i="42" s="1"/>
  <c r="R18" i="41"/>
  <c r="N26" i="41"/>
  <c r="S26" i="41" s="1"/>
  <c r="K78" i="43"/>
  <c r="L42" i="43"/>
  <c r="L78" i="43" s="1"/>
  <c r="W50" i="41"/>
  <c r="G28" i="42"/>
  <c r="K28" i="42" s="1"/>
  <c r="M28" i="42" s="1"/>
  <c r="O28" i="42" s="1"/>
  <c r="P28" i="42" s="1"/>
  <c r="R58" i="41"/>
  <c r="G23" i="42"/>
  <c r="K23" i="42" s="1"/>
  <c r="M23" i="42" s="1"/>
  <c r="O23" i="42" s="1"/>
  <c r="P23" i="42" s="1"/>
  <c r="R49" i="41"/>
  <c r="N55" i="41"/>
  <c r="S55" i="41" s="1"/>
  <c r="G21" i="42"/>
  <c r="K21" i="42" s="1"/>
  <c r="M21" i="42" s="1"/>
  <c r="O21" i="42" s="1"/>
  <c r="P21" i="42" s="1"/>
  <c r="R47" i="41"/>
  <c r="G15" i="42"/>
  <c r="K15" i="42" s="1"/>
  <c r="M15" i="42" s="1"/>
  <c r="O15" i="42" s="1"/>
  <c r="P15" i="42" s="1"/>
  <c r="R36" i="41"/>
  <c r="U11" i="42"/>
  <c r="Y11" i="42" s="1"/>
  <c r="AC11" i="42" s="1"/>
  <c r="V11" i="42"/>
  <c r="Z11" i="42" s="1"/>
  <c r="AD11" i="42" s="1"/>
  <c r="N22" i="41"/>
  <c r="S22" i="41" s="1"/>
  <c r="S47" i="41"/>
  <c r="S36" i="41"/>
  <c r="V24" i="42"/>
  <c r="Z24" i="42" s="1"/>
  <c r="AD24" i="42" s="1"/>
  <c r="U24" i="42"/>
  <c r="Y24" i="42" s="1"/>
  <c r="AC24" i="42" s="1"/>
  <c r="AF24" i="42" s="1"/>
  <c r="V13" i="43"/>
  <c r="B44" i="46"/>
  <c r="M29" i="46"/>
  <c r="H18" i="31" s="1"/>
  <c r="Q33" i="42"/>
  <c r="AE33" i="42" s="1"/>
  <c r="T33" i="42"/>
  <c r="X33" i="42" s="1"/>
  <c r="AB33" i="42" s="1"/>
  <c r="S33" i="42"/>
  <c r="W33" i="42" s="1"/>
  <c r="AA33" i="42" s="1"/>
  <c r="R33" i="42"/>
  <c r="S18" i="41"/>
  <c r="G14" i="42"/>
  <c r="K14" i="42" s="1"/>
  <c r="M14" i="42" s="1"/>
  <c r="O14" i="42" s="1"/>
  <c r="P14" i="42" s="1"/>
  <c r="R28" i="41"/>
  <c r="N27" i="41"/>
  <c r="S27" i="41" s="1"/>
  <c r="T16" i="42"/>
  <c r="X16" i="42" s="1"/>
  <c r="AB16" i="42" s="1"/>
  <c r="S16" i="42"/>
  <c r="W16" i="42" s="1"/>
  <c r="AA16" i="42" s="1"/>
  <c r="R16" i="42"/>
  <c r="Q16" i="42"/>
  <c r="AE16" i="42" s="1"/>
  <c r="V3" i="42"/>
  <c r="Z3" i="42" s="1"/>
  <c r="AD3" i="42" s="1"/>
  <c r="U3" i="42"/>
  <c r="Y3" i="42" s="1"/>
  <c r="AC3" i="42" s="1"/>
  <c r="AF3" i="42" s="1"/>
  <c r="D24" i="48"/>
  <c r="L41" i="46"/>
  <c r="D25" i="48" s="1"/>
  <c r="D27" i="48" s="1"/>
  <c r="D13" i="48" s="1"/>
  <c r="N62" i="41"/>
  <c r="S54" i="41"/>
  <c r="G31" i="42"/>
  <c r="K31" i="42" s="1"/>
  <c r="M31" i="42" s="1"/>
  <c r="O31" i="42" s="1"/>
  <c r="P31" i="42" s="1"/>
  <c r="R77" i="41"/>
  <c r="AF11" i="42"/>
  <c r="C22" i="48"/>
  <c r="K41" i="46"/>
  <c r="C25" i="48" s="1"/>
  <c r="C27" i="48" s="1"/>
  <c r="C13" i="48" s="1"/>
  <c r="S28" i="41"/>
  <c r="J29" i="43"/>
  <c r="L29" i="43" s="1"/>
  <c r="M29" i="43" s="1"/>
  <c r="N29" i="43" s="1"/>
  <c r="O29" i="43" s="1"/>
  <c r="P29" i="43" s="1"/>
  <c r="S17" i="41"/>
  <c r="S58" i="41"/>
  <c r="V18" i="42"/>
  <c r="Z18" i="42" s="1"/>
  <c r="AD18" i="42" s="1"/>
  <c r="U18" i="42"/>
  <c r="Y18" i="42" s="1"/>
  <c r="AC18" i="42" s="1"/>
  <c r="AF18" i="42" s="1"/>
  <c r="U25" i="42"/>
  <c r="Y25" i="42" s="1"/>
  <c r="AC25" i="42" s="1"/>
  <c r="V25" i="42"/>
  <c r="Z25" i="42" s="1"/>
  <c r="AD25" i="42" s="1"/>
  <c r="G35" i="42"/>
  <c r="K35" i="42" s="1"/>
  <c r="M35" i="42" s="1"/>
  <c r="O35" i="42" s="1"/>
  <c r="P35" i="42" s="1"/>
  <c r="R84" i="41"/>
  <c r="N48" i="41"/>
  <c r="S48" i="41"/>
  <c r="R6" i="42"/>
  <c r="Q6" i="42"/>
  <c r="AE6" i="42" s="1"/>
  <c r="T6" i="42"/>
  <c r="X6" i="42" s="1"/>
  <c r="AB6" i="42" s="1"/>
  <c r="S6" i="42"/>
  <c r="W6" i="42" s="1"/>
  <c r="AA6" i="42" s="1"/>
  <c r="N76" i="41"/>
  <c r="S76" i="41" s="1"/>
  <c r="G32" i="42"/>
  <c r="K32" i="42" s="1"/>
  <c r="M32" i="42" s="1"/>
  <c r="O32" i="42" s="1"/>
  <c r="P32" i="42" s="1"/>
  <c r="R78" i="41"/>
  <c r="S49" i="41"/>
  <c r="S82" i="41"/>
  <c r="N23" i="41"/>
  <c r="S36" i="42"/>
  <c r="W36" i="42" s="1"/>
  <c r="AA36" i="42" s="1"/>
  <c r="R36" i="42"/>
  <c r="T36" i="42"/>
  <c r="X36" i="42" s="1"/>
  <c r="AB36" i="42" s="1"/>
  <c r="Q36" i="42"/>
  <c r="AE36" i="42" s="1"/>
  <c r="V20" i="42"/>
  <c r="Z20" i="42" s="1"/>
  <c r="AD20" i="42" s="1"/>
  <c r="U20" i="42"/>
  <c r="Y20" i="42" s="1"/>
  <c r="AC20" i="42" s="1"/>
  <c r="AF20" i="42" s="1"/>
  <c r="G37" i="42"/>
  <c r="K37" i="42" s="1"/>
  <c r="M37" i="42" s="1"/>
  <c r="O37" i="42" s="1"/>
  <c r="P37" i="42" s="1"/>
  <c r="R87" i="41"/>
  <c r="G19" i="42"/>
  <c r="K19" i="42" s="1"/>
  <c r="M19" i="42" s="1"/>
  <c r="O19" i="42" s="1"/>
  <c r="P19" i="42" s="1"/>
  <c r="R45" i="41"/>
  <c r="U45" i="43"/>
  <c r="AE45" i="43" s="1"/>
  <c r="AF45" i="43" s="1"/>
  <c r="AG45" i="43" s="1"/>
  <c r="AH45" i="43" s="1"/>
  <c r="B30" i="46" s="1"/>
  <c r="N15" i="46" s="1"/>
  <c r="C7" i="48"/>
  <c r="J11" i="43"/>
  <c r="L11" i="43" s="1"/>
  <c r="M11" i="43" s="1"/>
  <c r="N11" i="43" s="1"/>
  <c r="O11" i="43" s="1"/>
  <c r="P11" i="43" s="1"/>
  <c r="AF25" i="42"/>
  <c r="V45" i="43" l="1"/>
  <c r="G28" i="31"/>
  <c r="F15" i="43"/>
  <c r="J15" i="43" s="1"/>
  <c r="L15" i="43" s="1"/>
  <c r="M15" i="43" s="1"/>
  <c r="N15" i="43" s="1"/>
  <c r="O15" i="43" s="1"/>
  <c r="P15" i="43" s="1"/>
  <c r="W55" i="41"/>
  <c r="F8" i="43"/>
  <c r="J8" i="43" s="1"/>
  <c r="L8" i="43" s="1"/>
  <c r="M8" i="43" s="1"/>
  <c r="N8" i="43" s="1"/>
  <c r="O8" i="43" s="1"/>
  <c r="P8" i="43" s="1"/>
  <c r="W26" i="41"/>
  <c r="F21" i="43"/>
  <c r="J21" i="43" s="1"/>
  <c r="L21" i="43" s="1"/>
  <c r="M21" i="43" s="1"/>
  <c r="N21" i="43" s="1"/>
  <c r="O21" i="43" s="1"/>
  <c r="P21" i="43" s="1"/>
  <c r="W22" i="41"/>
  <c r="U36" i="42"/>
  <c r="Y36" i="42" s="1"/>
  <c r="AC36" i="42" s="1"/>
  <c r="V36" i="42"/>
  <c r="Z36" i="42" s="1"/>
  <c r="AD36" i="42" s="1"/>
  <c r="Q35" i="42"/>
  <c r="AE35" i="42" s="1"/>
  <c r="S35" i="42"/>
  <c r="W35" i="42" s="1"/>
  <c r="AA35" i="42" s="1"/>
  <c r="R35" i="42"/>
  <c r="T35" i="42"/>
  <c r="X35" i="42" s="1"/>
  <c r="AB35" i="42" s="1"/>
  <c r="U33" i="42"/>
  <c r="Y33" i="42" s="1"/>
  <c r="AC33" i="42" s="1"/>
  <c r="AF33" i="42" s="1"/>
  <c r="V33" i="42"/>
  <c r="Z33" i="42" s="1"/>
  <c r="AD33" i="42" s="1"/>
  <c r="Q15" i="42"/>
  <c r="AE15" i="42" s="1"/>
  <c r="S15" i="42"/>
  <c r="W15" i="42" s="1"/>
  <c r="AA15" i="42" s="1"/>
  <c r="T15" i="42"/>
  <c r="X15" i="42" s="1"/>
  <c r="AB15" i="42" s="1"/>
  <c r="R15" i="42"/>
  <c r="Q23" i="42"/>
  <c r="AE23" i="42" s="1"/>
  <c r="S23" i="42"/>
  <c r="W23" i="42" s="1"/>
  <c r="AA23" i="42" s="1"/>
  <c r="R23" i="42"/>
  <c r="T23" i="42"/>
  <c r="X23" i="42" s="1"/>
  <c r="AB23" i="42" s="1"/>
  <c r="F24" i="43"/>
  <c r="J24" i="43" s="1"/>
  <c r="L24" i="43" s="1"/>
  <c r="M24" i="43" s="1"/>
  <c r="N24" i="43" s="1"/>
  <c r="O24" i="43" s="1"/>
  <c r="P24" i="43" s="1"/>
  <c r="W39" i="41"/>
  <c r="G7" i="42"/>
  <c r="K7" i="42" s="1"/>
  <c r="M7" i="42" s="1"/>
  <c r="O7" i="42" s="1"/>
  <c r="P7" i="42" s="1"/>
  <c r="R20" i="41"/>
  <c r="F33" i="43"/>
  <c r="J33" i="43" s="1"/>
  <c r="L33" i="43" s="1"/>
  <c r="M33" i="43" s="1"/>
  <c r="N33" i="43" s="1"/>
  <c r="O33" i="43" s="1"/>
  <c r="P33" i="43" s="1"/>
  <c r="W76" i="41"/>
  <c r="F14" i="43"/>
  <c r="J14" i="43" s="1"/>
  <c r="L14" i="43" s="1"/>
  <c r="M14" i="43" s="1"/>
  <c r="N14" i="43" s="1"/>
  <c r="O14" i="43" s="1"/>
  <c r="P14" i="43" s="1"/>
  <c r="W54" i="41"/>
  <c r="Q19" i="42"/>
  <c r="AE19" i="42" s="1"/>
  <c r="S19" i="42"/>
  <c r="W19" i="42" s="1"/>
  <c r="AA19" i="42" s="1"/>
  <c r="R19" i="42"/>
  <c r="T19" i="42"/>
  <c r="X19" i="42" s="1"/>
  <c r="AB19" i="42" s="1"/>
  <c r="AF36" i="42"/>
  <c r="F28" i="43"/>
  <c r="J28" i="43" s="1"/>
  <c r="L28" i="43" s="1"/>
  <c r="M28" i="43" s="1"/>
  <c r="N28" i="43" s="1"/>
  <c r="O28" i="43" s="1"/>
  <c r="P28" i="43" s="1"/>
  <c r="W49" i="41"/>
  <c r="G30" i="42"/>
  <c r="K30" i="42" s="1"/>
  <c r="M30" i="42" s="1"/>
  <c r="O30" i="42" s="1"/>
  <c r="P30" i="42" s="1"/>
  <c r="R76" i="41"/>
  <c r="V6" i="42"/>
  <c r="Z6" i="42" s="1"/>
  <c r="AD6" i="42" s="1"/>
  <c r="U6" i="42"/>
  <c r="Y6" i="42" s="1"/>
  <c r="AC6" i="42" s="1"/>
  <c r="AF6" i="42" s="1"/>
  <c r="F9" i="43"/>
  <c r="J9" i="43" s="1"/>
  <c r="L9" i="43" s="1"/>
  <c r="M9" i="43" s="1"/>
  <c r="N9" i="43" s="1"/>
  <c r="O9" i="43" s="1"/>
  <c r="P9" i="43" s="1"/>
  <c r="W28" i="41"/>
  <c r="G29" i="42"/>
  <c r="K29" i="42" s="1"/>
  <c r="M29" i="42" s="1"/>
  <c r="O29" i="42" s="1"/>
  <c r="P29" i="42" s="1"/>
  <c r="R62" i="41"/>
  <c r="E5" i="48"/>
  <c r="M40" i="46"/>
  <c r="E24" i="48" s="1"/>
  <c r="U46" i="43"/>
  <c r="AE46" i="43" s="1"/>
  <c r="AF46" i="43" s="1"/>
  <c r="AG46" i="43" s="1"/>
  <c r="AH46" i="43" s="1"/>
  <c r="B31" i="46" s="1"/>
  <c r="O15" i="46" s="1"/>
  <c r="V46" i="43"/>
  <c r="G9" i="42"/>
  <c r="K9" i="42" s="1"/>
  <c r="M9" i="42" s="1"/>
  <c r="O9" i="42" s="1"/>
  <c r="P9" i="42" s="1"/>
  <c r="R23" i="41"/>
  <c r="F13" i="43"/>
  <c r="J13" i="43" s="1"/>
  <c r="L13" i="43" s="1"/>
  <c r="M13" i="43" s="1"/>
  <c r="N13" i="43" s="1"/>
  <c r="O13" i="43" s="1"/>
  <c r="P13" i="43" s="1"/>
  <c r="W48" i="41"/>
  <c r="F31" i="43"/>
  <c r="J31" i="43" s="1"/>
  <c r="L31" i="43" s="1"/>
  <c r="M31" i="43" s="1"/>
  <c r="N31" i="43" s="1"/>
  <c r="O31" i="43" s="1"/>
  <c r="P31" i="43" s="1"/>
  <c r="W58" i="41"/>
  <c r="T31" i="42"/>
  <c r="X31" i="42" s="1"/>
  <c r="AB31" i="42" s="1"/>
  <c r="Q31" i="42"/>
  <c r="AE31" i="42" s="1"/>
  <c r="S31" i="42"/>
  <c r="W31" i="42" s="1"/>
  <c r="AA31" i="42" s="1"/>
  <c r="R31" i="42"/>
  <c r="S62" i="41"/>
  <c r="F10" i="43"/>
  <c r="J10" i="43" s="1"/>
  <c r="L10" i="43" s="1"/>
  <c r="M10" i="43" s="1"/>
  <c r="N10" i="43" s="1"/>
  <c r="O10" i="43" s="1"/>
  <c r="P10" i="43" s="1"/>
  <c r="W36" i="41"/>
  <c r="S5" i="42"/>
  <c r="W5" i="42" s="1"/>
  <c r="AA5" i="42" s="1"/>
  <c r="R5" i="42"/>
  <c r="Q5" i="42"/>
  <c r="AE5" i="42" s="1"/>
  <c r="T5" i="42"/>
  <c r="X5" i="42" s="1"/>
  <c r="AB5" i="42" s="1"/>
  <c r="M41" i="46"/>
  <c r="E25" i="48" s="1"/>
  <c r="E27" i="48" s="1"/>
  <c r="E13" i="48" s="1"/>
  <c r="E22" i="48"/>
  <c r="G17" i="42"/>
  <c r="K17" i="42" s="1"/>
  <c r="M17" i="42" s="1"/>
  <c r="O17" i="42" s="1"/>
  <c r="P17" i="42" s="1"/>
  <c r="R39" i="41"/>
  <c r="S20" i="41"/>
  <c r="V10" i="42"/>
  <c r="Z10" i="42" s="1"/>
  <c r="AD10" i="42" s="1"/>
  <c r="U10" i="42"/>
  <c r="Y10" i="42" s="1"/>
  <c r="AC10" i="42" s="1"/>
  <c r="AF10" i="42" s="1"/>
  <c r="Q37" i="42"/>
  <c r="AE37" i="42" s="1"/>
  <c r="S37" i="42"/>
  <c r="W37" i="42" s="1"/>
  <c r="AA37" i="42" s="1"/>
  <c r="T37" i="42"/>
  <c r="X37" i="42" s="1"/>
  <c r="AB37" i="42" s="1"/>
  <c r="R37" i="42"/>
  <c r="S23" i="41"/>
  <c r="S32" i="42"/>
  <c r="W32" i="42" s="1"/>
  <c r="AA32" i="42" s="1"/>
  <c r="T32" i="42"/>
  <c r="X32" i="42" s="1"/>
  <c r="AB32" i="42" s="1"/>
  <c r="R32" i="42"/>
  <c r="Q32" i="42"/>
  <c r="AE32" i="42" s="1"/>
  <c r="G22" i="42"/>
  <c r="K22" i="42" s="1"/>
  <c r="M22" i="42" s="1"/>
  <c r="O22" i="42" s="1"/>
  <c r="P22" i="42" s="1"/>
  <c r="R48" i="41"/>
  <c r="F19" i="43"/>
  <c r="J19" i="43" s="1"/>
  <c r="L19" i="43" s="1"/>
  <c r="M19" i="43" s="1"/>
  <c r="N19" i="43" s="1"/>
  <c r="O19" i="43" s="1"/>
  <c r="P19" i="43" s="1"/>
  <c r="W17" i="41"/>
  <c r="G13" i="42"/>
  <c r="K13" i="42" s="1"/>
  <c r="M13" i="42" s="1"/>
  <c r="O13" i="42" s="1"/>
  <c r="P13" i="42" s="1"/>
  <c r="R27" i="41"/>
  <c r="R14" i="42"/>
  <c r="Q14" i="42"/>
  <c r="AE14" i="42" s="1"/>
  <c r="T14" i="42"/>
  <c r="X14" i="42" s="1"/>
  <c r="AB14" i="42" s="1"/>
  <c r="S14" i="42"/>
  <c r="W14" i="42" s="1"/>
  <c r="AA14" i="42" s="1"/>
  <c r="U14" i="43"/>
  <c r="AC14" i="43" s="1"/>
  <c r="AD14" i="43" s="1"/>
  <c r="AE14" i="43" s="1"/>
  <c r="AF14" i="43" s="1"/>
  <c r="AG14" i="43" s="1"/>
  <c r="B15" i="46" s="1"/>
  <c r="N14" i="46" s="1"/>
  <c r="N16" i="46" s="1"/>
  <c r="I15" i="31" s="1"/>
  <c r="F12" i="43"/>
  <c r="J12" i="43" s="1"/>
  <c r="L12" i="43" s="1"/>
  <c r="M12" i="43" s="1"/>
  <c r="N12" i="43" s="1"/>
  <c r="O12" i="43" s="1"/>
  <c r="P12" i="43" s="1"/>
  <c r="W47" i="41"/>
  <c r="S21" i="42"/>
  <c r="W21" i="42" s="1"/>
  <c r="AA21" i="42" s="1"/>
  <c r="T21" i="42"/>
  <c r="X21" i="42" s="1"/>
  <c r="AB21" i="42" s="1"/>
  <c r="R21" i="42"/>
  <c r="Q21" i="42"/>
  <c r="AE21" i="42" s="1"/>
  <c r="T28" i="42"/>
  <c r="X28" i="42" s="1"/>
  <c r="AB28" i="42" s="1"/>
  <c r="S28" i="42"/>
  <c r="W28" i="42" s="1"/>
  <c r="AA28" i="42" s="1"/>
  <c r="R28" i="42"/>
  <c r="Q28" i="42"/>
  <c r="AE28" i="42" s="1"/>
  <c r="C43" i="45"/>
  <c r="B44" i="45" s="1"/>
  <c r="H43" i="45"/>
  <c r="I43" i="45" s="1"/>
  <c r="J43" i="45" s="1"/>
  <c r="K43" i="45" s="1"/>
  <c r="L43" i="45" s="1"/>
  <c r="F18" i="43"/>
  <c r="J18" i="43" s="1"/>
  <c r="L18" i="43" s="1"/>
  <c r="M18" i="43" s="1"/>
  <c r="N18" i="43" s="1"/>
  <c r="O18" i="43" s="1"/>
  <c r="P18" i="43" s="1"/>
  <c r="W82" i="41"/>
  <c r="V16" i="42"/>
  <c r="Z16" i="42" s="1"/>
  <c r="AD16" i="42" s="1"/>
  <c r="U16" i="42"/>
  <c r="Y16" i="42" s="1"/>
  <c r="AC16" i="42" s="1"/>
  <c r="AF16" i="42" s="1"/>
  <c r="F4" i="43"/>
  <c r="J4" i="43" s="1"/>
  <c r="L4" i="43" s="1"/>
  <c r="M4" i="43" s="1"/>
  <c r="N4" i="43" s="1"/>
  <c r="O4" i="43" s="1"/>
  <c r="P4" i="43" s="1"/>
  <c r="W27" i="41"/>
  <c r="F6" i="43"/>
  <c r="J6" i="43" s="1"/>
  <c r="L6" i="43" s="1"/>
  <c r="M6" i="43" s="1"/>
  <c r="N6" i="43" s="1"/>
  <c r="O6" i="43" s="1"/>
  <c r="P6" i="43" s="1"/>
  <c r="W18" i="41"/>
  <c r="G8" i="42"/>
  <c r="K8" i="42" s="1"/>
  <c r="M8" i="42" s="1"/>
  <c r="O8" i="42" s="1"/>
  <c r="P8" i="42" s="1"/>
  <c r="R22" i="41"/>
  <c r="G27" i="42"/>
  <c r="K27" i="42" s="1"/>
  <c r="M27" i="42" s="1"/>
  <c r="O27" i="42" s="1"/>
  <c r="P27" i="42" s="1"/>
  <c r="R55" i="41"/>
  <c r="G12" i="42"/>
  <c r="K12" i="42" s="1"/>
  <c r="M12" i="42" s="1"/>
  <c r="O12" i="42" s="1"/>
  <c r="P12" i="42" s="1"/>
  <c r="R26" i="41"/>
  <c r="B45" i="46"/>
  <c r="N29" i="46"/>
  <c r="I18" i="31" s="1"/>
  <c r="T4" i="42"/>
  <c r="X4" i="42" s="1"/>
  <c r="AB4" i="42" s="1"/>
  <c r="S4" i="42"/>
  <c r="W4" i="42" s="1"/>
  <c r="AA4" i="42" s="1"/>
  <c r="Q4" i="42"/>
  <c r="AE4" i="42" s="1"/>
  <c r="R4" i="42"/>
  <c r="R26" i="42"/>
  <c r="Q26" i="42"/>
  <c r="AE26" i="42" s="1"/>
  <c r="T26" i="42"/>
  <c r="X26" i="42" s="1"/>
  <c r="AB26" i="42" s="1"/>
  <c r="S26" i="42"/>
  <c r="W26" i="42" s="1"/>
  <c r="AA26" i="42" s="1"/>
  <c r="S34" i="42"/>
  <c r="W34" i="42" s="1"/>
  <c r="AA34" i="42" s="1"/>
  <c r="Q34" i="42"/>
  <c r="AE34" i="42" s="1"/>
  <c r="T34" i="42"/>
  <c r="X34" i="42" s="1"/>
  <c r="AB34" i="42" s="1"/>
  <c r="R34" i="42"/>
  <c r="H28" i="31" l="1"/>
  <c r="T12" i="42"/>
  <c r="X12" i="42" s="1"/>
  <c r="AB12" i="42" s="1"/>
  <c r="S12" i="42"/>
  <c r="W12" i="42" s="1"/>
  <c r="AA12" i="42" s="1"/>
  <c r="Q12" i="42"/>
  <c r="AE12" i="42" s="1"/>
  <c r="R12" i="42"/>
  <c r="V28" i="42"/>
  <c r="Z28" i="42" s="1"/>
  <c r="AD28" i="42" s="1"/>
  <c r="U28" i="42"/>
  <c r="Y28" i="42" s="1"/>
  <c r="AC28" i="42" s="1"/>
  <c r="AF28" i="42" s="1"/>
  <c r="U21" i="42"/>
  <c r="Y21" i="42" s="1"/>
  <c r="AC21" i="42" s="1"/>
  <c r="AF21" i="42" s="1"/>
  <c r="V21" i="42"/>
  <c r="Z21" i="42" s="1"/>
  <c r="AD21" i="42" s="1"/>
  <c r="U34" i="42"/>
  <c r="Y34" i="42" s="1"/>
  <c r="AC34" i="42" s="1"/>
  <c r="AF34" i="42" s="1"/>
  <c r="V34" i="42"/>
  <c r="Z34" i="42" s="1"/>
  <c r="AD34" i="42" s="1"/>
  <c r="F5" i="48"/>
  <c r="F7" i="48" s="1"/>
  <c r="N40" i="46"/>
  <c r="F24" i="48" s="1"/>
  <c r="R22" i="42"/>
  <c r="Q22" i="42"/>
  <c r="AE22" i="42" s="1"/>
  <c r="T22" i="42"/>
  <c r="X22" i="42" s="1"/>
  <c r="AB22" i="42" s="1"/>
  <c r="S22" i="42"/>
  <c r="W22" i="42" s="1"/>
  <c r="AA22" i="42" s="1"/>
  <c r="F32" i="43"/>
  <c r="J32" i="43" s="1"/>
  <c r="L32" i="43" s="1"/>
  <c r="M32" i="43" s="1"/>
  <c r="N32" i="43" s="1"/>
  <c r="O32" i="43" s="1"/>
  <c r="P32" i="43" s="1"/>
  <c r="W62" i="41"/>
  <c r="S9" i="42"/>
  <c r="W9" i="42" s="1"/>
  <c r="AA9" i="42" s="1"/>
  <c r="R9" i="42"/>
  <c r="Q9" i="42"/>
  <c r="AE9" i="42" s="1"/>
  <c r="T9" i="42"/>
  <c r="X9" i="42" s="1"/>
  <c r="AB9" i="42" s="1"/>
  <c r="Q27" i="42"/>
  <c r="AE27" i="42" s="1"/>
  <c r="S27" i="42"/>
  <c r="W27" i="42" s="1"/>
  <c r="AA27" i="42" s="1"/>
  <c r="R27" i="42"/>
  <c r="T27" i="42"/>
  <c r="X27" i="42" s="1"/>
  <c r="AB27" i="42" s="1"/>
  <c r="B46" i="46"/>
  <c r="O29" i="46"/>
  <c r="J18" i="31" s="1"/>
  <c r="N38" i="46"/>
  <c r="N22" i="46"/>
  <c r="F3" i="43"/>
  <c r="W23" i="41"/>
  <c r="V31" i="42"/>
  <c r="Z31" i="42" s="1"/>
  <c r="AD31" i="42" s="1"/>
  <c r="U31" i="42"/>
  <c r="Y31" i="42" s="1"/>
  <c r="AC31" i="42" s="1"/>
  <c r="U47" i="43"/>
  <c r="AE47" i="43" s="1"/>
  <c r="AF47" i="43" s="1"/>
  <c r="AG47" i="43" s="1"/>
  <c r="AH47" i="43" s="1"/>
  <c r="B32" i="46" s="1"/>
  <c r="P15" i="46" s="1"/>
  <c r="E7" i="48"/>
  <c r="R30" i="42"/>
  <c r="Q30" i="42"/>
  <c r="AE30" i="42" s="1"/>
  <c r="T30" i="42"/>
  <c r="X30" i="42" s="1"/>
  <c r="AB30" i="42" s="1"/>
  <c r="S30" i="42"/>
  <c r="W30" i="42" s="1"/>
  <c r="AA30" i="42" s="1"/>
  <c r="U15" i="42"/>
  <c r="Y15" i="42" s="1"/>
  <c r="AC15" i="42" s="1"/>
  <c r="AF15" i="42" s="1"/>
  <c r="V15" i="42"/>
  <c r="Z15" i="42" s="1"/>
  <c r="AD15" i="42" s="1"/>
  <c r="U35" i="42"/>
  <c r="Y35" i="42" s="1"/>
  <c r="AC35" i="42" s="1"/>
  <c r="V35" i="42"/>
  <c r="Z35" i="42" s="1"/>
  <c r="AD35" i="42" s="1"/>
  <c r="H44" i="45"/>
  <c r="I44" i="45" s="1"/>
  <c r="J44" i="45" s="1"/>
  <c r="K44" i="45" s="1"/>
  <c r="L44" i="45" s="1"/>
  <c r="C44" i="45"/>
  <c r="B45" i="45" s="1"/>
  <c r="V14" i="43"/>
  <c r="V14" i="42"/>
  <c r="Z14" i="42" s="1"/>
  <c r="AD14" i="42" s="1"/>
  <c r="U14" i="42"/>
  <c r="Y14" i="42" s="1"/>
  <c r="AC14" i="42" s="1"/>
  <c r="U32" i="42"/>
  <c r="Y32" i="42" s="1"/>
  <c r="AC32" i="42" s="1"/>
  <c r="AF32" i="42" s="1"/>
  <c r="V32" i="42"/>
  <c r="Z32" i="42" s="1"/>
  <c r="AD32" i="42" s="1"/>
  <c r="U37" i="42"/>
  <c r="Y37" i="42" s="1"/>
  <c r="AC37" i="42" s="1"/>
  <c r="AF37" i="42" s="1"/>
  <c r="V37" i="42"/>
  <c r="Z37" i="42" s="1"/>
  <c r="AD37" i="42" s="1"/>
  <c r="S17" i="42"/>
  <c r="W17" i="42" s="1"/>
  <c r="AA17" i="42" s="1"/>
  <c r="T17" i="42"/>
  <c r="X17" i="42" s="1"/>
  <c r="AB17" i="42" s="1"/>
  <c r="R17" i="42"/>
  <c r="Q17" i="42"/>
  <c r="AE17" i="42" s="1"/>
  <c r="AF31" i="42"/>
  <c r="U19" i="42"/>
  <c r="Y19" i="42" s="1"/>
  <c r="AC19" i="42" s="1"/>
  <c r="AF19" i="42" s="1"/>
  <c r="V19" i="42"/>
  <c r="Z19" i="42" s="1"/>
  <c r="AD19" i="42" s="1"/>
  <c r="Q7" i="42"/>
  <c r="AE7" i="42" s="1"/>
  <c r="S7" i="42"/>
  <c r="W7" i="42" s="1"/>
  <c r="AA7" i="42" s="1"/>
  <c r="T7" i="42"/>
  <c r="X7" i="42" s="1"/>
  <c r="AB7" i="42" s="1"/>
  <c r="R7" i="42"/>
  <c r="U23" i="42"/>
  <c r="Y23" i="42" s="1"/>
  <c r="AC23" i="42" s="1"/>
  <c r="AF23" i="42" s="1"/>
  <c r="V23" i="42"/>
  <c r="Z23" i="42" s="1"/>
  <c r="AD23" i="42" s="1"/>
  <c r="AF35" i="42"/>
  <c r="V26" i="42"/>
  <c r="Z26" i="42" s="1"/>
  <c r="AD26" i="42" s="1"/>
  <c r="U26" i="42"/>
  <c r="Y26" i="42" s="1"/>
  <c r="AC26" i="42" s="1"/>
  <c r="AF26" i="42" s="1"/>
  <c r="U5" i="42"/>
  <c r="Y5" i="42" s="1"/>
  <c r="AC5" i="42" s="1"/>
  <c r="AF5" i="42" s="1"/>
  <c r="V5" i="42"/>
  <c r="Z5" i="42" s="1"/>
  <c r="AD5" i="42" s="1"/>
  <c r="S29" i="42"/>
  <c r="W29" i="42" s="1"/>
  <c r="AA29" i="42" s="1"/>
  <c r="T29" i="42"/>
  <c r="X29" i="42" s="1"/>
  <c r="AB29" i="42" s="1"/>
  <c r="R29" i="42"/>
  <c r="Q29" i="42"/>
  <c r="AE29" i="42" s="1"/>
  <c r="T8" i="42"/>
  <c r="X8" i="42" s="1"/>
  <c r="AB8" i="42" s="1"/>
  <c r="S8" i="42"/>
  <c r="W8" i="42" s="1"/>
  <c r="AA8" i="42" s="1"/>
  <c r="Q8" i="42"/>
  <c r="AE8" i="42" s="1"/>
  <c r="R8" i="42"/>
  <c r="AF14" i="42"/>
  <c r="V4" i="42"/>
  <c r="Z4" i="42" s="1"/>
  <c r="AD4" i="42" s="1"/>
  <c r="U4" i="42"/>
  <c r="Y4" i="42" s="1"/>
  <c r="AC4" i="42" s="1"/>
  <c r="AF4" i="42" s="1"/>
  <c r="S13" i="42"/>
  <c r="W13" i="42" s="1"/>
  <c r="AA13" i="42" s="1"/>
  <c r="R13" i="42"/>
  <c r="Q13" i="42"/>
  <c r="AE13" i="42" s="1"/>
  <c r="T13" i="42"/>
  <c r="X13" i="42" s="1"/>
  <c r="AB13" i="42" s="1"/>
  <c r="F7" i="43"/>
  <c r="J7" i="43" s="1"/>
  <c r="L7" i="43" s="1"/>
  <c r="M7" i="43" s="1"/>
  <c r="N7" i="43" s="1"/>
  <c r="O7" i="43" s="1"/>
  <c r="P7" i="43" s="1"/>
  <c r="W20" i="41"/>
  <c r="U13" i="42" l="1"/>
  <c r="Y13" i="42" s="1"/>
  <c r="AC13" i="42" s="1"/>
  <c r="AF13" i="42" s="1"/>
  <c r="V13" i="42"/>
  <c r="Z13" i="42" s="1"/>
  <c r="AD13" i="42" s="1"/>
  <c r="U7" i="42"/>
  <c r="Y7" i="42" s="1"/>
  <c r="AC7" i="42" s="1"/>
  <c r="V7" i="42"/>
  <c r="Z7" i="42" s="1"/>
  <c r="AD7" i="42" s="1"/>
  <c r="U17" i="42"/>
  <c r="Y17" i="42" s="1"/>
  <c r="AC17" i="42" s="1"/>
  <c r="AF17" i="42" s="1"/>
  <c r="V17" i="42"/>
  <c r="Z17" i="42" s="1"/>
  <c r="AD17" i="42" s="1"/>
  <c r="V8" i="42"/>
  <c r="Z8" i="42" s="1"/>
  <c r="AD8" i="42" s="1"/>
  <c r="U8" i="42"/>
  <c r="Y8" i="42" s="1"/>
  <c r="AC8" i="42" s="1"/>
  <c r="U29" i="42"/>
  <c r="Y29" i="42" s="1"/>
  <c r="AC29" i="42" s="1"/>
  <c r="V29" i="42"/>
  <c r="Z29" i="42" s="1"/>
  <c r="AD29" i="42" s="1"/>
  <c r="U15" i="43"/>
  <c r="AC15" i="43" s="1"/>
  <c r="AD15" i="43" s="1"/>
  <c r="AE15" i="43" s="1"/>
  <c r="AF15" i="43" s="1"/>
  <c r="AG15" i="43" s="1"/>
  <c r="B16" i="46" s="1"/>
  <c r="O14" i="46" s="1"/>
  <c r="O16" i="46" s="1"/>
  <c r="J15" i="31" s="1"/>
  <c r="V30" i="42"/>
  <c r="Z30" i="42" s="1"/>
  <c r="AD30" i="42" s="1"/>
  <c r="U30" i="42"/>
  <c r="Y30" i="42" s="1"/>
  <c r="AC30" i="42" s="1"/>
  <c r="AF30" i="42" s="1"/>
  <c r="V47" i="43"/>
  <c r="J3" i="43"/>
  <c r="F38" i="43"/>
  <c r="G5" i="48"/>
  <c r="G7" i="48" s="1"/>
  <c r="O40" i="46"/>
  <c r="G24" i="48" s="1"/>
  <c r="U9" i="42"/>
  <c r="Y9" i="42" s="1"/>
  <c r="AC9" i="42" s="1"/>
  <c r="V9" i="42"/>
  <c r="Z9" i="42" s="1"/>
  <c r="AD9" i="42" s="1"/>
  <c r="V12" i="42"/>
  <c r="Z12" i="42" s="1"/>
  <c r="AD12" i="42" s="1"/>
  <c r="U12" i="42"/>
  <c r="Y12" i="42" s="1"/>
  <c r="AC12" i="42" s="1"/>
  <c r="AF12" i="42" s="1"/>
  <c r="AF7" i="42"/>
  <c r="AF9" i="42"/>
  <c r="V22" i="42"/>
  <c r="Z22" i="42" s="1"/>
  <c r="AD22" i="42" s="1"/>
  <c r="U22" i="42"/>
  <c r="Y22" i="42" s="1"/>
  <c r="AC22" i="42" s="1"/>
  <c r="AF8" i="42"/>
  <c r="AF29" i="42"/>
  <c r="H45" i="45"/>
  <c r="I45" i="45" s="1"/>
  <c r="J45" i="45" s="1"/>
  <c r="K45" i="45" s="1"/>
  <c r="L45" i="45" s="1"/>
  <c r="C45" i="45"/>
  <c r="B46" i="45" s="1"/>
  <c r="F22" i="48"/>
  <c r="N41" i="46"/>
  <c r="F25" i="48" s="1"/>
  <c r="F27" i="48" s="1"/>
  <c r="F13" i="48" s="1"/>
  <c r="AF22" i="42"/>
  <c r="B47" i="46"/>
  <c r="P29" i="46"/>
  <c r="K18" i="31" s="1"/>
  <c r="W18" i="31" s="1"/>
  <c r="U27" i="42"/>
  <c r="Y27" i="42" s="1"/>
  <c r="AC27" i="42" s="1"/>
  <c r="AF27" i="42" s="1"/>
  <c r="V27" i="42"/>
  <c r="Z27" i="42" s="1"/>
  <c r="AD27" i="42" s="1"/>
  <c r="I28" i="31" l="1"/>
  <c r="J38" i="43"/>
  <c r="L3" i="43"/>
  <c r="O22" i="46"/>
  <c r="O38" i="46"/>
  <c r="H46" i="45"/>
  <c r="I46" i="45" s="1"/>
  <c r="J46" i="45" s="1"/>
  <c r="K46" i="45" s="1"/>
  <c r="L46" i="45" s="1"/>
  <c r="C46" i="45"/>
  <c r="B47" i="45" s="1"/>
  <c r="U48" i="43"/>
  <c r="AE48" i="43" s="1"/>
  <c r="AF48" i="43" s="1"/>
  <c r="AG48" i="43" s="1"/>
  <c r="AH48" i="43" s="1"/>
  <c r="B33" i="46" s="1"/>
  <c r="Q15" i="46" s="1"/>
  <c r="V48" i="43"/>
  <c r="V15" i="43"/>
  <c r="H5" i="48"/>
  <c r="P40" i="46"/>
  <c r="H24" i="48" s="1"/>
  <c r="B48" i="46"/>
  <c r="Q29" i="46"/>
  <c r="P18" i="31" s="1"/>
  <c r="H7" i="48" l="1"/>
  <c r="C47" i="45"/>
  <c r="B48" i="45" s="1"/>
  <c r="H47" i="45"/>
  <c r="I47" i="45" s="1"/>
  <c r="J47" i="45" s="1"/>
  <c r="K47" i="45" s="1"/>
  <c r="L47" i="45" s="1"/>
  <c r="L38" i="43"/>
  <c r="M3" i="43"/>
  <c r="U16" i="43"/>
  <c r="AC16" i="43" s="1"/>
  <c r="AD16" i="43" s="1"/>
  <c r="AE16" i="43" s="1"/>
  <c r="AF16" i="43" s="1"/>
  <c r="AG16" i="43" s="1"/>
  <c r="B17" i="46" s="1"/>
  <c r="P14" i="46" s="1"/>
  <c r="P16" i="46" s="1"/>
  <c r="K15" i="31" s="1"/>
  <c r="B49" i="46"/>
  <c r="R29" i="46"/>
  <c r="Q18" i="31" s="1"/>
  <c r="U49" i="43"/>
  <c r="AE49" i="43" s="1"/>
  <c r="AF49" i="43" s="1"/>
  <c r="AG49" i="43" s="1"/>
  <c r="AH49" i="43" s="1"/>
  <c r="B34" i="46" s="1"/>
  <c r="R15" i="46" s="1"/>
  <c r="G22" i="48"/>
  <c r="O41" i="46"/>
  <c r="G25" i="48" s="1"/>
  <c r="G27" i="48" s="1"/>
  <c r="G13" i="48" s="1"/>
  <c r="I5" i="48"/>
  <c r="I7" i="48" s="1"/>
  <c r="Q40" i="46"/>
  <c r="I24" i="48" s="1"/>
  <c r="J28" i="31" l="1"/>
  <c r="J5" i="48"/>
  <c r="R40" i="46"/>
  <c r="J24" i="48" s="1"/>
  <c r="M38" i="43"/>
  <c r="N3" i="43"/>
  <c r="P38" i="46"/>
  <c r="P22" i="46"/>
  <c r="B50" i="46"/>
  <c r="S29" i="46"/>
  <c r="R18" i="31" s="1"/>
  <c r="V49" i="43"/>
  <c r="V16" i="43"/>
  <c r="H48" i="45"/>
  <c r="I48" i="45" s="1"/>
  <c r="J48" i="45" s="1"/>
  <c r="K48" i="45" s="1"/>
  <c r="L48" i="45" s="1"/>
  <c r="C48" i="45"/>
  <c r="B49" i="45" s="1"/>
  <c r="H49" i="45" l="1"/>
  <c r="I49" i="45" s="1"/>
  <c r="J49" i="45" s="1"/>
  <c r="K49" i="45" s="1"/>
  <c r="L49" i="45" s="1"/>
  <c r="C49" i="45"/>
  <c r="K5" i="48"/>
  <c r="K7" i="48" s="1"/>
  <c r="S40" i="46"/>
  <c r="K24" i="48" s="1"/>
  <c r="U17" i="43"/>
  <c r="AC17" i="43" s="1"/>
  <c r="AD17" i="43" s="1"/>
  <c r="AE17" i="43" s="1"/>
  <c r="AF17" i="43" s="1"/>
  <c r="AG17" i="43" s="1"/>
  <c r="B18" i="46" s="1"/>
  <c r="Q14" i="46" s="1"/>
  <c r="Q16" i="46" s="1"/>
  <c r="P15" i="31" s="1"/>
  <c r="U50" i="43"/>
  <c r="AE50" i="43" s="1"/>
  <c r="AF50" i="43" s="1"/>
  <c r="AG50" i="43" s="1"/>
  <c r="AH50" i="43" s="1"/>
  <c r="B35" i="46" s="1"/>
  <c r="S15" i="46" s="1"/>
  <c r="H22" i="48"/>
  <c r="P41" i="46"/>
  <c r="H25" i="48" s="1"/>
  <c r="H27" i="48" s="1"/>
  <c r="H13" i="48" s="1"/>
  <c r="B51" i="46"/>
  <c r="T29" i="46"/>
  <c r="S18" i="31" s="1"/>
  <c r="N38" i="43"/>
  <c r="O3" i="43"/>
  <c r="J7" i="48"/>
  <c r="K28" i="31" l="1"/>
  <c r="P20" i="31"/>
  <c r="P21" i="31" s="1"/>
  <c r="L5" i="48"/>
  <c r="L7" i="48" s="1"/>
  <c r="T40" i="46"/>
  <c r="L24" i="48" s="1"/>
  <c r="V50" i="43"/>
  <c r="B52" i="46"/>
  <c r="U29" i="46"/>
  <c r="T18" i="31" s="1"/>
  <c r="Q38" i="46"/>
  <c r="Q41" i="46" s="1"/>
  <c r="I25" i="48" s="1"/>
  <c r="Q22" i="46"/>
  <c r="O38" i="43"/>
  <c r="P3" i="43"/>
  <c r="P38" i="43" s="1"/>
  <c r="V17" i="43"/>
  <c r="U51" i="43" l="1"/>
  <c r="AE51" i="43" s="1"/>
  <c r="AF51" i="43" s="1"/>
  <c r="AG51" i="43" s="1"/>
  <c r="AH51" i="43" s="1"/>
  <c r="B36" i="46" s="1"/>
  <c r="T15" i="46" s="1"/>
  <c r="U18" i="43"/>
  <c r="AC18" i="43" s="1"/>
  <c r="AD18" i="43" s="1"/>
  <c r="AE18" i="43" s="1"/>
  <c r="AF18" i="43" s="1"/>
  <c r="AG18" i="43" s="1"/>
  <c r="B19" i="46" s="1"/>
  <c r="R14" i="46" s="1"/>
  <c r="R16" i="46" s="1"/>
  <c r="Q15" i="31" s="1"/>
  <c r="I27" i="48"/>
  <c r="I13" i="48" s="1"/>
  <c r="I22" i="48"/>
  <c r="M5" i="48"/>
  <c r="U40" i="46"/>
  <c r="M24" i="48" s="1"/>
  <c r="V33" i="46"/>
  <c r="Q20" i="31" l="1"/>
  <c r="Q21" i="31" s="1"/>
  <c r="L28" i="31"/>
  <c r="V18" i="43"/>
  <c r="R38" i="46"/>
  <c r="R22" i="46"/>
  <c r="M7" i="48"/>
  <c r="V51" i="43"/>
  <c r="U52" i="43" l="1"/>
  <c r="AE52" i="43" s="1"/>
  <c r="AF52" i="43" s="1"/>
  <c r="AG52" i="43" s="1"/>
  <c r="AH52" i="43" s="1"/>
  <c r="B37" i="46" s="1"/>
  <c r="U15" i="46" s="1"/>
  <c r="V52" i="43"/>
  <c r="J22" i="48"/>
  <c r="R41" i="46"/>
  <c r="J25" i="48" s="1"/>
  <c r="J27" i="48" s="1"/>
  <c r="J13" i="48" s="1"/>
  <c r="U19" i="43"/>
  <c r="AC19" i="43" s="1"/>
  <c r="AD19" i="43" s="1"/>
  <c r="AE19" i="43" s="1"/>
  <c r="AF19" i="43" s="1"/>
  <c r="AG19" i="43" s="1"/>
  <c r="B20" i="46" s="1"/>
  <c r="S14" i="46" s="1"/>
  <c r="S16" i="46" s="1"/>
  <c r="R15" i="31" s="1"/>
  <c r="R20" i="31" l="1"/>
  <c r="R21" i="31" s="1"/>
  <c r="M28" i="31"/>
  <c r="V19" i="43"/>
  <c r="S22" i="46"/>
  <c r="S38" i="46"/>
  <c r="K22" i="48" l="1"/>
  <c r="S41" i="46"/>
  <c r="K25" i="48" s="1"/>
  <c r="K27" i="48" s="1"/>
  <c r="K13" i="48" s="1"/>
  <c r="U20" i="43"/>
  <c r="AC20" i="43" s="1"/>
  <c r="AD20" i="43" s="1"/>
  <c r="AE20" i="43" s="1"/>
  <c r="AF20" i="43" s="1"/>
  <c r="AG20" i="43" s="1"/>
  <c r="B21" i="46" s="1"/>
  <c r="T14" i="46" s="1"/>
  <c r="T16" i="46" s="1"/>
  <c r="S15" i="31" s="1"/>
  <c r="S20" i="31" l="1"/>
  <c r="S21" i="31" s="1"/>
  <c r="N28" i="31"/>
  <c r="T22" i="46"/>
  <c r="T38" i="46"/>
  <c r="V20" i="43"/>
  <c r="U21" i="43" l="1"/>
  <c r="AC21" i="43" s="1"/>
  <c r="AD21" i="43" s="1"/>
  <c r="AE21" i="43" s="1"/>
  <c r="AF21" i="43" s="1"/>
  <c r="AG21" i="43" s="1"/>
  <c r="B22" i="46" s="1"/>
  <c r="U14" i="46" s="1"/>
  <c r="U16" i="46" s="1"/>
  <c r="T15" i="31" s="1"/>
  <c r="L22" i="48"/>
  <c r="T41" i="46"/>
  <c r="L25" i="48" s="1"/>
  <c r="L27" i="48" s="1"/>
  <c r="L13" i="48" s="1"/>
  <c r="O28" i="31" l="1"/>
  <c r="P28" i="31" s="1"/>
  <c r="T20" i="31"/>
  <c r="T21" i="31" s="1"/>
  <c r="U38" i="46"/>
  <c r="U22" i="46"/>
  <c r="V21" i="43"/>
  <c r="U41" i="46" l="1"/>
  <c r="M25" i="48" s="1"/>
  <c r="M27" i="48" s="1"/>
  <c r="M13" i="48" s="1"/>
  <c r="M22" i="48"/>
  <c r="J23" i="40" l="1"/>
  <c r="J22" i="40"/>
  <c r="I20" i="40"/>
  <c r="I115" i="38"/>
  <c r="J136" i="34" l="1"/>
  <c r="J138" i="34"/>
  <c r="J140" i="34"/>
  <c r="J142" i="34"/>
  <c r="J134" i="34"/>
  <c r="I67" i="34" l="1"/>
  <c r="J31" i="34"/>
  <c r="B6" i="34"/>
  <c r="B8" i="34"/>
  <c r="K29" i="31" l="1"/>
  <c r="L29" i="31"/>
  <c r="M29" i="31"/>
  <c r="N29" i="31"/>
  <c r="O29" i="31"/>
  <c r="AJ2" i="5"/>
  <c r="AK2" i="5" s="1"/>
  <c r="AL2" i="5" s="1"/>
  <c r="AJ5" i="5"/>
  <c r="AP5" i="5" s="1"/>
  <c r="AJ6" i="5"/>
  <c r="AK6" i="5" s="1"/>
  <c r="AL6" i="5" s="1"/>
  <c r="AR6" i="5" s="1"/>
  <c r="AQ6" i="5" l="1"/>
  <c r="AP6" i="5"/>
  <c r="AM6" i="5"/>
  <c r="AK5" i="5"/>
  <c r="AJ8" i="5"/>
  <c r="AP8" i="5" s="1"/>
  <c r="AN6" i="5" l="1"/>
  <c r="AS6" i="5"/>
  <c r="AL5" i="5"/>
  <c r="AO6" i="5" l="1"/>
  <c r="AU6" i="5" s="1"/>
  <c r="AT6" i="5"/>
  <c r="AM5" i="5"/>
  <c r="M49" i="40"/>
  <c r="N49" i="40"/>
  <c r="L50" i="40"/>
  <c r="N51" i="40"/>
  <c r="J48" i="40"/>
  <c r="I114" i="38"/>
  <c r="I113" i="38"/>
  <c r="V129" i="38"/>
  <c r="N21" i="40"/>
  <c r="N22" i="40"/>
  <c r="N23" i="40"/>
  <c r="N24" i="40"/>
  <c r="N20" i="40"/>
  <c r="M20" i="40"/>
  <c r="M21" i="40"/>
  <c r="M22" i="40"/>
  <c r="M23" i="40"/>
  <c r="M24" i="40"/>
  <c r="L21" i="40"/>
  <c r="L22" i="40"/>
  <c r="L23" i="40"/>
  <c r="L24" i="40"/>
  <c r="L20" i="40"/>
  <c r="K21" i="40"/>
  <c r="K22" i="40"/>
  <c r="K23" i="40"/>
  <c r="K24" i="40"/>
  <c r="K20" i="40"/>
  <c r="J21" i="40"/>
  <c r="J24" i="40"/>
  <c r="J20" i="40"/>
  <c r="I22" i="40"/>
  <c r="I21" i="40"/>
  <c r="I23" i="40"/>
  <c r="I24" i="40"/>
  <c r="I72" i="38"/>
  <c r="I71" i="38"/>
  <c r="I70" i="38"/>
  <c r="I69" i="38"/>
  <c r="J25" i="40" l="1"/>
  <c r="J26" i="40" s="1"/>
  <c r="AN5" i="5"/>
  <c r="AO5" i="5" s="1"/>
  <c r="L52" i="40"/>
  <c r="K50" i="40"/>
  <c r="L48" i="40"/>
  <c r="M52" i="40"/>
  <c r="J52" i="40"/>
  <c r="K51" i="40"/>
  <c r="M50" i="40"/>
  <c r="I50" i="40"/>
  <c r="K49" i="40"/>
  <c r="K48" i="40"/>
  <c r="I51" i="40"/>
  <c r="L49" i="40"/>
  <c r="N48" i="40"/>
  <c r="K52" i="40"/>
  <c r="I49" i="40"/>
  <c r="M48" i="40"/>
  <c r="N52" i="40"/>
  <c r="L51" i="40"/>
  <c r="N50" i="40"/>
  <c r="J50" i="40"/>
  <c r="J51" i="40"/>
  <c r="I48" i="40"/>
  <c r="I52" i="40"/>
  <c r="J49" i="40"/>
  <c r="M51" i="40"/>
  <c r="K25" i="40"/>
  <c r="K26" i="40" s="1"/>
  <c r="L25" i="40"/>
  <c r="L26" i="40" s="1"/>
  <c r="I25" i="40"/>
  <c r="I26" i="40" s="1"/>
  <c r="M25" i="40"/>
  <c r="M26" i="40" s="1"/>
  <c r="N25" i="40"/>
  <c r="N26" i="40" s="1"/>
  <c r="AC11" i="38"/>
  <c r="AC12" i="38"/>
  <c r="AC13" i="38"/>
  <c r="AC14" i="38"/>
  <c r="AC10" i="38"/>
  <c r="N53" i="40" l="1"/>
  <c r="N54" i="40" s="1"/>
  <c r="K19" i="31" s="1"/>
  <c r="K53" i="40"/>
  <c r="K54" i="40" s="1"/>
  <c r="H19" i="31" s="1"/>
  <c r="L53" i="40"/>
  <c r="L54" i="40" s="1"/>
  <c r="I19" i="31" s="1"/>
  <c r="J53" i="40"/>
  <c r="J54" i="40" s="1"/>
  <c r="G19" i="31" s="1"/>
  <c r="I53" i="40"/>
  <c r="I54" i="40" s="1"/>
  <c r="F19" i="31" s="1"/>
  <c r="M53" i="40"/>
  <c r="M54" i="40" s="1"/>
  <c r="J19" i="31" s="1"/>
  <c r="I27" i="31" l="1"/>
  <c r="J20" i="31"/>
  <c r="J21" i="31" s="1"/>
  <c r="G27" i="31"/>
  <c r="H20" i="31"/>
  <c r="H21" i="31" s="1"/>
  <c r="W19" i="31"/>
  <c r="E27" i="31"/>
  <c r="F20" i="31"/>
  <c r="F21" i="31" s="1"/>
  <c r="H27" i="31"/>
  <c r="I20" i="31"/>
  <c r="I21" i="31" s="1"/>
  <c r="J27" i="31"/>
  <c r="K20" i="31"/>
  <c r="K21" i="31" s="1"/>
  <c r="F27" i="31"/>
  <c r="G20" i="31"/>
  <c r="G21" i="31" s="1"/>
  <c r="P27" i="31" l="1"/>
  <c r="E13" i="23"/>
  <c r="M135" i="34"/>
  <c r="M134" i="34"/>
  <c r="E16" i="27" l="1"/>
  <c r="B173" i="36" l="1"/>
  <c r="K108" i="36"/>
  <c r="K107" i="36"/>
  <c r="F129" i="36"/>
  <c r="F138" i="36"/>
  <c r="K105" i="36" l="1"/>
  <c r="K106" i="36"/>
  <c r="K104" i="36"/>
  <c r="AJ57" i="5"/>
  <c r="AK57" i="5" s="1"/>
  <c r="I67" i="36"/>
  <c r="I68" i="36"/>
  <c r="I69" i="36"/>
  <c r="I70" i="36"/>
  <c r="I66" i="36"/>
  <c r="I59" i="36"/>
  <c r="I44" i="36"/>
  <c r="I45" i="36"/>
  <c r="I46" i="36"/>
  <c r="I47" i="36"/>
  <c r="I48" i="36"/>
  <c r="I49" i="36"/>
  <c r="I50" i="36"/>
  <c r="I51" i="36"/>
  <c r="I52" i="36"/>
  <c r="I53" i="36"/>
  <c r="I54" i="36"/>
  <c r="I55" i="36"/>
  <c r="I56" i="36"/>
  <c r="I57" i="36"/>
  <c r="I58" i="36"/>
  <c r="I43" i="36"/>
  <c r="J280" i="36"/>
  <c r="M280" i="36" s="1"/>
  <c r="L279" i="36"/>
  <c r="J279" i="36"/>
  <c r="L278" i="36"/>
  <c r="J278" i="36"/>
  <c r="T258" i="36"/>
  <c r="S258" i="36"/>
  <c r="R258" i="36"/>
  <c r="Q258" i="36"/>
  <c r="P258" i="36"/>
  <c r="O258" i="36"/>
  <c r="T257" i="36"/>
  <c r="S257" i="36"/>
  <c r="R257" i="36"/>
  <c r="Q257" i="36"/>
  <c r="P257" i="36"/>
  <c r="O257" i="36"/>
  <c r="T256" i="36"/>
  <c r="S256" i="36"/>
  <c r="R256" i="36"/>
  <c r="Q256" i="36"/>
  <c r="P256" i="36"/>
  <c r="O256" i="36"/>
  <c r="T255" i="36"/>
  <c r="S255" i="36"/>
  <c r="R255" i="36"/>
  <c r="Q255" i="36"/>
  <c r="P255" i="36"/>
  <c r="O255" i="36"/>
  <c r="T254" i="36"/>
  <c r="S254" i="36"/>
  <c r="R254" i="36"/>
  <c r="Q254" i="36"/>
  <c r="P254" i="36"/>
  <c r="O254" i="36"/>
  <c r="T253" i="36"/>
  <c r="S253" i="36"/>
  <c r="F295" i="36" s="1"/>
  <c r="N320" i="36" s="1"/>
  <c r="R253" i="36"/>
  <c r="E295" i="36" s="1"/>
  <c r="M320" i="36" s="1"/>
  <c r="Q253" i="36"/>
  <c r="P253" i="36"/>
  <c r="O253" i="36"/>
  <c r="B295" i="36" s="1"/>
  <c r="J320" i="36" s="1"/>
  <c r="T252" i="36"/>
  <c r="S252" i="36"/>
  <c r="R252" i="36"/>
  <c r="Q252" i="36"/>
  <c r="P252" i="36"/>
  <c r="O252" i="36"/>
  <c r="T251" i="36"/>
  <c r="S251" i="36"/>
  <c r="R251" i="36"/>
  <c r="Q251" i="36"/>
  <c r="P251" i="36"/>
  <c r="O251" i="36"/>
  <c r="T250" i="36"/>
  <c r="S250" i="36"/>
  <c r="R250" i="36"/>
  <c r="Q250" i="36"/>
  <c r="P250" i="36"/>
  <c r="O250" i="36"/>
  <c r="T249" i="36"/>
  <c r="S249" i="36"/>
  <c r="R249" i="36"/>
  <c r="Q249" i="36"/>
  <c r="P249" i="36"/>
  <c r="O249" i="36"/>
  <c r="T248" i="36"/>
  <c r="S248" i="36"/>
  <c r="R248" i="36"/>
  <c r="Q248" i="36"/>
  <c r="P248" i="36"/>
  <c r="O248" i="36"/>
  <c r="T247" i="36"/>
  <c r="S247" i="36"/>
  <c r="R247" i="36"/>
  <c r="Q247" i="36"/>
  <c r="P247" i="36"/>
  <c r="O247" i="36"/>
  <c r="T246" i="36"/>
  <c r="S246" i="36"/>
  <c r="R246" i="36"/>
  <c r="Q246" i="36"/>
  <c r="P246" i="36"/>
  <c r="O246" i="36"/>
  <c r="T245" i="36"/>
  <c r="S245" i="36"/>
  <c r="R245" i="36"/>
  <c r="Q245" i="36"/>
  <c r="P245" i="36"/>
  <c r="O245" i="36"/>
  <c r="T244" i="36"/>
  <c r="S244" i="36"/>
  <c r="R244" i="36"/>
  <c r="Q244" i="36"/>
  <c r="P244" i="36"/>
  <c r="O244" i="36"/>
  <c r="T243" i="36"/>
  <c r="S243" i="36"/>
  <c r="R243" i="36"/>
  <c r="Q243" i="36"/>
  <c r="P243" i="36"/>
  <c r="O243" i="36"/>
  <c r="T242" i="36"/>
  <c r="S242" i="36"/>
  <c r="R242" i="36"/>
  <c r="Q242" i="36"/>
  <c r="P242" i="36"/>
  <c r="O242" i="36"/>
  <c r="T241" i="36"/>
  <c r="S241" i="36"/>
  <c r="F294" i="36" s="1"/>
  <c r="R241" i="36"/>
  <c r="Q241" i="36"/>
  <c r="P241" i="36"/>
  <c r="O241" i="36"/>
  <c r="B294" i="36" s="1"/>
  <c r="J319" i="36" s="1"/>
  <c r="T240" i="36"/>
  <c r="S240" i="36"/>
  <c r="R240" i="36"/>
  <c r="Q240" i="36"/>
  <c r="P240" i="36"/>
  <c r="O240" i="36"/>
  <c r="T239" i="36"/>
  <c r="S239" i="36"/>
  <c r="R239" i="36"/>
  <c r="Q239" i="36"/>
  <c r="P239" i="36"/>
  <c r="O239" i="36"/>
  <c r="T238" i="36"/>
  <c r="S238" i="36"/>
  <c r="R238" i="36"/>
  <c r="Q238" i="36"/>
  <c r="P238" i="36"/>
  <c r="O238" i="36"/>
  <c r="T237" i="36"/>
  <c r="S237" i="36"/>
  <c r="R237" i="36"/>
  <c r="Q237" i="36"/>
  <c r="P237" i="36"/>
  <c r="O237" i="36"/>
  <c r="T236" i="36"/>
  <c r="S236" i="36"/>
  <c r="R236" i="36"/>
  <c r="Q236" i="36"/>
  <c r="P236" i="36"/>
  <c r="O236" i="36"/>
  <c r="T235" i="36"/>
  <c r="S235" i="36"/>
  <c r="R235" i="36"/>
  <c r="Q235" i="36"/>
  <c r="P235" i="36"/>
  <c r="O235" i="36"/>
  <c r="T234" i="36"/>
  <c r="S234" i="36"/>
  <c r="R234" i="36"/>
  <c r="Q234" i="36"/>
  <c r="P234" i="36"/>
  <c r="O234" i="36"/>
  <c r="T233" i="36"/>
  <c r="S233" i="36"/>
  <c r="R233" i="36"/>
  <c r="Q233" i="36"/>
  <c r="P233" i="36"/>
  <c r="O233" i="36"/>
  <c r="T232" i="36"/>
  <c r="S232" i="36"/>
  <c r="R232" i="36"/>
  <c r="Q232" i="36"/>
  <c r="P232" i="36"/>
  <c r="O232" i="36"/>
  <c r="T231" i="36"/>
  <c r="S231" i="36"/>
  <c r="R231" i="36"/>
  <c r="Q231" i="36"/>
  <c r="P231" i="36"/>
  <c r="O231" i="36"/>
  <c r="T230" i="36"/>
  <c r="S230" i="36"/>
  <c r="R230" i="36"/>
  <c r="Q230" i="36"/>
  <c r="P230" i="36"/>
  <c r="O230" i="36"/>
  <c r="T229" i="36"/>
  <c r="S229" i="36"/>
  <c r="F293" i="36" s="1"/>
  <c r="N318" i="36" s="1"/>
  <c r="R229" i="36"/>
  <c r="Q229" i="36"/>
  <c r="P229" i="36"/>
  <c r="O229" i="36"/>
  <c r="B293" i="36" s="1"/>
  <c r="J318" i="36" s="1"/>
  <c r="T228" i="36"/>
  <c r="S228" i="36"/>
  <c r="R228" i="36"/>
  <c r="Q228" i="36"/>
  <c r="P228" i="36"/>
  <c r="O228" i="36"/>
  <c r="T227" i="36"/>
  <c r="S227" i="36"/>
  <c r="R227" i="36"/>
  <c r="Q227" i="36"/>
  <c r="P227" i="36"/>
  <c r="O227" i="36"/>
  <c r="T226" i="36"/>
  <c r="S226" i="36"/>
  <c r="R226" i="36"/>
  <c r="Q226" i="36"/>
  <c r="P226" i="36"/>
  <c r="O226" i="36"/>
  <c r="T225" i="36"/>
  <c r="S225" i="36"/>
  <c r="R225" i="36"/>
  <c r="Q225" i="36"/>
  <c r="P225" i="36"/>
  <c r="O225" i="36"/>
  <c r="T224" i="36"/>
  <c r="S224" i="36"/>
  <c r="R224" i="36"/>
  <c r="Q224" i="36"/>
  <c r="P224" i="36"/>
  <c r="O224" i="36"/>
  <c r="T223" i="36"/>
  <c r="S223" i="36"/>
  <c r="R223" i="36"/>
  <c r="Q223" i="36"/>
  <c r="P223" i="36"/>
  <c r="O223" i="36"/>
  <c r="T222" i="36"/>
  <c r="S222" i="36"/>
  <c r="R222" i="36"/>
  <c r="Q222" i="36"/>
  <c r="P222" i="36"/>
  <c r="O222" i="36"/>
  <c r="T221" i="36"/>
  <c r="S221" i="36"/>
  <c r="R221" i="36"/>
  <c r="Q221" i="36"/>
  <c r="P221" i="36"/>
  <c r="O221" i="36"/>
  <c r="T220" i="36"/>
  <c r="S220" i="36"/>
  <c r="R220" i="36"/>
  <c r="Q220" i="36"/>
  <c r="P220" i="36"/>
  <c r="O220" i="36"/>
  <c r="T219" i="36"/>
  <c r="S219" i="36"/>
  <c r="R219" i="36"/>
  <c r="Q219" i="36"/>
  <c r="P219" i="36"/>
  <c r="O219" i="36"/>
  <c r="T218" i="36"/>
  <c r="S218" i="36"/>
  <c r="R218" i="36"/>
  <c r="Q218" i="36"/>
  <c r="P218" i="36"/>
  <c r="O218" i="36"/>
  <c r="T217" i="36"/>
  <c r="S217" i="36"/>
  <c r="F292" i="36" s="1"/>
  <c r="N317" i="36" s="1"/>
  <c r="R217" i="36"/>
  <c r="Q217" i="36"/>
  <c r="P217" i="36"/>
  <c r="O217" i="36"/>
  <c r="B292" i="36" s="1"/>
  <c r="J317" i="36" s="1"/>
  <c r="T216" i="36"/>
  <c r="S216" i="36"/>
  <c r="R216" i="36"/>
  <c r="Q216" i="36"/>
  <c r="P216" i="36"/>
  <c r="O216" i="36"/>
  <c r="T215" i="36"/>
  <c r="S215" i="36"/>
  <c r="R215" i="36"/>
  <c r="Q215" i="36"/>
  <c r="P215" i="36"/>
  <c r="O215" i="36"/>
  <c r="T214" i="36"/>
  <c r="S214" i="36"/>
  <c r="R214" i="36"/>
  <c r="Q214" i="36"/>
  <c r="P214" i="36"/>
  <c r="O214" i="36"/>
  <c r="T213" i="36"/>
  <c r="S213" i="36"/>
  <c r="R213" i="36"/>
  <c r="Q213" i="36"/>
  <c r="P213" i="36"/>
  <c r="O213" i="36"/>
  <c r="T212" i="36"/>
  <c r="S212" i="36"/>
  <c r="R212" i="36"/>
  <c r="Q212" i="36"/>
  <c r="P212" i="36"/>
  <c r="O212" i="36"/>
  <c r="T211" i="36"/>
  <c r="S211" i="36"/>
  <c r="R211" i="36"/>
  <c r="Q211" i="36"/>
  <c r="P211" i="36"/>
  <c r="O211" i="36"/>
  <c r="T210" i="36"/>
  <c r="S210" i="36"/>
  <c r="R210" i="36"/>
  <c r="Q210" i="36"/>
  <c r="P210" i="36"/>
  <c r="O210" i="36"/>
  <c r="T209" i="36"/>
  <c r="S209" i="36"/>
  <c r="R209" i="36"/>
  <c r="Q209" i="36"/>
  <c r="P209" i="36"/>
  <c r="O209" i="36"/>
  <c r="T208" i="36"/>
  <c r="S208" i="36"/>
  <c r="R208" i="36"/>
  <c r="Q208" i="36"/>
  <c r="P208" i="36"/>
  <c r="O208" i="36"/>
  <c r="T207" i="36"/>
  <c r="S207" i="36"/>
  <c r="R207" i="36"/>
  <c r="Q207" i="36"/>
  <c r="P207" i="36"/>
  <c r="O207" i="36"/>
  <c r="T206" i="36"/>
  <c r="S206" i="36"/>
  <c r="R206" i="36"/>
  <c r="Q206" i="36"/>
  <c r="P206" i="36"/>
  <c r="O206" i="36"/>
  <c r="T205" i="36"/>
  <c r="S205" i="36"/>
  <c r="F291" i="36" s="1"/>
  <c r="N316" i="36" s="1"/>
  <c r="R205" i="36"/>
  <c r="Q205" i="36"/>
  <c r="P205" i="36"/>
  <c r="O205" i="36"/>
  <c r="B291" i="36" s="1"/>
  <c r="J316" i="36" s="1"/>
  <c r="T204" i="36"/>
  <c r="S204" i="36"/>
  <c r="R204" i="36"/>
  <c r="Q204" i="36"/>
  <c r="P204" i="36"/>
  <c r="O204" i="36"/>
  <c r="T203" i="36"/>
  <c r="S203" i="36"/>
  <c r="R203" i="36"/>
  <c r="Q203" i="36"/>
  <c r="P203" i="36"/>
  <c r="O203" i="36"/>
  <c r="T202" i="36"/>
  <c r="S202" i="36"/>
  <c r="R202" i="36"/>
  <c r="Q202" i="36"/>
  <c r="P202" i="36"/>
  <c r="O202" i="36"/>
  <c r="T201" i="36"/>
  <c r="S201" i="36"/>
  <c r="R201" i="36"/>
  <c r="Q201" i="36"/>
  <c r="P201" i="36"/>
  <c r="O201" i="36"/>
  <c r="T200" i="36"/>
  <c r="S200" i="36"/>
  <c r="R200" i="36"/>
  <c r="Q200" i="36"/>
  <c r="P200" i="36"/>
  <c r="O200" i="36"/>
  <c r="T199" i="36"/>
  <c r="S199" i="36"/>
  <c r="R199" i="36"/>
  <c r="Q199" i="36"/>
  <c r="P199" i="36"/>
  <c r="O199" i="36"/>
  <c r="T198" i="36"/>
  <c r="S198" i="36"/>
  <c r="R198" i="36"/>
  <c r="Q198" i="36"/>
  <c r="P198" i="36"/>
  <c r="O198" i="36"/>
  <c r="T197" i="36"/>
  <c r="S197" i="36"/>
  <c r="R197" i="36"/>
  <c r="Q197" i="36"/>
  <c r="P197" i="36"/>
  <c r="O197" i="36"/>
  <c r="T196" i="36"/>
  <c r="S196" i="36"/>
  <c r="R196" i="36"/>
  <c r="Q196" i="36"/>
  <c r="P196" i="36"/>
  <c r="O196" i="36"/>
  <c r="T195" i="36"/>
  <c r="S195" i="36"/>
  <c r="R195" i="36"/>
  <c r="Q195" i="36"/>
  <c r="P195" i="36"/>
  <c r="O195" i="36"/>
  <c r="T194" i="36"/>
  <c r="S194" i="36"/>
  <c r="R194" i="36"/>
  <c r="Q194" i="36"/>
  <c r="P194" i="36"/>
  <c r="O194" i="36"/>
  <c r="T193" i="36"/>
  <c r="S193" i="36"/>
  <c r="S259" i="36" s="1"/>
  <c r="R193" i="36"/>
  <c r="Q193" i="36"/>
  <c r="P193" i="36"/>
  <c r="O193" i="36"/>
  <c r="O259" i="36" s="1"/>
  <c r="D187" i="36"/>
  <c r="D186" i="36"/>
  <c r="D175" i="36"/>
  <c r="C175" i="36"/>
  <c r="B175" i="36"/>
  <c r="B174" i="36"/>
  <c r="D173" i="36"/>
  <c r="C173" i="36"/>
  <c r="C174" i="36" s="1"/>
  <c r="E85" i="36"/>
  <c r="E83" i="36"/>
  <c r="C28" i="36"/>
  <c r="E16" i="36"/>
  <c r="D138" i="36"/>
  <c r="N182" i="34"/>
  <c r="D137" i="36"/>
  <c r="F139" i="36"/>
  <c r="D115" i="36"/>
  <c r="N181" i="34"/>
  <c r="M45" i="36"/>
  <c r="R178" i="34"/>
  <c r="P179" i="34"/>
  <c r="B129" i="36"/>
  <c r="E118" i="36"/>
  <c r="G129" i="36"/>
  <c r="F118" i="36"/>
  <c r="C117" i="36"/>
  <c r="L48" i="36"/>
  <c r="N180" i="34"/>
  <c r="F126" i="36"/>
  <c r="G115" i="36"/>
  <c r="C118" i="36"/>
  <c r="Q47" i="36"/>
  <c r="Q181" i="34"/>
  <c r="O48" i="36"/>
  <c r="C139" i="36"/>
  <c r="O45" i="36"/>
  <c r="F127" i="36"/>
  <c r="F136" i="36"/>
  <c r="C115" i="36"/>
  <c r="C126" i="36"/>
  <c r="P49" i="36"/>
  <c r="G136" i="36"/>
  <c r="B116" i="36"/>
  <c r="B119" i="36"/>
  <c r="G128" i="36"/>
  <c r="O179" i="34"/>
  <c r="M180" i="34"/>
  <c r="B137" i="36"/>
  <c r="G119" i="36"/>
  <c r="O181" i="34"/>
  <c r="Q51" i="36"/>
  <c r="G138" i="36"/>
  <c r="M48" i="36"/>
  <c r="P45" i="36"/>
  <c r="Q182" i="34"/>
  <c r="C138" i="36"/>
  <c r="G126" i="36"/>
  <c r="L45" i="36"/>
  <c r="Q49" i="36"/>
  <c r="B127" i="36"/>
  <c r="P44" i="36"/>
  <c r="F119" i="36"/>
  <c r="P51" i="36"/>
  <c r="M51" i="36"/>
  <c r="E115" i="36"/>
  <c r="F116" i="36"/>
  <c r="F135" i="36"/>
  <c r="D126" i="36"/>
  <c r="F125" i="36"/>
  <c r="D139" i="36"/>
  <c r="D129" i="36"/>
  <c r="Q48" i="36"/>
  <c r="C127" i="36"/>
  <c r="C135" i="36"/>
  <c r="M181" i="34"/>
  <c r="F117" i="36"/>
  <c r="C137" i="36"/>
  <c r="Q180" i="34"/>
  <c r="R180" i="34"/>
  <c r="D119" i="36"/>
  <c r="C119" i="36"/>
  <c r="F115" i="36"/>
  <c r="E126" i="36"/>
  <c r="O49" i="36"/>
  <c r="R182" i="34"/>
  <c r="B125" i="36"/>
  <c r="D127" i="36"/>
  <c r="E117" i="36"/>
  <c r="R179" i="34"/>
  <c r="E127" i="36"/>
  <c r="B128" i="36"/>
  <c r="E139" i="36"/>
  <c r="L44" i="36"/>
  <c r="D117" i="36"/>
  <c r="P180" i="34"/>
  <c r="M179" i="34"/>
  <c r="Q179" i="34"/>
  <c r="P47" i="36"/>
  <c r="P178" i="34"/>
  <c r="D128" i="36"/>
  <c r="L47" i="36"/>
  <c r="B118" i="36"/>
  <c r="N48" i="36"/>
  <c r="Q44" i="36"/>
  <c r="G118" i="36"/>
  <c r="D116" i="36"/>
  <c r="N44" i="36"/>
  <c r="G139" i="36"/>
  <c r="M178" i="34"/>
  <c r="B135" i="36"/>
  <c r="N49" i="36"/>
  <c r="L49" i="36"/>
  <c r="E136" i="36"/>
  <c r="G125" i="36"/>
  <c r="G117" i="36"/>
  <c r="B139" i="36"/>
  <c r="G127" i="36"/>
  <c r="E128" i="36"/>
  <c r="O44" i="36"/>
  <c r="M44" i="36"/>
  <c r="B115" i="36"/>
  <c r="E125" i="36"/>
  <c r="G137" i="36"/>
  <c r="N45" i="36"/>
  <c r="Q178" i="34"/>
  <c r="F137" i="36"/>
  <c r="P182" i="34"/>
  <c r="F128" i="36"/>
  <c r="E138" i="36"/>
  <c r="D136" i="36"/>
  <c r="E135" i="36"/>
  <c r="O178" i="34"/>
  <c r="E116" i="36"/>
  <c r="C116" i="36"/>
  <c r="C128" i="36"/>
  <c r="E119" i="36"/>
  <c r="N51" i="36"/>
  <c r="N47" i="36"/>
  <c r="Q45" i="36"/>
  <c r="D118" i="36"/>
  <c r="O180" i="34"/>
  <c r="E129" i="36"/>
  <c r="E137" i="36"/>
  <c r="L51" i="36"/>
  <c r="M47" i="36"/>
  <c r="N179" i="34"/>
  <c r="D125" i="36"/>
  <c r="C136" i="36"/>
  <c r="G135" i="36"/>
  <c r="O51" i="36"/>
  <c r="G116" i="36"/>
  <c r="N178" i="34"/>
  <c r="B126" i="36"/>
  <c r="P181" i="34"/>
  <c r="R181" i="34"/>
  <c r="C129" i="36"/>
  <c r="O182" i="34"/>
  <c r="O47" i="36"/>
  <c r="C125" i="36"/>
  <c r="B136" i="36"/>
  <c r="D135" i="36"/>
  <c r="B138" i="36"/>
  <c r="P48" i="36"/>
  <c r="M182" i="34"/>
  <c r="B117" i="36"/>
  <c r="M49" i="36"/>
  <c r="L136" i="36" l="1"/>
  <c r="K135" i="36"/>
  <c r="H139" i="36"/>
  <c r="K137" i="36"/>
  <c r="L137" i="36"/>
  <c r="L135" i="36"/>
  <c r="N319" i="36"/>
  <c r="N298" i="36"/>
  <c r="G290" i="36"/>
  <c r="O315" i="36" s="1"/>
  <c r="C291" i="36"/>
  <c r="K295" i="36" s="1"/>
  <c r="C292" i="36"/>
  <c r="K317" i="36" s="1"/>
  <c r="G293" i="36"/>
  <c r="O318" i="36" s="1"/>
  <c r="G294" i="36"/>
  <c r="O319" i="36" s="1"/>
  <c r="C295" i="36"/>
  <c r="K320" i="36" s="1"/>
  <c r="G295" i="36"/>
  <c r="C290" i="36"/>
  <c r="K315" i="36" s="1"/>
  <c r="G291" i="36"/>
  <c r="O316" i="36" s="1"/>
  <c r="G292" i="36"/>
  <c r="O317" i="36" s="1"/>
  <c r="C293" i="36"/>
  <c r="K318" i="36" s="1"/>
  <c r="C294" i="36"/>
  <c r="K319" i="36" s="1"/>
  <c r="D295" i="36"/>
  <c r="L320" i="36" s="1"/>
  <c r="N135" i="36"/>
  <c r="N137" i="36"/>
  <c r="M135" i="36"/>
  <c r="M137" i="36"/>
  <c r="O135" i="36"/>
  <c r="O137" i="36"/>
  <c r="N115" i="36"/>
  <c r="N117" i="36"/>
  <c r="N126" i="36"/>
  <c r="M125" i="36"/>
  <c r="M127" i="36"/>
  <c r="O115" i="36"/>
  <c r="M116" i="36"/>
  <c r="K117" i="36"/>
  <c r="O117" i="36"/>
  <c r="M126" i="36"/>
  <c r="P125" i="36"/>
  <c r="L125" i="36"/>
  <c r="P127" i="36"/>
  <c r="L127" i="36"/>
  <c r="L115" i="36"/>
  <c r="P115" i="36"/>
  <c r="N116" i="36"/>
  <c r="L117" i="36"/>
  <c r="P117" i="36"/>
  <c r="P126" i="36"/>
  <c r="L126" i="36"/>
  <c r="O125" i="36"/>
  <c r="K125" i="36"/>
  <c r="O127" i="36"/>
  <c r="K127" i="36"/>
  <c r="L116" i="36"/>
  <c r="K115" i="36"/>
  <c r="M115" i="36"/>
  <c r="K116" i="36"/>
  <c r="O116" i="36"/>
  <c r="M117" i="36"/>
  <c r="K126" i="36"/>
  <c r="O126" i="36"/>
  <c r="P135" i="36"/>
  <c r="N125" i="36"/>
  <c r="P137" i="36"/>
  <c r="N127" i="36"/>
  <c r="P116" i="36"/>
  <c r="D174" i="36"/>
  <c r="K136" i="36" s="1"/>
  <c r="B176" i="36"/>
  <c r="O118" i="36" s="1"/>
  <c r="H115" i="36"/>
  <c r="H116" i="36"/>
  <c r="B140" i="36"/>
  <c r="H135" i="36"/>
  <c r="F140" i="36"/>
  <c r="C140" i="36"/>
  <c r="G140" i="36"/>
  <c r="H138" i="36"/>
  <c r="D140" i="36"/>
  <c r="H137" i="36"/>
  <c r="E140" i="36"/>
  <c r="H136" i="36"/>
  <c r="B130" i="36"/>
  <c r="H125" i="36"/>
  <c r="F130" i="36"/>
  <c r="H129" i="36"/>
  <c r="C130" i="36"/>
  <c r="G130" i="36"/>
  <c r="H128" i="36"/>
  <c r="D130" i="36"/>
  <c r="H127" i="36"/>
  <c r="E130" i="36"/>
  <c r="H126" i="36"/>
  <c r="H118" i="36"/>
  <c r="H119" i="36"/>
  <c r="D120" i="36"/>
  <c r="G120" i="36"/>
  <c r="F120" i="36"/>
  <c r="E120" i="36"/>
  <c r="C120" i="36"/>
  <c r="H117" i="36"/>
  <c r="B120" i="36"/>
  <c r="D294" i="36"/>
  <c r="L319" i="36" s="1"/>
  <c r="R44" i="36"/>
  <c r="L43" i="36"/>
  <c r="M43" i="36"/>
  <c r="N43" i="36"/>
  <c r="O43" i="36"/>
  <c r="P43" i="36"/>
  <c r="Q43" i="36"/>
  <c r="R45" i="36"/>
  <c r="R47" i="36"/>
  <c r="R48" i="36"/>
  <c r="E294" i="36"/>
  <c r="M319" i="36" s="1"/>
  <c r="J281" i="36"/>
  <c r="J282" i="36" s="1"/>
  <c r="M282" i="36" s="1"/>
  <c r="N50" i="36"/>
  <c r="Q50" i="36"/>
  <c r="M50" i="36"/>
  <c r="P50" i="36"/>
  <c r="O50" i="36"/>
  <c r="R51" i="36"/>
  <c r="L50" i="36"/>
  <c r="R49" i="36"/>
  <c r="N46" i="36"/>
  <c r="Q46" i="36"/>
  <c r="P46" i="36"/>
  <c r="O46" i="36"/>
  <c r="M46" i="36"/>
  <c r="L46" i="36"/>
  <c r="M278" i="36"/>
  <c r="D176" i="36"/>
  <c r="D177" i="36" s="1"/>
  <c r="L139" i="36" s="1"/>
  <c r="D290" i="36"/>
  <c r="L315" i="36" s="1"/>
  <c r="D291" i="36"/>
  <c r="L316" i="36" s="1"/>
  <c r="D292" i="36"/>
  <c r="D293" i="36"/>
  <c r="R259" i="36"/>
  <c r="E291" i="36"/>
  <c r="E292" i="36"/>
  <c r="E293" i="36"/>
  <c r="M279" i="36"/>
  <c r="N296" i="36"/>
  <c r="K316" i="36"/>
  <c r="K298" i="36"/>
  <c r="M299" i="36"/>
  <c r="J296" i="36"/>
  <c r="J297" i="36"/>
  <c r="N297" i="36"/>
  <c r="J298" i="36"/>
  <c r="J299" i="36"/>
  <c r="N299" i="36"/>
  <c r="J295" i="36"/>
  <c r="O295" i="36"/>
  <c r="K297" i="36"/>
  <c r="O298" i="36"/>
  <c r="K299" i="36"/>
  <c r="O320" i="36"/>
  <c r="O299" i="36"/>
  <c r="N295" i="36"/>
  <c r="O294" i="36"/>
  <c r="K296" i="36"/>
  <c r="C176" i="36"/>
  <c r="P259" i="36"/>
  <c r="T259" i="36"/>
  <c r="E290" i="36"/>
  <c r="M315" i="36" s="1"/>
  <c r="Q259" i="36"/>
  <c r="B290" i="36"/>
  <c r="J315" i="36" s="1"/>
  <c r="F290" i="36"/>
  <c r="N315" i="36" s="1"/>
  <c r="M183" i="34"/>
  <c r="P183" i="34"/>
  <c r="Q183" i="34"/>
  <c r="N183" i="34"/>
  <c r="R183" i="34"/>
  <c r="O183" i="34"/>
  <c r="O56" i="36"/>
  <c r="M54" i="36"/>
  <c r="N69" i="36"/>
  <c r="M53" i="36"/>
  <c r="L54" i="36"/>
  <c r="L57" i="36"/>
  <c r="N58" i="36"/>
  <c r="L56" i="36"/>
  <c r="P67" i="36"/>
  <c r="O57" i="36"/>
  <c r="L69" i="36"/>
  <c r="Q68" i="36"/>
  <c r="Q69" i="36"/>
  <c r="N53" i="36"/>
  <c r="Q67" i="36"/>
  <c r="L67" i="36"/>
  <c r="Q53" i="36"/>
  <c r="N54" i="36"/>
  <c r="Q54" i="36"/>
  <c r="O53" i="36"/>
  <c r="N68" i="36"/>
  <c r="L58" i="36"/>
  <c r="P53" i="36"/>
  <c r="L68" i="36"/>
  <c r="P69" i="36"/>
  <c r="Q57" i="36"/>
  <c r="M57" i="36"/>
  <c r="Q56" i="36"/>
  <c r="N56" i="36"/>
  <c r="N57" i="36"/>
  <c r="M69" i="36"/>
  <c r="M68" i="36"/>
  <c r="O54" i="36"/>
  <c r="P56" i="36"/>
  <c r="L53" i="36"/>
  <c r="O69" i="36"/>
  <c r="P57" i="36"/>
  <c r="O68" i="36"/>
  <c r="P68" i="36"/>
  <c r="M56" i="36"/>
  <c r="O58" i="36"/>
  <c r="Q58" i="36"/>
  <c r="P54" i="36"/>
  <c r="N67" i="36"/>
  <c r="M67" i="36"/>
  <c r="M58" i="36"/>
  <c r="O67" i="36"/>
  <c r="P58" i="36"/>
  <c r="O297" i="36" l="1"/>
  <c r="B329" i="36"/>
  <c r="K294" i="36"/>
  <c r="L138" i="36"/>
  <c r="N66" i="36"/>
  <c r="N70" i="36" s="1"/>
  <c r="M66" i="36"/>
  <c r="M70" i="36" s="1"/>
  <c r="R54" i="36"/>
  <c r="R68" i="36"/>
  <c r="O55" i="36"/>
  <c r="M55" i="36"/>
  <c r="R53" i="36"/>
  <c r="L52" i="36"/>
  <c r="R57" i="36"/>
  <c r="Q66" i="36"/>
  <c r="Q70" i="36" s="1"/>
  <c r="P55" i="36"/>
  <c r="N55" i="36"/>
  <c r="Q52" i="36"/>
  <c r="O66" i="36"/>
  <c r="O70" i="36" s="1"/>
  <c r="R67" i="36"/>
  <c r="L66" i="36"/>
  <c r="R58" i="36"/>
  <c r="R69" i="36"/>
  <c r="R56" i="36"/>
  <c r="L55" i="36"/>
  <c r="O52" i="36"/>
  <c r="O59" i="36" s="1"/>
  <c r="M52" i="36"/>
  <c r="M59" i="36" s="1"/>
  <c r="M74" i="36" s="1"/>
  <c r="Q55" i="36"/>
  <c r="P52" i="36"/>
  <c r="N52" i="36"/>
  <c r="P66" i="36"/>
  <c r="P70" i="36" s="1"/>
  <c r="G296" i="36"/>
  <c r="M281" i="36"/>
  <c r="G329" i="36" s="1"/>
  <c r="G338" i="36" s="1"/>
  <c r="C296" i="36"/>
  <c r="O296" i="36"/>
  <c r="M297" i="36"/>
  <c r="M318" i="36"/>
  <c r="L299" i="36"/>
  <c r="G328" i="36" s="1"/>
  <c r="G337" i="36" s="1"/>
  <c r="M296" i="36"/>
  <c r="M317" i="36"/>
  <c r="L296" i="36"/>
  <c r="L317" i="36"/>
  <c r="D329" i="36" s="1"/>
  <c r="D338" i="36" s="1"/>
  <c r="M316" i="36"/>
  <c r="M295" i="36"/>
  <c r="L297" i="36"/>
  <c r="L318" i="36"/>
  <c r="E329" i="36" s="1"/>
  <c r="E338" i="36" s="1"/>
  <c r="M136" i="36"/>
  <c r="B177" i="36"/>
  <c r="K119" i="36" s="1"/>
  <c r="L298" i="36"/>
  <c r="O136" i="36"/>
  <c r="N136" i="36"/>
  <c r="L295" i="36"/>
  <c r="O139" i="36"/>
  <c r="K139" i="36"/>
  <c r="N139" i="36"/>
  <c r="M139" i="36"/>
  <c r="M138" i="36"/>
  <c r="N138" i="36"/>
  <c r="O138" i="36"/>
  <c r="K138" i="36"/>
  <c r="H140" i="36"/>
  <c r="L140" i="36"/>
  <c r="M118" i="36"/>
  <c r="P118" i="36"/>
  <c r="M298" i="36"/>
  <c r="L118" i="36"/>
  <c r="K128" i="36"/>
  <c r="L128" i="36"/>
  <c r="M128" i="36"/>
  <c r="N128" i="36"/>
  <c r="O128" i="36"/>
  <c r="P128" i="36"/>
  <c r="K118" i="36"/>
  <c r="N118" i="36"/>
  <c r="P136" i="36"/>
  <c r="P138" i="36"/>
  <c r="P139" i="36"/>
  <c r="L119" i="36"/>
  <c r="H120" i="36"/>
  <c r="H130" i="36"/>
  <c r="D296" i="36"/>
  <c r="R46" i="36"/>
  <c r="R43" i="36"/>
  <c r="R50" i="36"/>
  <c r="L294" i="36"/>
  <c r="M294" i="36"/>
  <c r="E296" i="36"/>
  <c r="N294" i="36"/>
  <c r="F296" i="36"/>
  <c r="C177" i="36"/>
  <c r="J294" i="36"/>
  <c r="B296" i="36"/>
  <c r="S183" i="34"/>
  <c r="G36" i="22" s="1"/>
  <c r="B34" i="23" s="1"/>
  <c r="B328" i="36" l="1"/>
  <c r="B337" i="36" s="1"/>
  <c r="F329" i="36"/>
  <c r="F338" i="36" s="1"/>
  <c r="C328" i="36"/>
  <c r="C337" i="36" s="1"/>
  <c r="N59" i="36"/>
  <c r="N74" i="36" s="1"/>
  <c r="R52" i="36"/>
  <c r="K140" i="36"/>
  <c r="O74" i="36"/>
  <c r="Q59" i="36"/>
  <c r="Q74" i="36" s="1"/>
  <c r="P59" i="36"/>
  <c r="P74" i="36" s="1"/>
  <c r="L70" i="36"/>
  <c r="R70" i="36" s="1"/>
  <c r="R66" i="36"/>
  <c r="R55" i="36"/>
  <c r="L59" i="36"/>
  <c r="F328" i="36"/>
  <c r="F337" i="36" s="1"/>
  <c r="O119" i="36"/>
  <c r="O120" i="36" s="1"/>
  <c r="M119" i="36"/>
  <c r="M120" i="36" s="1"/>
  <c r="C329" i="36"/>
  <c r="C338" i="36" s="1"/>
  <c r="D328" i="36"/>
  <c r="D337" i="36" s="1"/>
  <c r="E328" i="36"/>
  <c r="E337" i="36" s="1"/>
  <c r="O140" i="36"/>
  <c r="L120" i="36"/>
  <c r="P119" i="36"/>
  <c r="P120" i="36" s="1"/>
  <c r="N119" i="36"/>
  <c r="N120" i="36" s="1"/>
  <c r="K120" i="36"/>
  <c r="M140" i="36"/>
  <c r="N140" i="36"/>
  <c r="P140" i="36"/>
  <c r="P129" i="36"/>
  <c r="P130" i="36" s="1"/>
  <c r="O129" i="36"/>
  <c r="O130" i="36" s="1"/>
  <c r="M129" i="36"/>
  <c r="M130" i="36" s="1"/>
  <c r="L129" i="36"/>
  <c r="L130" i="36" s="1"/>
  <c r="N129" i="36"/>
  <c r="N130" i="36" s="1"/>
  <c r="K129" i="36"/>
  <c r="K130" i="36" s="1"/>
  <c r="G35" i="22"/>
  <c r="B33" i="23" s="1"/>
  <c r="H337" i="36" l="1"/>
  <c r="H329" i="36"/>
  <c r="Q140" i="36"/>
  <c r="D86" i="27" s="1"/>
  <c r="L74" i="36"/>
  <c r="R59" i="36"/>
  <c r="K146" i="36"/>
  <c r="H328" i="36"/>
  <c r="H330" i="36"/>
  <c r="Q120" i="36"/>
  <c r="L146" i="36"/>
  <c r="N146" i="36"/>
  <c r="P146" i="36"/>
  <c r="Q130" i="36"/>
  <c r="C85" i="27" s="1"/>
  <c r="O146" i="36"/>
  <c r="M146" i="36"/>
  <c r="B338" i="36"/>
  <c r="H338" i="36" l="1"/>
  <c r="H339" i="36" s="1"/>
  <c r="R74" i="36"/>
  <c r="C86" i="27"/>
  <c r="B86" i="27"/>
  <c r="B84" i="27"/>
  <c r="C84" i="27"/>
  <c r="D84" i="27"/>
  <c r="Q146" i="36"/>
  <c r="D85" i="27"/>
  <c r="B85" i="27"/>
  <c r="B87" i="27" l="1"/>
  <c r="B93" i="27" s="1"/>
  <c r="B94" i="27" s="1"/>
  <c r="D87" i="27"/>
  <c r="D93" i="27" s="1"/>
  <c r="D95" i="27" s="1"/>
  <c r="D96" i="27" s="1"/>
  <c r="C87" i="27"/>
  <c r="C93" i="27" s="1"/>
  <c r="D94" i="27" l="1"/>
  <c r="B95" i="27"/>
  <c r="B96" i="27" s="1"/>
  <c r="C95" i="27"/>
  <c r="C96" i="27" s="1"/>
  <c r="C94" i="27"/>
  <c r="D48" i="5"/>
  <c r="I152" i="34"/>
  <c r="I153" i="34"/>
  <c r="I154" i="34"/>
  <c r="I155" i="34"/>
  <c r="I156" i="34"/>
  <c r="I157" i="34"/>
  <c r="I158" i="34"/>
  <c r="I159" i="34"/>
  <c r="I160" i="34"/>
  <c r="I161" i="34"/>
  <c r="I162" i="34"/>
  <c r="I163" i="34"/>
  <c r="I164" i="34"/>
  <c r="I165" i="34"/>
  <c r="I166" i="34"/>
  <c r="I167" i="34"/>
  <c r="I168" i="34"/>
  <c r="I151" i="34"/>
  <c r="M152" i="34"/>
  <c r="M163" i="34"/>
  <c r="M166" i="34"/>
  <c r="M156" i="34"/>
  <c r="M160" i="34"/>
  <c r="M158" i="34"/>
  <c r="M164" i="34"/>
  <c r="M168" i="34"/>
  <c r="M157" i="34"/>
  <c r="M154" i="34"/>
  <c r="M153" i="34"/>
  <c r="M161" i="34"/>
  <c r="M167" i="34"/>
  <c r="E95" i="27" l="1"/>
  <c r="M151" i="34"/>
  <c r="M155" i="34"/>
  <c r="M162" i="34"/>
  <c r="M159" i="34"/>
  <c r="M165" i="34"/>
  <c r="I20" i="34"/>
  <c r="I21" i="34"/>
  <c r="I22" i="34"/>
  <c r="I23" i="34"/>
  <c r="B10" i="34"/>
  <c r="B9" i="34"/>
  <c r="N168" i="34"/>
  <c r="B7" i="34"/>
  <c r="B11" i="34" l="1"/>
  <c r="G25" i="22" s="1"/>
  <c r="B23" i="23" s="1"/>
  <c r="M169" i="34"/>
  <c r="O152" i="34"/>
  <c r="O164" i="34"/>
  <c r="Q134" i="34"/>
  <c r="R156" i="34"/>
  <c r="N134" i="34"/>
  <c r="O138" i="34"/>
  <c r="N138" i="34"/>
  <c r="N136" i="34"/>
  <c r="R160" i="34"/>
  <c r="R158" i="34"/>
  <c r="P163" i="34"/>
  <c r="P168" i="34"/>
  <c r="Q166" i="34"/>
  <c r="N135" i="34"/>
  <c r="Q160" i="34"/>
  <c r="M136" i="34"/>
  <c r="Q135" i="34"/>
  <c r="P138" i="34"/>
  <c r="O168" i="34"/>
  <c r="R167" i="34"/>
  <c r="R136" i="34"/>
  <c r="R134" i="34"/>
  <c r="Q167" i="34"/>
  <c r="Q168" i="34"/>
  <c r="P161" i="34"/>
  <c r="R137" i="34"/>
  <c r="P136" i="34"/>
  <c r="R154" i="34"/>
  <c r="P157" i="34"/>
  <c r="Q154" i="34"/>
  <c r="R166" i="34"/>
  <c r="N137" i="34"/>
  <c r="N152" i="34"/>
  <c r="Q164" i="34"/>
  <c r="P156" i="34"/>
  <c r="O156" i="34"/>
  <c r="O137" i="34"/>
  <c r="O161" i="34"/>
  <c r="N153" i="34"/>
  <c r="P158" i="34"/>
  <c r="N157" i="34"/>
  <c r="O160" i="34"/>
  <c r="O153" i="34"/>
  <c r="N166" i="34"/>
  <c r="R135" i="34"/>
  <c r="R163" i="34"/>
  <c r="R168" i="34"/>
  <c r="O163" i="34"/>
  <c r="Q138" i="34"/>
  <c r="O157" i="34"/>
  <c r="N160" i="34"/>
  <c r="L20" i="34"/>
  <c r="Q161" i="34"/>
  <c r="P134" i="34"/>
  <c r="M137" i="34"/>
  <c r="O136" i="34"/>
  <c r="N154" i="34"/>
  <c r="L23" i="34"/>
  <c r="P167" i="34"/>
  <c r="R164" i="34"/>
  <c r="Q152" i="34"/>
  <c r="N163" i="34"/>
  <c r="M138" i="34"/>
  <c r="O134" i="34"/>
  <c r="O167" i="34"/>
  <c r="Q163" i="34"/>
  <c r="P152" i="34"/>
  <c r="Q157" i="34"/>
  <c r="P153" i="34"/>
  <c r="N167" i="34"/>
  <c r="N156" i="34"/>
  <c r="O158" i="34"/>
  <c r="P154" i="34"/>
  <c r="Q153" i="34"/>
  <c r="N161" i="34"/>
  <c r="P137" i="34"/>
  <c r="N164" i="34"/>
  <c r="Q156" i="34"/>
  <c r="N158" i="34"/>
  <c r="O154" i="34"/>
  <c r="P164" i="34"/>
  <c r="R157" i="34"/>
  <c r="Q137" i="34"/>
  <c r="P166" i="34"/>
  <c r="R138" i="34"/>
  <c r="P160" i="34"/>
  <c r="P135" i="34"/>
  <c r="Q158" i="34"/>
  <c r="O135" i="34"/>
  <c r="O166" i="34"/>
  <c r="R152" i="34"/>
  <c r="R153" i="34"/>
  <c r="R161" i="34"/>
  <c r="Q136" i="34"/>
  <c r="O165" i="34" l="1"/>
  <c r="R165" i="34"/>
  <c r="N165" i="34"/>
  <c r="Q165" i="34"/>
  <c r="P165" i="34"/>
  <c r="Q162" i="34"/>
  <c r="O162" i="34"/>
  <c r="P162" i="34"/>
  <c r="R162" i="34"/>
  <c r="N162" i="34"/>
  <c r="R159" i="34"/>
  <c r="Q159" i="34"/>
  <c r="P159" i="34"/>
  <c r="N159" i="34"/>
  <c r="O159" i="34"/>
  <c r="Q155" i="34"/>
  <c r="P155" i="34"/>
  <c r="O155" i="34"/>
  <c r="R155" i="34"/>
  <c r="N155" i="34"/>
  <c r="O151" i="34"/>
  <c r="Q151" i="34"/>
  <c r="P151" i="34"/>
  <c r="R151" i="34"/>
  <c r="N151" i="34"/>
  <c r="N139" i="34"/>
  <c r="R139" i="34"/>
  <c r="O139" i="34"/>
  <c r="P139" i="34"/>
  <c r="M139" i="34"/>
  <c r="Q139" i="34"/>
  <c r="S139" i="34" l="1"/>
  <c r="G29" i="22" s="1"/>
  <c r="N169" i="34"/>
  <c r="O169" i="34"/>
  <c r="Q169" i="34"/>
  <c r="R169" i="34"/>
  <c r="P169" i="34"/>
  <c r="G32" i="22" l="1"/>
  <c r="G31" i="22"/>
  <c r="G30" i="22"/>
  <c r="S169" i="34"/>
  <c r="G34" i="22" l="1"/>
  <c r="G33" i="22"/>
  <c r="B31" i="23" s="1"/>
  <c r="T63" i="34" l="1"/>
  <c r="T62" i="34"/>
  <c r="B105" i="34"/>
  <c r="B110" i="34"/>
  <c r="Q84" i="34"/>
  <c r="N84" i="34"/>
  <c r="T64" i="34" l="1"/>
  <c r="T65" i="34"/>
  <c r="T66" i="34"/>
  <c r="T67" i="34"/>
  <c r="T68" i="34"/>
  <c r="T69" i="34"/>
  <c r="T70" i="34"/>
  <c r="T71" i="34"/>
  <c r="I63" i="34"/>
  <c r="I64" i="34"/>
  <c r="I65" i="34"/>
  <c r="I66" i="34"/>
  <c r="I68" i="34"/>
  <c r="I69" i="34"/>
  <c r="I70" i="34"/>
  <c r="I71" i="34"/>
  <c r="I72" i="34"/>
  <c r="I73" i="34"/>
  <c r="I74" i="34"/>
  <c r="I75" i="34"/>
  <c r="I62" i="34"/>
  <c r="J32" i="34"/>
  <c r="J33" i="34"/>
  <c r="J34" i="34"/>
  <c r="J35" i="34"/>
  <c r="J36" i="34"/>
  <c r="J37" i="34"/>
  <c r="J38" i="34"/>
  <c r="J39" i="34"/>
  <c r="J40" i="34"/>
  <c r="J41" i="34"/>
  <c r="J42" i="34"/>
  <c r="J43" i="34"/>
  <c r="J44" i="34"/>
  <c r="J45" i="34"/>
  <c r="J46" i="34"/>
  <c r="J47" i="34"/>
  <c r="J48" i="34"/>
  <c r="J49" i="34"/>
  <c r="F97" i="34"/>
  <c r="O34" i="34"/>
  <c r="H90" i="34"/>
  <c r="F86" i="34"/>
  <c r="N44" i="34"/>
  <c r="E90" i="34"/>
  <c r="M41" i="34"/>
  <c r="C83" i="34"/>
  <c r="M33" i="34"/>
  <c r="P44" i="34"/>
  <c r="P41" i="34"/>
  <c r="R38" i="34"/>
  <c r="D93" i="34"/>
  <c r="N92" i="34"/>
  <c r="O95" i="34"/>
  <c r="P37" i="34"/>
  <c r="E86" i="34"/>
  <c r="M34" i="34"/>
  <c r="M37" i="34"/>
  <c r="H93" i="34"/>
  <c r="R37" i="34"/>
  <c r="G90" i="34"/>
  <c r="O48" i="34"/>
  <c r="Q33" i="34"/>
  <c r="G97" i="34"/>
  <c r="D86" i="34"/>
  <c r="P84" i="34"/>
  <c r="R33" i="34"/>
  <c r="P88" i="34"/>
  <c r="N41" i="34"/>
  <c r="O41" i="34"/>
  <c r="N34" i="34"/>
  <c r="D96" i="34"/>
  <c r="H97" i="34"/>
  <c r="F90" i="34"/>
  <c r="H87" i="34"/>
  <c r="P92" i="34"/>
  <c r="H96" i="34"/>
  <c r="H82" i="34"/>
  <c r="R84" i="34"/>
  <c r="O92" i="34"/>
  <c r="R92" i="34"/>
  <c r="O38" i="34"/>
  <c r="N37" i="34"/>
  <c r="Q92" i="34"/>
  <c r="E82" i="34"/>
  <c r="G83" i="34"/>
  <c r="O84" i="34"/>
  <c r="S99" i="34"/>
  <c r="O99" i="34"/>
  <c r="N38" i="34"/>
  <c r="R99" i="34"/>
  <c r="S92" i="34"/>
  <c r="H86" i="34"/>
  <c r="S84" i="34"/>
  <c r="C86" i="34"/>
  <c r="Q99" i="34"/>
  <c r="G87" i="34"/>
  <c r="N36" i="34"/>
  <c r="O33" i="34"/>
  <c r="R41" i="34"/>
  <c r="D97" i="34"/>
  <c r="D88" i="34"/>
  <c r="Q38" i="34"/>
  <c r="R34" i="34"/>
  <c r="C96" i="34"/>
  <c r="G86" i="34"/>
  <c r="P34" i="34"/>
  <c r="N99" i="34"/>
  <c r="F96" i="34"/>
  <c r="D82" i="34"/>
  <c r="R48" i="34"/>
  <c r="P99" i="34"/>
  <c r="D87" i="34"/>
  <c r="F88" i="34"/>
  <c r="P47" i="34"/>
  <c r="E96" i="34"/>
  <c r="F83" i="34"/>
  <c r="N48" i="34"/>
  <c r="D90" i="34"/>
  <c r="G96" i="34"/>
  <c r="Q34" i="34"/>
  <c r="Q37" i="34"/>
  <c r="Q41" i="34"/>
  <c r="Q110" i="34" l="1"/>
  <c r="M32" i="34"/>
  <c r="R119" i="34"/>
  <c r="N119" i="34"/>
  <c r="M109" i="34"/>
  <c r="R113" i="34"/>
  <c r="Q113" i="34"/>
  <c r="N113" i="34"/>
  <c r="Q122" i="34"/>
  <c r="M122" i="34"/>
  <c r="R122" i="34"/>
  <c r="P122" i="34"/>
  <c r="O122" i="34"/>
  <c r="N122" i="34"/>
  <c r="Q116" i="34"/>
  <c r="R116" i="34"/>
  <c r="P116" i="34"/>
  <c r="O116" i="34"/>
  <c r="N116" i="34"/>
  <c r="O112" i="34"/>
  <c r="R112" i="34"/>
  <c r="N112" i="34"/>
  <c r="Q112" i="34"/>
  <c r="P112" i="34"/>
  <c r="M112" i="34"/>
  <c r="R124" i="34"/>
  <c r="Q124" i="34"/>
  <c r="P124" i="34"/>
  <c r="O124" i="34"/>
  <c r="N124" i="34"/>
  <c r="M124" i="34"/>
  <c r="M117" i="34"/>
  <c r="R117" i="34"/>
  <c r="Q117" i="34"/>
  <c r="P117" i="34"/>
  <c r="O117" i="34"/>
  <c r="N117" i="34"/>
  <c r="N120" i="34"/>
  <c r="R123" i="34"/>
  <c r="N123" i="34"/>
  <c r="P123" i="34"/>
  <c r="Q123" i="34"/>
  <c r="P109" i="34"/>
  <c r="O110" i="34"/>
  <c r="N110" i="34"/>
  <c r="N108" i="34"/>
  <c r="R110" i="34"/>
  <c r="M110" i="34"/>
  <c r="O108" i="34"/>
  <c r="R108" i="34"/>
  <c r="Q109" i="34"/>
  <c r="P110" i="34"/>
  <c r="S96" i="34"/>
  <c r="R96" i="34"/>
  <c r="Q96" i="34"/>
  <c r="P96" i="34"/>
  <c r="O96" i="34"/>
  <c r="N96" i="34"/>
  <c r="O93" i="34"/>
  <c r="S89" i="34"/>
  <c r="R89" i="34"/>
  <c r="Q89" i="34"/>
  <c r="P89" i="34"/>
  <c r="O89" i="34"/>
  <c r="N89" i="34"/>
  <c r="P85" i="34"/>
  <c r="S81" i="34"/>
  <c r="R81" i="34"/>
  <c r="Q81" i="34"/>
  <c r="P81" i="34"/>
  <c r="O81" i="34"/>
  <c r="N81" i="34"/>
  <c r="H92" i="34"/>
  <c r="D92" i="34"/>
  <c r="D85" i="34"/>
  <c r="H95" i="34"/>
  <c r="G95" i="34"/>
  <c r="F95" i="34"/>
  <c r="D95" i="34"/>
  <c r="H89" i="34"/>
  <c r="G89" i="34"/>
  <c r="F89" i="34"/>
  <c r="E89" i="34"/>
  <c r="D89" i="34"/>
  <c r="P43" i="34"/>
  <c r="N43" i="34"/>
  <c r="P39" i="34"/>
  <c r="O39" i="34"/>
  <c r="R39" i="34"/>
  <c r="N39" i="34"/>
  <c r="Q39" i="34"/>
  <c r="M39" i="34"/>
  <c r="N35" i="34"/>
  <c r="O32" i="34"/>
  <c r="R32" i="34"/>
  <c r="Q32" i="34"/>
  <c r="C90" i="34"/>
  <c r="M48" i="34"/>
  <c r="P48" i="34"/>
  <c r="Q44" i="34"/>
  <c r="N33" i="34"/>
  <c r="R95" i="34"/>
  <c r="S95" i="34"/>
  <c r="N47" i="34"/>
  <c r="O88" i="34"/>
  <c r="F82" i="34"/>
  <c r="C82" i="34"/>
  <c r="O37" i="34"/>
  <c r="Q88" i="34"/>
  <c r="F87" i="34"/>
  <c r="R47" i="34"/>
  <c r="R44" i="34"/>
  <c r="Q36" i="34"/>
  <c r="M36" i="34"/>
  <c r="O36" i="34"/>
  <c r="P36" i="34"/>
  <c r="E87" i="34"/>
  <c r="E93" i="34"/>
  <c r="N88" i="34"/>
  <c r="Q47" i="34"/>
  <c r="E88" i="34"/>
  <c r="M44" i="34"/>
  <c r="P38" i="34"/>
  <c r="F93" i="34"/>
  <c r="R36" i="34"/>
  <c r="S88" i="34"/>
  <c r="N95" i="34"/>
  <c r="O47" i="34"/>
  <c r="P33" i="34"/>
  <c r="H88" i="34"/>
  <c r="Q48" i="34"/>
  <c r="C88" i="34"/>
  <c r="D83" i="34"/>
  <c r="Q95" i="34"/>
  <c r="O44" i="34"/>
  <c r="H83" i="34"/>
  <c r="C93" i="34"/>
  <c r="E97" i="34"/>
  <c r="C87" i="34"/>
  <c r="G93" i="34"/>
  <c r="G82" i="34"/>
  <c r="P95" i="34"/>
  <c r="M47" i="34"/>
  <c r="G88" i="34"/>
  <c r="M38" i="34"/>
  <c r="E83" i="34"/>
  <c r="C97" i="34"/>
  <c r="R88" i="34"/>
  <c r="M116" i="34" l="1"/>
  <c r="C89" i="34"/>
  <c r="P108" i="34"/>
  <c r="F81" i="34"/>
  <c r="R120" i="34"/>
  <c r="S93" i="34"/>
  <c r="O43" i="34"/>
  <c r="O35" i="34"/>
  <c r="N32" i="34"/>
  <c r="M43" i="34"/>
  <c r="Q35" i="34"/>
  <c r="Q43" i="34"/>
  <c r="P32" i="34"/>
  <c r="R43" i="34"/>
  <c r="P46" i="34"/>
  <c r="R35" i="34"/>
  <c r="Q85" i="34"/>
  <c r="P114" i="34"/>
  <c r="O113" i="34"/>
  <c r="M123" i="34"/>
  <c r="M121" i="34" s="1"/>
  <c r="C95" i="34"/>
  <c r="R109" i="34"/>
  <c r="R107" i="34" s="1"/>
  <c r="H81" i="34"/>
  <c r="P113" i="34"/>
  <c r="F85" i="34"/>
  <c r="N93" i="34"/>
  <c r="M120" i="34"/>
  <c r="M113" i="34"/>
  <c r="M108" i="34"/>
  <c r="M107" i="34" s="1"/>
  <c r="C81" i="34"/>
  <c r="Q108" i="34"/>
  <c r="Q107" i="34" s="1"/>
  <c r="G81" i="34"/>
  <c r="O46" i="34"/>
  <c r="M119" i="34"/>
  <c r="C92" i="34"/>
  <c r="E95" i="34"/>
  <c r="O123" i="34"/>
  <c r="O121" i="34" s="1"/>
  <c r="Q120" i="34"/>
  <c r="R93" i="34"/>
  <c r="H85" i="34"/>
  <c r="R114" i="34"/>
  <c r="R111" i="34" s="1"/>
  <c r="O119" i="34"/>
  <c r="E92" i="34"/>
  <c r="N114" i="34"/>
  <c r="N111" i="34" s="1"/>
  <c r="O85" i="34"/>
  <c r="O100" i="34" s="1"/>
  <c r="O109" i="34"/>
  <c r="O107" i="34" s="1"/>
  <c r="E81" i="34"/>
  <c r="N85" i="34"/>
  <c r="P120" i="34"/>
  <c r="Q93" i="34"/>
  <c r="Q100" i="34" s="1"/>
  <c r="S85" i="34"/>
  <c r="S100" i="34" s="1"/>
  <c r="O120" i="34"/>
  <c r="P93" i="34"/>
  <c r="P100" i="34" s="1"/>
  <c r="R85" i="34"/>
  <c r="Q114" i="34"/>
  <c r="Q111" i="34" s="1"/>
  <c r="G85" i="34"/>
  <c r="F92" i="34"/>
  <c r="P119" i="34"/>
  <c r="M114" i="34"/>
  <c r="C85" i="34"/>
  <c r="Q119" i="34"/>
  <c r="G92" i="34"/>
  <c r="O114" i="34"/>
  <c r="E85" i="34"/>
  <c r="N109" i="34"/>
  <c r="N107" i="34" s="1"/>
  <c r="D81" i="34"/>
  <c r="D99" i="34" s="1"/>
  <c r="N121" i="34"/>
  <c r="Q121" i="34"/>
  <c r="R115" i="34"/>
  <c r="N118" i="34"/>
  <c r="N115" i="34"/>
  <c r="M46" i="34"/>
  <c r="R46" i="34"/>
  <c r="N46" i="34"/>
  <c r="N50" i="34" s="1"/>
  <c r="M35" i="34"/>
  <c r="P35" i="34"/>
  <c r="Q46" i="34"/>
  <c r="O115" i="34"/>
  <c r="R121" i="34"/>
  <c r="P115" i="34"/>
  <c r="M115" i="34"/>
  <c r="P121" i="34"/>
  <c r="R118" i="34"/>
  <c r="Q115" i="34"/>
  <c r="P107" i="34"/>
  <c r="P50" i="34" l="1"/>
  <c r="P111" i="34"/>
  <c r="Q50" i="34"/>
  <c r="R50" i="34"/>
  <c r="O50" i="34"/>
  <c r="O118" i="34"/>
  <c r="H99" i="34"/>
  <c r="M111" i="34"/>
  <c r="G99" i="34"/>
  <c r="Q118" i="34"/>
  <c r="Q125" i="34" s="1"/>
  <c r="P118" i="34"/>
  <c r="P125" i="34" s="1"/>
  <c r="P127" i="34" s="1"/>
  <c r="O111" i="34"/>
  <c r="M118" i="34"/>
  <c r="F99" i="34"/>
  <c r="C99" i="34"/>
  <c r="N100" i="34"/>
  <c r="R100" i="34"/>
  <c r="E99" i="34"/>
  <c r="M50" i="34"/>
  <c r="S50" i="34" s="1"/>
  <c r="G26" i="22" s="1"/>
  <c r="R125" i="34"/>
  <c r="N125" i="34"/>
  <c r="M125" i="34" l="1"/>
  <c r="M126" i="34" s="1"/>
  <c r="O125" i="34"/>
  <c r="O127" i="34" s="1"/>
  <c r="P126" i="34"/>
  <c r="R127" i="34"/>
  <c r="R126" i="34"/>
  <c r="N127" i="34"/>
  <c r="N126" i="34"/>
  <c r="Q126" i="34"/>
  <c r="Q127" i="34"/>
  <c r="M127" i="34" l="1"/>
  <c r="S127" i="34" s="1"/>
  <c r="G28" i="22" s="1"/>
  <c r="B26" i="23" s="1"/>
  <c r="O126" i="34"/>
  <c r="S126" i="34" s="1"/>
  <c r="G27" i="22" s="1"/>
  <c r="I19" i="34"/>
  <c r="O21" i="34"/>
  <c r="M23" i="34"/>
  <c r="P22" i="34"/>
  <c r="M20" i="34"/>
  <c r="P23" i="34"/>
  <c r="N23" i="34"/>
  <c r="N22" i="34"/>
  <c r="P20" i="34"/>
  <c r="O23" i="34"/>
  <c r="N20" i="34"/>
  <c r="Q21" i="34"/>
  <c r="O22" i="34"/>
  <c r="O20" i="34"/>
  <c r="Q20" i="34"/>
  <c r="M22" i="34"/>
  <c r="Q22" i="34"/>
  <c r="Q23" i="34"/>
  <c r="M21" i="34"/>
  <c r="P21" i="34"/>
  <c r="L21" i="34"/>
  <c r="N21" i="34"/>
  <c r="L22" i="34"/>
  <c r="P19" i="34"/>
  <c r="R22" i="34" l="1"/>
  <c r="R20" i="34"/>
  <c r="R21" i="34"/>
  <c r="R23" i="34"/>
  <c r="L19" i="34"/>
  <c r="O19" i="34"/>
  <c r="Q19" i="34"/>
  <c r="M19" i="34"/>
  <c r="N19" i="34"/>
  <c r="R19" i="34" l="1"/>
  <c r="L24" i="34"/>
  <c r="Q24" i="34"/>
  <c r="P24" i="34"/>
  <c r="O24" i="34"/>
  <c r="N24" i="34"/>
  <c r="M24" i="34"/>
  <c r="B24" i="23" l="1"/>
  <c r="C30" i="23" l="1"/>
  <c r="C28" i="27"/>
  <c r="B42" i="27" l="1"/>
  <c r="C42" i="27"/>
  <c r="B50" i="27"/>
  <c r="B52" i="27"/>
  <c r="E103" i="1"/>
  <c r="E113" i="1" l="1"/>
  <c r="E147" i="1"/>
  <c r="E65" i="27"/>
  <c r="E63" i="27"/>
  <c r="D118" i="27"/>
  <c r="D117" i="27"/>
  <c r="D126" i="27" l="1"/>
  <c r="B126" i="27"/>
  <c r="C126" i="27"/>
  <c r="G144" i="27"/>
  <c r="G142" i="27"/>
  <c r="G143" i="27"/>
  <c r="D142" i="27"/>
  <c r="C144" i="27"/>
  <c r="F144" i="27"/>
  <c r="B142" i="27"/>
  <c r="E143" i="27"/>
  <c r="C143" i="27"/>
  <c r="D143" i="27"/>
  <c r="F142" i="27"/>
  <c r="F145" i="27" s="1"/>
  <c r="F149" i="27" s="1"/>
  <c r="I7" i="31" s="1"/>
  <c r="B143" i="27"/>
  <c r="E144" i="27"/>
  <c r="C142" i="27"/>
  <c r="C145" i="27" s="1"/>
  <c r="C149" i="27" s="1"/>
  <c r="F7" i="31" s="1"/>
  <c r="D144" i="27"/>
  <c r="F143" i="27"/>
  <c r="B144" i="27"/>
  <c r="E142" i="27"/>
  <c r="E145" i="27" s="1"/>
  <c r="E149" i="27" s="1"/>
  <c r="H7" i="31" s="1"/>
  <c r="B127" i="27"/>
  <c r="C127" i="27"/>
  <c r="D127" i="27"/>
  <c r="B101" i="27"/>
  <c r="D103" i="27"/>
  <c r="C103" i="27"/>
  <c r="F102" i="27"/>
  <c r="G103" i="27"/>
  <c r="B102" i="27"/>
  <c r="E102" i="27"/>
  <c r="C101" i="27"/>
  <c r="G101" i="27"/>
  <c r="E101" i="27"/>
  <c r="F101" i="27"/>
  <c r="C102" i="27"/>
  <c r="F103" i="27"/>
  <c r="D102" i="27"/>
  <c r="B103" i="27"/>
  <c r="G102" i="27"/>
  <c r="E103" i="27"/>
  <c r="D101" i="27"/>
  <c r="E51" i="27"/>
  <c r="B51" i="27"/>
  <c r="F52" i="27"/>
  <c r="D51" i="27"/>
  <c r="F50" i="27"/>
  <c r="C52" i="27"/>
  <c r="G52" i="27"/>
  <c r="C50" i="27"/>
  <c r="G50" i="27"/>
  <c r="D52" i="27"/>
  <c r="F51" i="27"/>
  <c r="D50" i="27"/>
  <c r="B43" i="27"/>
  <c r="E52" i="27"/>
  <c r="C51" i="27"/>
  <c r="G51" i="27"/>
  <c r="E50" i="27"/>
  <c r="D42" i="27"/>
  <c r="N84" i="23"/>
  <c r="K84" i="23"/>
  <c r="P84" i="23"/>
  <c r="O83" i="23"/>
  <c r="P83" i="23"/>
  <c r="M84" i="23"/>
  <c r="L85" i="23"/>
  <c r="P85" i="23"/>
  <c r="O84" i="23"/>
  <c r="K83" i="23"/>
  <c r="M83" i="23"/>
  <c r="O85" i="23"/>
  <c r="K85" i="23"/>
  <c r="N83" i="23"/>
  <c r="L83" i="23"/>
  <c r="N85" i="23"/>
  <c r="L84" i="23"/>
  <c r="M85" i="23"/>
  <c r="B25" i="23"/>
  <c r="B27" i="23"/>
  <c r="B28" i="23"/>
  <c r="B29" i="23"/>
  <c r="B30" i="23"/>
  <c r="B32" i="23"/>
  <c r="B145" i="27" l="1"/>
  <c r="H142" i="27"/>
  <c r="H144" i="27"/>
  <c r="H143" i="27"/>
  <c r="D145" i="27"/>
  <c r="D149" i="27" s="1"/>
  <c r="G7" i="31" s="1"/>
  <c r="G145" i="27"/>
  <c r="G149" i="27" s="1"/>
  <c r="J7" i="31" s="1"/>
  <c r="H101" i="27"/>
  <c r="L86" i="23"/>
  <c r="N86" i="23"/>
  <c r="D104" i="27"/>
  <c r="D108" i="27" s="1"/>
  <c r="G6" i="31" s="1"/>
  <c r="B104" i="27"/>
  <c r="G104" i="27"/>
  <c r="G108" i="27" s="1"/>
  <c r="J6" i="31" s="1"/>
  <c r="C104" i="27"/>
  <c r="C108" i="27" s="1"/>
  <c r="F6" i="31" s="1"/>
  <c r="F104" i="27"/>
  <c r="F108" i="27" s="1"/>
  <c r="I6" i="31" s="1"/>
  <c r="E104" i="27"/>
  <c r="E108" i="27" s="1"/>
  <c r="H6" i="31" s="1"/>
  <c r="E53" i="27"/>
  <c r="H5" i="31" s="1"/>
  <c r="D53" i="27"/>
  <c r="G5" i="31" s="1"/>
  <c r="H52" i="27"/>
  <c r="F53" i="27"/>
  <c r="I5" i="31" s="1"/>
  <c r="H51" i="27"/>
  <c r="G53" i="27"/>
  <c r="J5" i="31" s="1"/>
  <c r="C53" i="27"/>
  <c r="F5" i="31" s="1"/>
  <c r="B53" i="27"/>
  <c r="E5" i="31" s="1"/>
  <c r="H50" i="27"/>
  <c r="O86" i="23"/>
  <c r="M86" i="23"/>
  <c r="Q83" i="23"/>
  <c r="K86" i="23"/>
  <c r="Q84" i="23"/>
  <c r="Q85" i="23"/>
  <c r="P86" i="23"/>
  <c r="C43" i="27"/>
  <c r="G30" i="23"/>
  <c r="F30" i="23"/>
  <c r="C44" i="27"/>
  <c r="C34" i="23"/>
  <c r="C33" i="23"/>
  <c r="C32" i="23"/>
  <c r="C31" i="23"/>
  <c r="C29" i="23"/>
  <c r="C28" i="23"/>
  <c r="C27" i="23"/>
  <c r="C26" i="23"/>
  <c r="C25" i="23"/>
  <c r="C24" i="23"/>
  <c r="C23" i="23"/>
  <c r="P5" i="23"/>
  <c r="H145" i="27" l="1"/>
  <c r="B149" i="27"/>
  <c r="B66" i="23"/>
  <c r="B65" i="23"/>
  <c r="H104" i="27"/>
  <c r="B45" i="23"/>
  <c r="B47" i="23"/>
  <c r="F23" i="23"/>
  <c r="G23" i="23"/>
  <c r="K5" i="31"/>
  <c r="Q86" i="23"/>
  <c r="B108" i="27"/>
  <c r="E6" i="31" s="1"/>
  <c r="K6" i="31" s="1"/>
  <c r="C45" i="27"/>
  <c r="H53" i="27"/>
  <c r="F27" i="23"/>
  <c r="F75" i="23"/>
  <c r="E75" i="23"/>
  <c r="G77" i="23"/>
  <c r="G75" i="23"/>
  <c r="B76" i="23"/>
  <c r="C77" i="23"/>
  <c r="F76" i="23"/>
  <c r="F77" i="23"/>
  <c r="E77" i="23"/>
  <c r="D75" i="23"/>
  <c r="D76" i="23"/>
  <c r="G76" i="23"/>
  <c r="C75" i="23"/>
  <c r="D77" i="23"/>
  <c r="C76" i="23"/>
  <c r="E76" i="23"/>
  <c r="B75" i="23"/>
  <c r="B77" i="23"/>
  <c r="F32" i="23"/>
  <c r="K95" i="23"/>
  <c r="P93" i="23"/>
  <c r="M94" i="23"/>
  <c r="L95" i="23"/>
  <c r="K93" i="23"/>
  <c r="P94" i="23"/>
  <c r="O95" i="23"/>
  <c r="O94" i="23"/>
  <c r="L93" i="23"/>
  <c r="N95" i="23"/>
  <c r="N94" i="23"/>
  <c r="K94" i="23"/>
  <c r="M95" i="23"/>
  <c r="O93" i="23"/>
  <c r="L94" i="23"/>
  <c r="N93" i="23"/>
  <c r="P95" i="23"/>
  <c r="M93" i="23"/>
  <c r="F28" i="23"/>
  <c r="O75" i="23"/>
  <c r="M75" i="23"/>
  <c r="P77" i="23"/>
  <c r="K76" i="23"/>
  <c r="K77" i="23"/>
  <c r="L76" i="23"/>
  <c r="N77" i="23"/>
  <c r="P75" i="23"/>
  <c r="K75" i="23"/>
  <c r="L75" i="23"/>
  <c r="O76" i="23"/>
  <c r="N76" i="23"/>
  <c r="N75" i="23"/>
  <c r="P76" i="23"/>
  <c r="L77" i="23"/>
  <c r="O77" i="23"/>
  <c r="M76" i="23"/>
  <c r="M77" i="23"/>
  <c r="F102" i="23"/>
  <c r="E104" i="23"/>
  <c r="B103" i="23"/>
  <c r="G102" i="23"/>
  <c r="B102" i="23"/>
  <c r="D104" i="23"/>
  <c r="E102" i="23"/>
  <c r="C103" i="23"/>
  <c r="F103" i="23"/>
  <c r="D102" i="23"/>
  <c r="E103" i="23"/>
  <c r="G103" i="23"/>
  <c r="C104" i="23"/>
  <c r="F104" i="23"/>
  <c r="D103" i="23"/>
  <c r="B104" i="23"/>
  <c r="G104" i="23"/>
  <c r="C102" i="23"/>
  <c r="F29" i="23"/>
  <c r="F84" i="23"/>
  <c r="E83" i="23"/>
  <c r="F85" i="23"/>
  <c r="E85" i="23"/>
  <c r="D84" i="23"/>
  <c r="G85" i="23"/>
  <c r="B83" i="23"/>
  <c r="C83" i="23"/>
  <c r="F83" i="23"/>
  <c r="D85" i="23"/>
  <c r="D83" i="23"/>
  <c r="B85" i="23"/>
  <c r="B84" i="23"/>
  <c r="E84" i="23"/>
  <c r="G84" i="23"/>
  <c r="G83" i="23"/>
  <c r="C84" i="23"/>
  <c r="C85" i="23"/>
  <c r="M104" i="23"/>
  <c r="K104" i="23"/>
  <c r="O103" i="23"/>
  <c r="N102" i="23"/>
  <c r="L102" i="23"/>
  <c r="N104" i="23"/>
  <c r="L103" i="23"/>
  <c r="P103" i="23"/>
  <c r="O102" i="23"/>
  <c r="K102" i="23"/>
  <c r="O104" i="23"/>
  <c r="M103" i="23"/>
  <c r="K103" i="23"/>
  <c r="P102" i="23"/>
  <c r="L104" i="23"/>
  <c r="P104" i="23"/>
  <c r="N103" i="23"/>
  <c r="M102" i="23"/>
  <c r="C94" i="23"/>
  <c r="C93" i="23"/>
  <c r="E95" i="23"/>
  <c r="D95" i="23"/>
  <c r="F93" i="23"/>
  <c r="E93" i="23"/>
  <c r="B93" i="23"/>
  <c r="G95" i="23"/>
  <c r="D94" i="23"/>
  <c r="D93" i="23"/>
  <c r="B95" i="23"/>
  <c r="G94" i="23"/>
  <c r="G93" i="23"/>
  <c r="F94" i="23"/>
  <c r="F95" i="23"/>
  <c r="C95" i="23"/>
  <c r="E94" i="23"/>
  <c r="B94" i="23"/>
  <c r="H24" i="23"/>
  <c r="B57" i="23"/>
  <c r="B55" i="23"/>
  <c r="F57" i="23"/>
  <c r="E57" i="23"/>
  <c r="C56" i="23"/>
  <c r="G57" i="23"/>
  <c r="F55" i="23"/>
  <c r="E55" i="23"/>
  <c r="D56" i="23"/>
  <c r="F56" i="23"/>
  <c r="D57" i="23"/>
  <c r="G56" i="23"/>
  <c r="C55" i="23"/>
  <c r="C57" i="23"/>
  <c r="G55" i="23"/>
  <c r="E56" i="23"/>
  <c r="B56" i="23"/>
  <c r="D55" i="23"/>
  <c r="G25" i="23"/>
  <c r="B67" i="23"/>
  <c r="E65" i="23"/>
  <c r="E66" i="23"/>
  <c r="E67" i="23"/>
  <c r="C66" i="23"/>
  <c r="D65" i="23"/>
  <c r="G65" i="23"/>
  <c r="F67" i="23"/>
  <c r="G66" i="23"/>
  <c r="C67" i="23"/>
  <c r="D66" i="23"/>
  <c r="F65" i="23"/>
  <c r="C65" i="23"/>
  <c r="D67" i="23"/>
  <c r="G67" i="23"/>
  <c r="F66" i="23"/>
  <c r="F68" i="23" s="1"/>
  <c r="F26" i="23"/>
  <c r="K67" i="23"/>
  <c r="M67" i="23"/>
  <c r="N66" i="23"/>
  <c r="K65" i="23"/>
  <c r="M65" i="23"/>
  <c r="K66" i="23"/>
  <c r="M66" i="23"/>
  <c r="N67" i="23"/>
  <c r="N65" i="23"/>
  <c r="L65" i="23"/>
  <c r="O67" i="23"/>
  <c r="P66" i="23"/>
  <c r="L66" i="23"/>
  <c r="O65" i="23"/>
  <c r="P67" i="23"/>
  <c r="L67" i="23"/>
  <c r="O66" i="23"/>
  <c r="P65" i="23"/>
  <c r="E47" i="23"/>
  <c r="E46" i="23"/>
  <c r="C45" i="23"/>
  <c r="G45" i="23"/>
  <c r="D47" i="23"/>
  <c r="B46" i="23"/>
  <c r="F47" i="23"/>
  <c r="F46" i="23"/>
  <c r="D45" i="23"/>
  <c r="D46" i="23"/>
  <c r="F45" i="23"/>
  <c r="C47" i="23"/>
  <c r="G47" i="23"/>
  <c r="C46" i="23"/>
  <c r="G46" i="23"/>
  <c r="E45" i="23"/>
  <c r="B44" i="27"/>
  <c r="B45" i="27" s="1"/>
  <c r="F24" i="23"/>
  <c r="F25" i="23"/>
  <c r="G24" i="23"/>
  <c r="D44" i="27"/>
  <c r="D43" i="27"/>
  <c r="G26" i="23"/>
  <c r="H29" i="23"/>
  <c r="H27" i="23"/>
  <c r="F31" i="23"/>
  <c r="H26" i="23"/>
  <c r="H30" i="23"/>
  <c r="H23" i="23"/>
  <c r="G31" i="23"/>
  <c r="G32" i="23"/>
  <c r="H25" i="23"/>
  <c r="H34" i="23"/>
  <c r="G34" i="23"/>
  <c r="F34" i="23"/>
  <c r="G27" i="23"/>
  <c r="H31" i="23"/>
  <c r="G28" i="23"/>
  <c r="H32" i="23"/>
  <c r="H28" i="23"/>
  <c r="G29" i="23"/>
  <c r="F33" i="23"/>
  <c r="G33" i="23"/>
  <c r="H33" i="23"/>
  <c r="D48" i="23" l="1"/>
  <c r="E7" i="31"/>
  <c r="K7" i="31" s="1"/>
  <c r="H149" i="27"/>
  <c r="B114" i="23"/>
  <c r="B48" i="23"/>
  <c r="G114" i="23"/>
  <c r="D112" i="23"/>
  <c r="D114" i="23"/>
  <c r="F86" i="23"/>
  <c r="C113" i="23"/>
  <c r="D113" i="23"/>
  <c r="E113" i="23"/>
  <c r="G96" i="23"/>
  <c r="H104" i="23"/>
  <c r="E112" i="23"/>
  <c r="G112" i="23"/>
  <c r="G113" i="23"/>
  <c r="F112" i="23"/>
  <c r="F114" i="23"/>
  <c r="C112" i="23"/>
  <c r="O96" i="23"/>
  <c r="C114" i="23"/>
  <c r="B113" i="23"/>
  <c r="E114" i="23"/>
  <c r="B112" i="23"/>
  <c r="F96" i="23"/>
  <c r="L78" i="23"/>
  <c r="M105" i="23"/>
  <c r="P105" i="23"/>
  <c r="G86" i="23"/>
  <c r="N78" i="23"/>
  <c r="F113" i="23"/>
  <c r="F115" i="23" s="1"/>
  <c r="H85" i="23"/>
  <c r="H77" i="23"/>
  <c r="M96" i="23"/>
  <c r="C78" i="23"/>
  <c r="D45" i="27"/>
  <c r="E45" i="27" s="1"/>
  <c r="H102" i="27"/>
  <c r="H94" i="23"/>
  <c r="D96" i="23"/>
  <c r="E96" i="23"/>
  <c r="C96" i="23"/>
  <c r="N105" i="23"/>
  <c r="E86" i="23"/>
  <c r="H102" i="23"/>
  <c r="B105" i="23"/>
  <c r="F105" i="23"/>
  <c r="D78" i="23"/>
  <c r="E78" i="23"/>
  <c r="H84" i="23"/>
  <c r="G105" i="23"/>
  <c r="M78" i="23"/>
  <c r="P96" i="23"/>
  <c r="B78" i="23"/>
  <c r="H75" i="23"/>
  <c r="H76" i="23"/>
  <c r="F78" i="23"/>
  <c r="K105" i="23"/>
  <c r="Q102" i="23"/>
  <c r="Q104" i="23"/>
  <c r="C86" i="23"/>
  <c r="E105" i="23"/>
  <c r="H103" i="23"/>
  <c r="Q75" i="23"/>
  <c r="K78" i="23"/>
  <c r="Q77" i="23"/>
  <c r="O78" i="23"/>
  <c r="L96" i="23"/>
  <c r="Q93" i="23"/>
  <c r="K96" i="23"/>
  <c r="Q95" i="23"/>
  <c r="G78" i="23"/>
  <c r="H95" i="23"/>
  <c r="B96" i="23"/>
  <c r="H93" i="23"/>
  <c r="Q103" i="23"/>
  <c r="O105" i="23"/>
  <c r="L105" i="23"/>
  <c r="D86" i="23"/>
  <c r="H83" i="23"/>
  <c r="B86" i="23"/>
  <c r="C105" i="23"/>
  <c r="D105" i="23"/>
  <c r="P78" i="23"/>
  <c r="Q76" i="23"/>
  <c r="N96" i="23"/>
  <c r="Q94" i="23"/>
  <c r="G58" i="23"/>
  <c r="N68" i="23"/>
  <c r="M68" i="23"/>
  <c r="E68" i="23"/>
  <c r="H56" i="23"/>
  <c r="F58" i="23"/>
  <c r="P68" i="23"/>
  <c r="D68" i="23"/>
  <c r="K68" i="23"/>
  <c r="Q65" i="23"/>
  <c r="C68" i="23"/>
  <c r="H66" i="23"/>
  <c r="D58" i="23"/>
  <c r="B58" i="23"/>
  <c r="H55" i="23"/>
  <c r="Q67" i="23"/>
  <c r="B68" i="23"/>
  <c r="H65" i="23"/>
  <c r="C58" i="23"/>
  <c r="H57" i="23"/>
  <c r="O68" i="23"/>
  <c r="L68" i="23"/>
  <c r="Q66" i="23"/>
  <c r="H67" i="23"/>
  <c r="G68" i="23"/>
  <c r="E58" i="23"/>
  <c r="H47" i="23"/>
  <c r="F48" i="23"/>
  <c r="E48" i="23"/>
  <c r="G48" i="23"/>
  <c r="C48" i="23"/>
  <c r="H45" i="23"/>
  <c r="H46" i="23"/>
  <c r="G35" i="23"/>
  <c r="H35" i="23"/>
  <c r="F35" i="23"/>
  <c r="D115" i="23" l="1"/>
  <c r="F119" i="23"/>
  <c r="G115" i="23"/>
  <c r="B115" i="23"/>
  <c r="E115" i="23"/>
  <c r="C115" i="23"/>
  <c r="H113" i="23"/>
  <c r="H114" i="23"/>
  <c r="C119" i="23"/>
  <c r="F4" i="31" s="1"/>
  <c r="F8" i="31" s="1"/>
  <c r="H96" i="23"/>
  <c r="H86" i="23"/>
  <c r="D119" i="23"/>
  <c r="G4" i="31" s="1"/>
  <c r="G8" i="31" s="1"/>
  <c r="H112" i="23"/>
  <c r="H58" i="23"/>
  <c r="Q96" i="23"/>
  <c r="Q105" i="23"/>
  <c r="H48" i="23"/>
  <c r="H68" i="23"/>
  <c r="Q68" i="23"/>
  <c r="Q78" i="23"/>
  <c r="H78" i="23"/>
  <c r="H105" i="23"/>
  <c r="F45" i="27"/>
  <c r="B119" i="23"/>
  <c r="E4" i="31" s="1"/>
  <c r="E8" i="31" s="1"/>
  <c r="E26" i="31" s="1"/>
  <c r="E119" i="23"/>
  <c r="H4" i="31" s="1"/>
  <c r="H8" i="31" s="1"/>
  <c r="H26" i="31" s="1"/>
  <c r="G119" i="23"/>
  <c r="J4" i="31" s="1"/>
  <c r="J8" i="31" s="1"/>
  <c r="J26" i="31" s="1"/>
  <c r="I4" i="31"/>
  <c r="I8" i="31" s="1"/>
  <c r="E29" i="31" l="1"/>
  <c r="H115" i="23"/>
  <c r="G9" i="31"/>
  <c r="G26" i="31"/>
  <c r="G29" i="31" s="1"/>
  <c r="I9" i="31"/>
  <c r="I26" i="31"/>
  <c r="I29" i="31" s="1"/>
  <c r="J9" i="31"/>
  <c r="J29" i="31"/>
  <c r="H9" i="31"/>
  <c r="H29" i="31"/>
  <c r="F9" i="31"/>
  <c r="F26" i="31"/>
  <c r="F29" i="31" s="1"/>
  <c r="K4" i="31"/>
  <c r="K8" i="31" s="1"/>
  <c r="H103" i="27"/>
  <c r="H108" i="27"/>
  <c r="H119" i="23"/>
  <c r="C128" i="27"/>
  <c r="C134" i="27" s="1"/>
  <c r="B128" i="27"/>
  <c r="B134" i="27" s="1"/>
  <c r="B135" i="27" s="1"/>
  <c r="D128" i="27"/>
  <c r="D134" i="27" s="1"/>
  <c r="D136" i="27" s="1"/>
  <c r="D137" i="27" s="1"/>
  <c r="P26" i="31" l="1"/>
  <c r="P29" i="31"/>
  <c r="E9" i="31"/>
  <c r="B136" i="27"/>
  <c r="B137" i="27" s="1"/>
  <c r="C136" i="27"/>
  <c r="C137" i="27" s="1"/>
  <c r="C135" i="27"/>
  <c r="D135" i="27"/>
  <c r="E104" i="1" l="1"/>
  <c r="E109" i="1"/>
  <c r="E108" i="1"/>
  <c r="E107" i="1"/>
  <c r="E127" i="1"/>
  <c r="AG3" i="5"/>
  <c r="R5" i="5" l="1"/>
  <c r="H195" i="1" l="1"/>
  <c r="G195" i="1"/>
  <c r="H194" i="1"/>
  <c r="G194" i="1"/>
  <c r="G196" i="1" l="1"/>
  <c r="H196" i="1"/>
  <c r="F104" i="1" l="1"/>
  <c r="G104" i="1"/>
  <c r="H104" i="1"/>
  <c r="I104" i="1"/>
  <c r="J104" i="1"/>
  <c r="E105" i="1"/>
  <c r="F105" i="1"/>
  <c r="G105" i="1"/>
  <c r="H105" i="1"/>
  <c r="I105" i="1"/>
  <c r="J105" i="1"/>
  <c r="E106" i="1"/>
  <c r="F106" i="1"/>
  <c r="G106" i="1"/>
  <c r="H106" i="1"/>
  <c r="I106" i="1"/>
  <c r="J106" i="1"/>
  <c r="F107" i="1"/>
  <c r="G107" i="1"/>
  <c r="H107" i="1"/>
  <c r="I107" i="1"/>
  <c r="J107" i="1"/>
  <c r="F108" i="1"/>
  <c r="G108" i="1"/>
  <c r="H108" i="1"/>
  <c r="I108" i="1"/>
  <c r="J108" i="1"/>
  <c r="F109" i="1"/>
  <c r="G109" i="1"/>
  <c r="H109" i="1"/>
  <c r="I109" i="1"/>
  <c r="J109" i="1"/>
  <c r="E110" i="1"/>
  <c r="F110" i="1"/>
  <c r="G110" i="1"/>
  <c r="H110" i="1"/>
  <c r="I110" i="1"/>
  <c r="J110" i="1"/>
  <c r="E111" i="1"/>
  <c r="F111" i="1"/>
  <c r="G111" i="1"/>
  <c r="H111" i="1"/>
  <c r="I111" i="1"/>
  <c r="J111" i="1"/>
  <c r="E112" i="1"/>
  <c r="F112" i="1"/>
  <c r="G112" i="1"/>
  <c r="H112" i="1"/>
  <c r="I112" i="1"/>
  <c r="J112" i="1"/>
  <c r="F113" i="1"/>
  <c r="G113" i="1"/>
  <c r="H113" i="1"/>
  <c r="I113" i="1"/>
  <c r="J113" i="1"/>
  <c r="E114" i="1"/>
  <c r="F114" i="1"/>
  <c r="G114" i="1"/>
  <c r="H114" i="1"/>
  <c r="I114" i="1"/>
  <c r="J114" i="1"/>
  <c r="E115" i="1"/>
  <c r="F115" i="1"/>
  <c r="G115" i="1"/>
  <c r="H115" i="1"/>
  <c r="I115" i="1"/>
  <c r="J115" i="1"/>
  <c r="E116" i="1"/>
  <c r="F116" i="1"/>
  <c r="G116" i="1"/>
  <c r="H116" i="1"/>
  <c r="I116" i="1"/>
  <c r="J116" i="1"/>
  <c r="E117" i="1"/>
  <c r="F117" i="1"/>
  <c r="G117" i="1"/>
  <c r="H117" i="1"/>
  <c r="I117" i="1"/>
  <c r="J117" i="1"/>
  <c r="E118" i="1"/>
  <c r="F118" i="1"/>
  <c r="G118" i="1"/>
  <c r="H118" i="1"/>
  <c r="I118" i="1"/>
  <c r="J118" i="1"/>
  <c r="E119" i="1"/>
  <c r="F119" i="1"/>
  <c r="G119" i="1"/>
  <c r="H119" i="1"/>
  <c r="I119" i="1"/>
  <c r="J119" i="1"/>
  <c r="E120" i="1"/>
  <c r="F120" i="1"/>
  <c r="G120" i="1"/>
  <c r="H120" i="1"/>
  <c r="I120" i="1"/>
  <c r="J120" i="1"/>
  <c r="E121" i="1"/>
  <c r="F121" i="1"/>
  <c r="G121" i="1"/>
  <c r="H121" i="1"/>
  <c r="I121" i="1"/>
  <c r="J121" i="1"/>
  <c r="E122" i="1"/>
  <c r="F122" i="1"/>
  <c r="G122" i="1"/>
  <c r="H122" i="1"/>
  <c r="I122" i="1"/>
  <c r="J122" i="1"/>
  <c r="E123" i="1"/>
  <c r="F123" i="1"/>
  <c r="G123" i="1"/>
  <c r="H123" i="1"/>
  <c r="I123" i="1"/>
  <c r="J123" i="1"/>
  <c r="E124" i="1"/>
  <c r="F124" i="1"/>
  <c r="G124" i="1"/>
  <c r="H124" i="1"/>
  <c r="I124" i="1"/>
  <c r="J124" i="1"/>
  <c r="E125" i="1"/>
  <c r="F125" i="1"/>
  <c r="G125" i="1"/>
  <c r="H125" i="1"/>
  <c r="I125" i="1"/>
  <c r="J125" i="1"/>
  <c r="E126" i="1"/>
  <c r="F126" i="1"/>
  <c r="G126" i="1"/>
  <c r="H126" i="1"/>
  <c r="I126" i="1"/>
  <c r="J126" i="1"/>
  <c r="F127" i="1"/>
  <c r="G127" i="1"/>
  <c r="H127" i="1"/>
  <c r="I127" i="1"/>
  <c r="J127" i="1"/>
  <c r="E128" i="1"/>
  <c r="F128" i="1"/>
  <c r="G128" i="1"/>
  <c r="H128" i="1"/>
  <c r="I128" i="1"/>
  <c r="J128" i="1"/>
  <c r="E129" i="1"/>
  <c r="F129" i="1"/>
  <c r="G129" i="1"/>
  <c r="H129" i="1"/>
  <c r="I129" i="1"/>
  <c r="J129" i="1"/>
  <c r="E130" i="1"/>
  <c r="F130" i="1"/>
  <c r="G130" i="1"/>
  <c r="H130" i="1"/>
  <c r="I130" i="1"/>
  <c r="J130" i="1"/>
  <c r="E131" i="1"/>
  <c r="F131" i="1"/>
  <c r="G131" i="1"/>
  <c r="H131" i="1"/>
  <c r="I131" i="1"/>
  <c r="J131" i="1"/>
  <c r="E132" i="1"/>
  <c r="F132" i="1"/>
  <c r="G132" i="1"/>
  <c r="H132" i="1"/>
  <c r="I132" i="1"/>
  <c r="J132" i="1"/>
  <c r="E133" i="1"/>
  <c r="F133" i="1"/>
  <c r="G133" i="1"/>
  <c r="H133" i="1"/>
  <c r="I133" i="1"/>
  <c r="J133" i="1"/>
  <c r="E134" i="1"/>
  <c r="F134" i="1"/>
  <c r="G134" i="1"/>
  <c r="H134" i="1"/>
  <c r="I134" i="1"/>
  <c r="J134" i="1"/>
  <c r="E135" i="1"/>
  <c r="F135" i="1"/>
  <c r="G135" i="1"/>
  <c r="H135" i="1"/>
  <c r="I135" i="1"/>
  <c r="J135" i="1"/>
  <c r="E136" i="1"/>
  <c r="F136" i="1"/>
  <c r="G136" i="1"/>
  <c r="H136" i="1"/>
  <c r="I136" i="1"/>
  <c r="J136" i="1"/>
  <c r="E137" i="1"/>
  <c r="F137" i="1"/>
  <c r="G137" i="1"/>
  <c r="H137" i="1"/>
  <c r="I137" i="1"/>
  <c r="J137" i="1"/>
  <c r="E138" i="1"/>
  <c r="F138" i="1"/>
  <c r="G138" i="1"/>
  <c r="H138" i="1"/>
  <c r="I138" i="1"/>
  <c r="J138" i="1"/>
  <c r="E139" i="1"/>
  <c r="F139" i="1"/>
  <c r="G139" i="1"/>
  <c r="H139" i="1"/>
  <c r="I139" i="1"/>
  <c r="J139" i="1"/>
  <c r="E140" i="1"/>
  <c r="F140" i="1"/>
  <c r="G140" i="1"/>
  <c r="H140" i="1"/>
  <c r="I140" i="1"/>
  <c r="J140" i="1"/>
  <c r="E141" i="1"/>
  <c r="F141" i="1"/>
  <c r="G141" i="1"/>
  <c r="H141" i="1"/>
  <c r="I141" i="1"/>
  <c r="J141" i="1"/>
  <c r="E142" i="1"/>
  <c r="F142" i="1"/>
  <c r="G142" i="1"/>
  <c r="H142" i="1"/>
  <c r="I142" i="1"/>
  <c r="J142" i="1"/>
  <c r="E143" i="1"/>
  <c r="F143" i="1"/>
  <c r="G143" i="1"/>
  <c r="H143" i="1"/>
  <c r="I143" i="1"/>
  <c r="J143" i="1"/>
  <c r="E144" i="1"/>
  <c r="F144" i="1"/>
  <c r="G144" i="1"/>
  <c r="H144" i="1"/>
  <c r="I144" i="1"/>
  <c r="J144" i="1"/>
  <c r="E145" i="1"/>
  <c r="F145" i="1"/>
  <c r="G145" i="1"/>
  <c r="H145" i="1"/>
  <c r="I145" i="1"/>
  <c r="J145" i="1"/>
  <c r="E146" i="1"/>
  <c r="F146" i="1"/>
  <c r="G146" i="1"/>
  <c r="H146" i="1"/>
  <c r="I146" i="1"/>
  <c r="J146" i="1"/>
  <c r="F147" i="1"/>
  <c r="G147" i="1"/>
  <c r="H147" i="1"/>
  <c r="I147" i="1"/>
  <c r="J147" i="1"/>
  <c r="E148" i="1"/>
  <c r="F148" i="1"/>
  <c r="G148" i="1"/>
  <c r="H148" i="1"/>
  <c r="I148" i="1"/>
  <c r="J148" i="1"/>
  <c r="E149" i="1"/>
  <c r="F149" i="1"/>
  <c r="G149" i="1"/>
  <c r="H149" i="1"/>
  <c r="I149" i="1"/>
  <c r="J149" i="1"/>
  <c r="E150" i="1"/>
  <c r="F150" i="1"/>
  <c r="G150" i="1"/>
  <c r="H150" i="1"/>
  <c r="I150" i="1"/>
  <c r="J150" i="1"/>
  <c r="E151" i="1"/>
  <c r="F151" i="1"/>
  <c r="G151" i="1"/>
  <c r="H151" i="1"/>
  <c r="I151" i="1"/>
  <c r="J151" i="1"/>
  <c r="E152" i="1"/>
  <c r="F152" i="1"/>
  <c r="G152" i="1"/>
  <c r="H152" i="1"/>
  <c r="I152" i="1"/>
  <c r="J152" i="1"/>
  <c r="E153" i="1"/>
  <c r="F153" i="1"/>
  <c r="G153" i="1"/>
  <c r="H153" i="1"/>
  <c r="I153" i="1"/>
  <c r="J153" i="1"/>
  <c r="E154" i="1"/>
  <c r="F154" i="1"/>
  <c r="G154" i="1"/>
  <c r="H154" i="1"/>
  <c r="I154" i="1"/>
  <c r="J154" i="1"/>
  <c r="E155" i="1"/>
  <c r="F155" i="1"/>
  <c r="G155" i="1"/>
  <c r="H155" i="1"/>
  <c r="I155" i="1"/>
  <c r="J155" i="1"/>
  <c r="E156" i="1"/>
  <c r="F156" i="1"/>
  <c r="G156" i="1"/>
  <c r="H156" i="1"/>
  <c r="I156" i="1"/>
  <c r="J156" i="1"/>
  <c r="E157" i="1"/>
  <c r="F157" i="1"/>
  <c r="G157" i="1"/>
  <c r="H157" i="1"/>
  <c r="I157" i="1"/>
  <c r="J157" i="1"/>
  <c r="E158" i="1"/>
  <c r="F158" i="1"/>
  <c r="G158" i="1"/>
  <c r="H158" i="1"/>
  <c r="I158" i="1"/>
  <c r="J158" i="1"/>
  <c r="E159" i="1"/>
  <c r="F159" i="1"/>
  <c r="G159" i="1"/>
  <c r="H159" i="1"/>
  <c r="I159" i="1"/>
  <c r="J159" i="1"/>
  <c r="E160" i="1"/>
  <c r="F160" i="1"/>
  <c r="G160" i="1"/>
  <c r="H160" i="1"/>
  <c r="I160" i="1"/>
  <c r="J160" i="1"/>
  <c r="E161" i="1"/>
  <c r="F161" i="1"/>
  <c r="G161" i="1"/>
  <c r="H161" i="1"/>
  <c r="I161" i="1"/>
  <c r="J161" i="1"/>
  <c r="E162" i="1"/>
  <c r="F162" i="1"/>
  <c r="G162" i="1"/>
  <c r="H162" i="1"/>
  <c r="I162" i="1"/>
  <c r="J162" i="1"/>
  <c r="E163" i="1"/>
  <c r="F163" i="1"/>
  <c r="G163" i="1"/>
  <c r="H163" i="1"/>
  <c r="I163" i="1"/>
  <c r="J163" i="1"/>
  <c r="E164" i="1"/>
  <c r="F164" i="1"/>
  <c r="G164" i="1"/>
  <c r="H164" i="1"/>
  <c r="I164" i="1"/>
  <c r="J164" i="1"/>
  <c r="E165" i="1"/>
  <c r="F165" i="1"/>
  <c r="G165" i="1"/>
  <c r="H165" i="1"/>
  <c r="I165" i="1"/>
  <c r="J165" i="1"/>
  <c r="E166" i="1"/>
  <c r="F166" i="1"/>
  <c r="G166" i="1"/>
  <c r="H166" i="1"/>
  <c r="I166" i="1"/>
  <c r="J166" i="1"/>
  <c r="E167" i="1"/>
  <c r="F167" i="1"/>
  <c r="G167" i="1"/>
  <c r="H167" i="1"/>
  <c r="I167" i="1"/>
  <c r="J167" i="1"/>
  <c r="E168" i="1"/>
  <c r="F168" i="1"/>
  <c r="G168" i="1"/>
  <c r="H168" i="1"/>
  <c r="I168" i="1"/>
  <c r="J168" i="1"/>
  <c r="F103" i="1"/>
  <c r="G103" i="1"/>
  <c r="H103" i="1"/>
  <c r="I103" i="1"/>
  <c r="J103" i="1"/>
  <c r="C103" i="1"/>
  <c r="B103" i="1"/>
  <c r="A104" i="1"/>
  <c r="C104" i="1" s="1"/>
  <c r="K126" i="1" l="1"/>
  <c r="K114" i="1"/>
  <c r="E169" i="1"/>
  <c r="E170" i="1" s="1"/>
  <c r="K139" i="1"/>
  <c r="K151" i="1"/>
  <c r="K163" i="1"/>
  <c r="G169" i="1"/>
  <c r="J169" i="1"/>
  <c r="F169" i="1"/>
  <c r="I169" i="1"/>
  <c r="H169" i="1"/>
  <c r="A105" i="1"/>
  <c r="B104" i="1"/>
  <c r="C105" i="1" l="1"/>
  <c r="A106" i="1"/>
  <c r="B105" i="1"/>
  <c r="A107" i="1" l="1"/>
  <c r="C106" i="1"/>
  <c r="B106" i="1"/>
  <c r="A108" i="1" l="1"/>
  <c r="C107" i="1"/>
  <c r="B107" i="1"/>
  <c r="A109" i="1" l="1"/>
  <c r="C108" i="1"/>
  <c r="B108" i="1"/>
  <c r="A110" i="1" l="1"/>
  <c r="C109" i="1"/>
  <c r="B109" i="1"/>
  <c r="A111" i="1" l="1"/>
  <c r="C110" i="1"/>
  <c r="B110" i="1"/>
  <c r="A112" i="1" l="1"/>
  <c r="C111" i="1"/>
  <c r="B111" i="1"/>
  <c r="A113" i="1" l="1"/>
  <c r="C112" i="1"/>
  <c r="B112" i="1"/>
  <c r="A114" i="1" l="1"/>
  <c r="C113" i="1"/>
  <c r="B113" i="1"/>
  <c r="A115" i="1" l="1"/>
  <c r="C114" i="1"/>
  <c r="B114" i="1"/>
  <c r="A116" i="1" l="1"/>
  <c r="C115" i="1"/>
  <c r="B115" i="1"/>
  <c r="A117" i="1" l="1"/>
  <c r="C116" i="1"/>
  <c r="B116" i="1"/>
  <c r="A118" i="1" l="1"/>
  <c r="C117" i="1"/>
  <c r="B117" i="1"/>
  <c r="A119" i="1" l="1"/>
  <c r="C118" i="1"/>
  <c r="B118" i="1"/>
  <c r="A120" i="1" l="1"/>
  <c r="C119" i="1"/>
  <c r="B119" i="1"/>
  <c r="L81" i="5"/>
  <c r="L80" i="5"/>
  <c r="L79" i="5"/>
  <c r="L84" i="5"/>
  <c r="L83" i="5"/>
  <c r="L82" i="5"/>
  <c r="L36" i="5"/>
  <c r="L28" i="5"/>
  <c r="L10" i="5"/>
  <c r="A121" i="1" l="1"/>
  <c r="C120" i="1"/>
  <c r="B120" i="1"/>
  <c r="AH6" i="5"/>
  <c r="AH20" i="5"/>
  <c r="AH21" i="5"/>
  <c r="AH22" i="5"/>
  <c r="AH24" i="5"/>
  <c r="AH27" i="5"/>
  <c r="AH33" i="5"/>
  <c r="AH34" i="5"/>
  <c r="AH35" i="5"/>
  <c r="AH46" i="5"/>
  <c r="AH47" i="5"/>
  <c r="AH72" i="5"/>
  <c r="AH73" i="5"/>
  <c r="AH74" i="5"/>
  <c r="AH75" i="5"/>
  <c r="AH76" i="5"/>
  <c r="AH77" i="5"/>
  <c r="AH78" i="5"/>
  <c r="AH86" i="5"/>
  <c r="AH87" i="5"/>
  <c r="AH89" i="5"/>
  <c r="AH90" i="5"/>
  <c r="W29" i="5"/>
  <c r="X29" i="5" s="1"/>
  <c r="A122" i="1" l="1"/>
  <c r="C121" i="1"/>
  <c r="B121" i="1"/>
  <c r="A123" i="1" l="1"/>
  <c r="C122" i="1"/>
  <c r="B122" i="1"/>
  <c r="A124" i="1" l="1"/>
  <c r="C123" i="1"/>
  <c r="B123" i="1"/>
  <c r="A125" i="1" l="1"/>
  <c r="C124" i="1"/>
  <c r="B124" i="1"/>
  <c r="A126" i="1" l="1"/>
  <c r="C125" i="1"/>
  <c r="B125" i="1"/>
  <c r="BA89" i="5"/>
  <c r="AZ89" i="5"/>
  <c r="AY89" i="5"/>
  <c r="AX89" i="5"/>
  <c r="AW89" i="5"/>
  <c r="AV89" i="5"/>
  <c r="BA87" i="5"/>
  <c r="AZ87" i="5"/>
  <c r="AY87" i="5"/>
  <c r="AX87" i="5"/>
  <c r="AW87" i="5"/>
  <c r="AV87" i="5"/>
  <c r="BA86" i="5"/>
  <c r="AZ86" i="5"/>
  <c r="AY86" i="5"/>
  <c r="AX86" i="5"/>
  <c r="AW86" i="5"/>
  <c r="AV86" i="5"/>
  <c r="BA35" i="5"/>
  <c r="AZ35" i="5"/>
  <c r="AY35" i="5"/>
  <c r="AX35" i="5"/>
  <c r="AW35" i="5"/>
  <c r="AV35" i="5"/>
  <c r="BA27" i="5"/>
  <c r="AZ27" i="5"/>
  <c r="AY27" i="5"/>
  <c r="AX27" i="5"/>
  <c r="AW27" i="5"/>
  <c r="AV27" i="5"/>
  <c r="BA24" i="5"/>
  <c r="AZ24" i="5"/>
  <c r="AY24" i="5"/>
  <c r="AX24" i="5"/>
  <c r="AW24" i="5"/>
  <c r="AV24" i="5"/>
  <c r="BB24" i="5" l="1"/>
  <c r="BB27" i="5"/>
  <c r="BB35" i="5"/>
  <c r="BB86" i="5"/>
  <c r="A127" i="1"/>
  <c r="C126" i="1"/>
  <c r="B126" i="1"/>
  <c r="BB87" i="5"/>
  <c r="BB89" i="5"/>
  <c r="A128" i="1" l="1"/>
  <c r="C127" i="1"/>
  <c r="B127" i="1"/>
  <c r="A129" i="1" l="1"/>
  <c r="C128" i="1"/>
  <c r="B128" i="1"/>
  <c r="A130" i="1" l="1"/>
  <c r="C129" i="1"/>
  <c r="B129" i="1"/>
  <c r="A131" i="1" l="1"/>
  <c r="C130" i="1"/>
  <c r="B130" i="1"/>
  <c r="A132" i="1" l="1"/>
  <c r="C131" i="1"/>
  <c r="B131" i="1"/>
  <c r="A133" i="1" l="1"/>
  <c r="C132" i="1"/>
  <c r="B132" i="1"/>
  <c r="A134" i="1" l="1"/>
  <c r="C133" i="1"/>
  <c r="B133" i="1"/>
  <c r="A135" i="1" l="1"/>
  <c r="C134" i="1"/>
  <c r="B134" i="1"/>
  <c r="A136" i="1" l="1"/>
  <c r="C135" i="1"/>
  <c r="B135" i="1"/>
  <c r="A137" i="1" l="1"/>
  <c r="C136" i="1"/>
  <c r="B136" i="1"/>
  <c r="A138" i="1" l="1"/>
  <c r="C137" i="1"/>
  <c r="B137" i="1"/>
  <c r="A139" i="1" l="1"/>
  <c r="C138" i="1"/>
  <c r="B138" i="1"/>
  <c r="AD3" i="5"/>
  <c r="AD4" i="5"/>
  <c r="AD6" i="5"/>
  <c r="AD7" i="5"/>
  <c r="AD8" i="5"/>
  <c r="AD9" i="5"/>
  <c r="AD11" i="5"/>
  <c r="AD12" i="5"/>
  <c r="AD13" i="5"/>
  <c r="AD14" i="5"/>
  <c r="AD15" i="5"/>
  <c r="AD20" i="5"/>
  <c r="AD21" i="5"/>
  <c r="AD22" i="5"/>
  <c r="AD23" i="5"/>
  <c r="AD24" i="5"/>
  <c r="AD25" i="5"/>
  <c r="AD26" i="5"/>
  <c r="AD27" i="5"/>
  <c r="AD29" i="5"/>
  <c r="AD30" i="5"/>
  <c r="AD31" i="5"/>
  <c r="AD33" i="5"/>
  <c r="AD34" i="5"/>
  <c r="AD35" i="5"/>
  <c r="AD37" i="5"/>
  <c r="AD38" i="5"/>
  <c r="AD39" i="5"/>
  <c r="AD40" i="5"/>
  <c r="AD46" i="5"/>
  <c r="AD47" i="5"/>
  <c r="AD48" i="5"/>
  <c r="AD49" i="5"/>
  <c r="AD50" i="5"/>
  <c r="AD51" i="5"/>
  <c r="AD52" i="5"/>
  <c r="AD53" i="5"/>
  <c r="AD54" i="5"/>
  <c r="AD55" i="5"/>
  <c r="AD56" i="5"/>
  <c r="AD57" i="5"/>
  <c r="AD72" i="5"/>
  <c r="AD73" i="5"/>
  <c r="AD74" i="5"/>
  <c r="AD75" i="5"/>
  <c r="AD76" i="5"/>
  <c r="AD77" i="5"/>
  <c r="AD78" i="5"/>
  <c r="AD85" i="5"/>
  <c r="AD86" i="5"/>
  <c r="AD87" i="5"/>
  <c r="AD88" i="5"/>
  <c r="AD89" i="5"/>
  <c r="AD90" i="5"/>
  <c r="AD2" i="5"/>
  <c r="A140" i="1" l="1"/>
  <c r="C139" i="1"/>
  <c r="B139" i="1"/>
  <c r="AA4" i="5"/>
  <c r="AB4" i="5"/>
  <c r="AA5" i="5"/>
  <c r="AB5" i="5"/>
  <c r="AA6" i="5"/>
  <c r="AB6" i="5"/>
  <c r="AB7" i="5"/>
  <c r="AB8" i="5"/>
  <c r="AB9" i="5"/>
  <c r="AA11" i="5"/>
  <c r="AB11" i="5"/>
  <c r="AA13" i="5"/>
  <c r="AB13" i="5"/>
  <c r="AA14" i="5"/>
  <c r="AB14" i="5"/>
  <c r="AA15" i="5"/>
  <c r="AB15" i="5"/>
  <c r="AA16" i="5"/>
  <c r="AB16" i="5"/>
  <c r="AA17" i="5"/>
  <c r="AB17" i="5"/>
  <c r="AA18" i="5"/>
  <c r="AB18" i="5"/>
  <c r="AB19" i="5"/>
  <c r="AA20" i="5"/>
  <c r="AB20" i="5"/>
  <c r="AA21" i="5"/>
  <c r="AB21" i="5"/>
  <c r="AA22" i="5"/>
  <c r="AB22" i="5"/>
  <c r="AA23" i="5"/>
  <c r="AB23" i="5"/>
  <c r="AA24" i="5"/>
  <c r="AB24" i="5"/>
  <c r="AB25" i="5"/>
  <c r="AB26" i="5"/>
  <c r="AA27" i="5"/>
  <c r="AB27" i="5"/>
  <c r="AA30" i="5"/>
  <c r="AB30" i="5"/>
  <c r="AA31" i="5"/>
  <c r="AB31" i="5"/>
  <c r="AA32" i="5"/>
  <c r="AB32" i="5"/>
  <c r="AA33" i="5"/>
  <c r="AB33" i="5"/>
  <c r="AA34" i="5"/>
  <c r="AB34" i="5"/>
  <c r="AA35" i="5"/>
  <c r="AB35" i="5"/>
  <c r="AA40" i="5"/>
  <c r="AB40" i="5"/>
  <c r="AA41" i="5"/>
  <c r="AB41" i="5"/>
  <c r="AA42" i="5"/>
  <c r="AB42" i="5"/>
  <c r="AA43" i="5"/>
  <c r="AB43" i="5"/>
  <c r="AA44" i="5"/>
  <c r="AB44" i="5"/>
  <c r="AA45" i="5"/>
  <c r="AB45" i="5"/>
  <c r="AA46" i="5"/>
  <c r="AB46" i="5"/>
  <c r="AA47" i="5"/>
  <c r="AB47" i="5"/>
  <c r="AA48" i="5"/>
  <c r="AB48"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B85" i="5"/>
  <c r="AA86" i="5"/>
  <c r="AB86" i="5"/>
  <c r="AA87" i="5"/>
  <c r="AB87" i="5"/>
  <c r="AB88" i="5"/>
  <c r="AA89" i="5"/>
  <c r="AA90" i="5"/>
  <c r="AB90" i="5"/>
  <c r="AB2" i="5"/>
  <c r="AA2" i="5"/>
  <c r="A141" i="1" l="1"/>
  <c r="C140" i="1"/>
  <c r="B140" i="1"/>
  <c r="A142" i="1" l="1"/>
  <c r="C141" i="1"/>
  <c r="B141" i="1"/>
  <c r="AP88" i="5"/>
  <c r="AU71" i="5"/>
  <c r="AT71" i="5"/>
  <c r="AS71" i="5"/>
  <c r="AR71" i="5"/>
  <c r="AQ71" i="5"/>
  <c r="AP71" i="5"/>
  <c r="AU70" i="5"/>
  <c r="AT70" i="5"/>
  <c r="AS70" i="5"/>
  <c r="AR70" i="5"/>
  <c r="AQ70" i="5"/>
  <c r="AP70" i="5"/>
  <c r="AU69" i="5"/>
  <c r="AT69" i="5"/>
  <c r="AS69" i="5"/>
  <c r="AR69" i="5"/>
  <c r="AQ69" i="5"/>
  <c r="AP69" i="5"/>
  <c r="AU68" i="5"/>
  <c r="AT68" i="5"/>
  <c r="AS68" i="5"/>
  <c r="AR68" i="5"/>
  <c r="AQ68" i="5"/>
  <c r="AP68" i="5"/>
  <c r="AU67" i="5"/>
  <c r="AT67" i="5"/>
  <c r="AS67" i="5"/>
  <c r="AR67" i="5"/>
  <c r="AQ67" i="5"/>
  <c r="AP67" i="5"/>
  <c r="AU66" i="5"/>
  <c r="AT66" i="5"/>
  <c r="AS66" i="5"/>
  <c r="AR66" i="5"/>
  <c r="AQ66" i="5"/>
  <c r="AP66" i="5"/>
  <c r="AU65" i="5"/>
  <c r="AT65" i="5"/>
  <c r="AS65" i="5"/>
  <c r="AR65" i="5"/>
  <c r="AQ65" i="5"/>
  <c r="AP65" i="5"/>
  <c r="AU64" i="5"/>
  <c r="AT64" i="5"/>
  <c r="AS64" i="5"/>
  <c r="AR64" i="5"/>
  <c r="AQ64" i="5"/>
  <c r="AP64" i="5"/>
  <c r="AU63" i="5"/>
  <c r="AT63" i="5"/>
  <c r="AS63" i="5"/>
  <c r="AR63" i="5"/>
  <c r="AQ63" i="5"/>
  <c r="AP63" i="5"/>
  <c r="AU62" i="5"/>
  <c r="AT62" i="5"/>
  <c r="AS62" i="5"/>
  <c r="AR62" i="5"/>
  <c r="AQ62" i="5"/>
  <c r="AP62" i="5"/>
  <c r="AU61" i="5"/>
  <c r="AT61" i="5"/>
  <c r="AS61" i="5"/>
  <c r="AR61" i="5"/>
  <c r="AQ61" i="5"/>
  <c r="AP61" i="5"/>
  <c r="AU60" i="5"/>
  <c r="AT60" i="5"/>
  <c r="AS60" i="5"/>
  <c r="AR60" i="5"/>
  <c r="AQ60" i="5"/>
  <c r="AP60" i="5"/>
  <c r="AU59" i="5"/>
  <c r="AT59" i="5"/>
  <c r="AS59" i="5"/>
  <c r="AR59" i="5"/>
  <c r="AQ59" i="5"/>
  <c r="AP59" i="5"/>
  <c r="AU58" i="5"/>
  <c r="AT58" i="5"/>
  <c r="AS58" i="5"/>
  <c r="AR58" i="5"/>
  <c r="AQ58" i="5"/>
  <c r="AP58" i="5"/>
  <c r="AU45" i="5"/>
  <c r="AT45" i="5"/>
  <c r="AS45" i="5"/>
  <c r="AR45" i="5"/>
  <c r="AQ45" i="5"/>
  <c r="AP45" i="5"/>
  <c r="AU44" i="5"/>
  <c r="AT44" i="5"/>
  <c r="AS44" i="5"/>
  <c r="AR44" i="5"/>
  <c r="AQ44" i="5"/>
  <c r="AP44" i="5"/>
  <c r="AU43" i="5"/>
  <c r="AT43" i="5"/>
  <c r="AS43" i="5"/>
  <c r="AR43" i="5"/>
  <c r="AQ43" i="5"/>
  <c r="AP43" i="5"/>
  <c r="AU42" i="5"/>
  <c r="AT42" i="5"/>
  <c r="AS42" i="5"/>
  <c r="AR42" i="5"/>
  <c r="AQ42" i="5"/>
  <c r="AP42" i="5"/>
  <c r="AU41" i="5"/>
  <c r="AT41" i="5"/>
  <c r="AS41" i="5"/>
  <c r="AR41" i="5"/>
  <c r="AQ41" i="5"/>
  <c r="AP41" i="5"/>
  <c r="AU32" i="5"/>
  <c r="AT32" i="5"/>
  <c r="AS32" i="5"/>
  <c r="AR32" i="5"/>
  <c r="AQ32" i="5"/>
  <c r="AP32" i="5"/>
  <c r="AU18" i="5"/>
  <c r="AT18" i="5"/>
  <c r="AS18" i="5"/>
  <c r="AR18" i="5"/>
  <c r="AQ18" i="5"/>
  <c r="AP18" i="5"/>
  <c r="AU17" i="5"/>
  <c r="AT17" i="5"/>
  <c r="AS17" i="5"/>
  <c r="AR17" i="5"/>
  <c r="AQ17" i="5"/>
  <c r="AP17" i="5"/>
  <c r="AU16" i="5"/>
  <c r="AT16" i="5"/>
  <c r="AS16" i="5"/>
  <c r="AR16" i="5"/>
  <c r="AQ16" i="5"/>
  <c r="AP16" i="5"/>
  <c r="AU5" i="5"/>
  <c r="AT5" i="5"/>
  <c r="AS5" i="5"/>
  <c r="AR5" i="5"/>
  <c r="AQ5" i="5"/>
  <c r="AJ90" i="5"/>
  <c r="AV90" i="5" s="1"/>
  <c r="AJ88" i="5"/>
  <c r="AJ85" i="5"/>
  <c r="AP78" i="5"/>
  <c r="AJ56" i="5"/>
  <c r="AP77" i="5" s="1"/>
  <c r="AJ55" i="5"/>
  <c r="AP76" i="5" s="1"/>
  <c r="AJ54" i="5"/>
  <c r="AP75" i="5" s="1"/>
  <c r="AJ53" i="5"/>
  <c r="AP74" i="5" s="1"/>
  <c r="AJ52" i="5"/>
  <c r="AP73" i="5" s="1"/>
  <c r="AJ51" i="5"/>
  <c r="AP72" i="5" s="1"/>
  <c r="AJ50" i="5"/>
  <c r="AP50" i="5" s="1"/>
  <c r="AJ49" i="5"/>
  <c r="AP49" i="5" s="1"/>
  <c r="AJ48" i="5"/>
  <c r="AJ40" i="5"/>
  <c r="AP46" i="5" s="1"/>
  <c r="AJ39" i="5"/>
  <c r="AP39" i="5" s="1"/>
  <c r="AJ38" i="5"/>
  <c r="AP38" i="5" s="1"/>
  <c r="AJ37" i="5"/>
  <c r="AP37" i="5" s="1"/>
  <c r="AJ31" i="5"/>
  <c r="AP34" i="5" s="1"/>
  <c r="AJ30" i="5"/>
  <c r="AP33" i="5" s="1"/>
  <c r="AJ29" i="5"/>
  <c r="AP29" i="5" s="1"/>
  <c r="AJ26" i="5"/>
  <c r="AJ25" i="5"/>
  <c r="AJ23" i="5"/>
  <c r="AJ19" i="5"/>
  <c r="AP19" i="5" s="1"/>
  <c r="AJ15" i="5"/>
  <c r="AP22" i="5" s="1"/>
  <c r="AJ14" i="5"/>
  <c r="AP21" i="5" s="1"/>
  <c r="AJ13" i="5"/>
  <c r="AP20" i="5" s="1"/>
  <c r="AJ12" i="5"/>
  <c r="AP12" i="5" s="1"/>
  <c r="AJ11" i="5"/>
  <c r="AJ9" i="5"/>
  <c r="AJ7" i="5"/>
  <c r="AJ4" i="5"/>
  <c r="AJ3" i="5"/>
  <c r="AP3" i="5" s="1"/>
  <c r="AG49" i="5"/>
  <c r="AG29" i="5"/>
  <c r="AG12" i="5"/>
  <c r="AG8" i="5"/>
  <c r="AG2" i="5"/>
  <c r="AP7" i="5" l="1"/>
  <c r="AV7" i="5"/>
  <c r="A143" i="1"/>
  <c r="C142" i="1"/>
  <c r="B142" i="1"/>
  <c r="AV88" i="5"/>
  <c r="AV8" i="5"/>
  <c r="AP23" i="5"/>
  <c r="AV23" i="5" s="1"/>
  <c r="AP9" i="5"/>
  <c r="AV9" i="5" s="1"/>
  <c r="AP25" i="5"/>
  <c r="AV25" i="5" s="1"/>
  <c r="AP85" i="5"/>
  <c r="AV85" i="5" s="1"/>
  <c r="AP26" i="5"/>
  <c r="AV26" i="5" s="1"/>
  <c r="AQ88" i="5"/>
  <c r="AM2" i="5"/>
  <c r="AN2" i="5" s="1"/>
  <c r="AK3" i="5"/>
  <c r="AQ3" i="5" s="1"/>
  <c r="AK4" i="5"/>
  <c r="AK7" i="5"/>
  <c r="AK8" i="5"/>
  <c r="AQ8" i="5" s="1"/>
  <c r="AK9" i="5"/>
  <c r="AK11" i="5"/>
  <c r="AK12" i="5"/>
  <c r="AQ12" i="5" s="1"/>
  <c r="AK13" i="5"/>
  <c r="AQ20" i="5" s="1"/>
  <c r="AK14" i="5"/>
  <c r="AQ21" i="5" s="1"/>
  <c r="AK15" i="5"/>
  <c r="AQ22" i="5" s="1"/>
  <c r="AK19" i="5"/>
  <c r="AQ19" i="5" s="1"/>
  <c r="AK23" i="5"/>
  <c r="AK25" i="5"/>
  <c r="AK26" i="5"/>
  <c r="AK29" i="5"/>
  <c r="AQ29" i="5" s="1"/>
  <c r="AK30" i="5"/>
  <c r="AQ33" i="5" s="1"/>
  <c r="AK31" i="5"/>
  <c r="AQ34" i="5" s="1"/>
  <c r="AK37" i="5"/>
  <c r="AQ37" i="5" s="1"/>
  <c r="AK38" i="5"/>
  <c r="AQ38" i="5" s="1"/>
  <c r="AK39" i="5"/>
  <c r="AQ39" i="5" s="1"/>
  <c r="AK40" i="5"/>
  <c r="AQ46" i="5" s="1"/>
  <c r="AK48" i="5"/>
  <c r="AK49" i="5"/>
  <c r="AQ49" i="5" s="1"/>
  <c r="AK50" i="5"/>
  <c r="AQ50" i="5" s="1"/>
  <c r="AK51" i="5"/>
  <c r="AQ72" i="5" s="1"/>
  <c r="AK52" i="5"/>
  <c r="AQ73" i="5" s="1"/>
  <c r="AK53" i="5"/>
  <c r="AQ74" i="5" s="1"/>
  <c r="AK54" i="5"/>
  <c r="AQ75" i="5" s="1"/>
  <c r="AK55" i="5"/>
  <c r="AQ76" i="5" s="1"/>
  <c r="AK56" i="5"/>
  <c r="AQ77" i="5" s="1"/>
  <c r="AQ78" i="5"/>
  <c r="AK85" i="5"/>
  <c r="AK88" i="5"/>
  <c r="AK90" i="5"/>
  <c r="AW90" i="5" s="1"/>
  <c r="A144" i="1" l="1"/>
  <c r="C143" i="1"/>
  <c r="B143" i="1"/>
  <c r="AW88" i="5"/>
  <c r="AQ26" i="5"/>
  <c r="AW26" i="5" s="1"/>
  <c r="AQ23" i="5"/>
  <c r="AW23" i="5" s="1"/>
  <c r="AW8" i="5"/>
  <c r="AQ85" i="5"/>
  <c r="AW85" i="5" s="1"/>
  <c r="AQ25" i="5"/>
  <c r="AW25" i="5" s="1"/>
  <c r="AQ9" i="5"/>
  <c r="AW9" i="5" s="1"/>
  <c r="AQ7" i="5"/>
  <c r="AW7" i="5" s="1"/>
  <c r="AR88" i="5"/>
  <c r="AO2" i="5"/>
  <c r="AL90" i="5"/>
  <c r="AL85" i="5"/>
  <c r="AL56" i="5"/>
  <c r="AL54" i="5"/>
  <c r="AL53" i="5"/>
  <c r="AL51" i="5"/>
  <c r="AL48" i="5"/>
  <c r="AM48" i="5" s="1"/>
  <c r="AL40" i="5"/>
  <c r="AL38" i="5"/>
  <c r="AR38" i="5" s="1"/>
  <c r="AL37" i="5"/>
  <c r="AR37" i="5" s="1"/>
  <c r="AL31" i="5"/>
  <c r="AR34" i="5" s="1"/>
  <c r="AL29" i="5"/>
  <c r="AR29" i="5" s="1"/>
  <c r="AL26" i="5"/>
  <c r="AL19" i="5"/>
  <c r="AL14" i="5"/>
  <c r="AL12" i="5"/>
  <c r="AR12" i="5" s="1"/>
  <c r="AL8" i="5"/>
  <c r="AL4" i="5"/>
  <c r="AL88" i="5"/>
  <c r="AX88" i="5" s="1"/>
  <c r="AL57" i="5"/>
  <c r="AL55" i="5"/>
  <c r="AR76" i="5" s="1"/>
  <c r="AL52" i="5"/>
  <c r="AL50" i="5"/>
  <c r="AR50" i="5" s="1"/>
  <c r="AL49" i="5"/>
  <c r="AR49" i="5" s="1"/>
  <c r="AL39" i="5"/>
  <c r="AR39" i="5" s="1"/>
  <c r="AL30" i="5"/>
  <c r="AR33" i="5" s="1"/>
  <c r="AL25" i="5"/>
  <c r="AL23" i="5"/>
  <c r="AL15" i="5"/>
  <c r="AR22" i="5" s="1"/>
  <c r="AL13" i="5"/>
  <c r="AL11" i="5"/>
  <c r="AL9" i="5"/>
  <c r="AL7" i="5"/>
  <c r="AL3" i="5"/>
  <c r="AR3" i="5" s="1"/>
  <c r="A145" i="1" l="1"/>
  <c r="C144" i="1"/>
  <c r="B144" i="1"/>
  <c r="AR9" i="5"/>
  <c r="AX9" i="5" s="1"/>
  <c r="AR23" i="5"/>
  <c r="AX23" i="5" s="1"/>
  <c r="AM90" i="5"/>
  <c r="AY90" i="5" s="1"/>
  <c r="AX90" i="5"/>
  <c r="AR7" i="5"/>
  <c r="AX7" i="5" s="1"/>
  <c r="AR25" i="5"/>
  <c r="AX25" i="5" s="1"/>
  <c r="AR85" i="5"/>
  <c r="AX85" i="5" s="1"/>
  <c r="AR8" i="5"/>
  <c r="AX8" i="5" s="1"/>
  <c r="AR26" i="5"/>
  <c r="AX26" i="5" s="1"/>
  <c r="AM13" i="5"/>
  <c r="AS20" i="5" s="1"/>
  <c r="AR20" i="5"/>
  <c r="AM14" i="5"/>
  <c r="AS21" i="5" s="1"/>
  <c r="AR21" i="5"/>
  <c r="AM53" i="5"/>
  <c r="AS74" i="5" s="1"/>
  <c r="AR74" i="5"/>
  <c r="AM56" i="5"/>
  <c r="AS77" i="5" s="1"/>
  <c r="AR77" i="5"/>
  <c r="AM52" i="5"/>
  <c r="AS73" i="5" s="1"/>
  <c r="AR73" i="5"/>
  <c r="AM57" i="5"/>
  <c r="AS78" i="5" s="1"/>
  <c r="AR78" i="5"/>
  <c r="AM4" i="5"/>
  <c r="AM40" i="5"/>
  <c r="AS46" i="5" s="1"/>
  <c r="AR46" i="5"/>
  <c r="AM51" i="5"/>
  <c r="AS72" i="5" s="1"/>
  <c r="AR72" i="5"/>
  <c r="AM54" i="5"/>
  <c r="AS75" i="5" s="1"/>
  <c r="AR75" i="5"/>
  <c r="AM31" i="5"/>
  <c r="AS34" i="5" s="1"/>
  <c r="AS88" i="5"/>
  <c r="AM23" i="5"/>
  <c r="AM85" i="5"/>
  <c r="AM26" i="5"/>
  <c r="AM3" i="5"/>
  <c r="AS3" i="5" s="1"/>
  <c r="AM7" i="5"/>
  <c r="AM12" i="5"/>
  <c r="AS12" i="5" s="1"/>
  <c r="AM29" i="5"/>
  <c r="AS29" i="5" s="1"/>
  <c r="AM37" i="5"/>
  <c r="AS37" i="5" s="1"/>
  <c r="AM50" i="5"/>
  <c r="AS50" i="5" s="1"/>
  <c r="AM38" i="5"/>
  <c r="AS38" i="5" s="1"/>
  <c r="AM19" i="5"/>
  <c r="AS19" i="5" s="1"/>
  <c r="AR19" i="5"/>
  <c r="AM9" i="5"/>
  <c r="AM11" i="5"/>
  <c r="AN11" i="5" s="1"/>
  <c r="AM15" i="5"/>
  <c r="AM25" i="5"/>
  <c r="AM30" i="5"/>
  <c r="AS33" i="5" s="1"/>
  <c r="AM39" i="5"/>
  <c r="AS39" i="5" s="1"/>
  <c r="AM49" i="5"/>
  <c r="AS49" i="5" s="1"/>
  <c r="AM55" i="5"/>
  <c r="AS76" i="5" s="1"/>
  <c r="AM88" i="5"/>
  <c r="AM8" i="5"/>
  <c r="AN48" i="5"/>
  <c r="AO48" i="5" s="1"/>
  <c r="AN13" i="5" l="1"/>
  <c r="AN14" i="5"/>
  <c r="AO14" i="5" s="1"/>
  <c r="AU21" i="5" s="1"/>
  <c r="AN12" i="5"/>
  <c r="AT12" i="5" s="1"/>
  <c r="AN90" i="5"/>
  <c r="AO90" i="5" s="1"/>
  <c r="BA90" i="5" s="1"/>
  <c r="AY88" i="5"/>
  <c r="A146" i="1"/>
  <c r="C145" i="1"/>
  <c r="B145" i="1"/>
  <c r="AN53" i="5"/>
  <c r="AT74" i="5" s="1"/>
  <c r="AN52" i="5"/>
  <c r="AT73" i="5" s="1"/>
  <c r="AN56" i="5"/>
  <c r="AT77" i="5" s="1"/>
  <c r="AN54" i="5"/>
  <c r="AT75" i="5" s="1"/>
  <c r="AN51" i="5"/>
  <c r="AT72" i="5" s="1"/>
  <c r="AN40" i="5"/>
  <c r="AT46" i="5" s="1"/>
  <c r="AN4" i="5"/>
  <c r="AN31" i="5"/>
  <c r="AT34" i="5" s="1"/>
  <c r="AN57" i="5"/>
  <c r="AT78" i="5" s="1"/>
  <c r="AS8" i="5"/>
  <c r="AY8" i="5" s="1"/>
  <c r="AS25" i="5"/>
  <c r="AY25" i="5" s="1"/>
  <c r="AS9" i="5"/>
  <c r="AY9" i="5" s="1"/>
  <c r="AS7" i="5"/>
  <c r="AY7" i="5" s="1"/>
  <c r="AS26" i="5"/>
  <c r="AY26" i="5" s="1"/>
  <c r="AS23" i="5"/>
  <c r="AY23" i="5" s="1"/>
  <c r="AN38" i="5"/>
  <c r="AT38" i="5" s="1"/>
  <c r="AO13" i="5"/>
  <c r="AU20" i="5" s="1"/>
  <c r="AT20" i="5"/>
  <c r="AN15" i="5"/>
  <c r="AT22" i="5" s="1"/>
  <c r="AS22" i="5"/>
  <c r="AN30" i="5"/>
  <c r="AT33" i="5" s="1"/>
  <c r="AN19" i="5"/>
  <c r="AO19" i="5" s="1"/>
  <c r="AU19" i="5" s="1"/>
  <c r="AN85" i="5"/>
  <c r="AS85" i="5"/>
  <c r="AY85" i="5" s="1"/>
  <c r="AN26" i="5"/>
  <c r="AN23" i="5"/>
  <c r="AT88" i="5"/>
  <c r="AU88" i="5" s="1"/>
  <c r="AN37" i="5"/>
  <c r="AT37" i="5" s="1"/>
  <c r="AN3" i="5"/>
  <c r="AT3" i="5" s="1"/>
  <c r="AN7" i="5"/>
  <c r="AO7" i="5" s="1"/>
  <c r="AN29" i="5"/>
  <c r="AT29" i="5" s="1"/>
  <c r="AN50" i="5"/>
  <c r="AN88" i="5"/>
  <c r="AN8" i="5"/>
  <c r="AN9" i="5"/>
  <c r="AN39" i="5"/>
  <c r="AT39" i="5" s="1"/>
  <c r="AN49" i="5"/>
  <c r="AT49" i="5" s="1"/>
  <c r="AN55" i="5"/>
  <c r="AN25" i="5"/>
  <c r="AO11" i="5"/>
  <c r="AO56" i="5" l="1"/>
  <c r="AU77" i="5" s="1"/>
  <c r="AT21" i="5"/>
  <c r="AO12" i="5"/>
  <c r="AU12" i="5" s="1"/>
  <c r="AO4" i="5"/>
  <c r="AO30" i="5"/>
  <c r="AU33" i="5" s="1"/>
  <c r="AZ90" i="5"/>
  <c r="AO52" i="5"/>
  <c r="AU73" i="5" s="1"/>
  <c r="AO53" i="5"/>
  <c r="AU74" i="5" s="1"/>
  <c r="A147" i="1"/>
  <c r="C146" i="1"/>
  <c r="B146" i="1"/>
  <c r="AO54" i="5"/>
  <c r="AU75" i="5" s="1"/>
  <c r="AO37" i="5"/>
  <c r="AU37" i="5" s="1"/>
  <c r="AO38" i="5"/>
  <c r="AU38" i="5" s="1"/>
  <c r="AO31" i="5"/>
  <c r="AU34" i="5" s="1"/>
  <c r="AO40" i="5"/>
  <c r="AU46" i="5" s="1"/>
  <c r="AO57" i="5"/>
  <c r="AU78" i="5" s="1"/>
  <c r="AO51" i="5"/>
  <c r="AU72" i="5" s="1"/>
  <c r="BB90" i="5"/>
  <c r="AO88" i="5"/>
  <c r="BA88" i="5" s="1"/>
  <c r="AZ88" i="5"/>
  <c r="AT8" i="5"/>
  <c r="AZ8" i="5" s="1"/>
  <c r="AT7" i="5"/>
  <c r="AZ7" i="5" s="1"/>
  <c r="AT23" i="5"/>
  <c r="AZ23" i="5" s="1"/>
  <c r="AT25" i="5"/>
  <c r="AZ25" i="5" s="1"/>
  <c r="AT9" i="5"/>
  <c r="AZ9" i="5" s="1"/>
  <c r="AT26" i="5"/>
  <c r="AZ26" i="5" s="1"/>
  <c r="AT85" i="5"/>
  <c r="AZ85" i="5" s="1"/>
  <c r="AT19" i="5"/>
  <c r="AO15" i="5"/>
  <c r="AU22" i="5" s="1"/>
  <c r="AO49" i="5"/>
  <c r="AU49" i="5" s="1"/>
  <c r="AO55" i="5"/>
  <c r="AU76" i="5" s="1"/>
  <c r="AT76" i="5"/>
  <c r="AO8" i="5"/>
  <c r="AO26" i="5"/>
  <c r="AO29" i="5"/>
  <c r="AU29" i="5" s="1"/>
  <c r="AO3" i="5"/>
  <c r="AU3" i="5" s="1"/>
  <c r="AO85" i="5"/>
  <c r="AO39" i="5"/>
  <c r="AU39" i="5" s="1"/>
  <c r="AO9" i="5"/>
  <c r="AO23" i="5"/>
  <c r="AO50" i="5"/>
  <c r="AU50" i="5" s="1"/>
  <c r="AT50" i="5"/>
  <c r="AO25" i="5"/>
  <c r="A148" i="1" l="1"/>
  <c r="C147" i="1"/>
  <c r="B147" i="1"/>
  <c r="BB88" i="5"/>
  <c r="AU7" i="5"/>
  <c r="BA7" i="5" s="1"/>
  <c r="BB7" i="5" s="1"/>
  <c r="AU26" i="5"/>
  <c r="BA26" i="5" s="1"/>
  <c r="BB26" i="5" s="1"/>
  <c r="AU23" i="5"/>
  <c r="BA23" i="5" s="1"/>
  <c r="BB23" i="5" s="1"/>
  <c r="AU9" i="5"/>
  <c r="BA9" i="5" s="1"/>
  <c r="BB9" i="5" s="1"/>
  <c r="AU85" i="5"/>
  <c r="BA85" i="5" s="1"/>
  <c r="BB85" i="5" s="1"/>
  <c r="AU8" i="5"/>
  <c r="BA8" i="5" s="1"/>
  <c r="BB8" i="5" s="1"/>
  <c r="AU25" i="5"/>
  <c r="BA25" i="5" s="1"/>
  <c r="BB25" i="5" s="1"/>
  <c r="L91" i="5"/>
  <c r="L90" i="5"/>
  <c r="L89" i="5"/>
  <c r="L88" i="5"/>
  <c r="L87" i="5"/>
  <c r="L86" i="5"/>
  <c r="L85"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5" i="5"/>
  <c r="L34" i="5"/>
  <c r="L33" i="5"/>
  <c r="L32" i="5"/>
  <c r="L31" i="5"/>
  <c r="L30" i="5"/>
  <c r="L29" i="5"/>
  <c r="L27" i="5"/>
  <c r="L26" i="5"/>
  <c r="L25" i="5"/>
  <c r="L24" i="5"/>
  <c r="L23" i="5"/>
  <c r="L22" i="5"/>
  <c r="L21" i="5"/>
  <c r="L20" i="5"/>
  <c r="L19" i="5"/>
  <c r="L18" i="5"/>
  <c r="L17" i="5"/>
  <c r="L16" i="5"/>
  <c r="L15" i="5"/>
  <c r="L14" i="5"/>
  <c r="L13" i="5"/>
  <c r="L12" i="5"/>
  <c r="L11" i="5"/>
  <c r="L9" i="5"/>
  <c r="L8" i="5"/>
  <c r="L7" i="5"/>
  <c r="L6" i="5"/>
  <c r="L5" i="5"/>
  <c r="L4" i="5"/>
  <c r="L3" i="5"/>
  <c r="L2" i="5"/>
  <c r="U49" i="5"/>
  <c r="AI49" i="5" s="1"/>
  <c r="D53" i="5"/>
  <c r="M53" i="5" s="1"/>
  <c r="Z53" i="5" s="1"/>
  <c r="M2" i="5"/>
  <c r="Z2" i="5" s="1"/>
  <c r="M11" i="5"/>
  <c r="Z11" i="5" s="1"/>
  <c r="M48" i="5"/>
  <c r="Z48" i="5" s="1"/>
  <c r="D72" i="5"/>
  <c r="D33" i="5"/>
  <c r="BD89" i="5"/>
  <c r="BC89" i="5"/>
  <c r="BD85" i="5"/>
  <c r="BC85" i="5"/>
  <c r="D87" i="5"/>
  <c r="BD87" i="5" s="1"/>
  <c r="D19" i="5"/>
  <c r="AG19" i="5" s="1"/>
  <c r="D24" i="5"/>
  <c r="D27" i="5"/>
  <c r="D35" i="5"/>
  <c r="T23" i="5"/>
  <c r="AH23" i="5" s="1"/>
  <c r="R19" i="5"/>
  <c r="R44" i="5"/>
  <c r="AD44" i="5" s="1"/>
  <c r="R43" i="5"/>
  <c r="AD43" i="5" s="1"/>
  <c r="R41" i="5"/>
  <c r="AD41" i="5" s="1"/>
  <c r="R70" i="5"/>
  <c r="AD70" i="5" s="1"/>
  <c r="R71" i="5"/>
  <c r="AD71" i="5" s="1"/>
  <c r="R61" i="5"/>
  <c r="AD61" i="5" s="1"/>
  <c r="R66" i="5"/>
  <c r="AD66" i="5" s="1"/>
  <c r="R45" i="5"/>
  <c r="AD45" i="5" s="1"/>
  <c r="R42" i="5"/>
  <c r="AD42" i="5" s="1"/>
  <c r="R32" i="5"/>
  <c r="AD32" i="5" s="1"/>
  <c r="R18" i="5"/>
  <c r="AD18" i="5" s="1"/>
  <c r="R17" i="5"/>
  <c r="AD17" i="5" s="1"/>
  <c r="R16" i="5"/>
  <c r="AD16" i="5" s="1"/>
  <c r="AD5" i="5"/>
  <c r="P85" i="5"/>
  <c r="O85" i="5"/>
  <c r="AA85" i="5" s="1"/>
  <c r="Q85" i="5"/>
  <c r="T85" i="5" s="1"/>
  <c r="AH85" i="5" s="1"/>
  <c r="D85" i="5"/>
  <c r="AG85" i="5" s="1"/>
  <c r="M85" i="5"/>
  <c r="P26" i="5"/>
  <c r="O26" i="5"/>
  <c r="AA26" i="5" s="1"/>
  <c r="Q26" i="5"/>
  <c r="T26" i="5" s="1"/>
  <c r="AH26" i="5" s="1"/>
  <c r="M26" i="5"/>
  <c r="D26" i="5"/>
  <c r="AG26" i="5" s="1"/>
  <c r="P88" i="5"/>
  <c r="O88" i="5"/>
  <c r="AA88" i="5" s="1"/>
  <c r="Q88" i="5"/>
  <c r="T88" i="5" s="1"/>
  <c r="AI88" i="5" s="1"/>
  <c r="D88" i="5"/>
  <c r="AG88" i="5" s="1"/>
  <c r="M88" i="5"/>
  <c r="P89" i="5"/>
  <c r="N89" i="5"/>
  <c r="AB89" i="5" s="1"/>
  <c r="M89" i="5"/>
  <c r="Z89" i="5" s="1"/>
  <c r="D89" i="5"/>
  <c r="AG89" i="5" s="1"/>
  <c r="P19" i="5"/>
  <c r="O19" i="5"/>
  <c r="AA19" i="5" s="1"/>
  <c r="Q19" i="5"/>
  <c r="T19" i="5" s="1"/>
  <c r="AH19" i="5" s="1"/>
  <c r="M19" i="5"/>
  <c r="P25" i="5"/>
  <c r="O25" i="5"/>
  <c r="AA25" i="5" s="1"/>
  <c r="Q25" i="5"/>
  <c r="T25" i="5" s="1"/>
  <c r="AH25" i="5" s="1"/>
  <c r="M25" i="5"/>
  <c r="D25" i="5"/>
  <c r="AG25" i="5" s="1"/>
  <c r="P9" i="5"/>
  <c r="O9" i="5"/>
  <c r="AA9" i="5" s="1"/>
  <c r="Q9" i="5"/>
  <c r="T9" i="5" s="1"/>
  <c r="AH9" i="5" s="1"/>
  <c r="M9" i="5"/>
  <c r="D9" i="5"/>
  <c r="AG9" i="5" s="1"/>
  <c r="Q8" i="5"/>
  <c r="T8" i="5" s="1"/>
  <c r="AH8" i="5" s="1"/>
  <c r="Q7" i="5"/>
  <c r="T7" i="5" s="1"/>
  <c r="AH7" i="5" s="1"/>
  <c r="P8" i="5"/>
  <c r="O8" i="5"/>
  <c r="AA8" i="5" s="1"/>
  <c r="M8" i="5"/>
  <c r="Z8" i="5" s="1"/>
  <c r="P7" i="5"/>
  <c r="O7" i="5"/>
  <c r="AA7" i="5" s="1"/>
  <c r="M7" i="5"/>
  <c r="D7" i="5"/>
  <c r="AG7" i="5" s="1"/>
  <c r="M57" i="5"/>
  <c r="Z57" i="5" s="1"/>
  <c r="M56" i="5"/>
  <c r="Z56" i="5" s="1"/>
  <c r="M55" i="5"/>
  <c r="Z55" i="5" s="1"/>
  <c r="M54" i="5"/>
  <c r="Z54" i="5" s="1"/>
  <c r="M52" i="5"/>
  <c r="Z52" i="5" s="1"/>
  <c r="M51" i="5"/>
  <c r="Z51" i="5" s="1"/>
  <c r="M4" i="5"/>
  <c r="Z4" i="5" s="1"/>
  <c r="P50" i="5"/>
  <c r="O50" i="5"/>
  <c r="AA50" i="5" s="1"/>
  <c r="N50" i="5"/>
  <c r="AB50" i="5" s="1"/>
  <c r="P49" i="5"/>
  <c r="O49" i="5"/>
  <c r="AA49" i="5" s="1"/>
  <c r="N49" i="5"/>
  <c r="AB49" i="5" s="1"/>
  <c r="P39" i="5"/>
  <c r="O39" i="5"/>
  <c r="AA39" i="5" s="1"/>
  <c r="N39" i="5"/>
  <c r="AB39" i="5" s="1"/>
  <c r="U38" i="5"/>
  <c r="T38" i="5"/>
  <c r="P29" i="5"/>
  <c r="O29" i="5"/>
  <c r="AA29" i="5" s="1"/>
  <c r="N29" i="5"/>
  <c r="AB29" i="5" s="1"/>
  <c r="O38" i="5"/>
  <c r="AA38" i="5" s="1"/>
  <c r="N38" i="5"/>
  <c r="AB38" i="5" s="1"/>
  <c r="O37" i="5"/>
  <c r="AA37" i="5" s="1"/>
  <c r="N37" i="5"/>
  <c r="AB37" i="5" s="1"/>
  <c r="O12" i="5"/>
  <c r="AA12" i="5" s="1"/>
  <c r="N12" i="5"/>
  <c r="AB12" i="5" s="1"/>
  <c r="O3" i="5"/>
  <c r="N3" i="5"/>
  <c r="AB3" i="5" s="1"/>
  <c r="P38" i="5"/>
  <c r="P37" i="5"/>
  <c r="P12" i="5"/>
  <c r="P3" i="5"/>
  <c r="D90" i="5"/>
  <c r="M90" i="5" s="1"/>
  <c r="Z90" i="5" s="1"/>
  <c r="D71" i="5"/>
  <c r="D70" i="5"/>
  <c r="D69" i="5"/>
  <c r="D67" i="5"/>
  <c r="D65" i="5"/>
  <c r="D64" i="5"/>
  <c r="D63" i="5"/>
  <c r="R62" i="5" s="1"/>
  <c r="D60" i="5"/>
  <c r="R60" i="5" s="1"/>
  <c r="D50" i="5"/>
  <c r="AG50" i="5" s="1"/>
  <c r="D46" i="5"/>
  <c r="D40" i="5"/>
  <c r="M40" i="5" s="1"/>
  <c r="Z40" i="5" s="1"/>
  <c r="D38" i="5"/>
  <c r="AG38" i="5" s="1"/>
  <c r="D37" i="5"/>
  <c r="AG37" i="5" s="1"/>
  <c r="D34" i="5"/>
  <c r="D31" i="5"/>
  <c r="M31" i="5" s="1"/>
  <c r="Z31" i="5" s="1"/>
  <c r="D15" i="5"/>
  <c r="M15" i="5" s="1"/>
  <c r="Z15" i="5" s="1"/>
  <c r="D14" i="5"/>
  <c r="M14" i="5" s="1"/>
  <c r="Z14" i="5" s="1"/>
  <c r="D13" i="5"/>
  <c r="M13" i="5" s="1"/>
  <c r="Z13" i="5" s="1"/>
  <c r="D30" i="5"/>
  <c r="M30" i="5" s="1"/>
  <c r="Z30" i="5" s="1"/>
  <c r="D23" i="5"/>
  <c r="Z23" i="5" s="1"/>
  <c r="G26" i="3"/>
  <c r="G25" i="3"/>
  <c r="L21" i="3"/>
  <c r="M21" i="3" s="1"/>
  <c r="G17" i="3"/>
  <c r="G16" i="3"/>
  <c r="G15" i="3"/>
  <c r="G14" i="3"/>
  <c r="G8" i="3"/>
  <c r="G4" i="3"/>
  <c r="AD60" i="5" l="1"/>
  <c r="T60" i="5"/>
  <c r="BD47" i="5"/>
  <c r="BC35" i="5"/>
  <c r="Q2" i="5"/>
  <c r="T2" i="5" s="1"/>
  <c r="AH2" i="5" s="1"/>
  <c r="Z19" i="5"/>
  <c r="A149" i="1"/>
  <c r="C148" i="1"/>
  <c r="B148" i="1"/>
  <c r="AH38" i="5"/>
  <c r="Z25" i="5"/>
  <c r="AA3" i="5"/>
  <c r="AC5" i="5"/>
  <c r="AC6" i="5"/>
  <c r="AC7" i="5"/>
  <c r="AC8" i="5"/>
  <c r="AC9" i="5"/>
  <c r="AC17" i="5"/>
  <c r="AC41" i="5"/>
  <c r="AC44" i="5"/>
  <c r="AC58" i="5"/>
  <c r="AC60" i="5"/>
  <c r="AC65" i="5"/>
  <c r="AC68" i="5"/>
  <c r="AC71" i="5"/>
  <c r="AC72" i="5"/>
  <c r="AC74" i="5"/>
  <c r="AC77" i="5"/>
  <c r="AC85" i="5"/>
  <c r="AC87" i="5"/>
  <c r="AC89" i="5"/>
  <c r="AC16" i="5"/>
  <c r="AC18" i="5"/>
  <c r="AC19" i="5"/>
  <c r="AC20" i="5"/>
  <c r="AC21" i="5"/>
  <c r="AC22" i="5"/>
  <c r="AC23" i="5"/>
  <c r="AC24" i="5"/>
  <c r="AC25" i="5"/>
  <c r="AC26" i="5"/>
  <c r="AC27" i="5"/>
  <c r="AC32" i="5"/>
  <c r="AC33" i="5"/>
  <c r="AC34" i="5"/>
  <c r="AC35" i="5"/>
  <c r="AC42" i="5"/>
  <c r="AC43" i="5"/>
  <c r="AC45" i="5"/>
  <c r="AC46" i="5"/>
  <c r="AC47" i="5"/>
  <c r="AC59" i="5"/>
  <c r="AC61" i="5"/>
  <c r="AC62" i="5"/>
  <c r="AC64" i="5"/>
  <c r="AC66" i="5"/>
  <c r="AC67" i="5"/>
  <c r="AC69" i="5"/>
  <c r="AC63" i="5"/>
  <c r="AC70" i="5"/>
  <c r="AC73" i="5"/>
  <c r="AC75" i="5"/>
  <c r="AC76" i="5"/>
  <c r="AC78" i="5"/>
  <c r="AC86" i="5"/>
  <c r="AC88" i="5"/>
  <c r="Z7" i="5"/>
  <c r="Z88" i="5"/>
  <c r="Z26" i="5"/>
  <c r="Z85" i="5"/>
  <c r="AE19" i="5"/>
  <c r="AD19" i="5"/>
  <c r="Z9" i="5"/>
  <c r="AE62" i="5"/>
  <c r="AD62" i="5"/>
  <c r="T32" i="5"/>
  <c r="AH32" i="5" s="1"/>
  <c r="AF32" i="5"/>
  <c r="T18" i="5"/>
  <c r="AH18" i="5" s="1"/>
  <c r="AF18" i="5"/>
  <c r="T17" i="5"/>
  <c r="AH17" i="5" s="1"/>
  <c r="AF17" i="5"/>
  <c r="AI60" i="5"/>
  <c r="AE60" i="5"/>
  <c r="T5" i="5"/>
  <c r="AH5" i="5" s="1"/>
  <c r="AE5" i="5"/>
  <c r="T45" i="5"/>
  <c r="AH45" i="5" s="1"/>
  <c r="AE45" i="5"/>
  <c r="T61" i="5"/>
  <c r="AH61" i="5" s="1"/>
  <c r="AE61" i="5"/>
  <c r="T70" i="5"/>
  <c r="AH70" i="5" s="1"/>
  <c r="AE70" i="5"/>
  <c r="T43" i="5"/>
  <c r="AH43" i="5" s="1"/>
  <c r="AE43" i="5"/>
  <c r="T16" i="5"/>
  <c r="AH16" i="5" s="1"/>
  <c r="AE16" i="5"/>
  <c r="T42" i="5"/>
  <c r="AH42" i="5" s="1"/>
  <c r="AE42" i="5"/>
  <c r="T66" i="5"/>
  <c r="AI66" i="5" s="1"/>
  <c r="AE66" i="5"/>
  <c r="T71" i="5"/>
  <c r="AH71" i="5" s="1"/>
  <c r="AE71" i="5"/>
  <c r="T41" i="5"/>
  <c r="AH41" i="5" s="1"/>
  <c r="AE41" i="5"/>
  <c r="T44" i="5"/>
  <c r="AH44" i="5" s="1"/>
  <c r="AE44" i="5"/>
  <c r="BE85" i="5"/>
  <c r="BE89" i="5"/>
  <c r="BD23" i="5"/>
  <c r="AG23" i="5"/>
  <c r="Q30" i="5"/>
  <c r="Q31" i="5"/>
  <c r="Q40" i="5"/>
  <c r="Q51" i="5"/>
  <c r="Q53" i="5"/>
  <c r="Q55" i="5"/>
  <c r="Q57" i="5"/>
  <c r="Q13" i="5"/>
  <c r="Q15" i="5"/>
  <c r="Q90" i="5"/>
  <c r="AC90" i="5" s="1"/>
  <c r="Q4" i="5"/>
  <c r="Q52" i="5"/>
  <c r="Q54" i="5"/>
  <c r="Q56" i="5"/>
  <c r="Q14" i="5"/>
  <c r="Q48" i="5"/>
  <c r="Q11" i="5"/>
  <c r="R65" i="5"/>
  <c r="AD65" i="5" s="1"/>
  <c r="BC45" i="5"/>
  <c r="BD45" i="5"/>
  <c r="BD86" i="5"/>
  <c r="BC87" i="5"/>
  <c r="BE87" i="5" s="1"/>
  <c r="BE8" i="5"/>
  <c r="BD90" i="5"/>
  <c r="BC47" i="5"/>
  <c r="BD35" i="5"/>
  <c r="BC86" i="5"/>
  <c r="BD9" i="5"/>
  <c r="BD26" i="5"/>
  <c r="BC19" i="5"/>
  <c r="BC8" i="5"/>
  <c r="BD7" i="5"/>
  <c r="BD8" i="5"/>
  <c r="BE9" i="5"/>
  <c r="BC24" i="5"/>
  <c r="BC27" i="5"/>
  <c r="BD19" i="5"/>
  <c r="BD24" i="5"/>
  <c r="BD27" i="5"/>
  <c r="BC88" i="5"/>
  <c r="BC90" i="5"/>
  <c r="BC9" i="5"/>
  <c r="BC7" i="5"/>
  <c r="BE7" i="5"/>
  <c r="BC23" i="5"/>
  <c r="BC26" i="5"/>
  <c r="BD88" i="5"/>
  <c r="R69" i="5"/>
  <c r="AD69" i="5" s="1"/>
  <c r="R64" i="5"/>
  <c r="R67" i="5"/>
  <c r="AD67" i="5" s="1"/>
  <c r="Q38" i="5"/>
  <c r="AC38" i="5" s="1"/>
  <c r="Q39" i="5"/>
  <c r="Q50" i="5"/>
  <c r="R58" i="5"/>
  <c r="AD58" i="5" s="1"/>
  <c r="R59" i="5"/>
  <c r="AD59" i="5" s="1"/>
  <c r="R63" i="5"/>
  <c r="AD63" i="5" s="1"/>
  <c r="R68" i="5"/>
  <c r="AD68" i="5" s="1"/>
  <c r="Q29" i="5"/>
  <c r="AC29" i="5" s="1"/>
  <c r="Q49" i="5"/>
  <c r="AC49" i="5" s="1"/>
  <c r="Q37" i="5"/>
  <c r="Q3" i="5"/>
  <c r="AC3" i="5" s="1"/>
  <c r="Q12" i="5"/>
  <c r="D39" i="5"/>
  <c r="AG39" i="5" s="1"/>
  <c r="AD64" i="5" l="1"/>
  <c r="U64" i="5"/>
  <c r="BE47" i="5"/>
  <c r="A150" i="1"/>
  <c r="C149" i="1"/>
  <c r="B149" i="1"/>
  <c r="AC2" i="5"/>
  <c r="BE23" i="5"/>
  <c r="T50" i="5"/>
  <c r="AH50" i="5" s="1"/>
  <c r="AC50" i="5"/>
  <c r="T12" i="5"/>
  <c r="AH12" i="5" s="1"/>
  <c r="AC12" i="5"/>
  <c r="T37" i="5"/>
  <c r="AH37" i="5" s="1"/>
  <c r="AC37" i="5"/>
  <c r="T39" i="5"/>
  <c r="AH39" i="5" s="1"/>
  <c r="AC39" i="5"/>
  <c r="T11" i="5"/>
  <c r="AH11" i="5" s="1"/>
  <c r="AC11" i="5"/>
  <c r="T48" i="5"/>
  <c r="AC48" i="5"/>
  <c r="T14" i="5"/>
  <c r="AC14" i="5"/>
  <c r="T56" i="5"/>
  <c r="AH56" i="5" s="1"/>
  <c r="AC56" i="5"/>
  <c r="T54" i="5"/>
  <c r="AH54" i="5" s="1"/>
  <c r="AC54" i="5"/>
  <c r="T52" i="5"/>
  <c r="P73" i="5" s="1"/>
  <c r="AC52" i="5"/>
  <c r="T4" i="5"/>
  <c r="AH4" i="5" s="1"/>
  <c r="AC4" i="5"/>
  <c r="T15" i="5"/>
  <c r="AH15" i="5" s="1"/>
  <c r="AC15" i="5"/>
  <c r="T13" i="5"/>
  <c r="AH13" i="5" s="1"/>
  <c r="AC13" i="5"/>
  <c r="T57" i="5"/>
  <c r="AH57" i="5" s="1"/>
  <c r="AC57" i="5"/>
  <c r="T55" i="5"/>
  <c r="AH55" i="5" s="1"/>
  <c r="AC55" i="5"/>
  <c r="T53" i="5"/>
  <c r="AH53" i="5" s="1"/>
  <c r="AC53" i="5"/>
  <c r="T51" i="5"/>
  <c r="AH51" i="5" s="1"/>
  <c r="AC51" i="5"/>
  <c r="T40" i="5"/>
  <c r="AH40" i="5" s="1"/>
  <c r="AC40" i="5"/>
  <c r="T31" i="5"/>
  <c r="AC31" i="5"/>
  <c r="T30" i="5"/>
  <c r="AH30" i="5" s="1"/>
  <c r="AC30" i="5"/>
  <c r="AE68" i="5"/>
  <c r="T59" i="5"/>
  <c r="AI59" i="5" s="1"/>
  <c r="AE59" i="5"/>
  <c r="AE64" i="5"/>
  <c r="AE63" i="5"/>
  <c r="T58" i="5"/>
  <c r="AH58" i="5" s="1"/>
  <c r="AE58" i="5"/>
  <c r="AE67" i="5"/>
  <c r="AE69" i="5"/>
  <c r="AE65" i="5"/>
  <c r="BE86" i="5"/>
  <c r="BE35" i="5"/>
  <c r="BE45" i="5"/>
  <c r="BE90" i="5"/>
  <c r="BE19" i="5"/>
  <c r="T62" i="5"/>
  <c r="T63" i="5"/>
  <c r="BE26" i="5"/>
  <c r="BE88" i="5"/>
  <c r="BE24" i="5"/>
  <c r="T3" i="5"/>
  <c r="AH3" i="5" s="1"/>
  <c r="BE27" i="5"/>
  <c r="T65" i="5"/>
  <c r="T67" i="5"/>
  <c r="T64" i="5"/>
  <c r="U68" i="5"/>
  <c r="U69" i="5"/>
  <c r="U65" i="5"/>
  <c r="T68" i="5"/>
  <c r="T69" i="5"/>
  <c r="U67" i="5"/>
  <c r="AH52" i="5" l="1"/>
  <c r="AG73" i="5"/>
  <c r="AH48" i="5"/>
  <c r="P78" i="5"/>
  <c r="AG78" i="5" s="1"/>
  <c r="P22" i="5"/>
  <c r="AG22" i="5" s="1"/>
  <c r="V65" i="5"/>
  <c r="AH65" i="5" s="1"/>
  <c r="A151" i="1"/>
  <c r="C150" i="1"/>
  <c r="B150" i="1"/>
  <c r="U62" i="5"/>
  <c r="AH62" i="5" s="1"/>
  <c r="T29" i="5"/>
  <c r="P33" i="5" s="1"/>
  <c r="AG33" i="5" s="1"/>
  <c r="AH31" i="5"/>
  <c r="P21" i="5"/>
  <c r="AG21" i="5" s="1"/>
  <c r="AH14" i="5"/>
  <c r="P72" i="5"/>
  <c r="AG72" i="5" s="1"/>
  <c r="P46" i="5"/>
  <c r="AG46" i="5" s="1"/>
  <c r="U29" i="5"/>
  <c r="P34" i="5" s="1"/>
  <c r="AG34" i="5" s="1"/>
  <c r="P20" i="5"/>
  <c r="AG20" i="5" s="1"/>
  <c r="V67" i="5"/>
  <c r="AI67" i="5" s="1"/>
  <c r="P74" i="5"/>
  <c r="AG74" i="5" s="1"/>
  <c r="U63" i="5"/>
  <c r="P76" i="5"/>
  <c r="AG76" i="5" s="1"/>
  <c r="P6" i="5"/>
  <c r="AG6" i="5" s="1"/>
  <c r="V64" i="5"/>
  <c r="AH64" i="5" s="1"/>
  <c r="V69" i="5"/>
  <c r="AI69" i="5" s="1"/>
  <c r="V68" i="5"/>
  <c r="AI68" i="5" s="1"/>
  <c r="P75" i="5" l="1"/>
  <c r="AG75" i="5" s="1"/>
  <c r="A152" i="1"/>
  <c r="C151" i="1"/>
  <c r="B151" i="1"/>
  <c r="AH29" i="5"/>
  <c r="AH63" i="5"/>
  <c r="P77" i="5"/>
  <c r="AG77" i="5" s="1"/>
  <c r="A153" i="1" l="1"/>
  <c r="C152" i="1"/>
  <c r="B152" i="1"/>
  <c r="A154" i="1" l="1"/>
  <c r="C153" i="1"/>
  <c r="B153" i="1"/>
  <c r="A155" i="1" l="1"/>
  <c r="C154" i="1"/>
  <c r="B154" i="1"/>
  <c r="A156" i="1" l="1"/>
  <c r="C155" i="1"/>
  <c r="B155" i="1"/>
  <c r="A157" i="1" l="1"/>
  <c r="C156" i="1"/>
  <c r="B156" i="1"/>
  <c r="A158" i="1" l="1"/>
  <c r="C157" i="1"/>
  <c r="B157" i="1"/>
  <c r="A159" i="1" l="1"/>
  <c r="C158" i="1"/>
  <c r="B158" i="1"/>
  <c r="A160" i="1" l="1"/>
  <c r="C159" i="1"/>
  <c r="B159" i="1"/>
  <c r="A161" i="1" l="1"/>
  <c r="C160" i="1"/>
  <c r="B160" i="1"/>
  <c r="A162" i="1" l="1"/>
  <c r="C161" i="1"/>
  <c r="B161" i="1"/>
  <c r="A163" i="1" l="1"/>
  <c r="C162" i="1"/>
  <c r="B162" i="1"/>
  <c r="A164" i="1" l="1"/>
  <c r="C163" i="1"/>
  <c r="B163" i="1"/>
  <c r="A165" i="1" l="1"/>
  <c r="C164" i="1"/>
  <c r="B164" i="1"/>
  <c r="A166" i="1" l="1"/>
  <c r="C165" i="1"/>
  <c r="B165" i="1"/>
  <c r="A167" i="1" l="1"/>
  <c r="C166" i="1"/>
  <c r="B166" i="1"/>
  <c r="A168" i="1" l="1"/>
  <c r="C167" i="1"/>
  <c r="B167" i="1"/>
  <c r="C168" i="1" l="1"/>
  <c r="B168" i="1"/>
</calcChain>
</file>

<file path=xl/comments1.xml><?xml version="1.0" encoding="utf-8"?>
<comments xmlns="http://schemas.openxmlformats.org/spreadsheetml/2006/main">
  <authors>
    <author>Daniela</author>
  </authors>
  <commentList>
    <comment ref="G24" authorId="0">
      <text>
        <r>
          <rPr>
            <sz val="8"/>
            <color indexed="81"/>
            <rFont val="Tahoma"/>
            <family val="2"/>
          </rPr>
          <t>Número de horas totales necesarias para realizar trabajo (ya considera la cant total de equipos por tipo de máquina)</t>
        </r>
      </text>
    </comment>
    <comment ref="F25" authorId="0">
      <text>
        <r>
          <rPr>
            <b/>
            <sz val="9"/>
            <color indexed="81"/>
            <rFont val="Tahoma"/>
            <family val="2"/>
          </rPr>
          <t>(a)</t>
        </r>
      </text>
    </comment>
    <comment ref="F26" authorId="0">
      <text>
        <r>
          <rPr>
            <b/>
            <sz val="9"/>
            <color indexed="81"/>
            <rFont val="Tahoma"/>
            <family val="2"/>
          </rPr>
          <t>(a)</t>
        </r>
      </text>
    </comment>
    <comment ref="F27" authorId="0">
      <text>
        <r>
          <rPr>
            <b/>
            <sz val="9"/>
            <color indexed="81"/>
            <rFont val="Tahoma"/>
            <family val="2"/>
          </rPr>
          <t>(a)</t>
        </r>
      </text>
    </comment>
    <comment ref="F28" authorId="0">
      <text>
        <r>
          <rPr>
            <b/>
            <sz val="9"/>
            <color indexed="81"/>
            <rFont val="Tahoma"/>
            <family val="2"/>
          </rPr>
          <t>(a)</t>
        </r>
      </text>
    </comment>
    <comment ref="F29" authorId="0">
      <text>
        <r>
          <rPr>
            <b/>
            <sz val="9"/>
            <color indexed="81"/>
            <rFont val="Tahoma"/>
            <family val="2"/>
          </rPr>
          <t>(a)</t>
        </r>
      </text>
    </comment>
    <comment ref="F30" authorId="0">
      <text>
        <r>
          <rPr>
            <b/>
            <sz val="9"/>
            <color indexed="81"/>
            <rFont val="Tahoma"/>
            <family val="2"/>
          </rPr>
          <t>(a)</t>
        </r>
      </text>
    </comment>
    <comment ref="F31" authorId="0">
      <text>
        <r>
          <rPr>
            <b/>
            <sz val="9"/>
            <color indexed="81"/>
            <rFont val="Tahoma"/>
            <family val="2"/>
          </rPr>
          <t>(a)</t>
        </r>
      </text>
    </comment>
    <comment ref="F32" authorId="0">
      <text>
        <r>
          <rPr>
            <b/>
            <sz val="9"/>
            <color indexed="81"/>
            <rFont val="Tahoma"/>
            <family val="2"/>
          </rPr>
          <t>(a)</t>
        </r>
      </text>
    </comment>
    <comment ref="F33" authorId="0">
      <text>
        <r>
          <rPr>
            <b/>
            <sz val="9"/>
            <color indexed="81"/>
            <rFont val="Tahoma"/>
            <family val="2"/>
          </rPr>
          <t>(b)</t>
        </r>
      </text>
    </comment>
    <comment ref="F34" authorId="0">
      <text>
        <r>
          <rPr>
            <b/>
            <sz val="9"/>
            <color indexed="81"/>
            <rFont val="Tahoma"/>
            <family val="2"/>
          </rPr>
          <t>(b)</t>
        </r>
      </text>
    </comment>
    <comment ref="F35" authorId="0">
      <text>
        <r>
          <rPr>
            <b/>
            <sz val="9"/>
            <color indexed="81"/>
            <rFont val="Tahoma"/>
            <family val="2"/>
          </rPr>
          <t>(c)</t>
        </r>
      </text>
    </comment>
    <comment ref="F36" authorId="0">
      <text>
        <r>
          <rPr>
            <b/>
            <sz val="9"/>
            <color indexed="81"/>
            <rFont val="Tahoma"/>
            <family val="2"/>
          </rPr>
          <t>(d)</t>
        </r>
      </text>
    </comment>
  </commentList>
</comments>
</file>

<file path=xl/comments2.xml><?xml version="1.0" encoding="utf-8"?>
<comments xmlns="http://schemas.openxmlformats.org/spreadsheetml/2006/main">
  <authors>
    <author>Daniela</author>
  </authors>
  <commentList>
    <comment ref="D22" authorId="0">
      <text>
        <r>
          <rPr>
            <sz val="8"/>
            <color indexed="81"/>
            <rFont val="Tahoma"/>
            <family val="2"/>
          </rPr>
          <t>0.5: track type dozers, loaders, wheel loaders0-5 y &gt;5.1ton, minicargadoras y cargadoras telescópicas
0.6: excavadoras c/ruedas, excavadoras de tracción 0-5ton, &gt;5.1 ton
0.45: excavadoras, cargadoras
0.4: dump trucks (camiones tolva)
(Fte: DEA)
0.43: diesel bore/drill rigs (perforadora oruga)
(Fte: EPA)</t>
        </r>
      </text>
    </comment>
  </commentList>
</comments>
</file>

<file path=xl/comments3.xml><?xml version="1.0" encoding="utf-8"?>
<comments xmlns="http://schemas.openxmlformats.org/spreadsheetml/2006/main">
  <authors>
    <author>Daniela</author>
  </authors>
  <commentList>
    <comment ref="E16" authorId="0">
      <text>
        <r>
          <rPr>
            <sz val="8"/>
            <color indexed="81"/>
            <rFont val="Tahoma"/>
            <family val="2"/>
          </rPr>
          <t>1 kcal = 4,187 kJ = 4,187*10^-9 TJ</t>
        </r>
      </text>
    </comment>
    <comment ref="A28" authorId="0">
      <text>
        <r>
          <rPr>
            <sz val="8"/>
            <color indexed="81"/>
            <rFont val="Tahoma"/>
            <family val="2"/>
          </rPr>
          <t>(Fte: EEA Tabla 3-25 Tier 2 average fuel consumption values)</t>
        </r>
      </text>
    </comment>
    <comment ref="A83" authorId="0">
      <text>
        <r>
          <rPr>
            <sz val="8"/>
            <color indexed="81"/>
            <rFont val="Tahoma"/>
            <family val="2"/>
          </rPr>
          <t>(Fte: EEA Tabla 3-25 Tier 2 average fuel consumption values)</t>
        </r>
      </text>
    </comment>
    <comment ref="A85" authorId="0">
      <text>
        <r>
          <rPr>
            <sz val="8"/>
            <color indexed="81"/>
            <rFont val="Tahoma"/>
            <family val="2"/>
          </rPr>
          <t>(Fte: EEA Tabla 3-25 Tier 2 average fuel consumption values)</t>
        </r>
      </text>
    </comment>
    <comment ref="A186" authorId="0">
      <text>
        <r>
          <rPr>
            <sz val="8"/>
            <color indexed="81"/>
            <rFont val="Tahoma"/>
            <family val="2"/>
          </rPr>
          <t>(Fte: EEA Tabla 3-25 Tier 2 average fuel consumption values)</t>
        </r>
      </text>
    </comment>
    <comment ref="A187" authorId="0">
      <text>
        <r>
          <rPr>
            <sz val="8"/>
            <color indexed="81"/>
            <rFont val="Tahoma"/>
            <family val="2"/>
          </rPr>
          <t>(Fte: EEA Tabla 3-25 Tier 2 average fuel consumption values)</t>
        </r>
      </text>
    </comment>
  </commentList>
</comments>
</file>

<file path=xl/comments4.xml><?xml version="1.0" encoding="utf-8"?>
<comments xmlns="http://schemas.openxmlformats.org/spreadsheetml/2006/main">
  <authors>
    <author>Daniela</author>
  </authors>
  <commentList>
    <comment ref="E16" authorId="0">
      <text>
        <r>
          <rPr>
            <sz val="8"/>
            <color indexed="81"/>
            <rFont val="Tahoma"/>
            <family val="2"/>
          </rPr>
          <t>1 kcal = 4,187 kJ = 4,187*10^-9 TJ</t>
        </r>
      </text>
    </comment>
    <comment ref="A28" authorId="0">
      <text>
        <r>
          <rPr>
            <sz val="8"/>
            <color indexed="81"/>
            <rFont val="Tahoma"/>
            <family val="2"/>
          </rPr>
          <t>(Fte: EEA Tabla 3-25 Tier 2 average fuel consumption values)</t>
        </r>
      </text>
    </comment>
    <comment ref="A63" authorId="0">
      <text>
        <r>
          <rPr>
            <sz val="8"/>
            <color indexed="81"/>
            <rFont val="Tahoma"/>
            <family val="2"/>
          </rPr>
          <t>(Fte: EEA Tabla 3-25 Tier 2 average fuel consumption values)</t>
        </r>
      </text>
    </comment>
    <comment ref="A65" authorId="0">
      <text>
        <r>
          <rPr>
            <sz val="8"/>
            <color indexed="81"/>
            <rFont val="Tahoma"/>
            <family val="2"/>
          </rPr>
          <t>(Fte: EEA Tabla 3-25 Tier 2 average fuel consumption values)</t>
        </r>
      </text>
    </comment>
    <comment ref="A117" authorId="0">
      <text>
        <r>
          <rPr>
            <sz val="8"/>
            <color indexed="81"/>
            <rFont val="Tahoma"/>
            <family val="2"/>
          </rPr>
          <t>(Fte: EEA Tabla 3-25 Tier 2 average fuel consumption values)</t>
        </r>
      </text>
    </comment>
    <comment ref="A118" authorId="0">
      <text>
        <r>
          <rPr>
            <sz val="8"/>
            <color indexed="81"/>
            <rFont val="Tahoma"/>
            <family val="2"/>
          </rPr>
          <t>(Fte: EEA Tabla 3-25 Tier 2 average fuel consumption values)</t>
        </r>
      </text>
    </comment>
  </commentList>
</comments>
</file>

<file path=xl/sharedStrings.xml><?xml version="1.0" encoding="utf-8"?>
<sst xmlns="http://schemas.openxmlformats.org/spreadsheetml/2006/main" count="4269" uniqueCount="1523">
  <si>
    <t xml:space="preserve">Superficie Intervención Directa (ha) </t>
  </si>
  <si>
    <t xml:space="preserve">Volumen Escarpe (m3) </t>
  </si>
  <si>
    <t xml:space="preserve">Volumen Excavación (m3) </t>
  </si>
  <si>
    <t xml:space="preserve">Volumen Relleno (m3) </t>
  </si>
  <si>
    <t xml:space="preserve">Volumen Acopio (m3) </t>
  </si>
  <si>
    <t xml:space="preserve"> </t>
  </si>
  <si>
    <t xml:space="preserve">Sector </t>
  </si>
  <si>
    <t>Obra</t>
  </si>
  <si>
    <t>Obras Superficiales</t>
  </si>
  <si>
    <t>TOTAL</t>
  </si>
  <si>
    <t xml:space="preserve">El Volcan </t>
  </si>
  <si>
    <t xml:space="preserve">Captacion La Engorda </t>
  </si>
  <si>
    <t xml:space="preserve">Captacion Estero Colina </t>
  </si>
  <si>
    <t xml:space="preserve">Captacion Estero El Morado </t>
  </si>
  <si>
    <t xml:space="preserve">Captacion Estero Las Placas </t>
  </si>
  <si>
    <t xml:space="preserve">Desarenador El Volcan </t>
  </si>
  <si>
    <t xml:space="preserve">Acueducto El Volcan (Incluye Tramo La Engorda -Colina Y Sifón Morado) </t>
  </si>
  <si>
    <t xml:space="preserve">El Yeso </t>
  </si>
  <si>
    <t xml:space="preserve">Captación Río Yeso </t>
  </si>
  <si>
    <t xml:space="preserve">Conducción Captación Río Yeso A Conducción El Volcán </t>
  </si>
  <si>
    <t xml:space="preserve">Obras De Descarga Al Río Yeso </t>
  </si>
  <si>
    <t xml:space="preserve">Tubería Sifón Entre Cámara De Carga Sifón Rio Yeso Y Túnel El Yeso </t>
  </si>
  <si>
    <t xml:space="preserve">Las Lajas </t>
  </si>
  <si>
    <t xml:space="preserve">Canal Alimentador A Cámara De Carga Las Lajas Con Vertedero A Río Colorado </t>
  </si>
  <si>
    <t xml:space="preserve">Cámara De Carga Las Lajas </t>
  </si>
  <si>
    <t xml:space="preserve">Descarga Inferior De Cámara De Carga Las Lajas </t>
  </si>
  <si>
    <t xml:space="preserve">Desvío Y Desarenador Canal Maitenes </t>
  </si>
  <si>
    <t xml:space="preserve">Captación Estero Quempo, Bocatoma, Reja, Vertedero </t>
  </si>
  <si>
    <t xml:space="preserve">Tubería Sifón Río Colorado Del Canal Maitenes </t>
  </si>
  <si>
    <t xml:space="preserve">Rectificación De Cauce Río Colorado (Agua Abajo Puente) </t>
  </si>
  <si>
    <t xml:space="preserve">Obra De Descarga Y Defensas Fluviales En Río Maipo </t>
  </si>
  <si>
    <t xml:space="preserve">Canal De Descarga Estanque Contrapunta Las Lajas </t>
  </si>
  <si>
    <t>Total</t>
  </si>
  <si>
    <t xml:space="preserve">  </t>
  </si>
  <si>
    <t>-</t>
  </si>
  <si>
    <r>
      <t xml:space="preserve"> </t>
    </r>
    <r>
      <rPr>
        <sz val="11"/>
        <color indexed="8"/>
        <rFont val="Calibri"/>
        <family val="2"/>
        <scheme val="minor"/>
      </rPr>
      <t xml:space="preserve">Camino Acceso Central Alfalfal II (VA1) </t>
    </r>
    <r>
      <rPr>
        <sz val="11"/>
        <rFont val="Calibri"/>
        <family val="2"/>
        <scheme val="minor"/>
      </rPr>
      <t xml:space="preserve"> </t>
    </r>
  </si>
  <si>
    <r>
      <t xml:space="preserve"> </t>
    </r>
    <r>
      <rPr>
        <sz val="11"/>
        <color indexed="8"/>
        <rFont val="Calibri"/>
        <family val="2"/>
        <scheme val="minor"/>
      </rPr>
      <t xml:space="preserve">Camino Acceso a VA2 </t>
    </r>
    <r>
      <rPr>
        <sz val="11"/>
        <rFont val="Calibri"/>
        <family val="2"/>
        <scheme val="minor"/>
      </rPr>
      <t xml:space="preserve">  (Aucayes Alto)  </t>
    </r>
  </si>
  <si>
    <r>
      <t xml:space="preserve"> </t>
    </r>
    <r>
      <rPr>
        <sz val="11"/>
        <color indexed="8"/>
        <rFont val="Calibri"/>
        <family val="2"/>
        <scheme val="minor"/>
      </rPr>
      <t xml:space="preserve">Camino a Cámara de Carga Alfalfal II </t>
    </r>
    <r>
      <rPr>
        <sz val="11"/>
        <rFont val="Calibri"/>
        <family val="2"/>
        <scheme val="minor"/>
      </rPr>
      <t xml:space="preserve"> </t>
    </r>
  </si>
  <si>
    <r>
      <t xml:space="preserve"> </t>
    </r>
    <r>
      <rPr>
        <sz val="11"/>
        <color indexed="8"/>
        <rFont val="Calibri"/>
        <family val="2"/>
        <scheme val="minor"/>
      </rPr>
      <t xml:space="preserve">Excavación Cámara de Carga Alfalfal </t>
    </r>
    <r>
      <rPr>
        <sz val="11"/>
        <rFont val="Calibri"/>
        <family val="2"/>
        <scheme val="minor"/>
      </rPr>
      <t xml:space="preserve"> II</t>
    </r>
  </si>
  <si>
    <r>
      <t xml:space="preserve"> </t>
    </r>
    <r>
      <rPr>
        <sz val="11"/>
        <color indexed="8"/>
        <rFont val="Calibri"/>
        <family val="2"/>
        <scheme val="minor"/>
      </rPr>
      <t xml:space="preserve">Túnel Vial L=500 m </t>
    </r>
    <r>
      <rPr>
        <sz val="11"/>
        <rFont val="Calibri"/>
        <family val="2"/>
        <scheme val="minor"/>
      </rPr>
      <t xml:space="preserve"> </t>
    </r>
  </si>
  <si>
    <r>
      <t xml:space="preserve"> </t>
    </r>
    <r>
      <rPr>
        <sz val="11"/>
        <color indexed="8"/>
        <rFont val="Calibri"/>
        <family val="2"/>
        <scheme val="minor"/>
      </rPr>
      <t xml:space="preserve">Portal y Túneles Central Alfalfal </t>
    </r>
    <r>
      <rPr>
        <sz val="11"/>
        <rFont val="Calibri"/>
        <family val="2"/>
        <scheme val="minor"/>
      </rPr>
      <t xml:space="preserve"> II VA1</t>
    </r>
  </si>
  <si>
    <r>
      <t xml:space="preserve"> </t>
    </r>
    <r>
      <rPr>
        <sz val="11"/>
        <color indexed="8"/>
        <rFont val="Calibri"/>
        <family val="2"/>
        <scheme val="minor"/>
      </rPr>
      <t xml:space="preserve">Túnel Las Lajas </t>
    </r>
    <r>
      <rPr>
        <sz val="11"/>
        <rFont val="Calibri"/>
        <family val="2"/>
        <scheme val="minor"/>
      </rPr>
      <t xml:space="preserve"> </t>
    </r>
  </si>
  <si>
    <r>
      <t xml:space="preserve"> </t>
    </r>
    <r>
      <rPr>
        <sz val="11"/>
        <color indexed="8"/>
        <rFont val="Calibri"/>
        <family val="2"/>
        <scheme val="minor"/>
      </rPr>
      <t xml:space="preserve">Portal Ventana Construcción VA2 </t>
    </r>
    <r>
      <rPr>
        <sz val="11"/>
        <rFont val="Calibri"/>
        <family val="2"/>
        <scheme val="minor"/>
      </rPr>
      <t xml:space="preserve"> </t>
    </r>
  </si>
  <si>
    <r>
      <t xml:space="preserve"> </t>
    </r>
    <r>
      <rPr>
        <sz val="11"/>
        <color indexed="8"/>
        <rFont val="Calibri"/>
        <family val="2"/>
        <scheme val="minor"/>
      </rPr>
      <t xml:space="preserve">Capacidad Deposito (m3) </t>
    </r>
    <r>
      <rPr>
        <sz val="11"/>
        <rFont val="Calibri"/>
        <family val="2"/>
        <scheme val="minor"/>
      </rPr>
      <t xml:space="preserve"> </t>
    </r>
  </si>
  <si>
    <r>
      <t xml:space="preserve"> </t>
    </r>
    <r>
      <rPr>
        <sz val="11"/>
        <color indexed="8"/>
        <rFont val="Calibri"/>
        <family val="2"/>
        <scheme val="minor"/>
      </rPr>
      <t xml:space="preserve">Camino Acceso a Central Las Lajas </t>
    </r>
    <r>
      <rPr>
        <sz val="11"/>
        <rFont val="Calibri"/>
        <family val="2"/>
        <scheme val="minor"/>
      </rPr>
      <t xml:space="preserve"> </t>
    </r>
  </si>
  <si>
    <r>
      <t xml:space="preserve"> </t>
    </r>
    <r>
      <rPr>
        <sz val="11"/>
        <color indexed="8"/>
        <rFont val="Calibri"/>
        <family val="2"/>
        <scheme val="minor"/>
      </rPr>
      <t xml:space="preserve">Camino Acceso a VL5 </t>
    </r>
    <r>
      <rPr>
        <sz val="11"/>
        <rFont val="Calibri"/>
        <family val="2"/>
        <scheme val="minor"/>
      </rPr>
      <t xml:space="preserve"> </t>
    </r>
  </si>
  <si>
    <r>
      <t xml:space="preserve"> </t>
    </r>
    <r>
      <rPr>
        <sz val="11"/>
        <color indexed="8"/>
        <rFont val="Calibri"/>
        <family val="2"/>
        <scheme val="minor"/>
      </rPr>
      <t xml:space="preserve">Portal Ventana Construcción Túnel Las Lajas VL9 </t>
    </r>
    <r>
      <rPr>
        <sz val="11"/>
        <rFont val="Calibri"/>
        <family val="2"/>
        <scheme val="minor"/>
      </rPr>
      <t xml:space="preserve"> </t>
    </r>
  </si>
  <si>
    <r>
      <t xml:space="preserve"> </t>
    </r>
    <r>
      <rPr>
        <sz val="11"/>
        <color indexed="8"/>
        <rFont val="Calibri"/>
        <family val="2"/>
        <scheme val="minor"/>
      </rPr>
      <t xml:space="preserve">Portal Ventana Construcción Túnel Las Lajas VL7 </t>
    </r>
    <r>
      <rPr>
        <sz val="11"/>
        <rFont val="Calibri"/>
        <family val="2"/>
        <scheme val="minor"/>
      </rPr>
      <t xml:space="preserve"> </t>
    </r>
  </si>
  <si>
    <r>
      <t xml:space="preserve"> </t>
    </r>
    <r>
      <rPr>
        <sz val="11"/>
        <color indexed="8"/>
        <rFont val="Calibri"/>
        <family val="2"/>
        <scheme val="minor"/>
      </rPr>
      <t xml:space="preserve">Portal Ventana Construcción Túnel Las Lajas VL5 </t>
    </r>
    <r>
      <rPr>
        <sz val="11"/>
        <rFont val="Calibri"/>
        <family val="2"/>
        <scheme val="minor"/>
      </rPr>
      <t xml:space="preserve"> </t>
    </r>
  </si>
  <si>
    <r>
      <t xml:space="preserve"> </t>
    </r>
    <r>
      <rPr>
        <sz val="11"/>
        <color indexed="8"/>
        <rFont val="Calibri"/>
        <family val="2"/>
        <scheme val="minor"/>
      </rPr>
      <t xml:space="preserve">Portal Túnel Acceso a Central Las Lajas VL4 </t>
    </r>
    <r>
      <rPr>
        <sz val="11"/>
        <rFont val="Calibri"/>
        <family val="2"/>
        <scheme val="minor"/>
      </rPr>
      <t xml:space="preserve"> </t>
    </r>
  </si>
  <si>
    <r>
      <t xml:space="preserve"> </t>
    </r>
    <r>
      <rPr>
        <sz val="11"/>
        <color indexed="8"/>
        <rFont val="Calibri"/>
        <family val="2"/>
        <scheme val="minor"/>
      </rPr>
      <t xml:space="preserve">Portal Ventana Construcción Túnel Las Lajas VL2 </t>
    </r>
    <r>
      <rPr>
        <sz val="11"/>
        <rFont val="Calibri"/>
        <family val="2"/>
        <scheme val="minor"/>
      </rPr>
      <t xml:space="preserve"> </t>
    </r>
  </si>
  <si>
    <r>
      <t xml:space="preserve"> </t>
    </r>
    <r>
      <rPr>
        <sz val="11"/>
        <color indexed="8"/>
        <rFont val="Calibri"/>
        <family val="2"/>
        <scheme val="minor"/>
      </rPr>
      <t xml:space="preserve">Portal Túnel Descarga río Maipo </t>
    </r>
    <r>
      <rPr>
        <sz val="11"/>
        <rFont val="Calibri"/>
        <family val="2"/>
        <scheme val="minor"/>
      </rPr>
      <t xml:space="preserve"> </t>
    </r>
  </si>
  <si>
    <r>
      <t xml:space="preserve"> </t>
    </r>
    <r>
      <rPr>
        <sz val="11"/>
        <color indexed="8"/>
        <rFont val="Calibri"/>
        <family val="2"/>
        <scheme val="minor"/>
      </rPr>
      <t xml:space="preserve">Capacidad Máxima Depósito (m3) </t>
    </r>
    <r>
      <rPr>
        <sz val="11"/>
        <rFont val="Calibri"/>
        <family val="2"/>
        <scheme val="minor"/>
      </rPr>
      <t xml:space="preserve"> </t>
    </r>
  </si>
  <si>
    <r>
      <t xml:space="preserve"> </t>
    </r>
    <r>
      <rPr>
        <sz val="11"/>
        <color indexed="8"/>
        <rFont val="Calibri"/>
        <family val="2"/>
        <scheme val="minor"/>
      </rPr>
      <t xml:space="preserve">Volumen Depositado </t>
    </r>
    <r>
      <rPr>
        <sz val="11"/>
        <rFont val="Calibri"/>
        <family val="2"/>
        <scheme val="minor"/>
      </rPr>
      <t xml:space="preserve"> </t>
    </r>
  </si>
  <si>
    <r>
      <t xml:space="preserve"> </t>
    </r>
    <r>
      <rPr>
        <sz val="11"/>
        <color indexed="8"/>
        <rFont val="Calibri"/>
        <family val="2"/>
        <scheme val="minor"/>
      </rPr>
      <t xml:space="preserve">Camino Acceso a VA4 (Entrada Túnel Alfalfal II) </t>
    </r>
    <r>
      <rPr>
        <sz val="11"/>
        <rFont val="Calibri"/>
        <family val="2"/>
        <scheme val="minor"/>
      </rPr>
      <t xml:space="preserve"> </t>
    </r>
  </si>
  <si>
    <r>
      <t xml:space="preserve"> </t>
    </r>
    <r>
      <rPr>
        <sz val="11"/>
        <color indexed="8"/>
        <rFont val="Calibri"/>
        <family val="2"/>
        <scheme val="minor"/>
      </rPr>
      <t xml:space="preserve">Portal Ventana Construcción VA4 </t>
    </r>
    <r>
      <rPr>
        <sz val="11"/>
        <rFont val="Calibri"/>
        <family val="2"/>
        <scheme val="minor"/>
      </rPr>
      <t xml:space="preserve"> </t>
    </r>
  </si>
  <si>
    <r>
      <t xml:space="preserve"> </t>
    </r>
    <r>
      <rPr>
        <sz val="11"/>
        <color indexed="8"/>
        <rFont val="Calibri"/>
        <family val="2"/>
        <scheme val="minor"/>
      </rPr>
      <t xml:space="preserve">Portal Túnel Volcán V6 </t>
    </r>
    <r>
      <rPr>
        <sz val="11"/>
        <rFont val="Calibri"/>
        <family val="2"/>
        <scheme val="minor"/>
      </rPr>
      <t xml:space="preserve"> </t>
    </r>
  </si>
  <si>
    <r>
      <t xml:space="preserve"> </t>
    </r>
    <r>
      <rPr>
        <sz val="11"/>
        <color indexed="8"/>
        <rFont val="Calibri"/>
        <family val="2"/>
        <scheme val="minor"/>
      </rPr>
      <t xml:space="preserve">Portal Túnel Suelo (Sifón Yeso) </t>
    </r>
    <r>
      <rPr>
        <sz val="11"/>
        <rFont val="Calibri"/>
        <family val="2"/>
        <scheme val="minor"/>
      </rPr>
      <t xml:space="preserve"> </t>
    </r>
  </si>
  <si>
    <r>
      <t xml:space="preserve"> </t>
    </r>
    <r>
      <rPr>
        <sz val="11"/>
        <color indexed="8"/>
        <rFont val="Calibri"/>
        <family val="2"/>
        <scheme val="minor"/>
      </rPr>
      <t xml:space="preserve">Camino a Obras Sector Túnel Volcán </t>
    </r>
    <r>
      <rPr>
        <sz val="11"/>
        <rFont val="Calibri"/>
        <family val="2"/>
        <scheme val="minor"/>
      </rPr>
      <t xml:space="preserve"> </t>
    </r>
  </si>
  <si>
    <r>
      <t xml:space="preserve"> </t>
    </r>
    <r>
      <rPr>
        <sz val="11"/>
        <color indexed="8"/>
        <rFont val="Calibri"/>
        <family val="2"/>
        <scheme val="minor"/>
      </rPr>
      <t xml:space="preserve">Portal Túnel Volcán V1 </t>
    </r>
    <r>
      <rPr>
        <sz val="11"/>
        <rFont val="Calibri"/>
        <family val="2"/>
        <scheme val="minor"/>
      </rPr>
      <t xml:space="preserve"> </t>
    </r>
  </si>
  <si>
    <t>Sector</t>
  </si>
  <si>
    <r>
      <t xml:space="preserve"> </t>
    </r>
    <r>
      <rPr>
        <sz val="11"/>
        <color indexed="8"/>
        <rFont val="Calibri"/>
        <family val="2"/>
        <scheme val="minor"/>
      </rPr>
      <t xml:space="preserve">Camino Acceso a Deposito de Marina desde VA1 </t>
    </r>
    <r>
      <rPr>
        <sz val="11"/>
        <rFont val="Calibri"/>
        <family val="2"/>
        <scheme val="minor"/>
      </rPr>
      <t xml:space="preserve"> </t>
    </r>
  </si>
  <si>
    <t>Túneles y caminos</t>
  </si>
  <si>
    <t xml:space="preserve">Nombre </t>
  </si>
  <si>
    <t xml:space="preserve">Superficie (has) </t>
  </si>
  <si>
    <t xml:space="preserve">Volumen total (m3) </t>
  </si>
  <si>
    <t xml:space="preserve">Volumen mensual (m3) </t>
  </si>
  <si>
    <t xml:space="preserve">Sitio de Acopio de Marina Nº 1 - Volcán V1 </t>
  </si>
  <si>
    <t xml:space="preserve">Sitio de Acopio de Marina Nº 2 - Volcán V6 </t>
  </si>
  <si>
    <t xml:space="preserve">Sitio de Acopio de Suelo Nº 3 - Sector Lo Encañado </t>
  </si>
  <si>
    <t xml:space="preserve">Sitio de Acopio de Marina Nº 4 - Túnel Alfalfal II VA4 </t>
  </si>
  <si>
    <t xml:space="preserve">Sitio de Acopio de Marina Nº 5 – Aucayes Alto </t>
  </si>
  <si>
    <t xml:space="preserve">Sitio de Acopio de Suelo Nº 6 - Camino Aucayes Alto </t>
  </si>
  <si>
    <t xml:space="preserve">Sitio de Acopio de Marina Nº 7 - Alfalfal VL7 </t>
  </si>
  <si>
    <t xml:space="preserve">Sitio de Acopio de Marina Nº 8 - Alfalfal VL9 </t>
  </si>
  <si>
    <t xml:space="preserve">Sitio de Acopio de Marina Nº 9 - Laguna Los Maitenes </t>
  </si>
  <si>
    <t xml:space="preserve">Sitio de Acopio de Marina Nº 10 – Ventana VL5 </t>
  </si>
  <si>
    <t xml:space="preserve">Sitio de Acopio de Marina Nº 11 – Subestación </t>
  </si>
  <si>
    <t xml:space="preserve">Sitio de Acopio de Marina Nº 12 - Descarga río Maipo </t>
  </si>
  <si>
    <t xml:space="preserve">Sitio de Acopio de Marina Nº 13 – Central Las Lajas </t>
  </si>
  <si>
    <t xml:space="preserve">Sitio de Acopio de Marina Nº 14 - km. 8, Ruta G-345 </t>
  </si>
  <si>
    <t xml:space="preserve">Nº </t>
  </si>
  <si>
    <r>
      <t xml:space="preserve">Sistema Volcan </t>
    </r>
    <r>
      <rPr>
        <sz val="11"/>
        <color theme="1"/>
        <rFont val="Calibri"/>
        <family val="2"/>
      </rPr>
      <t xml:space="preserve"> </t>
    </r>
  </si>
  <si>
    <r>
      <t xml:space="preserve"> </t>
    </r>
    <r>
      <rPr>
        <sz val="11"/>
        <color rgb="FF000000"/>
        <rFont val="Calibri"/>
        <family val="2"/>
      </rPr>
      <t xml:space="preserve">Sistema Yeso </t>
    </r>
    <r>
      <rPr>
        <sz val="11"/>
        <color theme="1"/>
        <rFont val="Calibri"/>
        <family val="2"/>
      </rPr>
      <t xml:space="preserve"> </t>
    </r>
  </si>
  <si>
    <r>
      <t xml:space="preserve"> </t>
    </r>
    <r>
      <rPr>
        <sz val="11"/>
        <color rgb="FF000000"/>
        <rFont val="Calibri"/>
        <family val="2"/>
      </rPr>
      <t xml:space="preserve">Sistema Aucayes  </t>
    </r>
  </si>
  <si>
    <r>
      <t xml:space="preserve"> </t>
    </r>
    <r>
      <rPr>
        <sz val="11"/>
        <color rgb="FF000000"/>
        <rFont val="Calibri"/>
        <family val="2"/>
      </rPr>
      <t xml:space="preserve">Sistema Las Lajas </t>
    </r>
    <r>
      <rPr>
        <sz val="11"/>
        <color theme="1"/>
        <rFont val="Calibri"/>
        <family val="2"/>
      </rPr>
      <t xml:space="preserve"> </t>
    </r>
  </si>
  <si>
    <t>Referencia: Tabla 9 Adenda 1</t>
  </si>
  <si>
    <t>SAM</t>
  </si>
  <si>
    <t>Referencia: Tabla 10 Adenda 1</t>
  </si>
  <si>
    <t xml:space="preserve">Descripción </t>
  </si>
  <si>
    <t xml:space="preserve">Sección (m2) </t>
  </si>
  <si>
    <t xml:space="preserve">Largo total (m) </t>
  </si>
  <si>
    <t xml:space="preserve">Río Yeso </t>
  </si>
  <si>
    <t xml:space="preserve">Tubería de acero </t>
  </si>
  <si>
    <t xml:space="preserve">Diámetro 3m (9m2) </t>
  </si>
  <si>
    <t xml:space="preserve">Estero Manzanito </t>
  </si>
  <si>
    <t xml:space="preserve">Río Colorado </t>
  </si>
  <si>
    <t xml:space="preserve">Tubería/ducto de hormigón al túnel Las Lajas </t>
  </si>
  <si>
    <t xml:space="preserve">Diámetro 3.6m (12m2) </t>
  </si>
  <si>
    <t xml:space="preserve">Cajón de 2x2m (4m2) </t>
  </si>
  <si>
    <t>Sifones</t>
  </si>
  <si>
    <t>Referencia: Tabla 19 Adenda 1</t>
  </si>
  <si>
    <t>Tubería/ducto Maitenes de hormigón Canal</t>
  </si>
  <si>
    <t xml:space="preserve">Buldózer </t>
  </si>
  <si>
    <t>Retroexcavadoras</t>
  </si>
  <si>
    <t xml:space="preserve">Cargador Frontal </t>
  </si>
  <si>
    <t xml:space="preserve">Camiones Tolva </t>
  </si>
  <si>
    <t xml:space="preserve">Camiones Betoneras </t>
  </si>
  <si>
    <t xml:space="preserve">Jumbo </t>
  </si>
  <si>
    <t xml:space="preserve">Perforadora sobre orugas </t>
  </si>
  <si>
    <t xml:space="preserve">Perforadoras manuales </t>
  </si>
  <si>
    <t xml:space="preserve">Compresores diesel </t>
  </si>
  <si>
    <t xml:space="preserve">Bombas de inyección </t>
  </si>
  <si>
    <t xml:space="preserve">Planta de Hormigón </t>
  </si>
  <si>
    <t xml:space="preserve">Carros sobre rieles </t>
  </si>
  <si>
    <t xml:space="preserve">Motoniveladoras </t>
  </si>
  <si>
    <t xml:space="preserve">Rodillos Compactadores </t>
  </si>
  <si>
    <t xml:space="preserve">Camiones Aljibes </t>
  </si>
  <si>
    <t xml:space="preserve">Maquinas tuneleras </t>
  </si>
  <si>
    <t xml:space="preserve">Equipos /maquinaria </t>
  </si>
  <si>
    <t>Maquinarias y Equipo Principales a Utilizar en la Construcción del PHAM</t>
  </si>
  <si>
    <t xml:space="preserve">Longitud (km) </t>
  </si>
  <si>
    <t xml:space="preserve">Acueducto Engorda-Colina </t>
  </si>
  <si>
    <t xml:space="preserve">Acueducto El Volcán – Tramo I </t>
  </si>
  <si>
    <t xml:space="preserve">Acueducto El Volcán – Tramo II </t>
  </si>
  <si>
    <t xml:space="preserve">Acueducto El Volcán – Tramo III </t>
  </si>
  <si>
    <t xml:space="preserve">Conducción río Yeso </t>
  </si>
  <si>
    <t xml:space="preserve">7,8/7,5 </t>
  </si>
  <si>
    <t xml:space="preserve">1,35/4,2 </t>
  </si>
  <si>
    <t xml:space="preserve">Alimentación cámara de carga Las Lajas </t>
  </si>
  <si>
    <t xml:space="preserve">Derivación desde el canal Maitenes </t>
  </si>
  <si>
    <t xml:space="preserve">Aducción Central Las Lajas </t>
  </si>
  <si>
    <t xml:space="preserve">Conducción </t>
  </si>
  <si>
    <t>Conducciones</t>
  </si>
  <si>
    <t>Referencia: Tabla 2.2.2 EIA</t>
  </si>
  <si>
    <t xml:space="preserve">Coordenada inicio </t>
  </si>
  <si>
    <t xml:space="preserve">Coordenada término </t>
  </si>
  <si>
    <t>Largo (km)</t>
  </si>
  <si>
    <t xml:space="preserve">Coord. Este (UTM) </t>
  </si>
  <si>
    <t xml:space="preserve">Coord. Norte (UTM) </t>
  </si>
  <si>
    <t xml:space="preserve">Conducciones </t>
  </si>
  <si>
    <t xml:space="preserve">Acueducto El Volcán – Tramo I (Bocatoma Colina - Las Placas) </t>
  </si>
  <si>
    <t xml:space="preserve">Acueducto El Volcán – Tramo II (Bocatoma Las Placas – El Morado) </t>
  </si>
  <si>
    <t xml:space="preserve">Acueducto El Volcán – Tramo III (Bocatoma El Morado – Portal Túnel El Volcán) </t>
  </si>
  <si>
    <t xml:space="preserve">Alimentación cámara carga Las Lajas </t>
  </si>
  <si>
    <t xml:space="preserve">Sifones </t>
  </si>
  <si>
    <t xml:space="preserve">Sifón río Yeso </t>
  </si>
  <si>
    <t xml:space="preserve">Sifón El Morado </t>
  </si>
  <si>
    <t xml:space="preserve">Sifón río Colorado a Túnel Las Lajas </t>
  </si>
  <si>
    <t xml:space="preserve">Obra/instalación </t>
  </si>
  <si>
    <t>Obras Lineales</t>
  </si>
  <si>
    <t>Referencia: Tabla 17 Adenda 1</t>
  </si>
  <si>
    <t xml:space="preserve">Sifón Río Colorado a Canal Cámara Descarga </t>
  </si>
  <si>
    <t xml:space="preserve">Túnel El Volcán </t>
  </si>
  <si>
    <t xml:space="preserve">Túnel de aducción Alfalfal II </t>
  </si>
  <si>
    <t xml:space="preserve">Túnel El Yeso </t>
  </si>
  <si>
    <t xml:space="preserve">Túneles de aducción, acceso y descarga </t>
  </si>
  <si>
    <t xml:space="preserve">Túnel de Aducción Las Lajas </t>
  </si>
  <si>
    <t xml:space="preserve">Obras </t>
  </si>
  <si>
    <t xml:space="preserve">Cámara de carga Las Lajas </t>
  </si>
  <si>
    <t>Referencia: Tabla 18 Adenda 1</t>
  </si>
  <si>
    <t>Túneles</t>
  </si>
  <si>
    <t xml:space="preserve">Tipo de sección </t>
  </si>
  <si>
    <t xml:space="preserve">Área (m2) </t>
  </si>
  <si>
    <t xml:space="preserve">Longitud (Km.) </t>
  </si>
  <si>
    <t xml:space="preserve">N° ventanas </t>
  </si>
  <si>
    <t xml:space="preserve">El Volcán </t>
  </si>
  <si>
    <t xml:space="preserve">Medio punto/circular </t>
  </si>
  <si>
    <t xml:space="preserve">Alfalfal II </t>
  </si>
  <si>
    <t xml:space="preserve">Circular/medio punto </t>
  </si>
  <si>
    <t xml:space="preserve">medio punto </t>
  </si>
  <si>
    <t xml:space="preserve">21/30 </t>
  </si>
  <si>
    <t xml:space="preserve">Descarga Alfalfal II </t>
  </si>
  <si>
    <t xml:space="preserve">Descarga Las Lajas </t>
  </si>
  <si>
    <t xml:space="preserve">Acceso Alfalfal II </t>
  </si>
  <si>
    <t xml:space="preserve">Acceso las Lajas </t>
  </si>
  <si>
    <t xml:space="preserve">Túnel </t>
  </si>
  <si>
    <t>12/13</t>
  </si>
  <si>
    <t>Referencia: Tabla 2.2.5 EIA</t>
  </si>
  <si>
    <t>Caminos</t>
  </si>
  <si>
    <t xml:space="preserve">Ancho Franja (m) </t>
  </si>
  <si>
    <t xml:space="preserve">Quebrada Aucayes </t>
  </si>
  <si>
    <t>Yeso</t>
  </si>
  <si>
    <t xml:space="preserve">Colorado </t>
  </si>
  <si>
    <t xml:space="preserve">Volcán </t>
  </si>
  <si>
    <t xml:space="preserve">Total </t>
  </si>
  <si>
    <t>Referencia: Tabla 2.3.2 EIA</t>
  </si>
  <si>
    <t xml:space="preserve">Cantidad </t>
  </si>
  <si>
    <t xml:space="preserve">Frecuencia </t>
  </si>
  <si>
    <t xml:space="preserve">Total días al año </t>
  </si>
  <si>
    <t xml:space="preserve">Camión Aljibe </t>
  </si>
  <si>
    <t xml:space="preserve">Diaria </t>
  </si>
  <si>
    <t xml:space="preserve">Motoniveladora </t>
  </si>
  <si>
    <t xml:space="preserve">mensual (1) </t>
  </si>
  <si>
    <t xml:space="preserve">Rodillo Compactador </t>
  </si>
  <si>
    <t xml:space="preserve">mensual (2) </t>
  </si>
  <si>
    <t xml:space="preserve">Camión Tolva </t>
  </si>
  <si>
    <t xml:space="preserve">semestral (3) </t>
  </si>
  <si>
    <t xml:space="preserve">Equipo </t>
  </si>
  <si>
    <t>Notas: (1) Una semana por mes; (2) Una semana por cada dos meses; (3) Una semana por semestre</t>
  </si>
  <si>
    <t>Maquinaria Utilizada en la Mantención de Caminos</t>
  </si>
  <si>
    <t xml:space="preserve">Maipo </t>
  </si>
  <si>
    <t xml:space="preserve">El Sauce </t>
  </si>
  <si>
    <t xml:space="preserve">Pta. Aux </t>
  </si>
  <si>
    <t xml:space="preserve">Aucayes </t>
  </si>
  <si>
    <t>C. Carga</t>
  </si>
  <si>
    <t>Volcán</t>
  </si>
  <si>
    <t xml:space="preserve">Acero y pernos de anclaje </t>
  </si>
  <si>
    <t xml:space="preserve">ton </t>
  </si>
  <si>
    <t xml:space="preserve">Cemento </t>
  </si>
  <si>
    <t xml:space="preserve">Áridos Complementarios </t>
  </si>
  <si>
    <t xml:space="preserve">Madera </t>
  </si>
  <si>
    <t xml:space="preserve">Combustibles </t>
  </si>
  <si>
    <t xml:space="preserve">Tubos de Acero </t>
  </si>
  <si>
    <t xml:space="preserve">Tubos de Hormigón </t>
  </si>
  <si>
    <t xml:space="preserve">Otras Cargas Varias </t>
  </si>
  <si>
    <t>Insumo</t>
  </si>
  <si>
    <t>Requerimientos de Insumos</t>
  </si>
  <si>
    <t>Referencia: Tabla 2.3.11 EIA</t>
  </si>
  <si>
    <t>Montaje Torres y Líneas</t>
  </si>
  <si>
    <t>Obras Civiles SSEE</t>
  </si>
  <si>
    <t>Obras Civiles Caverna Las Lajas</t>
  </si>
  <si>
    <t>Obras Civiles Cámara Carga Las Lajas</t>
  </si>
  <si>
    <t>Obras Civiles</t>
  </si>
  <si>
    <t>m3</t>
  </si>
  <si>
    <t>Operación SAM Nº12</t>
  </si>
  <si>
    <t>Operación SAM Nº14</t>
  </si>
  <si>
    <t>Operación SAM Nº13</t>
  </si>
  <si>
    <t>Operación SAM Nº11</t>
  </si>
  <si>
    <t>Operación SAM Nº10</t>
  </si>
  <si>
    <t>Operación SAM Nº8</t>
  </si>
  <si>
    <t>Operación SAM Nº7</t>
  </si>
  <si>
    <t>Las Lajas hacia arriba (L1 hacia L4)</t>
  </si>
  <si>
    <t>Las Puertas hacia abajo (L4 hacia L1)</t>
  </si>
  <si>
    <t>Las Puertas hacia arriba (L4 a L7)</t>
  </si>
  <si>
    <t>Ventana Las Puertas (VL2 a L4)</t>
  </si>
  <si>
    <t>Túnel Descarga Las Lajas (L7 a L4)</t>
  </si>
  <si>
    <t>m2</t>
  </si>
  <si>
    <t>Caverna y Otros Las Lajas</t>
  </si>
  <si>
    <t>Túnel Acceso Las Lajas (VL4)</t>
  </si>
  <si>
    <t>Excavación Pique - Chimenea</t>
  </si>
  <si>
    <t>Aducción Las Lajas A Arriba (L9 a L10 - 601m.)</t>
  </si>
  <si>
    <t>Ventana y Túnel VL5 a L9</t>
  </si>
  <si>
    <t>L10 a Alfalfal II</t>
  </si>
  <si>
    <t>Ventana El 300, Frente Principal (L12 a L10 + 601m.)</t>
  </si>
  <si>
    <t>Ventana El 300, Frentes Auxiliares (L12 a VL8)</t>
  </si>
  <si>
    <t>Ventana El 300 (VL7 - L12)</t>
  </si>
  <si>
    <t>Túneles, cavernas  y chimeneas</t>
  </si>
  <si>
    <t>Habilitación SAM Nº12</t>
  </si>
  <si>
    <t>Habilitación SAM Nº14</t>
  </si>
  <si>
    <t>Habilitación SAM Nº13</t>
  </si>
  <si>
    <t>Habilitación SAM Nº11</t>
  </si>
  <si>
    <t>Habilitación SAM Nº10</t>
  </si>
  <si>
    <t>Habilitación SAM Nº8</t>
  </si>
  <si>
    <t>Habilitación SAM Nº7</t>
  </si>
  <si>
    <r>
      <rPr>
        <sz val="11"/>
        <rFont val="Calibri"/>
        <family val="2"/>
        <scheme val="minor"/>
      </rPr>
      <t xml:space="preserve"> </t>
    </r>
    <r>
      <rPr>
        <sz val="11"/>
        <color indexed="8"/>
        <rFont val="Calibri"/>
        <family val="2"/>
        <scheme val="minor"/>
      </rPr>
      <t xml:space="preserve">Camino Acceso a VL5 </t>
    </r>
    <r>
      <rPr>
        <sz val="11"/>
        <rFont val="Calibri"/>
        <family val="2"/>
        <scheme val="minor"/>
      </rPr>
      <t xml:space="preserve"> </t>
    </r>
  </si>
  <si>
    <t>Obras Previas</t>
  </si>
  <si>
    <t>Obras Civiles Caverna Alfalfal II</t>
  </si>
  <si>
    <t>Operación SAM Nº9</t>
  </si>
  <si>
    <t>Cámara de Carga</t>
  </si>
  <si>
    <t>m</t>
  </si>
  <si>
    <t>Túnel Descarga Alfalfal II (Hasta L10')</t>
  </si>
  <si>
    <t>Excavación Pique - Chimenea TBM</t>
  </si>
  <si>
    <t xml:space="preserve">Caverna y Otros Alfalfal II </t>
  </si>
  <si>
    <t>Túnel Acceso Alfalfal II (VA1)</t>
  </si>
  <si>
    <t>Habilitación SAM Nº9</t>
  </si>
  <si>
    <t xml:space="preserve"> Camino a Cámara de Carga Alfalfal II  </t>
  </si>
  <si>
    <t xml:space="preserve"> Camino Acceso Central Alfalfal II (VA1)  </t>
  </si>
  <si>
    <t xml:space="preserve"> Camino Acceso a Deposito de Marina desde VA1  </t>
  </si>
  <si>
    <t>Puente Aucayes</t>
  </si>
  <si>
    <t>Operación SAM Nº6</t>
  </si>
  <si>
    <t>Túnel Alfalfal II Aducción TBM (VA2 a A10')</t>
  </si>
  <si>
    <t>Habilitación SAM Nº6</t>
  </si>
  <si>
    <t>Habilitación SAM Nº5</t>
  </si>
  <si>
    <r>
      <rPr>
        <sz val="11"/>
        <rFont val="Calibri"/>
        <family val="2"/>
        <scheme val="minor"/>
      </rPr>
      <t xml:space="preserve"> </t>
    </r>
    <r>
      <rPr>
        <sz val="11"/>
        <color indexed="8"/>
        <rFont val="Calibri"/>
        <family val="2"/>
        <scheme val="minor"/>
      </rPr>
      <t xml:space="preserve">Camino Acceso a VA2 </t>
    </r>
    <r>
      <rPr>
        <sz val="11"/>
        <rFont val="Calibri"/>
        <family val="2"/>
        <scheme val="minor"/>
      </rPr>
      <t xml:space="preserve">  (Aucayes Alto)  </t>
    </r>
  </si>
  <si>
    <t>Puente Río Yeso</t>
  </si>
  <si>
    <t>Bocatoma El Yeso</t>
  </si>
  <si>
    <t>Sifón río Yeso</t>
  </si>
  <si>
    <t>Operación SAM Nº4</t>
  </si>
  <si>
    <t>Operación SAM Nº3</t>
  </si>
  <si>
    <t>Operación SAM Nº2</t>
  </si>
  <si>
    <t>Túnel Alfalfal TBM (VA4 a A10')</t>
  </si>
  <si>
    <t xml:space="preserve">Túnel Volcán TBM </t>
  </si>
  <si>
    <t>Túnel Volcán Minería (Desde V6 aguas arriba)</t>
  </si>
  <si>
    <t>Habilitación SAM Nº4</t>
  </si>
  <si>
    <t>Habilitación SAM Nº3</t>
  </si>
  <si>
    <t>Habilitación SAM Nº2</t>
  </si>
  <si>
    <r>
      <rPr>
        <sz val="11"/>
        <rFont val="Calibri"/>
        <family val="2"/>
        <scheme val="minor"/>
      </rPr>
      <t xml:space="preserve"> </t>
    </r>
    <r>
      <rPr>
        <sz val="11"/>
        <color indexed="8"/>
        <rFont val="Calibri"/>
        <family val="2"/>
        <scheme val="minor"/>
      </rPr>
      <t xml:space="preserve">Camino Acceso a VA4 (Entrada Túnel Alfalfal II) </t>
    </r>
    <r>
      <rPr>
        <sz val="11"/>
        <rFont val="Calibri"/>
        <family val="2"/>
        <scheme val="minor"/>
      </rPr>
      <t xml:space="preserve"> </t>
    </r>
  </si>
  <si>
    <t>Instalación AAFF 2</t>
  </si>
  <si>
    <t>Bocatomas (El morado, Colina, La Engorda, Las Placas)</t>
  </si>
  <si>
    <t>Operación SAM Nº1</t>
  </si>
  <si>
    <t>Túnel (V1 aguas abajo)</t>
  </si>
  <si>
    <t>Habilitación SAM Nº1</t>
  </si>
  <si>
    <r>
      <rPr>
        <sz val="11"/>
        <color indexed="8"/>
        <rFont val="Calibri"/>
        <family val="2"/>
        <scheme val="minor"/>
      </rPr>
      <t xml:space="preserve">Camino a Obras Sector Túnel Volcán </t>
    </r>
    <r>
      <rPr>
        <sz val="11"/>
        <rFont val="Calibri"/>
        <family val="2"/>
        <scheme val="minor"/>
      </rPr>
      <t xml:space="preserve"> </t>
    </r>
  </si>
  <si>
    <t>Instalación AAFF 1</t>
  </si>
  <si>
    <t>Unidad</t>
  </si>
  <si>
    <t>Dimensión</t>
  </si>
  <si>
    <t>Obra/intervención</t>
  </si>
  <si>
    <t>Tipo de obra</t>
  </si>
  <si>
    <t>Puente Manzanito</t>
  </si>
  <si>
    <t>Puente Rio Colorado</t>
  </si>
  <si>
    <t>Referencia: Anexo 14 Adenda 1</t>
  </si>
  <si>
    <r>
      <rPr>
        <sz val="11"/>
        <color indexed="8"/>
        <rFont val="Calibri"/>
        <family val="2"/>
        <scheme val="minor"/>
      </rPr>
      <t>Volumen Depositado (m</t>
    </r>
    <r>
      <rPr>
        <sz val="11"/>
        <rFont val="Calibri"/>
        <family val="2"/>
        <scheme val="minor"/>
      </rPr>
      <t>3)</t>
    </r>
  </si>
  <si>
    <t>Escarpe</t>
  </si>
  <si>
    <t>Relleno</t>
  </si>
  <si>
    <t>Excedente</t>
  </si>
  <si>
    <t>Destino</t>
  </si>
  <si>
    <t>sam4</t>
  </si>
  <si>
    <t>Excavación suelo</t>
  </si>
  <si>
    <t>Excavación roca</t>
  </si>
  <si>
    <t>monto1</t>
  </si>
  <si>
    <t>monto2</t>
  </si>
  <si>
    <t>sam6,9</t>
  </si>
  <si>
    <t>sam5,6</t>
  </si>
  <si>
    <t>sam9</t>
  </si>
  <si>
    <t>sam5</t>
  </si>
  <si>
    <t>sam13</t>
  </si>
  <si>
    <t>sam11</t>
  </si>
  <si>
    <t>Obras civiles sector Rio Colorado</t>
  </si>
  <si>
    <t>Obras de descarga al Rio Yeso</t>
  </si>
  <si>
    <t>sam1</t>
  </si>
  <si>
    <t>sam6</t>
  </si>
  <si>
    <t>sam7</t>
  </si>
  <si>
    <t>sam10,11</t>
  </si>
  <si>
    <t>sam8</t>
  </si>
  <si>
    <t>sam11,13,14</t>
  </si>
  <si>
    <t>monto3</t>
  </si>
  <si>
    <t>sam14</t>
  </si>
  <si>
    <t>sam12</t>
  </si>
  <si>
    <t>sam3</t>
  </si>
  <si>
    <t>Aridos</t>
  </si>
  <si>
    <t>Cemento</t>
  </si>
  <si>
    <t>Misceláneos</t>
  </si>
  <si>
    <t>sam2</t>
  </si>
  <si>
    <t>Operación SAM Nº5</t>
  </si>
  <si>
    <t>Instalación AAFF 7</t>
  </si>
  <si>
    <t>sam10</t>
  </si>
  <si>
    <t>sam7,9</t>
  </si>
  <si>
    <t>Área El Volcán</t>
  </si>
  <si>
    <t>Área Yeso</t>
  </si>
  <si>
    <t>Área Aucayes Alto</t>
  </si>
  <si>
    <t>Total general</t>
  </si>
  <si>
    <t>Área Alfalfal II</t>
  </si>
  <si>
    <t>Área Las Lajas-Maipo</t>
  </si>
  <si>
    <t>Valor</t>
  </si>
  <si>
    <t>VKTescarpe</t>
  </si>
  <si>
    <t>VKTNivelación</t>
  </si>
  <si>
    <t>N° Tronadura</t>
  </si>
  <si>
    <t>Ton Perforación</t>
  </si>
  <si>
    <t>MT2011</t>
  </si>
  <si>
    <t>MT2012</t>
  </si>
  <si>
    <t>MT2013</t>
  </si>
  <si>
    <t>MT2014</t>
  </si>
  <si>
    <t>MT2015</t>
  </si>
  <si>
    <t>MT2016</t>
  </si>
  <si>
    <t>MM2011</t>
  </si>
  <si>
    <t>MM2012</t>
  </si>
  <si>
    <t>MM2013</t>
  </si>
  <si>
    <t>MM2014</t>
  </si>
  <si>
    <t>MM2015</t>
  </si>
  <si>
    <t>MM2016</t>
  </si>
  <si>
    <t>Hrs ExcSuelo</t>
  </si>
  <si>
    <t>Hrs ExcRoca</t>
  </si>
  <si>
    <t>Ton C&amp;D_Ex</t>
  </si>
  <si>
    <t>Ton C&amp;D_mm</t>
  </si>
  <si>
    <t>Extracción Marina</t>
  </si>
  <si>
    <t>Excavación</t>
  </si>
  <si>
    <t>Objetivo</t>
  </si>
  <si>
    <t>km</t>
  </si>
  <si>
    <t>Nivelación</t>
  </si>
  <si>
    <t>Factor de emisión</t>
  </si>
  <si>
    <t>Carga/Descarga</t>
  </si>
  <si>
    <t>Perforación</t>
  </si>
  <si>
    <t>CO2011</t>
  </si>
  <si>
    <t>CO2012</t>
  </si>
  <si>
    <t>CO2013</t>
  </si>
  <si>
    <t>CO2014</t>
  </si>
  <si>
    <t>CO2015</t>
  </si>
  <si>
    <t>CO2016</t>
  </si>
  <si>
    <t>COTOT</t>
  </si>
  <si>
    <t>Potencia (hp)</t>
  </si>
  <si>
    <t>Operación (h)</t>
  </si>
  <si>
    <t>Buldózer 1</t>
  </si>
  <si>
    <t>Buldózer 2</t>
  </si>
  <si>
    <t>DMT1</t>
  </si>
  <si>
    <t>DMT2</t>
  </si>
  <si>
    <t>DMT3</t>
  </si>
  <si>
    <t xml:space="preserve">Obras de construcción </t>
  </si>
  <si>
    <t xml:space="preserve">G-25 </t>
  </si>
  <si>
    <t xml:space="preserve">Paralela al Río Maipo </t>
  </si>
  <si>
    <t xml:space="preserve">Obras en río Maipo </t>
  </si>
  <si>
    <t xml:space="preserve">G – 345 </t>
  </si>
  <si>
    <t xml:space="preserve">Paralela al Río Colorado </t>
  </si>
  <si>
    <t xml:space="preserve">Obras Alfalfal II- Las Lajas </t>
  </si>
  <si>
    <t xml:space="preserve">G – 455 </t>
  </si>
  <si>
    <t xml:space="preserve">Conecta ruta G-25 con el sector de El Yeso </t>
  </si>
  <si>
    <t xml:space="preserve">Obras Lo Encañado – El Yeso </t>
  </si>
  <si>
    <t xml:space="preserve">Laguna Negra </t>
  </si>
  <si>
    <t xml:space="preserve">Conecta ruta G – 455 con el sector de Laguna Negra (camino privado). </t>
  </si>
  <si>
    <t xml:space="preserve">Volcán – Baños </t>
  </si>
  <si>
    <t xml:space="preserve">Conecta la Ruta G-25 con las localidades del </t>
  </si>
  <si>
    <t xml:space="preserve">Obras El Volcán </t>
  </si>
  <si>
    <t xml:space="preserve">Morales </t>
  </si>
  <si>
    <t xml:space="preserve">Volcán, Baños Morales, Lo Valdés. </t>
  </si>
  <si>
    <t xml:space="preserve">Ruta </t>
  </si>
  <si>
    <t>Rutas Acercamiento a los Frentes de Trabajo y Campamentos del PHAM</t>
  </si>
  <si>
    <t>Referencia: Tabla 23 Adenda 1</t>
  </si>
  <si>
    <t>VKTNOpav</t>
  </si>
  <si>
    <t>VKTPav</t>
  </si>
  <si>
    <t>Meses de actividad</t>
  </si>
  <si>
    <t xml:space="preserve">Portal túnel Volcán V1 </t>
  </si>
  <si>
    <t xml:space="preserve">Portal túnel Volcán V6 </t>
  </si>
  <si>
    <t xml:space="preserve">Portal Ventana Túnel Alfalfal II VA2 </t>
  </si>
  <si>
    <t xml:space="preserve">Portal Ventana Túnel Las Lajas VL5 </t>
  </si>
  <si>
    <t xml:space="preserve">Portal Túnel Las Lajas VL8 </t>
  </si>
  <si>
    <t xml:space="preserve">Portal Túnel Las Lajas VL7 </t>
  </si>
  <si>
    <t xml:space="preserve">Portal acceso a Central Las Lajas VL4 </t>
  </si>
  <si>
    <t xml:space="preserve">Portal Ventana Las Puertas VL2 </t>
  </si>
  <si>
    <t xml:space="preserve">Portal Túnel Las Lajas L1 (Descarga río Maipo) </t>
  </si>
  <si>
    <t xml:space="preserve">Frente de Trabajo </t>
  </si>
  <si>
    <t>Referencia: Tabla 1. Anexo 5 Adenda 1</t>
  </si>
  <si>
    <t>Coordenadas de cada PPH a habilitar en el PHAM</t>
  </si>
  <si>
    <t>Operación Planta de Hormigón</t>
  </si>
  <si>
    <t xml:space="preserve">Planta Hormigon Portal Ventana Túnel Las Lajas VL5 </t>
  </si>
  <si>
    <t xml:space="preserve">Planta Hormigon Portal Túnel Las Lajas VL8 </t>
  </si>
  <si>
    <t xml:space="preserve">Planta Hormigon Portal Túnel Las Lajas VL7 </t>
  </si>
  <si>
    <t xml:space="preserve">Planta Hormigon Portal acceso a Central Las Lajas VL4 </t>
  </si>
  <si>
    <t xml:space="preserve">Planta Hormigon Portal Ventana Las Puertas VL2 </t>
  </si>
  <si>
    <t xml:space="preserve">Planta Hormigon Portal Túnel Las Lajas L1 (Descarga río Maipo) </t>
  </si>
  <si>
    <t>Ruta</t>
  </si>
  <si>
    <t>Entre</t>
  </si>
  <si>
    <t>Flujos Horarios Máximos Base 2010 (veq/h)</t>
  </si>
  <si>
    <t>La Obra</t>
  </si>
  <si>
    <t xml:space="preserve">Origen </t>
  </si>
  <si>
    <t>Calle</t>
  </si>
  <si>
    <t>Autopista Vespucio</t>
  </si>
  <si>
    <t>Av. La Florida-Ruta G25</t>
  </si>
  <si>
    <t>Decarga Rio Maipo</t>
  </si>
  <si>
    <t>Ruta G25</t>
  </si>
  <si>
    <t>Tramo 1</t>
  </si>
  <si>
    <t>Tramo 2</t>
  </si>
  <si>
    <t>Tramo 3</t>
  </si>
  <si>
    <t>Tramo 4</t>
  </si>
  <si>
    <t>Los Maitenes</t>
  </si>
  <si>
    <t>Ruta G345</t>
  </si>
  <si>
    <t>Río Colorado/G25</t>
  </si>
  <si>
    <t>Tramo 5</t>
  </si>
  <si>
    <t>Tramo 6</t>
  </si>
  <si>
    <t>Tramo 7</t>
  </si>
  <si>
    <t>Tramo 8</t>
  </si>
  <si>
    <t>Tramo 9</t>
  </si>
  <si>
    <t>G25/G455 (cruce El Yeso)</t>
  </si>
  <si>
    <t>Tipo Carpeta</t>
  </si>
  <si>
    <t>Pavimento</t>
  </si>
  <si>
    <t>Ripio</t>
  </si>
  <si>
    <t>Ruta G455</t>
  </si>
  <si>
    <t>Bocatoma El Volcán</t>
  </si>
  <si>
    <t xml:space="preserve">unidad </t>
  </si>
  <si>
    <t xml:space="preserve">Frente de trabajo </t>
  </si>
  <si>
    <t xml:space="preserve">Yeso </t>
  </si>
  <si>
    <t xml:space="preserve">Estanque </t>
  </si>
  <si>
    <t xml:space="preserve">pasajeros/mes </t>
  </si>
  <si>
    <t xml:space="preserve">pasajeros </t>
  </si>
  <si>
    <t xml:space="preserve">bus/mes </t>
  </si>
  <si>
    <t xml:space="preserve">bus (cap. 40 pas.) </t>
  </si>
  <si>
    <t xml:space="preserve">bus/4 turnos </t>
  </si>
  <si>
    <t xml:space="preserve">bus </t>
  </si>
  <si>
    <t>Fecha inicio</t>
  </si>
  <si>
    <t>N° Trabajadores</t>
  </si>
  <si>
    <t>Año</t>
  </si>
  <si>
    <t>mes</t>
  </si>
  <si>
    <t>Flujo de buses/mes</t>
  </si>
  <si>
    <t>Referencia: AMBITRANS, 2008. Estudio de Impacto Vial “Proyecto Hidroeléctrico Alto Maipo”</t>
  </si>
  <si>
    <t>Referencia: Figura 4. Adenda 1 EIA</t>
  </si>
  <si>
    <t xml:space="preserve">Vehiculos livianos (diario) </t>
  </si>
  <si>
    <t xml:space="preserve">vehiculo </t>
  </si>
  <si>
    <t>Referencia: Tabla 4, Adenda 1</t>
  </si>
  <si>
    <t>Referencia: Tabla 2.3.3, EIA</t>
  </si>
  <si>
    <t>Transporte</t>
  </si>
  <si>
    <t>Curva Ocupacional (estimada a partir de gráfico: Figura 4 Adenda 1)</t>
  </si>
  <si>
    <t>Flujo vehículos livianos</t>
  </si>
  <si>
    <t>Transpote</t>
  </si>
  <si>
    <r>
      <t xml:space="preserve"> </t>
    </r>
    <r>
      <rPr>
        <u/>
        <sz val="11"/>
        <color indexed="8"/>
        <rFont val="Calibri"/>
        <family val="2"/>
        <scheme val="minor"/>
      </rPr>
      <t xml:space="preserve">Movimientos de Tierra Caminos (m3) </t>
    </r>
    <r>
      <rPr>
        <u/>
        <sz val="11"/>
        <rFont val="Calibri"/>
        <family val="2"/>
        <scheme val="minor"/>
      </rPr>
      <t xml:space="preserve"> </t>
    </r>
  </si>
  <si>
    <r>
      <t xml:space="preserve"> </t>
    </r>
    <r>
      <rPr>
        <u/>
        <sz val="11"/>
        <color indexed="8"/>
        <rFont val="Calibri"/>
        <family val="2"/>
        <scheme val="minor"/>
      </rPr>
      <t xml:space="preserve">Excedentes Caminos </t>
    </r>
    <r>
      <rPr>
        <u/>
        <sz val="11"/>
        <rFont val="Calibri"/>
        <family val="2"/>
        <scheme val="minor"/>
      </rPr>
      <t xml:space="preserve"> </t>
    </r>
  </si>
  <si>
    <r>
      <t xml:space="preserve"> </t>
    </r>
    <r>
      <rPr>
        <u/>
        <sz val="11"/>
        <color indexed="8"/>
        <rFont val="Calibri"/>
        <family val="2"/>
        <scheme val="minor"/>
      </rPr>
      <t>Marina Túneles</t>
    </r>
    <r>
      <rPr>
        <u/>
        <sz val="11"/>
        <rFont val="Calibri"/>
        <family val="2"/>
        <scheme val="minor"/>
      </rPr>
      <t xml:space="preserve"> </t>
    </r>
  </si>
  <si>
    <r>
      <t xml:space="preserve"> </t>
    </r>
    <r>
      <rPr>
        <u/>
        <sz val="11"/>
        <color indexed="8"/>
        <rFont val="Calibri"/>
        <family val="2"/>
        <scheme val="minor"/>
      </rPr>
      <t xml:space="preserve">Sitio de Acopio de Marina Nº 1 - Volcán V1 </t>
    </r>
    <r>
      <rPr>
        <u/>
        <sz val="11"/>
        <rFont val="Calibri"/>
        <family val="2"/>
        <scheme val="minor"/>
      </rPr>
      <t xml:space="preserve"> </t>
    </r>
  </si>
  <si>
    <r>
      <t xml:space="preserve"> </t>
    </r>
    <r>
      <rPr>
        <u/>
        <sz val="11"/>
        <color indexed="8"/>
        <rFont val="Calibri"/>
        <family val="2"/>
        <scheme val="minor"/>
      </rPr>
      <t xml:space="preserve">Sitio de Acopio de Marina Nº 4 - Túnel Alfalfal II VA4 </t>
    </r>
    <r>
      <rPr>
        <u/>
        <sz val="11"/>
        <rFont val="Calibri"/>
        <family val="2"/>
        <scheme val="minor"/>
      </rPr>
      <t xml:space="preserve"> </t>
    </r>
  </si>
  <si>
    <r>
      <t xml:space="preserve"> </t>
    </r>
    <r>
      <rPr>
        <u/>
        <sz val="11"/>
        <color indexed="8"/>
        <rFont val="Calibri"/>
        <family val="2"/>
        <scheme val="minor"/>
      </rPr>
      <t xml:space="preserve">Sitio de Acopio de Marina Nº 2 - Volcán V6 </t>
    </r>
    <r>
      <rPr>
        <u/>
        <sz val="11"/>
        <rFont val="Calibri"/>
        <family val="2"/>
        <scheme val="minor"/>
      </rPr>
      <t xml:space="preserve"> </t>
    </r>
  </si>
  <si>
    <r>
      <t xml:space="preserve"> </t>
    </r>
    <r>
      <rPr>
        <u/>
        <sz val="11"/>
        <color indexed="8"/>
        <rFont val="Calibri"/>
        <family val="2"/>
        <scheme val="minor"/>
      </rPr>
      <t xml:space="preserve">Sitio de Acopio de Suelo Nº 3 - Sector Lo Encañado </t>
    </r>
    <r>
      <rPr>
        <u/>
        <sz val="11"/>
        <rFont val="Calibri"/>
        <family val="2"/>
        <scheme val="minor"/>
      </rPr>
      <t xml:space="preserve"> </t>
    </r>
  </si>
  <si>
    <r>
      <t xml:space="preserve"> </t>
    </r>
    <r>
      <rPr>
        <u/>
        <sz val="11"/>
        <color indexed="8"/>
        <rFont val="Calibri"/>
        <family val="2"/>
        <scheme val="minor"/>
      </rPr>
      <t xml:space="preserve">Sitio de Acopio de Marina Nº 9 – Laguna Los Maitenes </t>
    </r>
    <r>
      <rPr>
        <u/>
        <sz val="11"/>
        <rFont val="Calibri"/>
        <family val="2"/>
        <scheme val="minor"/>
      </rPr>
      <t xml:space="preserve"> </t>
    </r>
  </si>
  <si>
    <r>
      <t xml:space="preserve"> </t>
    </r>
    <r>
      <rPr>
        <u/>
        <sz val="11"/>
        <color indexed="8"/>
        <rFont val="Calibri"/>
        <family val="2"/>
        <scheme val="minor"/>
      </rPr>
      <t xml:space="preserve">Sitio de Acopio de Marina Nº 5 - Aucayes Alto </t>
    </r>
    <r>
      <rPr>
        <u/>
        <sz val="11"/>
        <rFont val="Calibri"/>
        <family val="2"/>
        <scheme val="minor"/>
      </rPr>
      <t xml:space="preserve"> </t>
    </r>
  </si>
  <si>
    <r>
      <t xml:space="preserve"> </t>
    </r>
    <r>
      <rPr>
        <u/>
        <sz val="11"/>
        <color indexed="8"/>
        <rFont val="Calibri"/>
        <family val="2"/>
        <scheme val="minor"/>
      </rPr>
      <t xml:space="preserve">Sitio de Acopio de Suelo Nº 6 - Camino Aucayes Alto </t>
    </r>
    <r>
      <rPr>
        <u/>
        <sz val="11"/>
        <color theme="1"/>
        <rFont val="Calibri"/>
        <family val="2"/>
        <scheme val="minor"/>
      </rPr>
      <t xml:space="preserve"> </t>
    </r>
  </si>
  <si>
    <r>
      <t xml:space="preserve"> </t>
    </r>
    <r>
      <rPr>
        <u/>
        <sz val="11"/>
        <color indexed="8"/>
        <rFont val="Calibri"/>
        <family val="2"/>
        <scheme val="minor"/>
      </rPr>
      <t xml:space="preserve">Sitio de Acopio de Marina Nº 8 - Alfalfal VL8 </t>
    </r>
    <r>
      <rPr>
        <u/>
        <sz val="11"/>
        <rFont val="Calibri"/>
        <family val="2"/>
        <scheme val="minor"/>
      </rPr>
      <t xml:space="preserve"> </t>
    </r>
  </si>
  <si>
    <r>
      <t xml:space="preserve"> </t>
    </r>
    <r>
      <rPr>
        <u/>
        <sz val="11"/>
        <color indexed="8"/>
        <rFont val="Calibri"/>
        <family val="2"/>
        <scheme val="minor"/>
      </rPr>
      <t xml:space="preserve">Sitio de Acopio de Marina Nº 7 - Alfalfal VL7 </t>
    </r>
    <r>
      <rPr>
        <u/>
        <sz val="11"/>
        <rFont val="Calibri"/>
        <family val="2"/>
        <scheme val="minor"/>
      </rPr>
      <t xml:space="preserve"> </t>
    </r>
  </si>
  <si>
    <r>
      <t xml:space="preserve"> </t>
    </r>
    <r>
      <rPr>
        <u/>
        <sz val="11"/>
        <color indexed="8"/>
        <rFont val="Calibri"/>
        <family val="2"/>
        <scheme val="minor"/>
      </rPr>
      <t xml:space="preserve">Sitio de Acopio de Marina Nº 10 -Ventana VL5 </t>
    </r>
    <r>
      <rPr>
        <u/>
        <sz val="11"/>
        <rFont val="Calibri"/>
        <family val="2"/>
        <scheme val="minor"/>
      </rPr>
      <t xml:space="preserve"> </t>
    </r>
  </si>
  <si>
    <r>
      <t xml:space="preserve"> </t>
    </r>
    <r>
      <rPr>
        <u/>
        <sz val="11"/>
        <color indexed="8"/>
        <rFont val="Calibri"/>
        <family val="2"/>
        <scheme val="minor"/>
      </rPr>
      <t xml:space="preserve">Sitio de Acopio de Marina Nº 11 </t>
    </r>
    <r>
      <rPr>
        <u/>
        <sz val="11"/>
        <rFont val="Calibri"/>
        <family val="2"/>
        <scheme val="minor"/>
      </rPr>
      <t xml:space="preserve"> </t>
    </r>
  </si>
  <si>
    <r>
      <t xml:space="preserve"> </t>
    </r>
    <r>
      <rPr>
        <u/>
        <sz val="11"/>
        <color indexed="8"/>
        <rFont val="Calibri"/>
        <family val="2"/>
        <scheme val="minor"/>
      </rPr>
      <t xml:space="preserve">Sitio de Acopio de Marina Nº 13 -Central Las Lajas </t>
    </r>
    <r>
      <rPr>
        <u/>
        <sz val="11"/>
        <rFont val="Calibri"/>
        <family val="2"/>
        <scheme val="minor"/>
      </rPr>
      <t xml:space="preserve"> </t>
    </r>
  </si>
  <si>
    <r>
      <t xml:space="preserve"> </t>
    </r>
    <r>
      <rPr>
        <u/>
        <sz val="11"/>
        <color indexed="8"/>
        <rFont val="Calibri"/>
        <family val="2"/>
        <scheme val="minor"/>
      </rPr>
      <t xml:space="preserve">Sitio de Acopio de Marina Nº 14 -km. 8, Ruta G-345 </t>
    </r>
    <r>
      <rPr>
        <u/>
        <sz val="11"/>
        <rFont val="Calibri"/>
        <family val="2"/>
        <scheme val="minor"/>
      </rPr>
      <t xml:space="preserve"> </t>
    </r>
  </si>
  <si>
    <r>
      <t xml:space="preserve"> </t>
    </r>
    <r>
      <rPr>
        <u/>
        <sz val="11"/>
        <color indexed="8"/>
        <rFont val="Calibri"/>
        <family val="2"/>
        <scheme val="minor"/>
      </rPr>
      <t xml:space="preserve">Sitio de Acopio de Marina Nº 12 -Descarga río Maipo </t>
    </r>
    <r>
      <rPr>
        <u/>
        <sz val="11"/>
        <rFont val="Calibri"/>
        <family val="2"/>
        <scheme val="minor"/>
      </rPr>
      <t xml:space="preserve"> </t>
    </r>
  </si>
  <si>
    <r>
      <t xml:space="preserve"> </t>
    </r>
    <r>
      <rPr>
        <u/>
        <sz val="11"/>
        <color indexed="8"/>
        <rFont val="Calibri"/>
        <family val="2"/>
        <scheme val="minor"/>
      </rPr>
      <t xml:space="preserve">Generador de Excedente </t>
    </r>
    <r>
      <rPr>
        <u/>
        <sz val="11"/>
        <color theme="1"/>
        <rFont val="Calibri"/>
        <family val="2"/>
        <scheme val="minor"/>
      </rPr>
      <t xml:space="preserve"> </t>
    </r>
  </si>
  <si>
    <r>
      <t xml:space="preserve"> </t>
    </r>
    <r>
      <rPr>
        <u/>
        <sz val="11"/>
        <color indexed="8"/>
        <rFont val="Calibri"/>
        <family val="2"/>
        <scheme val="minor"/>
      </rPr>
      <t xml:space="preserve">Roca </t>
    </r>
    <r>
      <rPr>
        <u/>
        <sz val="11"/>
        <color theme="1"/>
        <rFont val="Calibri"/>
        <family val="2"/>
        <scheme val="minor"/>
      </rPr>
      <t xml:space="preserve"> </t>
    </r>
  </si>
  <si>
    <r>
      <t xml:space="preserve"> </t>
    </r>
    <r>
      <rPr>
        <u/>
        <sz val="11"/>
        <color indexed="8"/>
        <rFont val="Calibri"/>
        <family val="2"/>
        <scheme val="minor"/>
      </rPr>
      <t xml:space="preserve">Suelo </t>
    </r>
    <r>
      <rPr>
        <u/>
        <sz val="11"/>
        <rFont val="Calibri"/>
        <family val="2"/>
        <scheme val="minor"/>
      </rPr>
      <t xml:space="preserve"> </t>
    </r>
  </si>
  <si>
    <r>
      <t xml:space="preserve"> </t>
    </r>
    <r>
      <rPr>
        <u/>
        <sz val="11"/>
        <color indexed="8"/>
        <rFont val="Calibri"/>
        <family val="2"/>
        <scheme val="minor"/>
      </rPr>
      <t>Rellenos</t>
    </r>
    <r>
      <rPr>
        <u/>
        <sz val="11"/>
        <rFont val="Calibri"/>
        <family val="2"/>
        <scheme val="minor"/>
      </rPr>
      <t xml:space="preserve"> </t>
    </r>
  </si>
  <si>
    <r>
      <t xml:space="preserve"> </t>
    </r>
    <r>
      <rPr>
        <u/>
        <sz val="11"/>
        <color indexed="8"/>
        <rFont val="Calibri"/>
        <family val="2"/>
        <scheme val="minor"/>
      </rPr>
      <t>Carpeta Granular</t>
    </r>
    <r>
      <rPr>
        <u/>
        <sz val="11"/>
        <rFont val="Calibri"/>
        <family val="2"/>
        <scheme val="minor"/>
      </rPr>
      <t xml:space="preserve"> </t>
    </r>
  </si>
  <si>
    <r>
      <t xml:space="preserve"> </t>
    </r>
    <r>
      <rPr>
        <u/>
        <sz val="11"/>
        <color indexed="8"/>
        <rFont val="Calibri"/>
        <family val="2"/>
        <scheme val="minor"/>
      </rPr>
      <t xml:space="preserve">(m3) </t>
    </r>
    <r>
      <rPr>
        <u/>
        <sz val="11"/>
        <rFont val="Calibri"/>
        <family val="2"/>
        <scheme val="minor"/>
      </rPr>
      <t xml:space="preserve"> </t>
    </r>
  </si>
  <si>
    <r>
      <t xml:space="preserve"> </t>
    </r>
    <r>
      <rPr>
        <u/>
        <sz val="11"/>
        <color indexed="8"/>
        <rFont val="Calibri"/>
        <family val="2"/>
        <scheme val="minor"/>
      </rPr>
      <t xml:space="preserve">Volumen </t>
    </r>
    <r>
      <rPr>
        <u/>
        <sz val="11"/>
        <rFont val="Calibri"/>
        <family val="2"/>
        <scheme val="minor"/>
      </rPr>
      <t xml:space="preserve"> </t>
    </r>
  </si>
  <si>
    <r>
      <t xml:space="preserve"> </t>
    </r>
    <r>
      <rPr>
        <u/>
        <sz val="11"/>
        <color indexed="8"/>
        <rFont val="Calibri"/>
        <family val="2"/>
        <scheme val="minor"/>
      </rPr>
      <t xml:space="preserve">DMT (km) </t>
    </r>
    <r>
      <rPr>
        <u/>
        <sz val="11"/>
        <rFont val="Calibri"/>
        <family val="2"/>
        <scheme val="minor"/>
      </rPr>
      <t xml:space="preserve"> </t>
    </r>
  </si>
  <si>
    <r>
      <t xml:space="preserve"> </t>
    </r>
    <r>
      <rPr>
        <u/>
        <sz val="11"/>
        <color indexed="8"/>
        <rFont val="Calibri"/>
        <family val="2"/>
        <scheme val="minor"/>
      </rPr>
      <t>DMT(km)</t>
    </r>
    <r>
      <rPr>
        <u/>
        <sz val="11"/>
        <rFont val="Calibri"/>
        <family val="2"/>
        <scheme val="minor"/>
      </rPr>
      <t xml:space="preserve"> </t>
    </r>
  </si>
  <si>
    <r>
      <t xml:space="preserve"> </t>
    </r>
    <r>
      <rPr>
        <u/>
        <sz val="11"/>
        <color indexed="8"/>
        <rFont val="Calibri"/>
        <family val="2"/>
        <scheme val="minor"/>
      </rPr>
      <t xml:space="preserve">DMT(km) </t>
    </r>
    <r>
      <rPr>
        <u/>
        <sz val="11"/>
        <rFont val="Calibri"/>
        <family val="2"/>
        <scheme val="minor"/>
      </rPr>
      <t xml:space="preserve"> </t>
    </r>
  </si>
  <si>
    <r>
      <t xml:space="preserve"> </t>
    </r>
    <r>
      <rPr>
        <u/>
        <sz val="11"/>
        <color indexed="8"/>
        <rFont val="Calibri"/>
        <family val="2"/>
        <scheme val="minor"/>
      </rPr>
      <t>DMT (km)</t>
    </r>
    <r>
      <rPr>
        <u/>
        <sz val="11"/>
        <rFont val="Calibri"/>
        <family val="2"/>
        <scheme val="minor"/>
      </rPr>
      <t xml:space="preserve"> </t>
    </r>
  </si>
  <si>
    <t>Campo</t>
  </si>
  <si>
    <t>Nombre</t>
  </si>
  <si>
    <t>Descripción</t>
  </si>
  <si>
    <t>Lugar donde se desarrolla la obra</t>
  </si>
  <si>
    <t>Valores posibles</t>
  </si>
  <si>
    <t>Área El Volcán, Área Yeso, Área Aucayes Alto, Área Alfalfal II, Área Las Lajas-Maipo</t>
  </si>
  <si>
    <t>Clasificación según tipo de intervención</t>
  </si>
  <si>
    <t>Obras Previas, Túneles, cavernas  y chimeneas, Obras Civiles</t>
  </si>
  <si>
    <t>Nombre de la obra</t>
  </si>
  <si>
    <t>Texto</t>
  </si>
  <si>
    <t>Volumen, superficei o longitud</t>
  </si>
  <si>
    <t>m3, m2 o m</t>
  </si>
  <si>
    <t>Unidad de medida de la dimensión de la obra</t>
  </si>
  <si>
    <t>Tiempo de construcción durante el 2011, en meses</t>
  </si>
  <si>
    <t>Tiempo de construcción durante el 2012, en meses</t>
  </si>
  <si>
    <t>Tiempo de construcción durante el 2013, en meses</t>
  </si>
  <si>
    <t>Tiempo de construcción durante el 2014, en meses</t>
  </si>
  <si>
    <t>Tiempo de construcción durante el 2015, en meses</t>
  </si>
  <si>
    <t>Tiempo de construcción durante el 2016, en meses</t>
  </si>
  <si>
    <t>Duración total de construcciónde la obra, en meses</t>
  </si>
  <si>
    <t>Volumen de escarpe en m3</t>
  </si>
  <si>
    <t>Volumen de excavación en roca en m3</t>
  </si>
  <si>
    <t>Volumen de excavación en suelo en m3</t>
  </si>
  <si>
    <t>Volumen de excavación utilizado en relleno en m3</t>
  </si>
  <si>
    <t>Excedente finalde mov. Tierra: esc. + exc - relleno en m3</t>
  </si>
  <si>
    <t>Volumen de generación de roca fracturada por perforaciones en m3</t>
  </si>
  <si>
    <t>SAM1 a SAM14</t>
  </si>
  <si>
    <t>Sitio de acopio de marina (SAM) donde se dispondrán las marinas y excedentes</t>
  </si>
  <si>
    <t>Volumen a acopiar en primer SAM de destino en m3</t>
  </si>
  <si>
    <t>Volumen a acopiar en segundo SAM de destino en m3</t>
  </si>
  <si>
    <t>Volumen a acopiar en tercer SAM de destino en m3</t>
  </si>
  <si>
    <t>Distancia media transportada a primer SAM de destino en km</t>
  </si>
  <si>
    <t>Distancia media transportada a segundo SAM de destino en km</t>
  </si>
  <si>
    <t>Distancia media transportada a tercer SAM de destino en km</t>
  </si>
  <si>
    <t>Vehículos kilkómetro transportados por concepto de escarpe = campo4/ancho pala (2,5m) en VKT</t>
  </si>
  <si>
    <t>Horas de ocupación de excavadora en roca =campo14/100(m3/h) en horas</t>
  </si>
  <si>
    <t>Horas de ocupación de excavadora en suelo =campo15/100(m3/h) en horas</t>
  </si>
  <si>
    <t>Peso de marinas a disponer=campo18*2,6(t/m3) en ton</t>
  </si>
  <si>
    <t>Peso de excedente material a disponer=campo17*densidad media en ton</t>
  </si>
  <si>
    <t>Número de tronaduras por perforación=campo18/51(m3/tronadura)</t>
  </si>
  <si>
    <t>Valor Numérico</t>
  </si>
  <si>
    <t>Valor Numérico negativo</t>
  </si>
  <si>
    <t>Peso de marinas a extraer por barreno=campo18*2,6(t/m3)</t>
  </si>
  <si>
    <t>Vehículos kilkómetro de maquinaria por concepto de nivelación = campo4*n°pasadas/ancho pala (2,5m) en VKT</t>
  </si>
  <si>
    <t>Vehículos kilkómetro por concepto de transporte a SAM = (campo20*campo23+campo21*campo24+campo22*campo25)/capacidad camión (14m3)</t>
  </si>
  <si>
    <t>Duración faenas de movimiento de tierras durante el 2011, en meses</t>
  </si>
  <si>
    <t>Duración faenas de movimiento de tierras durante el 2012, en meses</t>
  </si>
  <si>
    <t>Duración faenas de movimiento de tierras durante el 2013, en meses</t>
  </si>
  <si>
    <t>Duración faenas de movimiento de tierras durante el 2016, en meses</t>
  </si>
  <si>
    <t>Duración faenas de generación marinas durante el 2011, en meses</t>
  </si>
  <si>
    <t>Duración faenas de generación marinas durante el 2012, en meses</t>
  </si>
  <si>
    <t>Duración faenas de movimiento de tierras durante el 2014, en meses</t>
  </si>
  <si>
    <t>Duración faenas de movimiento de tierras durante el 2015, en meses</t>
  </si>
  <si>
    <t>Duración faenas de generación marinas durante el 20131, en meses</t>
  </si>
  <si>
    <t>Duración faenas de generación marinas durante el 2014, en meses</t>
  </si>
  <si>
    <t>Duración faenas de generación marinas durante el 2015, en meses</t>
  </si>
  <si>
    <t>Duración faenas de generación marinas durante el 2016, en meses</t>
  </si>
  <si>
    <t>Duración faenas de construcción de obras civiles durante el 2011, en meses</t>
  </si>
  <si>
    <t>Duración faenas de construcción de obras civiles durante el 2012, en meses</t>
  </si>
  <si>
    <t>Duración faenas de construcción de obras civiles durante el 2013, en meses</t>
  </si>
  <si>
    <t>Duración faenas de construcción de obras civiles durante el 2014, en meses</t>
  </si>
  <si>
    <t>Duración faenas de construcción de obras civiles durante el 2015, en meses</t>
  </si>
  <si>
    <t>Duración faenas de construcción de obras civiles durante el 2016, en meses</t>
  </si>
  <si>
    <t>Duración total faenas de construcción de obras civiles, en meses</t>
  </si>
  <si>
    <t>Cantidad de Áridos requerido en obras en ton</t>
  </si>
  <si>
    <t>Cantidad de Materiales varios requerido en obras en ton</t>
  </si>
  <si>
    <t>Cantidad de Cemento requerido en obras en ton</t>
  </si>
  <si>
    <t>Transporte de trabajadores</t>
  </si>
  <si>
    <t xml:space="preserve">﻿INTERSECCIÓN </t>
  </si>
  <si>
    <t xml:space="preserve">HORA PUNTA MÁXIMA </t>
  </si>
  <si>
    <t xml:space="preserve">MOVIMIENTO </t>
  </si>
  <si>
    <t xml:space="preserve">SITUACIÓN ACTUAL AÑO 2006 </t>
  </si>
  <si>
    <t xml:space="preserve">AÑO 2008 </t>
  </si>
  <si>
    <t xml:space="preserve">AÑO 2010 </t>
  </si>
  <si>
    <t xml:space="preserve">SITUACIÓN BASE </t>
  </si>
  <si>
    <t xml:space="preserve">SITUACIÓN CON PROYECTO (CONSTRUCCIÓN) </t>
  </si>
  <si>
    <t xml:space="preserve">VL </t>
  </si>
  <si>
    <t xml:space="preserve">VP </t>
  </si>
  <si>
    <t xml:space="preserve">Nº 7 Av. Camilo Henríquez / Eyzaguirre </t>
  </si>
  <si>
    <t xml:space="preserve">MAÑANA 07:45 a 08:45 hrs. </t>
  </si>
  <si>
    <t xml:space="preserve">Movimiento 1 </t>
  </si>
  <si>
    <t xml:space="preserve">Movimiento 2 </t>
  </si>
  <si>
    <t xml:space="preserve">Movimiento 3 </t>
  </si>
  <si>
    <t xml:space="preserve">Movimiento 4 </t>
  </si>
  <si>
    <t xml:space="preserve">Movimiento 5 </t>
  </si>
  <si>
    <t>Eyzaguirre</t>
  </si>
  <si>
    <t xml:space="preserve">Movimiento 6 </t>
  </si>
  <si>
    <t>Mov 5y6</t>
  </si>
  <si>
    <t>Mov 1y4</t>
  </si>
  <si>
    <t>Fliujos vehiculares medidos en la intersección Camilo Henriquez(G25) con Eyzaguirre</t>
  </si>
  <si>
    <t>Referencia: Tabla Nº 17 : FLUJOS VEHICULARES PARA MODELACIÓN SIDRA (VEH) EIV del EIA</t>
  </si>
  <si>
    <t>Tramo 1'</t>
  </si>
  <si>
    <t>Tramo 2'</t>
  </si>
  <si>
    <t>Concha y Toro/Eyzaguirre</t>
  </si>
  <si>
    <t>Ruta G25/Eyzaguirre</t>
  </si>
  <si>
    <t>años</t>
  </si>
  <si>
    <t>Factor de deterioro</t>
  </si>
  <si>
    <t>Cálculo emisiones GEI</t>
  </si>
  <si>
    <t>FT</t>
  </si>
  <si>
    <t>Factor de transiente</t>
  </si>
  <si>
    <t>FD</t>
  </si>
  <si>
    <t>HRS</t>
  </si>
  <si>
    <t>horas de operación</t>
  </si>
  <si>
    <t>P</t>
  </si>
  <si>
    <t>Potencia máquina</t>
  </si>
  <si>
    <t>FC</t>
  </si>
  <si>
    <t>Factor de carga máquina</t>
  </si>
  <si>
    <t>FE</t>
  </si>
  <si>
    <t>Ebase</t>
  </si>
  <si>
    <t>Potencia (kW)</t>
  </si>
  <si>
    <t>Camión tolva: Heavy duty trucks 16-32 ton Convencional</t>
  </si>
  <si>
    <t>[g/km]</t>
  </si>
  <si>
    <t>[kg/km]</t>
  </si>
  <si>
    <t>Emisión CO2 [kg CO2]</t>
  </si>
  <si>
    <t>Emisión CH4 [kg CH4]</t>
  </si>
  <si>
    <t>Emisión N2O [kg N2O]</t>
  </si>
  <si>
    <t>http://www.hyundaicamiones.cl/hd_120_ficha.aspx#fragment-4</t>
  </si>
  <si>
    <t>Camión tolva</t>
  </si>
  <si>
    <t>Camión mediano</t>
  </si>
  <si>
    <t>ton</t>
  </si>
  <si>
    <t>kg</t>
  </si>
  <si>
    <t>Camiones Betoneros (cemento)</t>
  </si>
  <si>
    <t>Camiones Tolva (áridos)</t>
  </si>
  <si>
    <t>Camiones Medianos (misceláneos)</t>
  </si>
  <si>
    <t>Buses interurbanos diesel Euro III</t>
  </si>
  <si>
    <t>Camionetas</t>
  </si>
  <si>
    <t>track type dozers</t>
  </si>
  <si>
    <t>wheel type excavator</t>
  </si>
  <si>
    <t>wheel loader</t>
  </si>
  <si>
    <t>track type excavator &gt; 5.1 t</t>
  </si>
  <si>
    <t>tampers/land rollers</t>
  </si>
  <si>
    <t>diesel compressor</t>
  </si>
  <si>
    <t>motor grader</t>
  </si>
  <si>
    <t>diesel bore/drill rigs</t>
  </si>
  <si>
    <t>drill</t>
  </si>
  <si>
    <t>diesel pumps</t>
  </si>
  <si>
    <t>E</t>
  </si>
  <si>
    <t>Transporte de insumos</t>
  </si>
  <si>
    <t>Total de emisiones GEI</t>
  </si>
  <si>
    <t>GEI</t>
  </si>
  <si>
    <t>Alcance</t>
  </si>
  <si>
    <t>Fuente de emisión</t>
  </si>
  <si>
    <t>Categorías de fuentes y sumideros que deben evaluarse en el análisis de las categorías principales según IPCC</t>
  </si>
  <si>
    <t>Gases que deben evaluarse según IPCC</t>
  </si>
  <si>
    <t>Alcance 1</t>
  </si>
  <si>
    <t>Quema de combustible (diesel líquido)</t>
  </si>
  <si>
    <t>Combustión Fija</t>
  </si>
  <si>
    <t>Maquinaria y equipos</t>
  </si>
  <si>
    <t>1A2: Actividades de quema de combustible - Industrias manufactureras y de la construcción;</t>
  </si>
  <si>
    <t>1A3e: Actividades de quema de combustible – Transporte – Otro transporte</t>
  </si>
  <si>
    <t>Combustión Móvil</t>
  </si>
  <si>
    <t>Transporte de marinas</t>
  </si>
  <si>
    <t>1A3b: Actividades de quema de combustible – Transporte – Transporte terrestre</t>
  </si>
  <si>
    <t>Estimación emisiones GEI</t>
  </si>
  <si>
    <t>Factores de equivalencia entre ton GEI y ton CO2-eq</t>
  </si>
  <si>
    <t>Emisiones por combustión fija (Uso de maquinarias y equipos)</t>
  </si>
  <si>
    <t>Nº de equipos</t>
  </si>
  <si>
    <t>Bulldozer 1</t>
  </si>
  <si>
    <t>Bulldozer 2</t>
  </si>
  <si>
    <t>Energía y apoyo a faenas Obras</t>
  </si>
  <si>
    <t>Supuesto de cálculo de horas</t>
  </si>
  <si>
    <t>Estimada considerando una capacidad de la pala 3m3 de material a remover</t>
  </si>
  <si>
    <t>Estimada según lo indicado en punto 3.2, página 10.</t>
  </si>
  <si>
    <t>Estimada en base a una duración de 0,17h por cada operación de carga /descarga</t>
  </si>
  <si>
    <t>Estimada en base a una ocupación de 8 horas diarias</t>
  </si>
  <si>
    <t>Horas totales de ocupación de la maquinaria</t>
  </si>
  <si>
    <t>Asignación de maquinaria según tipo de obra</t>
  </si>
  <si>
    <t>Factor de Carga</t>
  </si>
  <si>
    <t xml:space="preserve">Máquinas tuneleras </t>
  </si>
  <si>
    <t>Información operativa de máquinas y equipos</t>
  </si>
  <si>
    <t>Factor de Emisión</t>
  </si>
  <si>
    <t>[kg /TJ]</t>
  </si>
  <si>
    <t>TOTAL EMISIONES [ton GEI]</t>
  </si>
  <si>
    <t>TOTAL EMISIONES POR AÑO[ton GEI / año]</t>
  </si>
  <si>
    <r>
      <t>CO</t>
    </r>
    <r>
      <rPr>
        <vertAlign val="subscript"/>
        <sz val="8"/>
        <color theme="1"/>
        <rFont val="Calibri"/>
        <family val="2"/>
      </rPr>
      <t>2</t>
    </r>
    <r>
      <rPr>
        <sz val="8"/>
        <color theme="1"/>
        <rFont val="Calibri"/>
        <family val="2"/>
      </rPr>
      <t>, N</t>
    </r>
    <r>
      <rPr>
        <vertAlign val="subscript"/>
        <sz val="8"/>
        <color theme="1"/>
        <rFont val="Calibri"/>
        <family val="2"/>
      </rPr>
      <t>2</t>
    </r>
    <r>
      <rPr>
        <sz val="8"/>
        <color theme="1"/>
        <rFont val="Calibri"/>
        <family val="2"/>
      </rPr>
      <t>O, CH</t>
    </r>
    <r>
      <rPr>
        <vertAlign val="subscript"/>
        <sz val="8"/>
        <color theme="1"/>
        <rFont val="Calibri"/>
        <family val="2"/>
      </rPr>
      <t>4</t>
    </r>
  </si>
  <si>
    <r>
      <t>CO</t>
    </r>
    <r>
      <rPr>
        <b/>
        <vertAlign val="subscript"/>
        <sz val="8"/>
        <color rgb="FFFFFFFF"/>
        <rFont val="Calibri"/>
        <family val="2"/>
      </rPr>
      <t>2</t>
    </r>
  </si>
  <si>
    <r>
      <t>N</t>
    </r>
    <r>
      <rPr>
        <b/>
        <vertAlign val="subscript"/>
        <sz val="8"/>
        <color rgb="FFFFFFFF"/>
        <rFont val="Calibri"/>
        <family val="2"/>
      </rPr>
      <t>2</t>
    </r>
    <r>
      <rPr>
        <b/>
        <sz val="8"/>
        <color rgb="FFFFFFFF"/>
        <rFont val="Calibri"/>
        <family val="2"/>
      </rPr>
      <t>O</t>
    </r>
  </si>
  <si>
    <r>
      <t>CH</t>
    </r>
    <r>
      <rPr>
        <b/>
        <vertAlign val="subscript"/>
        <sz val="8"/>
        <color rgb="FFFFFFFF"/>
        <rFont val="Calibri"/>
        <family val="2"/>
      </rPr>
      <t>4</t>
    </r>
  </si>
  <si>
    <r>
      <t>Factor [ton CO</t>
    </r>
    <r>
      <rPr>
        <vertAlign val="subscript"/>
        <sz val="8"/>
        <color rgb="FFFFFFFF"/>
        <rFont val="Calibri"/>
        <family val="2"/>
      </rPr>
      <t>2</t>
    </r>
    <r>
      <rPr>
        <sz val="8"/>
        <color rgb="FFFFFFFF"/>
        <rFont val="Calibri"/>
        <family val="2"/>
      </rPr>
      <t>-eq / ton GEI]</t>
    </r>
  </si>
  <si>
    <r>
      <t>Emisión CO</t>
    </r>
    <r>
      <rPr>
        <b/>
        <vertAlign val="subscript"/>
        <sz val="8"/>
        <color rgb="FFFFFFFF"/>
        <rFont val="Calibri"/>
        <family val="2"/>
      </rPr>
      <t>2</t>
    </r>
  </si>
  <si>
    <r>
      <t>Emisión N</t>
    </r>
    <r>
      <rPr>
        <b/>
        <vertAlign val="subscript"/>
        <sz val="8"/>
        <color rgb="FFFFFFFF"/>
        <rFont val="Calibri"/>
        <family val="2"/>
      </rPr>
      <t>2</t>
    </r>
    <r>
      <rPr>
        <b/>
        <sz val="8"/>
        <color rgb="FFFFFFFF"/>
        <rFont val="Calibri"/>
        <family val="2"/>
      </rPr>
      <t>O</t>
    </r>
  </si>
  <si>
    <r>
      <t>Emisión CH</t>
    </r>
    <r>
      <rPr>
        <b/>
        <vertAlign val="subscript"/>
        <sz val="8"/>
        <color rgb="FFFFFFFF"/>
        <rFont val="Calibri"/>
        <family val="2"/>
      </rPr>
      <t>4</t>
    </r>
  </si>
  <si>
    <r>
      <t>[kg CO</t>
    </r>
    <r>
      <rPr>
        <b/>
        <vertAlign val="subscript"/>
        <sz val="8"/>
        <color rgb="FFFFFFFF"/>
        <rFont val="Calibri"/>
        <family val="2"/>
      </rPr>
      <t>2</t>
    </r>
    <r>
      <rPr>
        <b/>
        <sz val="8"/>
        <color rgb="FFFFFFFF"/>
        <rFont val="Calibri"/>
        <family val="2"/>
      </rPr>
      <t>]</t>
    </r>
  </si>
  <si>
    <r>
      <t>[kg N</t>
    </r>
    <r>
      <rPr>
        <b/>
        <vertAlign val="subscript"/>
        <sz val="8"/>
        <color rgb="FFFFFFFF"/>
        <rFont val="Calibri"/>
        <family val="2"/>
      </rPr>
      <t>2</t>
    </r>
    <r>
      <rPr>
        <b/>
        <sz val="8"/>
        <color rgb="FFFFFFFF"/>
        <rFont val="Calibri"/>
        <family val="2"/>
      </rPr>
      <t>O]</t>
    </r>
  </si>
  <si>
    <r>
      <t>[kg CH</t>
    </r>
    <r>
      <rPr>
        <b/>
        <vertAlign val="subscript"/>
        <sz val="8"/>
        <color rgb="FFFFFFFF"/>
        <rFont val="Calibri"/>
        <family val="2"/>
      </rPr>
      <t>4</t>
    </r>
    <r>
      <rPr>
        <b/>
        <sz val="8"/>
        <color rgb="FFFFFFFF"/>
        <rFont val="Calibri"/>
        <family val="2"/>
      </rPr>
      <t>]</t>
    </r>
  </si>
  <si>
    <r>
      <t>TOTAL EMISIONES [ton CO</t>
    </r>
    <r>
      <rPr>
        <b/>
        <vertAlign val="subscript"/>
        <sz val="8"/>
        <color rgb="FFFFFFFF"/>
        <rFont val="Calibri"/>
        <family val="2"/>
      </rPr>
      <t>2</t>
    </r>
    <r>
      <rPr>
        <b/>
        <sz val="8"/>
        <color rgb="FFFFFFFF"/>
        <rFont val="Calibri"/>
        <family val="2"/>
      </rPr>
      <t>-eq]</t>
    </r>
  </si>
  <si>
    <r>
      <t>TOTAL EMISIONES POR AÑO [ton CO</t>
    </r>
    <r>
      <rPr>
        <b/>
        <vertAlign val="subscript"/>
        <sz val="8"/>
        <color rgb="FFFFFFFF"/>
        <rFont val="Calibri"/>
        <family val="2"/>
      </rPr>
      <t>2</t>
    </r>
    <r>
      <rPr>
        <b/>
        <sz val="8"/>
        <color rgb="FFFFFFFF"/>
        <rFont val="Calibri"/>
        <family val="2"/>
      </rPr>
      <t>-eq / año]</t>
    </r>
  </si>
  <si>
    <r>
      <t xml:space="preserve">Fuente: Elaboración propia y (a) </t>
    </r>
    <r>
      <rPr>
        <sz val="8"/>
        <rFont val="Garamond"/>
        <family val="1"/>
      </rPr>
      <t>www.miningandconstruction.sandvik.com</t>
    </r>
    <r>
      <rPr>
        <sz val="8"/>
        <color theme="1"/>
        <rFont val="Garamond"/>
        <family val="1"/>
      </rPr>
      <t xml:space="preserve"> (b) http://www.volvo.com (c) </t>
    </r>
    <r>
      <rPr>
        <sz val="8"/>
        <rFont val="Garamond"/>
        <family val="1"/>
      </rPr>
      <t>http://www.petersonpower.com</t>
    </r>
    <r>
      <rPr>
        <sz val="8"/>
        <color theme="1"/>
        <rFont val="Garamond"/>
        <family val="1"/>
      </rPr>
      <t xml:space="preserve"> (d) http://www.chemacinc.com</t>
    </r>
  </si>
  <si>
    <t>(Hoja "Operación Maquinaria" de Memoria de Cálculo PC del PHAM)</t>
  </si>
  <si>
    <t>K</t>
  </si>
  <si>
    <t>adimensional</t>
  </si>
  <si>
    <t>kW</t>
  </si>
  <si>
    <t>Símbolo</t>
  </si>
  <si>
    <t>h</t>
  </si>
  <si>
    <t>kg/TJ</t>
  </si>
  <si>
    <t>Emisiones basales</t>
  </si>
  <si>
    <t>Clasificación maquinaria según referencias</t>
  </si>
  <si>
    <t>Factor de conversión de kWh a TJ</t>
  </si>
  <si>
    <t>TOTAL [kg GEI]</t>
  </si>
  <si>
    <t>Duración etapa construcción</t>
  </si>
  <si>
    <r>
      <t>Factores de emisión de CO</t>
    </r>
    <r>
      <rPr>
        <b/>
        <vertAlign val="subscript"/>
        <sz val="9"/>
        <color theme="1"/>
        <rFont val="Calibri"/>
        <family val="2"/>
        <scheme val="minor"/>
      </rPr>
      <t>2</t>
    </r>
    <r>
      <rPr>
        <b/>
        <sz val="9"/>
        <color theme="1"/>
        <rFont val="Calibri"/>
        <family val="2"/>
        <scheme val="minor"/>
      </rPr>
      <t>, N</t>
    </r>
    <r>
      <rPr>
        <b/>
        <vertAlign val="subscript"/>
        <sz val="9"/>
        <color theme="1"/>
        <rFont val="Calibri"/>
        <family val="2"/>
        <scheme val="minor"/>
      </rPr>
      <t>2</t>
    </r>
    <r>
      <rPr>
        <b/>
        <sz val="9"/>
        <color theme="1"/>
        <rFont val="Calibri"/>
        <family val="2"/>
        <scheme val="minor"/>
      </rPr>
      <t>O y CH</t>
    </r>
    <r>
      <rPr>
        <b/>
        <vertAlign val="subscript"/>
        <sz val="9"/>
        <color theme="1"/>
        <rFont val="Calibri"/>
        <family val="2"/>
        <scheme val="minor"/>
      </rPr>
      <t>4</t>
    </r>
    <r>
      <rPr>
        <b/>
        <sz val="9"/>
        <color theme="1"/>
        <rFont val="Calibri"/>
        <family val="2"/>
        <scheme val="minor"/>
      </rPr>
      <t xml:space="preserve"> para combustible diesel para las fuentes y maquinarias móviles todo terreno</t>
    </r>
  </si>
  <si>
    <r>
      <t>Estimación de emisiones de GEI por combustiones asociadas al uso de maquinarias y equipos diesel durante la etapa de construcción del PHAM en toneladas de GEI y toneladas de CO</t>
    </r>
    <r>
      <rPr>
        <b/>
        <vertAlign val="subscript"/>
        <sz val="9"/>
        <color theme="1"/>
        <rFont val="Calibri"/>
        <family val="2"/>
        <scheme val="minor"/>
      </rPr>
      <t>2</t>
    </r>
    <r>
      <rPr>
        <b/>
        <sz val="9"/>
        <color theme="1"/>
        <rFont val="Calibri"/>
        <family val="2"/>
        <scheme val="minor"/>
      </rPr>
      <t>-equivalente por año</t>
    </r>
  </si>
  <si>
    <r>
      <t>CO</t>
    </r>
    <r>
      <rPr>
        <vertAlign val="subscript"/>
        <sz val="9"/>
        <color rgb="FFFFFFFF"/>
        <rFont val="Calibri"/>
        <family val="2"/>
        <scheme val="minor"/>
      </rPr>
      <t>2</t>
    </r>
  </si>
  <si>
    <r>
      <t>N</t>
    </r>
    <r>
      <rPr>
        <vertAlign val="subscript"/>
        <sz val="9"/>
        <color rgb="FFFFFFFF"/>
        <rFont val="Calibri"/>
        <family val="2"/>
        <scheme val="minor"/>
      </rPr>
      <t>2</t>
    </r>
    <r>
      <rPr>
        <sz val="9"/>
        <color rgb="FFFFFFFF"/>
        <rFont val="Calibri"/>
        <family val="2"/>
        <scheme val="minor"/>
      </rPr>
      <t>O</t>
    </r>
  </si>
  <si>
    <r>
      <t>CH</t>
    </r>
    <r>
      <rPr>
        <vertAlign val="subscript"/>
        <sz val="9"/>
        <color rgb="FFFFFFFF"/>
        <rFont val="Calibri"/>
        <family val="2"/>
        <scheme val="minor"/>
      </rPr>
      <t>4</t>
    </r>
  </si>
  <si>
    <t>Información sobre las obras</t>
  </si>
  <si>
    <t>Supuesto: no se asumió deterioro de los motores por uso. Se puede asumir un deterioro del 1% si se considera motores a gasolina de 2 y 4 tiempos y de GLP de 4 tiempos: 1% por año (Fte: EEA)</t>
  </si>
  <si>
    <t>Peor caso según Tabla 14 "transient factors for diesel machinery" de "Fuel use and emissions from non-road machinery in Denmark from 1985–2004 – and projections from 2005-2030" (DEA)</t>
  </si>
  <si>
    <t>Comentario</t>
  </si>
  <si>
    <t>[6]: Directrices del IPCC 2006 para los inventarios nacionales de gases efecto invernadero. Volumen 2. Capítulo 3.</t>
  </si>
  <si>
    <t>PCI</t>
  </si>
  <si>
    <t>CC</t>
  </si>
  <si>
    <t>D</t>
  </si>
  <si>
    <t>Emisiones de GEI</t>
  </si>
  <si>
    <t>Poder calorífico inferior</t>
  </si>
  <si>
    <t>Distancia recorrida por vehículos (VKTs)</t>
  </si>
  <si>
    <t>ton GEI</t>
  </si>
  <si>
    <t>Factor de conversión de a</t>
  </si>
  <si>
    <t>kg contaminante/TJ</t>
  </si>
  <si>
    <t>TJ/kg combustible</t>
  </si>
  <si>
    <t>kg combustible/km</t>
  </si>
  <si>
    <t>Emisiones por combustión móvil</t>
  </si>
  <si>
    <r>
      <t>Factores de emisión por defecto de CO</t>
    </r>
    <r>
      <rPr>
        <b/>
        <vertAlign val="subscript"/>
        <sz val="9"/>
        <color theme="1"/>
        <rFont val="Calibri"/>
        <family val="2"/>
        <scheme val="minor"/>
      </rPr>
      <t>2</t>
    </r>
    <r>
      <rPr>
        <b/>
        <sz val="9"/>
        <color theme="1"/>
        <rFont val="Calibri"/>
        <family val="2"/>
        <scheme val="minor"/>
      </rPr>
      <t>, N</t>
    </r>
    <r>
      <rPr>
        <b/>
        <vertAlign val="subscript"/>
        <sz val="9"/>
        <color theme="1"/>
        <rFont val="Calibri"/>
        <family val="2"/>
        <scheme val="minor"/>
      </rPr>
      <t>2</t>
    </r>
    <r>
      <rPr>
        <b/>
        <sz val="9"/>
        <color theme="1"/>
        <rFont val="Calibri"/>
        <family val="2"/>
        <scheme val="minor"/>
      </rPr>
      <t>O y CH</t>
    </r>
    <r>
      <rPr>
        <b/>
        <vertAlign val="subscript"/>
        <sz val="9"/>
        <color theme="1"/>
        <rFont val="Calibri"/>
        <family val="2"/>
        <scheme val="minor"/>
      </rPr>
      <t>4</t>
    </r>
    <r>
      <rPr>
        <b/>
        <sz val="9"/>
        <color theme="1"/>
        <rFont val="Calibri"/>
        <family val="2"/>
        <scheme val="minor"/>
      </rPr>
      <t xml:space="preserve"> para combustible diesel en el transporte terrestre</t>
    </r>
  </si>
  <si>
    <t>Fuente: Elaboración propia a partir de los cuadros 3.2.1 y 3.2.2 de las Directrices del IPCC 2006 para los inventarios nacionales de GEI</t>
  </si>
  <si>
    <t>Según BNE 2009: Factores de emisión de CO2 de los combustibles más utilizados en Chile, PCI diesel = 10.273 [Kcal/kg]</t>
  </si>
  <si>
    <t>1- Transporte de marinas y excedentes</t>
  </si>
  <si>
    <t>2- Transporte de insumos</t>
  </si>
  <si>
    <t>3- Transporte de trabajadores</t>
  </si>
  <si>
    <t>Factor de consumo de combustible</t>
  </si>
  <si>
    <t>Factor de consumo de combustible (CC)</t>
  </si>
  <si>
    <t>Tipo de vehículo</t>
  </si>
  <si>
    <t>Factor de consumo de combustible CC</t>
  </si>
  <si>
    <t>Cálculo de distancia recorrida</t>
  </si>
  <si>
    <t>Capacidad camiones tolva</t>
  </si>
  <si>
    <t>Datos de referencia (información sobre distancias recorridas). Fuente: Memoria de Cálculo PC PHAM</t>
  </si>
  <si>
    <r>
      <t>Emisiones de GEI por combustiones asociadas a transporte de marinas y excedentes durante la etapa de construcción del PHAM, en toneladas de GEI y toneladas de CO</t>
    </r>
    <r>
      <rPr>
        <b/>
        <vertAlign val="subscript"/>
        <sz val="8.5"/>
        <color theme="1"/>
        <rFont val="Calibri"/>
        <family val="2"/>
        <scheme val="minor"/>
      </rPr>
      <t>2</t>
    </r>
    <r>
      <rPr>
        <b/>
        <sz val="8.5"/>
        <color theme="1"/>
        <rFont val="Calibri"/>
        <family val="2"/>
        <scheme val="minor"/>
      </rPr>
      <t>-equivalentes</t>
    </r>
  </si>
  <si>
    <t>Camiones tolva: áridos // Camiones betoneras: cemento // Camiones medianos: misceláneos</t>
  </si>
  <si>
    <t>Clasificación estandarizada de los camiones</t>
  </si>
  <si>
    <t>Tipo de camión</t>
  </si>
  <si>
    <t>Carga</t>
  </si>
  <si>
    <t>Camión de carga pesado. 16-32 ton. Convencional</t>
  </si>
  <si>
    <t>Áridos</t>
  </si>
  <si>
    <t>Camión betonera</t>
  </si>
  <si>
    <t>Camión de carga pesado. 7,5-16 ton. Convencional</t>
  </si>
  <si>
    <t>Fuente: Elaboración propia a partir de la Tabla 3-25 del EEA: Tier 2 average fuel consumption values</t>
  </si>
  <si>
    <t>Carga máxima [ton]</t>
  </si>
  <si>
    <t>Referencias</t>
  </si>
  <si>
    <t>http://www.kaufmann.cl/camiones</t>
  </si>
  <si>
    <t>http://www.mcneilusconcrete.com/</t>
  </si>
  <si>
    <t>Fuente: Elaboración propia en base a referencias.</t>
  </si>
  <si>
    <t>Insumos a transportar a las obras en toneladas</t>
  </si>
  <si>
    <t>Área</t>
  </si>
  <si>
    <t>Calle/camino</t>
  </si>
  <si>
    <t>Quilicura/ Vespucio</t>
  </si>
  <si>
    <t>Departamental/ Vespucio</t>
  </si>
  <si>
    <t>V.Mackenna/ Vespucio</t>
  </si>
  <si>
    <t>Descarga Rio Maipo</t>
  </si>
  <si>
    <t>Descarga Río Maipo</t>
  </si>
  <si>
    <t>Río Colorado/ G25</t>
  </si>
  <si>
    <t>Longitud (km)</t>
  </si>
  <si>
    <t>Materiales misceláneos</t>
  </si>
  <si>
    <t>Excedentes y marinas</t>
  </si>
  <si>
    <t>Ruta G25 </t>
  </si>
  <si>
    <t>Fuente: Elaboración propia. Mayor detalle ver hoja “Transporte de insumos” en Anexo: Planilla de Cálculo de Emisiones</t>
  </si>
  <si>
    <t>Distancia [km]</t>
  </si>
  <si>
    <t>(camión betonero)</t>
  </si>
  <si>
    <t>(camión tolva)</t>
  </si>
  <si>
    <t>(camión mediano)</t>
  </si>
  <si>
    <t>Distancia recorrida por vehículo de transporte por sector según el tipo de carga, en una sola dirección</t>
  </si>
  <si>
    <t>Rutas externas empleadas para el transporte de insumos para las obras</t>
  </si>
  <si>
    <t xml:space="preserve"> // *2 para calcular total ida y vuelta</t>
  </si>
  <si>
    <t>Tramos</t>
  </si>
  <si>
    <t>1’ – 2’- 4- 5- 6</t>
  </si>
  <si>
    <t>1-3-4-5-7</t>
  </si>
  <si>
    <t>1-3-4-5-6</t>
  </si>
  <si>
    <t>4-5-6</t>
  </si>
  <si>
    <t>2-3-4-5-6</t>
  </si>
  <si>
    <t>2-3-4-5-7</t>
  </si>
  <si>
    <t>Estimación de emisiones de GEI por transporte de insumos</t>
  </si>
  <si>
    <r>
      <t>Emisiones de GEI por combustiones asociadas a insumos durante la etapa de construcción del PHAM, en toneladas de GEI y toneladas de CO</t>
    </r>
    <r>
      <rPr>
        <b/>
        <vertAlign val="subscript"/>
        <sz val="8"/>
        <color theme="1"/>
        <rFont val="Calibri"/>
        <family val="2"/>
        <scheme val="minor"/>
      </rPr>
      <t>2</t>
    </r>
    <r>
      <rPr>
        <b/>
        <sz val="8"/>
        <color theme="1"/>
        <rFont val="Calibri"/>
        <family val="2"/>
        <scheme val="minor"/>
      </rPr>
      <t>-equivalentes</t>
    </r>
  </si>
  <si>
    <t>Buses // Camionetas</t>
  </si>
  <si>
    <t>Bus</t>
  </si>
  <si>
    <t>Camioneta</t>
  </si>
  <si>
    <t>Bus interurbano</t>
  </si>
  <si>
    <t>Distancia (km)</t>
  </si>
  <si>
    <t>Rutas externas empleadas para el transporte de trabajadores para las obras</t>
  </si>
  <si>
    <t>Capacidad</t>
  </si>
  <si>
    <t>vehículos/día/sector</t>
  </si>
  <si>
    <t>pasajeros/bus</t>
  </si>
  <si>
    <t>Flujo mensual de buses por transporte de trabajadores por sector según año del proyecto</t>
  </si>
  <si>
    <t>Buses (veh/mes)</t>
  </si>
  <si>
    <t>Flujo buses/mes</t>
  </si>
  <si>
    <t xml:space="preserve">Unidad </t>
  </si>
  <si>
    <t>Referencia: AMBITRANS, 2008. Estudio de Impacto Vial “Proyecto Hidroeléctrico Alto Maipo” ?????????</t>
  </si>
  <si>
    <t>Flujo vehículos de transporte trabajadores</t>
  </si>
  <si>
    <t>Fuente: Elaboración propia. Mayor detalle ver hoja “Transporte de trabajadores en Anexo: Planilla de Cálculo de Emisiones</t>
  </si>
  <si>
    <t>Buses interurbanos</t>
  </si>
  <si>
    <r>
      <t>Emisiones de GEI por combustiones asociadas a transporte de trabajadores durante la etapa de construcción del PHAM, en toneladas de GEI y toneladas de CO</t>
    </r>
    <r>
      <rPr>
        <b/>
        <vertAlign val="subscript"/>
        <sz val="8"/>
        <color theme="1"/>
        <rFont val="Calibri"/>
        <family val="2"/>
        <scheme val="minor"/>
      </rPr>
      <t>2</t>
    </r>
    <r>
      <rPr>
        <b/>
        <sz val="8"/>
        <color theme="1"/>
        <rFont val="Calibri"/>
        <family val="2"/>
        <scheme val="minor"/>
      </rPr>
      <t>-equivalentes</t>
    </r>
  </si>
  <si>
    <t>Distancia recorrida por vehículos que transportan trabajadores por sector, en una sola dirección</t>
  </si>
  <si>
    <t>Tramos vías pavimentadas</t>
  </si>
  <si>
    <t>Tramos vías no pavimentadas</t>
  </si>
  <si>
    <t>1’ – 2’- 4- 5- 7</t>
  </si>
  <si>
    <t>Distancia total</t>
  </si>
  <si>
    <t>Tipo de vehículo de transporte de trabajadores</t>
  </si>
  <si>
    <t>Comentarios</t>
  </si>
  <si>
    <t>Ecuación 5:</t>
  </si>
  <si>
    <t>VKT: distancia vehículos kilómetros recorridos (km)</t>
  </si>
  <si>
    <t>NB: número de buses</t>
  </si>
  <si>
    <t>Ecuación 6:</t>
  </si>
  <si>
    <t>FV: flujo de vehículos por día por sector</t>
  </si>
  <si>
    <t>D: distancia recorrida por un vehículo por sector, en un viaje en un solo sentido (km)</t>
  </si>
  <si>
    <t>M: número de meses en operación vehículos</t>
  </si>
  <si>
    <t xml:space="preserve"> // *2: ida y vuelta</t>
  </si>
  <si>
    <t xml:space="preserve"> // *30: días al mes</t>
  </si>
  <si>
    <t>VKT [km]</t>
  </si>
  <si>
    <t>Distancia total recorrida por todos los vehículos de transporte de pasajeros de un mismo tipo</t>
  </si>
  <si>
    <t>NB =</t>
  </si>
  <si>
    <t>Estimación de emisiones de GEI por transporte de trabajadores</t>
  </si>
  <si>
    <t>Número de buses por año</t>
  </si>
  <si>
    <t>2011</t>
  </si>
  <si>
    <t>2012</t>
  </si>
  <si>
    <t>2013</t>
  </si>
  <si>
    <t>2014</t>
  </si>
  <si>
    <t>2015</t>
  </si>
  <si>
    <t>2016</t>
  </si>
  <si>
    <t xml:space="preserve">Camino a Obras Sector Túnel Volcán  </t>
  </si>
  <si>
    <t>D: distancia recorrida por un bus por sector, en un viaje, en un solo sentido (km)</t>
  </si>
  <si>
    <t>#buses al año por cada sector</t>
  </si>
  <si>
    <t>Número de camionetas por año</t>
  </si>
  <si>
    <t>Buses o camionetas (veh/mes)</t>
  </si>
  <si>
    <t>kg contamin</t>
  </si>
  <si>
    <t>Cargador frontal</t>
  </si>
  <si>
    <t>CO2</t>
  </si>
  <si>
    <t>Duración de actividades</t>
  </si>
  <si>
    <t>Etiquetas de fila</t>
  </si>
  <si>
    <t>Máx. de MT2011</t>
  </si>
  <si>
    <t>Máx. de MT2012</t>
  </si>
  <si>
    <t>Máx. de MT2013</t>
  </si>
  <si>
    <t>Máx. de MT2014</t>
  </si>
  <si>
    <t>Máx. de MT2015</t>
  </si>
  <si>
    <t>Suma de VKTescarpe</t>
  </si>
  <si>
    <t>Máx. de MT2016</t>
  </si>
  <si>
    <t>Total meses</t>
  </si>
  <si>
    <t>Horas/año</t>
  </si>
  <si>
    <t>Parámetro</t>
  </si>
  <si>
    <t>S: Velocidad Media de la Máquina</t>
  </si>
  <si>
    <t>k/h</t>
  </si>
  <si>
    <t>CH4</t>
  </si>
  <si>
    <t>N2O</t>
  </si>
  <si>
    <t>Emisión GEI [kg]</t>
  </si>
  <si>
    <r>
      <t>EMISIONES [ton CO</t>
    </r>
    <r>
      <rPr>
        <b/>
        <vertAlign val="subscript"/>
        <sz val="9"/>
        <color rgb="FFFFFFFF"/>
        <rFont val="Calibri"/>
        <family val="2"/>
        <scheme val="minor"/>
      </rPr>
      <t>2</t>
    </r>
    <r>
      <rPr>
        <b/>
        <sz val="9"/>
        <color rgb="FFFFFFFF"/>
        <rFont val="Calibri"/>
        <family val="2"/>
        <scheme val="minor"/>
      </rPr>
      <t>-eq/año]</t>
    </r>
  </si>
  <si>
    <t>Total emisiones GEI proyecto [ton GEI]</t>
  </si>
  <si>
    <t>Desglose emisiones de GEI según año del proyecto, etapa de construcción</t>
  </si>
  <si>
    <t>Faenas de Escarpe</t>
  </si>
  <si>
    <t>Excavaciones</t>
  </si>
  <si>
    <t>Suma de Hrs ExcSuelo</t>
  </si>
  <si>
    <t>Suma de Hrs ExcRoca</t>
  </si>
  <si>
    <t xml:space="preserve">   Obras Previas</t>
  </si>
  <si>
    <t>Carga y descarga</t>
  </si>
  <si>
    <t>Carga y descarga de Excedentes + Carga y descarga de Marinas</t>
  </si>
  <si>
    <t>Excedentes</t>
  </si>
  <si>
    <t>Marinas</t>
  </si>
  <si>
    <t>Suma de Ton C&amp;D_Ex</t>
  </si>
  <si>
    <t>Suma de Ton C&amp;D_mm</t>
  </si>
  <si>
    <t>Cargador frontal y bulldozer 2</t>
  </si>
  <si>
    <t>Cáculo horas de Maquinaria por faena (h)</t>
  </si>
  <si>
    <t>Capacidad cargador frontal</t>
  </si>
  <si>
    <t>m3/pala</t>
  </si>
  <si>
    <t>C&amp;D</t>
  </si>
  <si>
    <t>Duración carga/descarga</t>
  </si>
  <si>
    <t>h/pala</t>
  </si>
  <si>
    <t>Referencia</t>
  </si>
  <si>
    <t>www.miningandconstruction.sandvik.com/</t>
  </si>
  <si>
    <t>Maquinaria Carga y Descarga</t>
  </si>
  <si>
    <t>Total equipos</t>
  </si>
  <si>
    <t>Máx. de MM2011</t>
  </si>
  <si>
    <t>Máx. de MM2012</t>
  </si>
  <si>
    <t>Máx. de MM2013</t>
  </si>
  <si>
    <t>Máx. de MM2014</t>
  </si>
  <si>
    <t>Máx. de MM2015</t>
  </si>
  <si>
    <t>Máx. de MM2016</t>
  </si>
  <si>
    <t>Horas al año</t>
  </si>
  <si>
    <t>(Varios elementos)</t>
  </si>
  <si>
    <t>Carga y Descarga</t>
  </si>
  <si>
    <t>Suma de N° Tronadura</t>
  </si>
  <si>
    <t>Suma de Ton Perforación</t>
  </si>
  <si>
    <t>Máx. de 2011</t>
  </si>
  <si>
    <t>Máx. de 2012</t>
  </si>
  <si>
    <t>Máx. de 2013</t>
  </si>
  <si>
    <t>Máx. de 2014</t>
  </si>
  <si>
    <t>Máx. de 2015</t>
  </si>
  <si>
    <t>Máx. de 2016</t>
  </si>
  <si>
    <t>Jumbo, perforadoras orugas, perforadoras manuales, máquinas tuneleras</t>
  </si>
  <si>
    <t>Jumbo</t>
  </si>
  <si>
    <t>Perforadora sobre orugas</t>
  </si>
  <si>
    <t>Perforadora manual</t>
  </si>
  <si>
    <t>Máquina tunelera</t>
  </si>
  <si>
    <t>Motoniveladoras y Rodillos compactadores</t>
  </si>
  <si>
    <t>Suma de VKTNivelación</t>
  </si>
  <si>
    <t>Total horas</t>
  </si>
  <si>
    <t>Rodillos compactadores</t>
  </si>
  <si>
    <t>Energización a obras</t>
  </si>
  <si>
    <t>Bombas y compresores</t>
  </si>
  <si>
    <t>Valores</t>
  </si>
  <si>
    <t>Compresores diesel</t>
  </si>
  <si>
    <t>Suma de CO2011</t>
  </si>
  <si>
    <t>Suma de CO2012</t>
  </si>
  <si>
    <t>Suma de CO2013</t>
  </si>
  <si>
    <t>Suma de CO2014</t>
  </si>
  <si>
    <t>Suma de CO2015</t>
  </si>
  <si>
    <t>Suma de CO2016</t>
  </si>
  <si>
    <t>Energización obras</t>
  </si>
  <si>
    <t>Bombas de inyección</t>
  </si>
  <si>
    <t>Compresores</t>
  </si>
  <si>
    <t>Compresores diesel y bombas inyectoras</t>
  </si>
  <si>
    <t>ton CO2 eq</t>
  </si>
  <si>
    <t>Proyecto</t>
  </si>
  <si>
    <t>Total emisiones GEI proyecto [ton CO2-eq]</t>
  </si>
  <si>
    <r>
      <t>Estimación de emisiones de GEI por combustiones asociadas al uso de maquinarias y equipos diesel durante la etapa de construcción del PHAM en toneladas de CO</t>
    </r>
    <r>
      <rPr>
        <b/>
        <vertAlign val="subscript"/>
        <sz val="9"/>
        <color theme="1"/>
        <rFont val="Calibri"/>
        <family val="2"/>
        <scheme val="minor"/>
      </rPr>
      <t>2</t>
    </r>
    <r>
      <rPr>
        <b/>
        <sz val="9"/>
        <color theme="1"/>
        <rFont val="Calibri"/>
        <family val="2"/>
        <scheme val="minor"/>
      </rPr>
      <t>-equivalente por año</t>
    </r>
  </si>
  <si>
    <t>Se supuso que se trabajaba tanto con compresores como con bombas de inyección durante el período de faenas en obras civiles</t>
  </si>
  <si>
    <t>8 horas diarias, 30 días al mes</t>
  </si>
  <si>
    <t>Suma de VKTNOpav</t>
  </si>
  <si>
    <t>Máx de 2011</t>
  </si>
  <si>
    <t>Máx de 2012</t>
  </si>
  <si>
    <t>Máx de 2013</t>
  </si>
  <si>
    <t>Máx de 2014</t>
  </si>
  <si>
    <t>Máx de 2015</t>
  </si>
  <si>
    <t>Máx de 2016</t>
  </si>
  <si>
    <t>Suma de VKTPav</t>
  </si>
  <si>
    <t>Meses total</t>
  </si>
  <si>
    <t>Distancia en calles NO pavimentadas y pavimentadas</t>
  </si>
  <si>
    <t>Distancia recorrida por camiones en calles NO pavimentadas, un sentido</t>
  </si>
  <si>
    <t>Distancia recorrida por camiones en calles pavimentadas, un sentido</t>
  </si>
  <si>
    <t>Estimación de emisiones de GEI por combustiones asociadas a transporte de marinas y excedentes durante la etapa de construcción del PHAM, en toneladas de GEI y toneladas de CO2-equivalentes</t>
  </si>
  <si>
    <t>Kilómetros recorridos por transporte de excedentes y marinas en caminos pavimentados y no pavimentados</t>
  </si>
  <si>
    <t>Cálculo de nivel de actividad de transporte de insumos para las obras</t>
  </si>
  <si>
    <t>Movimiento de insumos (t)</t>
  </si>
  <si>
    <t>Suma de Cemento</t>
  </si>
  <si>
    <t>Suma de Aridos</t>
  </si>
  <si>
    <t>Suma de Misceláneos</t>
  </si>
  <si>
    <t>Flujo de camiones por sector, por año</t>
  </si>
  <si>
    <t>Flujo camiones betoneras</t>
  </si>
  <si>
    <t>Flujo camiones tolva</t>
  </si>
  <si>
    <t>Flujo camiones medianos</t>
  </si>
  <si>
    <t>Fuente: Elaboración propia</t>
  </si>
  <si>
    <t>Distancia total recorrida por grupo de camiones por tipo de carga: BETONERAS</t>
  </si>
  <si>
    <t>Distancia total recorrida por grupo de camiones por tipo de carga: TOLVA</t>
  </si>
  <si>
    <t>Distancia total recorrida por grupo de camiones por tipo de carga: MEDIANOS</t>
  </si>
  <si>
    <t>Distancia total recorrida por camiones por transporte de insumos, por año</t>
  </si>
  <si>
    <r>
      <t>Estimación de emisiones de GEI por combustiones asociadas al transporte de trabajadores durante la etapa de construcción del PHAM en toneladas de GEI y toneladas de CO</t>
    </r>
    <r>
      <rPr>
        <b/>
        <vertAlign val="subscript"/>
        <sz val="9"/>
        <color theme="1"/>
        <rFont val="Calibri"/>
        <family val="2"/>
        <scheme val="minor"/>
      </rPr>
      <t>2</t>
    </r>
    <r>
      <rPr>
        <b/>
        <sz val="9"/>
        <color theme="1"/>
        <rFont val="Calibri"/>
        <family val="2"/>
        <scheme val="minor"/>
      </rPr>
      <t>-equivalente por año</t>
    </r>
  </si>
  <si>
    <t>Vehículo</t>
  </si>
  <si>
    <t>Distancia, un sentido</t>
  </si>
  <si>
    <t>Distancia total recorrida por grupo de vehículos por tipo [km]</t>
  </si>
  <si>
    <r>
      <t>Estimación de emisiones de GEI por combustiones asociadas al transporte de insumos durante la etapa de construcción del PHAM en toneladas de GEI y toneladas de CO</t>
    </r>
    <r>
      <rPr>
        <b/>
        <vertAlign val="subscript"/>
        <sz val="9"/>
        <color theme="1"/>
        <rFont val="Calibri"/>
        <family val="2"/>
        <scheme val="minor"/>
      </rPr>
      <t>2</t>
    </r>
    <r>
      <rPr>
        <b/>
        <sz val="9"/>
        <color theme="1"/>
        <rFont val="Calibri"/>
        <family val="2"/>
        <scheme val="minor"/>
      </rPr>
      <t>-equivalente por año</t>
    </r>
  </si>
  <si>
    <r>
      <t>Estimación de emisiones de GEI por combustiones asociadas al transporte de insumos durante la etapa de construcción del PHAM en toneladas de CO</t>
    </r>
    <r>
      <rPr>
        <b/>
        <vertAlign val="subscript"/>
        <sz val="9"/>
        <color theme="1"/>
        <rFont val="Calibri"/>
        <family val="2"/>
        <scheme val="minor"/>
      </rPr>
      <t>2</t>
    </r>
    <r>
      <rPr>
        <b/>
        <sz val="9"/>
        <color theme="1"/>
        <rFont val="Calibri"/>
        <family val="2"/>
        <scheme val="minor"/>
      </rPr>
      <t>-equivalente por año</t>
    </r>
  </si>
  <si>
    <t>TOTAL EMISIONES [ton CO2-eq/año]</t>
  </si>
  <si>
    <t>Plantas de tratamiento de aguas servidas</t>
  </si>
  <si>
    <t>Emisiones por funcionamiento de Plantas de Tratamiento de Aguas Servidas (PTAS)</t>
  </si>
  <si>
    <t>EIA Capítulo 2</t>
  </si>
  <si>
    <t>Tratamiento de aguas servidas</t>
  </si>
  <si>
    <t>Durante la construcción:</t>
  </si>
  <si>
    <t>Flujo de AS producido</t>
  </si>
  <si>
    <t>m3/día/campamento</t>
  </si>
  <si>
    <t>Nº máx de trabajadores</t>
  </si>
  <si>
    <t>Consumo promedio de agua</t>
  </si>
  <si>
    <t>L/trabajador/día</t>
  </si>
  <si>
    <t>Considera todos los frentes de trabajo</t>
  </si>
  <si>
    <t>trabajadores/campamento</t>
  </si>
  <si>
    <t>TOW</t>
  </si>
  <si>
    <t>Total de materia orgánica en las aguas residuales del año del inventario</t>
  </si>
  <si>
    <t>kg BOD/año</t>
  </si>
  <si>
    <t>Observación</t>
  </si>
  <si>
    <t>EFj</t>
  </si>
  <si>
    <t>j</t>
  </si>
  <si>
    <t>Cada vía o sistema de tratamiento y/o eliminación</t>
  </si>
  <si>
    <t>kg CH4/kg BOD</t>
  </si>
  <si>
    <t>Ecuación  6.1 IPCC: Emisiones totales de CH4 procedentes de las aguas residuales domésticas</t>
  </si>
  <si>
    <t>Emisiones CH4</t>
  </si>
  <si>
    <t>Emisiones de CH4 durante el año del inventario</t>
  </si>
  <si>
    <t>kg CH4/año</t>
  </si>
  <si>
    <t>S</t>
  </si>
  <si>
    <t>Componente orgánico separado como lodo durante el año del inventario</t>
  </si>
  <si>
    <t>Ui</t>
  </si>
  <si>
    <t>Fracción de la población del grupo de ingresos i en el año del inventario</t>
  </si>
  <si>
    <t>Tij</t>
  </si>
  <si>
    <t>Ver cuadro 6.5</t>
  </si>
  <si>
    <t>i</t>
  </si>
  <si>
    <t>Grupo de ingresos: rural, urbano de altos ingresos y urbano de bajos ingresos</t>
  </si>
  <si>
    <t>R</t>
  </si>
  <si>
    <t>cantidad de CH4 recuperada durante el año del inventario</t>
  </si>
  <si>
    <t>Método de cálculo IPCC</t>
  </si>
  <si>
    <t>Fuente:</t>
  </si>
  <si>
    <t>Tesis para optar al grado de Magíster en Gestión y Planificación Medioambiental</t>
  </si>
  <si>
    <t>Estimación de emisiones de gases con efecto invernadero, provenientes del tratamiento de aguas servidas en la Región Metropolitana</t>
  </si>
  <si>
    <t>Scarlette Lara G.</t>
  </si>
  <si>
    <t>U. de Chile</t>
  </si>
  <si>
    <t>Número de campamentos</t>
  </si>
  <si>
    <t>campamentos</t>
  </si>
  <si>
    <t>Número de PTAS por campamento</t>
  </si>
  <si>
    <t>PTAS/campamento</t>
  </si>
  <si>
    <t>CÁLCULO</t>
  </si>
  <si>
    <t>EIA Capítulo 3</t>
  </si>
  <si>
    <t>3.2.16</t>
  </si>
  <si>
    <t>Plan de Cumplimiento Ambiental</t>
  </si>
  <si>
    <t>Las aguas tratadas que serán descargadas a los cursos de aguas superficiales cumplirán en todo momento con los límites máximos indicados en la Tabla Nº 1 del D. S. Nº 90/2001.</t>
  </si>
  <si>
    <t>Para dar seguimiento a este cumplimiento, se efectuará un monitoreo en cada una de las descargas.</t>
  </si>
  <si>
    <t>El Volcán</t>
  </si>
  <si>
    <t>El Yeso</t>
  </si>
  <si>
    <t>Aucayes Alto</t>
  </si>
  <si>
    <t>Aucayes Bajo</t>
  </si>
  <si>
    <t>Túnel Las Lajas</t>
  </si>
  <si>
    <t>Nº ID PTAS</t>
  </si>
  <si>
    <t>Años funcionamiento durante construcción</t>
  </si>
  <si>
    <t>Meses funcionamiento durante construcción</t>
  </si>
  <si>
    <t>PEOR CASO: PTAS EN FUNCIONAMIENTO DESDE EL 2013, TODO EL AÑO</t>
  </si>
  <si>
    <t>DQO/DQOr</t>
  </si>
  <si>
    <t>Ppt</t>
  </si>
  <si>
    <t>Población servida por planta de tratamiento</t>
  </si>
  <si>
    <t>DBOp</t>
  </si>
  <si>
    <t>Demanda química de oxígeno per cápita</t>
  </si>
  <si>
    <t>Fdbo</t>
  </si>
  <si>
    <t>Fracción de DBO fácilmente degradable por el tratamiento</t>
  </si>
  <si>
    <t>MR</t>
  </si>
  <si>
    <t>Metano recuperado</t>
  </si>
  <si>
    <t>kg/año</t>
  </si>
  <si>
    <t>g CH4/g DBO</t>
  </si>
  <si>
    <t>IPCC</t>
  </si>
  <si>
    <t>Inventario GEI Chile, INIA 2010</t>
  </si>
  <si>
    <t>kg DBO/persona/año</t>
  </si>
  <si>
    <t>*</t>
  </si>
  <si>
    <t>(equivale a 0,06 kg DBO/per/día)</t>
  </si>
  <si>
    <t>Grado de utilización del sistema de tratamiento y/o eliminación j, para cada fracción de grupo de ingresos i en el año del inventario</t>
  </si>
  <si>
    <t>Sin embargo, no se empleará esta fórmula, ya que está orientada a inventarios de países, y no responde a las características particulares de una planta de tratamiento de aguas servidas en específico. Por ello se recurre al método de la USEPA</t>
  </si>
  <si>
    <t>Estimación de emisiones GEI: CH4</t>
  </si>
  <si>
    <r>
      <rPr>
        <b/>
        <sz val="9"/>
        <color theme="1"/>
        <rFont val="Calibri"/>
        <family val="2"/>
        <scheme val="minor"/>
      </rPr>
      <t>IPCC-US1AST-CH4:</t>
    </r>
    <r>
      <rPr>
        <sz val="9"/>
        <color theme="1"/>
        <rFont val="Calibri"/>
        <family val="2"/>
        <scheme val="minor"/>
      </rPr>
      <t xml:space="preserve"> Modelo utilizado para estimar la emisión de CH4 desde aguas servidas tratadas en instalación. Emplea la metodología por defecto del IPCC (2000), modificada de acuerdo a USEPA (1997) para incorporar valores específicos de cada planta de tratamiento. El modelo incorpora como parámetro adicional, el CH4 recuperado en la planta de tratamiento.</t>
    </r>
  </si>
  <si>
    <t>Inventario GEI Chile, INIA 2010. Valor para RM</t>
  </si>
  <si>
    <t>Estimación emisiones CH4 PTAS</t>
  </si>
  <si>
    <r>
      <rPr>
        <b/>
        <sz val="9"/>
        <color theme="1"/>
        <rFont val="Calibri"/>
        <family val="2"/>
        <scheme val="minor"/>
      </rPr>
      <t>IPCC-US1AST-CH4:</t>
    </r>
    <r>
      <rPr>
        <sz val="9"/>
        <color theme="1"/>
        <rFont val="Calibri"/>
        <family val="2"/>
        <scheme val="minor"/>
      </rPr>
      <t xml:space="preserve"> Modelo IPCC + USEPA</t>
    </r>
  </si>
  <si>
    <t>(equivale a 0,06 kg DBO/persona/día)</t>
  </si>
  <si>
    <t>ton CH4/año</t>
  </si>
  <si>
    <t>personas</t>
  </si>
  <si>
    <t>g DBO/año/persona</t>
  </si>
  <si>
    <t>Ecuación 1</t>
  </si>
  <si>
    <t>kg CH4/kg DBO</t>
  </si>
  <si>
    <t>TOTAL [ton CH4/año]</t>
  </si>
  <si>
    <t>TOTAL [ton CO2-eq/año]</t>
  </si>
  <si>
    <t>Emisiones GEI por año [ton /año]</t>
  </si>
  <si>
    <t>ton CH4 / año</t>
  </si>
  <si>
    <t>kg DBO/año/persona</t>
  </si>
  <si>
    <t>Fuente</t>
  </si>
  <si>
    <t>Estimación de emisiones GEI: CO2</t>
  </si>
  <si>
    <t>Ecuación 2</t>
  </si>
  <si>
    <t>Emisiones CO2</t>
  </si>
  <si>
    <t>Emisiones de CO2 durante el año del inventario</t>
  </si>
  <si>
    <t>habitantes/año</t>
  </si>
  <si>
    <t>DQO</t>
  </si>
  <si>
    <t>Carga orgánica anual</t>
  </si>
  <si>
    <t>kg DQO/personas/año</t>
  </si>
  <si>
    <t>Fas</t>
  </si>
  <si>
    <t>Fracción de las AS tratadas por el sistema</t>
  </si>
  <si>
    <t>DQOb</t>
  </si>
  <si>
    <t>Eficiencia de remoción de la DQO biodegradable por tipo de tratamiento</t>
  </si>
  <si>
    <t>Fracción biodegradable de la DQO</t>
  </si>
  <si>
    <t>FECl</t>
  </si>
  <si>
    <t>FE CO2 por uso de energía durante el tratamiento del lodo, fracción</t>
  </si>
  <si>
    <t>m3 CO2 / kWh</t>
  </si>
  <si>
    <t>FRE</t>
  </si>
  <si>
    <t>Factor de requerimiento de energía, por tipo de tratamiento</t>
  </si>
  <si>
    <t>kWh/kg DQOr</t>
  </si>
  <si>
    <t>Fconv</t>
  </si>
  <si>
    <t>Factor de conversión, relación molar para llevar volumen a peso en condiciones estándar (44/22.4)</t>
  </si>
  <si>
    <t>Factor para expresar los valores en ton CO2/año</t>
  </si>
  <si>
    <t>ton CO2/ año</t>
  </si>
  <si>
    <t>De acuerdo a IPCC, no se calcula</t>
  </si>
  <si>
    <t>Estimación de emisiones GEI: N2O</t>
  </si>
  <si>
    <t>Ecuación 3</t>
  </si>
  <si>
    <t>Ecuación 4</t>
  </si>
  <si>
    <r>
      <rPr>
        <b/>
        <sz val="9"/>
        <color theme="1"/>
        <rFont val="Calibri"/>
        <family val="2"/>
        <scheme val="minor"/>
      </rPr>
      <t>DL3AST-CH4:</t>
    </r>
    <r>
      <rPr>
        <sz val="9"/>
        <color theme="1"/>
        <rFont val="Calibri"/>
        <family val="2"/>
        <scheme val="minor"/>
      </rPr>
      <t xml:space="preserve"> El modelo corresponde a una adaptación del modelo de Doorn y Liles (1999). La modificación permite ingresar datos específicos por planta de tratamiento</t>
    </r>
  </si>
  <si>
    <t>Emisiones N2O</t>
  </si>
  <si>
    <t>FEN</t>
  </si>
  <si>
    <t>Factor de emisión de N2O</t>
  </si>
  <si>
    <t>ton N2O / año</t>
  </si>
  <si>
    <t>Factor para expresar emisiones en ton N2O</t>
  </si>
  <si>
    <t>Emisiones de N2O durante el año del inventario</t>
  </si>
  <si>
    <t>Emisiones de N2O durante el año del inventario desde el lodo tratado y dispuesto</t>
  </si>
  <si>
    <t>Proteinas</t>
  </si>
  <si>
    <t>Consumo anual de proteína per cápita</t>
  </si>
  <si>
    <t>kg proteina/año/persona</t>
  </si>
  <si>
    <t>Fnp</t>
  </si>
  <si>
    <t>Fracción del contenido de N en la proteína</t>
  </si>
  <si>
    <t>Nl</t>
  </si>
  <si>
    <t>Contenido de N en el lodo producido por tipo de tratamiento</t>
  </si>
  <si>
    <t>Factor de emisión directo de N2O</t>
  </si>
  <si>
    <t>Factor de conversión, relación molecular entre N2O y N2 en condiciones estándar</t>
  </si>
  <si>
    <t>10^-3</t>
  </si>
  <si>
    <t>Factor de conversión emisiones a ton N2O</t>
  </si>
  <si>
    <t>kg proteina/persona/año</t>
  </si>
  <si>
    <t>kg N/kg proteina</t>
  </si>
  <si>
    <t>kg N/kg lodo</t>
  </si>
  <si>
    <t>Inventario GEI Chile, INIA, 2010. CUadro 5.201</t>
  </si>
  <si>
    <t>IPCC 1997 / Tesis/ Inventario GEI Chile, cuadro 5.202</t>
  </si>
  <si>
    <t>g/pers/dia</t>
  </si>
  <si>
    <t>kg/pers/año</t>
  </si>
  <si>
    <t>Tesis</t>
  </si>
  <si>
    <t>Tesis (USEPA, 1997)</t>
  </si>
  <si>
    <t>kg N2O-N/kg N en lodo producido</t>
  </si>
  <si>
    <t>DBO per cápita</t>
  </si>
  <si>
    <t>kg N2O/kg DBOr</t>
  </si>
  <si>
    <t>TOTAL [ton N2O/año]</t>
  </si>
  <si>
    <r>
      <rPr>
        <b/>
        <sz val="9"/>
        <color theme="0" tint="-0.499984740745262"/>
        <rFont val="Calibri"/>
        <family val="2"/>
        <scheme val="minor"/>
      </rPr>
      <t>IPCC3L-N2O:</t>
    </r>
    <r>
      <rPr>
        <sz val="9"/>
        <color theme="0" tint="-0.499984740745262"/>
        <rFont val="Calibri"/>
        <family val="2"/>
        <scheme val="minor"/>
      </rPr>
      <t>Corresponde al método del IPCC (IPCC, 1997a,b y 2000), usando datos por defecto, pero modificado para considerar la emisión de N2O asociada al tratamiento del lodo y su disposición final en suelo</t>
    </r>
  </si>
  <si>
    <t>De acuerdo a tesis, existe una fórmula (ecuación 2) para estimar las emisiones de CO2.</t>
  </si>
  <si>
    <t>Tesis (Lexmond y Zeeman, 1995)</t>
  </si>
  <si>
    <t>N as</t>
  </si>
  <si>
    <t>kgCO2 / m3 CO2</t>
  </si>
  <si>
    <r>
      <rPr>
        <b/>
        <sz val="9"/>
        <color theme="0" tint="-0.499984740745262"/>
        <rFont val="Calibri"/>
        <family val="2"/>
        <scheme val="minor"/>
      </rPr>
      <t>LZ1AST-CO2</t>
    </r>
    <r>
      <rPr>
        <sz val="9"/>
        <color theme="0" tint="-0.499984740745262"/>
        <rFont val="Calibri"/>
        <family val="2"/>
        <scheme val="minor"/>
      </rPr>
      <t>: Modelo desarrollado por Lexmond y Zeeman (1995). Se utilizó para estimar la emisión de CO2 desde las aguas servidas tratadas y lodos y considera el uso de energía requerido durante el proceso de depuración. Bajo ciertas condiciones, el modelo permite estimar también la cantidad de CO2 emitido con utilización del biogas, en reemplazo del combustible fósil.</t>
    </r>
  </si>
  <si>
    <t>Se sobreestiman las emisiones: se asume que las plantas estarán operativas desde el segundo semestre de 2012, hasta fines de 2016</t>
  </si>
  <si>
    <t>(Aún no se construyen las PTAS)</t>
  </si>
  <si>
    <t>Fase de Construcción</t>
  </si>
  <si>
    <t>Fase de Operación</t>
  </si>
  <si>
    <t>Intervención de la vegetación</t>
  </si>
  <si>
    <r>
      <t>Estimación de emisiones de GEI durante etapas del PHAM en toneladas de CO</t>
    </r>
    <r>
      <rPr>
        <b/>
        <vertAlign val="subscript"/>
        <sz val="9"/>
        <color theme="1"/>
        <rFont val="Calibri"/>
        <family val="2"/>
        <scheme val="minor"/>
      </rPr>
      <t>2</t>
    </r>
    <r>
      <rPr>
        <b/>
        <sz val="9"/>
        <color theme="1"/>
        <rFont val="Calibri"/>
        <family val="2"/>
        <scheme val="minor"/>
      </rPr>
      <t>-equivalente por año. ALCANCE 1</t>
    </r>
  </si>
  <si>
    <r>
      <t>Estimación de emisiones de GEI durante etapas del PHAM en toneladas de CO</t>
    </r>
    <r>
      <rPr>
        <b/>
        <vertAlign val="subscript"/>
        <sz val="9"/>
        <color theme="1"/>
        <rFont val="Calibri"/>
        <family val="2"/>
        <scheme val="minor"/>
      </rPr>
      <t>2</t>
    </r>
    <r>
      <rPr>
        <b/>
        <sz val="9"/>
        <color theme="1"/>
        <rFont val="Calibri"/>
        <family val="2"/>
        <scheme val="minor"/>
      </rPr>
      <t>-equivalente por año. ALCANCE 3</t>
    </r>
  </si>
  <si>
    <r>
      <t>Estimación de emisiones de GEI del PHAM en toneladas de CO</t>
    </r>
    <r>
      <rPr>
        <b/>
        <vertAlign val="subscript"/>
        <sz val="9"/>
        <color theme="1"/>
        <rFont val="Calibri"/>
        <family val="2"/>
        <scheme val="minor"/>
      </rPr>
      <t>2</t>
    </r>
    <r>
      <rPr>
        <b/>
        <sz val="9"/>
        <color theme="1"/>
        <rFont val="Calibri"/>
        <family val="2"/>
        <scheme val="minor"/>
      </rPr>
      <t>-equivalente por año. TODOS LOS ALCANCES</t>
    </r>
  </si>
  <si>
    <t>Fuente: Elaboración propia en base a las Directrices del IPCC de 1996</t>
  </si>
  <si>
    <t>EMEP, EEA. “Emission inventory guidebook 2009”. Actualizada a Junio 2010. Capítulo: Non-road mobile sources and machinery.</t>
  </si>
  <si>
    <t>Directrices del IPCC 2006 para los inventarios nacionales de gases efecto invernadero. Volumen 2. Capítulo 2.</t>
  </si>
  <si>
    <t>Fuente: Elaboración propia a partir de las tablas de factores de carga del Apéndice A de la EPA y las tablas  “Operational data for construction machinery” y “Stock and operational data for other machinery types in industry” del Denmark’s national inventory report 2012 del DEC.</t>
  </si>
  <si>
    <t>EMISIONES [t CO2-eq/año]</t>
  </si>
  <si>
    <t>Total emisiones GEI proyecto [t GEI]</t>
  </si>
  <si>
    <t>Motiveladoras</t>
  </si>
  <si>
    <t>t GEI</t>
  </si>
  <si>
    <t>t CO2 eq</t>
  </si>
  <si>
    <t>Total emisiones GEI proyecto [t CO2-eq]</t>
  </si>
  <si>
    <t>Biomasa total (t)</t>
  </si>
  <si>
    <t>Biomasa total para leña (t)</t>
  </si>
  <si>
    <t>Biomasa total de chipeo (t)</t>
  </si>
  <si>
    <t>N°</t>
  </si>
  <si>
    <t>Ha</t>
  </si>
  <si>
    <t>Rodal</t>
  </si>
  <si>
    <t>Fisonomía</t>
  </si>
  <si>
    <t>Año corta</t>
  </si>
  <si>
    <t>Año termino obra</t>
  </si>
  <si>
    <t>Quillay</t>
  </si>
  <si>
    <t>Eucaliptus</t>
  </si>
  <si>
    <t>Litre</t>
  </si>
  <si>
    <t>Espino</t>
  </si>
  <si>
    <t xml:space="preserve">Bocatoma La Engorda </t>
  </si>
  <si>
    <t>LE-4</t>
  </si>
  <si>
    <t>Pradera, borde estero</t>
  </si>
  <si>
    <t xml:space="preserve">Bocatoma Colina </t>
  </si>
  <si>
    <t xml:space="preserve">Bocatoma Las Placas </t>
  </si>
  <si>
    <t>LE-2</t>
  </si>
  <si>
    <t>Matorral bajo</t>
  </si>
  <si>
    <t xml:space="preserve">Bocatoma El Morado </t>
  </si>
  <si>
    <t>LE-1</t>
  </si>
  <si>
    <t xml:space="preserve">Captación El Yeso </t>
  </si>
  <si>
    <t>EY-6</t>
  </si>
  <si>
    <t>Colorado</t>
  </si>
  <si>
    <t xml:space="preserve">Captación Canal Maitenes </t>
  </si>
  <si>
    <t>CA-2</t>
  </si>
  <si>
    <t>Matorral de chilca (fondo de río)</t>
  </si>
  <si>
    <t xml:space="preserve">Captación Aucayes Bajo (existente) </t>
  </si>
  <si>
    <t>S/I</t>
  </si>
  <si>
    <t xml:space="preserve">Descarga río Yeso </t>
  </si>
  <si>
    <t xml:space="preserve">Descarga río Colorado 1 - Sector Cámara de Carga </t>
  </si>
  <si>
    <t>Las Lajas</t>
  </si>
  <si>
    <t xml:space="preserve">Descarga Río Maipo </t>
  </si>
  <si>
    <t>LL-1</t>
  </si>
  <si>
    <t>Plantación forestal</t>
  </si>
  <si>
    <t>LE-1; LE-2</t>
  </si>
  <si>
    <t>EY-4</t>
  </si>
  <si>
    <t>Est. Manzanito</t>
  </si>
  <si>
    <t>EE-3</t>
  </si>
  <si>
    <t>EE-4</t>
  </si>
  <si>
    <t xml:space="preserve">Sitio de Acopio de Marina Nº 5 - Aucayes Alto </t>
  </si>
  <si>
    <t>AU-8</t>
  </si>
  <si>
    <t>Bosque esclerófilo</t>
  </si>
  <si>
    <t>CM-1</t>
  </si>
  <si>
    <t>Bosque de quillay-frangel</t>
  </si>
  <si>
    <t xml:space="preserve">Sitio de Acopio de Marina Nº 8 – Alfalfal VL8 </t>
  </si>
  <si>
    <t>CA-4</t>
  </si>
  <si>
    <t>Bosque de quillay-huingan</t>
  </si>
  <si>
    <t>Alfalfal II</t>
  </si>
  <si>
    <t>AU-12</t>
  </si>
  <si>
    <t>Quillay (matorral)</t>
  </si>
  <si>
    <t>CL-1</t>
  </si>
  <si>
    <t>Bosque quillay espinoso</t>
  </si>
  <si>
    <t xml:space="preserve">Sitio de Acopio de Marina Nº 11 - Km 10 Ruta G-345 </t>
  </si>
  <si>
    <t xml:space="preserve">Sitio de Acopio de Marina Nº 13 - El Sauce </t>
  </si>
  <si>
    <t>CL-5</t>
  </si>
  <si>
    <t>Bosque…</t>
  </si>
  <si>
    <t xml:space="preserve">Sitio de Acopio de Marina Nº 14 – Km. 8, Ruta G-345 </t>
  </si>
  <si>
    <t>Bosque quillay huingán</t>
  </si>
  <si>
    <t xml:space="preserve">Puente Aucayes (acceso VA1) </t>
  </si>
  <si>
    <t>AU-10</t>
  </si>
  <si>
    <t xml:space="preserve">Puente El Yeso (acceso VA4 Encañado) </t>
  </si>
  <si>
    <t xml:space="preserve">Puente Manzanito (acceso VA4) </t>
  </si>
  <si>
    <t>EE-1</t>
  </si>
  <si>
    <t>Matorral de borde de estero</t>
  </si>
  <si>
    <t xml:space="preserve">Puente río Colorado - Sector Las Puertas </t>
  </si>
  <si>
    <t>LP-6</t>
  </si>
  <si>
    <t>Matorral de romerillo</t>
  </si>
  <si>
    <t xml:space="preserve">Portal túnel Volcán V1 + Frente de Trabajo </t>
  </si>
  <si>
    <t xml:space="preserve">Portal túnel Volcán V6 + Frente de Trabajo </t>
  </si>
  <si>
    <t xml:space="preserve">Portal Túnel Alfalfal II VA4 + Frente de Trabajo </t>
  </si>
  <si>
    <t xml:space="preserve">Portal Ventana Túnel Alfalfal II VA2 + Frente de Trabajo </t>
  </si>
  <si>
    <t>AU-4</t>
  </si>
  <si>
    <t>Matorral subandino</t>
  </si>
  <si>
    <t xml:space="preserve">Portal Acceso a Central Alfalfal II VA1 + Frente de Trabajo </t>
  </si>
  <si>
    <t xml:space="preserve">Portal Túnel Las Lajas L1 (Descarga río Maipo) + Frente de Trabajo </t>
  </si>
  <si>
    <t xml:space="preserve">Portal Acceso a Central Las Lajas VL4 + Frente de Trabajo </t>
  </si>
  <si>
    <t>CL-8</t>
  </si>
  <si>
    <t xml:space="preserve">Portal Ventana Túnel Las Lajas VL5 + Frente de Trabajo </t>
  </si>
  <si>
    <t xml:space="preserve">Portal Túnel Las Lajas VL7 + Frente de Trabajo </t>
  </si>
  <si>
    <t>CA-7</t>
  </si>
  <si>
    <t xml:space="preserve">Portal Túnel Las Lajas VL8 + Frente de Trabajo </t>
  </si>
  <si>
    <t>Matorral de Gymnophyton y quisco</t>
  </si>
  <si>
    <t xml:space="preserve">Portal Ventana Las Puertas VL2 + Frente de Trabajo </t>
  </si>
  <si>
    <t xml:space="preserve">Campamento e Instalación de Faenas Nº1 - Sector El Volcán </t>
  </si>
  <si>
    <t xml:space="preserve">Campamento e Instalación de Faenas Nº2 - Sector El Yeso, Manzanito </t>
  </si>
  <si>
    <t xml:space="preserve">Campamento e Instalación de Faenas Nº3 - Sector Aucayes Alto </t>
  </si>
  <si>
    <t>AU-7</t>
  </si>
  <si>
    <t>Bosque poco denso</t>
  </si>
  <si>
    <t xml:space="preserve">Campamento e Instalación de Faenas Nº4 - Sector Aucayes Bajo </t>
  </si>
  <si>
    <t>AU-14</t>
  </si>
  <si>
    <t xml:space="preserve">Campamento e Instalación de Faenas Nº5 - Km 10, Ruta G-345 </t>
  </si>
  <si>
    <t xml:space="preserve">Instalación de Faenas Nº6 - Sector Potrero Bellavista </t>
  </si>
  <si>
    <t>CA-1</t>
  </si>
  <si>
    <t xml:space="preserve">Instalación de Faenas Nº7 - Sector Descarga río Maipo </t>
  </si>
  <si>
    <t xml:space="preserve">Planta de Tratamiento Modular -Campamento e Instalación de Faenas Nº1 - Sector El Volcán </t>
  </si>
  <si>
    <t xml:space="preserve">Planta de Tratamiento Modular -ampamento e Instalación de Faenas Nº2 - Sector El Yeso, Manzanito </t>
  </si>
  <si>
    <t xml:space="preserve">Planta de Tratamiento Modular -Campamento e Instalación de Faenas Nº3 - Sector Aucayes Alto </t>
  </si>
  <si>
    <t xml:space="preserve">Planta de Tratamiento Modular -Campamento e Instalación de Faenas Nº4 - Sector Aucayes Bajo </t>
  </si>
  <si>
    <t xml:space="preserve">Planta de Tratamiento Modular -Campamento e Instalación de Faenas Nº5 - Km. 10, Ruta G-345 </t>
  </si>
  <si>
    <t xml:space="preserve">Pozo de Toma sector Yeso </t>
  </si>
  <si>
    <t>EY-5</t>
  </si>
  <si>
    <t>Pradera húmeda</t>
  </si>
  <si>
    <t xml:space="preserve">Empalme Canal Descarga Alfalfal a Cámara de Carga Las Lajas </t>
  </si>
  <si>
    <t>Matorral de chilca (fondo de río)*</t>
  </si>
  <si>
    <t>Bosque quillay-frangel</t>
  </si>
  <si>
    <t xml:space="preserve">Caverna de máquinas Alfalfal II </t>
  </si>
  <si>
    <t>AU-18</t>
  </si>
  <si>
    <t>Matorral andino</t>
  </si>
  <si>
    <t xml:space="preserve">Caverna de máquinas Las Lajas </t>
  </si>
  <si>
    <t>NA</t>
  </si>
  <si>
    <t xml:space="preserve">Subestación Eléctrica </t>
  </si>
  <si>
    <t xml:space="preserve">Estanque de Carga Alfalfal II </t>
  </si>
  <si>
    <t>Acueducto El Volcán (Completo)</t>
  </si>
  <si>
    <t>Camino a V1 (L= 7 km)</t>
  </si>
  <si>
    <t>Camino a V1 (SAM 1 a B. Colina)</t>
  </si>
  <si>
    <t>Sifón El Morado</t>
  </si>
  <si>
    <t>Camino a VA4 (km 0 a 0,38)</t>
  </si>
  <si>
    <t>EY-2</t>
  </si>
  <si>
    <t>Camino a VA4 (km 0,38 a 1,42)</t>
  </si>
  <si>
    <t>Camino a VA4 (Puente Manzanito a Portal VA4)</t>
  </si>
  <si>
    <t>EE-2; EE-3, EE-4</t>
  </si>
  <si>
    <t>Ducto (SAM 3 a Portal VA4)</t>
  </si>
  <si>
    <t>EE-2; EE-3</t>
  </si>
  <si>
    <t>Sifón El Yeso</t>
  </si>
  <si>
    <t>Conducción río Yeso</t>
  </si>
  <si>
    <t>Sifón El Colorado - Cámara de Carga</t>
  </si>
  <si>
    <t>Sifón El Colorado - Túnel las Lajas</t>
  </si>
  <si>
    <t>FONDO DE RÍO</t>
  </si>
  <si>
    <t>Camino a Portal Túnel Las Lajas VL7 (100 m aprox)</t>
  </si>
  <si>
    <t>Camino a Portal Túnel Las Lajas VL8 (100 m aprox)</t>
  </si>
  <si>
    <t>Camino a VA1 (0 a 2,86)</t>
  </si>
  <si>
    <t>Camino a VA1 (2,86 a 3,92)</t>
  </si>
  <si>
    <t>AU-13</t>
  </si>
  <si>
    <t>Matorral espinoso</t>
  </si>
  <si>
    <t>Camino a VA1 (3,92 a 4,56)</t>
  </si>
  <si>
    <t>AU-11</t>
  </si>
  <si>
    <t>Camino a VA1 (4,56 a 5,34)</t>
  </si>
  <si>
    <t>Camino a VA1 (5,34 a 6,09)</t>
  </si>
  <si>
    <t>Camino a SAM 9 (L=1)</t>
  </si>
  <si>
    <t>Camino entre VA1 a VA2</t>
  </si>
  <si>
    <t>Camino SAM5 a Estanque de carga Central Alfalfal II</t>
  </si>
  <si>
    <t>AU 17,18 y 19</t>
  </si>
  <si>
    <t>Camino a SAM 13 (100 m aprox)</t>
  </si>
  <si>
    <t>CL-6</t>
  </si>
  <si>
    <t>Camino a VL4 (L=450)</t>
  </si>
  <si>
    <t>Bosque esclarófilo</t>
  </si>
  <si>
    <t>Camino a VL4 (L=190)</t>
  </si>
  <si>
    <t>CL-9</t>
  </si>
  <si>
    <t>Camino a Puente río Colorado (100 m aprox)</t>
  </si>
  <si>
    <t>LP-8</t>
  </si>
  <si>
    <t>Zona agrícola</t>
  </si>
  <si>
    <t>Aducción Central Las Lajas</t>
  </si>
  <si>
    <t>Puente La Engorda</t>
  </si>
  <si>
    <t>Estimación de biomasa aérea de quillay</t>
  </si>
  <si>
    <t>Función de Sfeir (1990) para árbol individual de quilay</t>
  </si>
  <si>
    <t>PS total(gr)</t>
  </si>
  <si>
    <t>36,366713*H+21,317326*D2*H</t>
  </si>
  <si>
    <t>Individuo</t>
  </si>
  <si>
    <t>Ind/ha</t>
  </si>
  <si>
    <t>reb/ha (*)</t>
  </si>
  <si>
    <t>DAP (media) cm</t>
  </si>
  <si>
    <t>DAP^2 (media) cm</t>
  </si>
  <si>
    <t>HT (media) m</t>
  </si>
  <si>
    <t>PS total(kg)</t>
  </si>
  <si>
    <t>PS total(kg/ha)</t>
  </si>
  <si>
    <t>PS total(t/ha)</t>
  </si>
  <si>
    <t>CL1</t>
  </si>
  <si>
    <t>CL6</t>
  </si>
  <si>
    <t>CL8</t>
  </si>
  <si>
    <t>CM1</t>
  </si>
  <si>
    <t>AU8</t>
  </si>
  <si>
    <t>AU10</t>
  </si>
  <si>
    <t>AU11</t>
  </si>
  <si>
    <t>AU14</t>
  </si>
  <si>
    <t>CA1</t>
  </si>
  <si>
    <t>CA4A</t>
  </si>
  <si>
    <t>CA4B</t>
  </si>
  <si>
    <t>CA4</t>
  </si>
  <si>
    <t>LP1</t>
  </si>
  <si>
    <t>LP4</t>
  </si>
  <si>
    <t>LP5</t>
  </si>
  <si>
    <t>Fuente: Anexo 7 EIA PHAM</t>
  </si>
  <si>
    <t xml:space="preserve">(*) Para la estimación de biomasa se considero el rebrote como individuo </t>
  </si>
  <si>
    <t>Estimación de biomasa aérea de eucalipto</t>
  </si>
  <si>
    <t>Función de Gayoso (2002) para árbol individual de eucalipto</t>
  </si>
  <si>
    <t>BA=EXP(a+b*DAP)</t>
  </si>
  <si>
    <t>a</t>
  </si>
  <si>
    <t>b</t>
  </si>
  <si>
    <t>BA por individuo (kgMS)</t>
  </si>
  <si>
    <t>BA (kgMS/ha)</t>
  </si>
  <si>
    <t>BA (tMS/ha)</t>
  </si>
  <si>
    <t>LL1</t>
  </si>
  <si>
    <t>Estimación de biomasa aérea de espino y litre</t>
  </si>
  <si>
    <t xml:space="preserve"> (t/ha)</t>
  </si>
  <si>
    <t>Fuente: Tapia (2005)</t>
  </si>
  <si>
    <t xml:space="preserve">Participación del fuste en la biomasas aérea de individuos de quillay, espino, litre y eucalipto </t>
  </si>
  <si>
    <t>Fuente: valor medio de lo expuesto por Pardé (1980), citado por Quintana, A (2008)</t>
  </si>
  <si>
    <t>Fuente: Parra G (2001). El valor corresponde a la suma de la proporcion de materia seca de fuste y corteza  con respeto a la materia seca aérea total del árbol</t>
  </si>
  <si>
    <t>Se asume el mismo valor que en quillay</t>
  </si>
  <si>
    <t>Eucalipto</t>
  </si>
  <si>
    <t xml:space="preserve">Fuente: Gayoso (2002a) </t>
  </si>
  <si>
    <t>(t)</t>
  </si>
  <si>
    <t>(kt)</t>
  </si>
  <si>
    <t>Emisiones de gases distintos de CO2 (ktC)</t>
  </si>
  <si>
    <t>Emisiones de gases por quema de leña (Gg)</t>
  </si>
  <si>
    <t>Emisiones de gases por quema de leña (t)</t>
  </si>
  <si>
    <t>Tipo</t>
  </si>
  <si>
    <t>Año de consumo de leña</t>
  </si>
  <si>
    <t>Fracción de biomasa oxidada fuera del bosque</t>
  </si>
  <si>
    <t xml:space="preserve">Cantidad de biomasa oxidada fuera del bosque </t>
  </si>
  <si>
    <t xml:space="preserve">Fracción de carbono </t>
  </si>
  <si>
    <t xml:space="preserve">Cantidad de carbono liberado </t>
  </si>
  <si>
    <t>Emisiones de CO2 (Gg)</t>
  </si>
  <si>
    <t xml:space="preserve">Emisiones de N  (kt N)
</t>
  </si>
  <si>
    <t>CO</t>
  </si>
  <si>
    <t>Nox</t>
  </si>
  <si>
    <t>CH4 (t)</t>
  </si>
  <si>
    <t>CO (t)</t>
  </si>
  <si>
    <t>N2O (t)</t>
  </si>
  <si>
    <t>Nox (t)</t>
  </si>
  <si>
    <t xml:space="preserve"> CO2 (t)</t>
  </si>
  <si>
    <t>CO2e (t)</t>
  </si>
  <si>
    <t>Supuestos</t>
  </si>
  <si>
    <t>Relación Nitrógeno carbono</t>
  </si>
  <si>
    <t>Fuente: IPCC 1996</t>
  </si>
  <si>
    <t xml:space="preserve">Relaciones de emisión de los gases distintos del CO2 </t>
  </si>
  <si>
    <r>
      <t>CH4</t>
    </r>
    <r>
      <rPr>
        <sz val="7"/>
        <color indexed="8"/>
        <rFont val="Times New Roman"/>
        <family val="1"/>
        <charset val="204"/>
      </rPr>
      <t xml:space="preserve"> 
</t>
    </r>
  </si>
  <si>
    <t xml:space="preserve">CO
</t>
  </si>
  <si>
    <t xml:space="preserve">N2O
</t>
  </si>
  <si>
    <r>
      <t>NOx</t>
    </r>
    <r>
      <rPr>
        <sz val="7"/>
        <color indexed="8"/>
        <rFont val="Times New Roman"/>
        <family val="1"/>
        <charset val="204"/>
      </rPr>
      <t xml:space="preserve">
</t>
    </r>
  </si>
  <si>
    <t>Relación de conversión por gas</t>
  </si>
  <si>
    <t>Factores de equivalencia de GEI</t>
  </si>
  <si>
    <t>Factor (t CO2e/ t GEI)</t>
  </si>
  <si>
    <t>Formacion vegetacional bosque</t>
  </si>
  <si>
    <t>Resumen Bosque</t>
  </si>
  <si>
    <t xml:space="preserve">Fracción de residuos mineralizados </t>
  </si>
  <si>
    <t>Biomasa total mineralizada (t)</t>
  </si>
  <si>
    <t>Carbono en biomasa total mineralizada (t)</t>
  </si>
  <si>
    <t>Carbono en biomasa total mineralizada (Kt)</t>
  </si>
  <si>
    <t>Emisión de CO2 por mineralización (Gg)</t>
  </si>
  <si>
    <t>Emisión de CO2 por mineralización (t)</t>
  </si>
  <si>
    <t>Año de corta</t>
  </si>
  <si>
    <t>Total biomasa a intervenir (t)</t>
  </si>
  <si>
    <t>Supuesto</t>
  </si>
  <si>
    <t>Se considera una tasa de descomposición anual de 0,2</t>
  </si>
  <si>
    <t>Fuente: INIA, CONAMA, P.N.U.D. Chile (2010)</t>
  </si>
  <si>
    <t>(*) No se proyecta la corta de vegetación en el año 2014</t>
  </si>
  <si>
    <t>Bosque</t>
  </si>
  <si>
    <t>Biomasa total mineralizada y mineralizada acumulada anualmente (t)</t>
  </si>
  <si>
    <t>Año de proyección</t>
  </si>
  <si>
    <t>Año de intervención 2011</t>
  </si>
  <si>
    <t>Biomasa mineralizada acumulada (t)</t>
  </si>
  <si>
    <t>Año de intervención 2012</t>
  </si>
  <si>
    <t>Año de intervención 2013</t>
  </si>
  <si>
    <t>Año de intervención 2015</t>
  </si>
  <si>
    <t>Total biomasa mineralizada anualmente (t)</t>
  </si>
  <si>
    <t>Total Bosque</t>
  </si>
  <si>
    <t>Formación vegetacional de matorral</t>
  </si>
  <si>
    <t>Resumen Matorral</t>
  </si>
  <si>
    <t>Matorral</t>
  </si>
  <si>
    <t>Carbono total mineralizado y mineralizado acumulado anualmente (t)</t>
  </si>
  <si>
    <t>Cont. carbono total de matorral (tC/ha)</t>
  </si>
  <si>
    <t>Carbono total (tC)</t>
  </si>
  <si>
    <t>Fracción de residuos mineralizados</t>
  </si>
  <si>
    <t>Carbono total mineralizado (t)</t>
  </si>
  <si>
    <t>Carbono en biomasa total mineralizada (kt)</t>
  </si>
  <si>
    <t>Suma de Carbono total (tC)</t>
  </si>
  <si>
    <t>Suma de Carbono total mineralizado (t)</t>
  </si>
  <si>
    <t>Suma de Emisión de CO2 por mineralización (t)</t>
  </si>
  <si>
    <t>Acumulada</t>
  </si>
  <si>
    <t>Año de intervención 2014</t>
  </si>
  <si>
    <t>Total Matorral</t>
  </si>
  <si>
    <t>Resumen</t>
  </si>
  <si>
    <t>Vegetación de compensación</t>
  </si>
  <si>
    <t>Longitud de camino (m)</t>
  </si>
  <si>
    <t>Superficie de compensacion (ha)</t>
  </si>
  <si>
    <t>Biomasa total a compensar (t)</t>
  </si>
  <si>
    <t>Contenido de carbono a compensar (t)</t>
  </si>
  <si>
    <t>Incremento anual de biomasa tMS/ha/año</t>
  </si>
  <si>
    <t>Incremento total de biomasa tMS/año</t>
  </si>
  <si>
    <t>Captura de carbono por incremento en biomasa tC/año</t>
  </si>
  <si>
    <t>Captura de CO2 (t)</t>
  </si>
  <si>
    <t>Año de intervención</t>
  </si>
  <si>
    <t>Suma de Captura de CO2 (t)</t>
  </si>
  <si>
    <t>Pradera</t>
  </si>
  <si>
    <t>Se considera un ancho de talud promedio de 2m</t>
  </si>
  <si>
    <t>Se considera un incremento anual de biomasa de 5 tMS/ha/año, valor constante de matorral y pradera</t>
  </si>
  <si>
    <t>Fuente: IPCC (2003)</t>
  </si>
  <si>
    <t>Año restauración</t>
  </si>
  <si>
    <t>Captura de CO2 total debido a incremento anual en biomasa (t)</t>
  </si>
  <si>
    <t>Ancho de talud (m)</t>
  </si>
  <si>
    <t>Número de individuos a compensar por especie y año</t>
  </si>
  <si>
    <t>Año de plantación</t>
  </si>
  <si>
    <t>Numero de individuos estimados a compensar</t>
  </si>
  <si>
    <t>Biomasa total de compensacion compensacion (t)</t>
  </si>
  <si>
    <t>Perdida de biomasa por senscencia  (25%),(t)</t>
  </si>
  <si>
    <r>
      <t xml:space="preserve"> </t>
    </r>
    <r>
      <rPr>
        <b/>
        <sz val="9"/>
        <color indexed="8"/>
        <rFont val="Calibri"/>
        <family val="2"/>
        <scheme val="minor"/>
      </rPr>
      <t>Frangel</t>
    </r>
    <r>
      <rPr>
        <b/>
        <sz val="9"/>
        <rFont val="Calibri"/>
        <family val="2"/>
        <scheme val="minor"/>
      </rPr>
      <t xml:space="preserve"> </t>
    </r>
  </si>
  <si>
    <r>
      <t xml:space="preserve"> </t>
    </r>
    <r>
      <rPr>
        <b/>
        <sz val="9"/>
        <color indexed="8"/>
        <rFont val="Calibri"/>
        <family val="2"/>
        <scheme val="minor"/>
      </rPr>
      <t xml:space="preserve">Quillay </t>
    </r>
    <r>
      <rPr>
        <b/>
        <sz val="9"/>
        <rFont val="Calibri"/>
        <family val="2"/>
        <scheme val="minor"/>
      </rPr>
      <t xml:space="preserve"> </t>
    </r>
  </si>
  <si>
    <r>
      <t xml:space="preserve"> </t>
    </r>
    <r>
      <rPr>
        <b/>
        <sz val="9"/>
        <color indexed="8"/>
        <rFont val="Calibri"/>
        <family val="2"/>
        <scheme val="minor"/>
      </rPr>
      <t>Guayacán</t>
    </r>
  </si>
  <si>
    <t>Biomasa por individuo de quillay a compensar (kg)</t>
  </si>
  <si>
    <t>Fuente: Estimado utilizando la funcion desarrollada por Sfeir (1990), con individuos de 20cm de altura y 0,4 cm de diametro</t>
  </si>
  <si>
    <t>Incremento anual  en biomasa de arbol individual de quillay (kg/año)</t>
  </si>
  <si>
    <t>Fuente: Nuñez Cerda (2006)</t>
  </si>
  <si>
    <t>Fraccion de residuos mineralizados anualmente</t>
  </si>
  <si>
    <t>Fraccion de carbono en biomasa de quillay</t>
  </si>
  <si>
    <t>Fuente: Valor por defecto IPCC (1996)</t>
  </si>
  <si>
    <t>total</t>
  </si>
  <si>
    <t>Año plantacion</t>
  </si>
  <si>
    <t>Incremento anual de biomasa de quillay (kg)</t>
  </si>
  <si>
    <t>Captura anual de carbono por incremento anual en biomasa de quillay, sobrevivencia de un 75% (KgC)</t>
  </si>
  <si>
    <t>Total (kg)</t>
  </si>
  <si>
    <t>Total (t)</t>
  </si>
  <si>
    <t>Total (Kt)</t>
  </si>
  <si>
    <t>Captura de CO2e (t)</t>
  </si>
  <si>
    <t>Total biomasa mineralizada (kg)</t>
  </si>
  <si>
    <t>Emisión de CO2 por mineralización de biomasa muerta (t)</t>
  </si>
  <si>
    <t>Año de plantación 2013</t>
  </si>
  <si>
    <t>Año de plantación 2014</t>
  </si>
  <si>
    <t>Año de plantación 2015</t>
  </si>
  <si>
    <t>Emision de CO2e por quema de leña</t>
  </si>
  <si>
    <t>Emisiones de GEI por quema de leña proveniente de vegetación intervenida durante la etapa de construcción, en toneladas por año.</t>
  </si>
  <si>
    <t>Suma de CH4 (t)</t>
  </si>
  <si>
    <t>Suma de N2O (t)</t>
  </si>
  <si>
    <t>Suma de  CO2 (t)</t>
  </si>
  <si>
    <t>Suma de CO2e (t)</t>
  </si>
  <si>
    <t>Emisiones GEI por año [t / año]</t>
  </si>
  <si>
    <t>TOTAL EMISIONES [t CO2-eq/año]</t>
  </si>
  <si>
    <t>Emision de CO2e por descomposicion de residuos de corta en zonas de bosque</t>
  </si>
  <si>
    <r>
      <t>Emisiones de CO</t>
    </r>
    <r>
      <rPr>
        <vertAlign val="subscript"/>
        <sz val="12"/>
        <color theme="1"/>
        <rFont val="Garamond"/>
        <family val="1"/>
      </rPr>
      <t>2</t>
    </r>
    <r>
      <rPr>
        <sz val="12"/>
        <color theme="1"/>
        <rFont val="Garamond"/>
        <family val="1"/>
      </rPr>
      <t xml:space="preserve"> por descomposición de la vegetación chipeada y dispuesta en el suelo, durante las etapas de construcción y operación, en toneladas por año.</t>
    </r>
  </si>
  <si>
    <t>Origen de biomasa chipeada</t>
  </si>
  <si>
    <t>Total de emisiones de GEI por deforestación, durante las etapas de construcción y operación, en toneladas por año.</t>
  </si>
  <si>
    <t>Emision de CO2e por descomposicion de residuos de corta en zonas de matorral</t>
  </si>
  <si>
    <t>Emisiones de GEI por senescencia de individuos compensados, en toneladas por año.</t>
  </si>
  <si>
    <t>Ítem</t>
  </si>
  <si>
    <t>Total de emision anual de GEI por intervencion de la vegetacion (tCO2 e)</t>
  </si>
  <si>
    <t>Tipo de emisión</t>
  </si>
  <si>
    <t>Descomposición de material chipeado</t>
  </si>
  <si>
    <t>Consumo de leña</t>
  </si>
  <si>
    <t>Emisiones de CO2e por senescencia anual de un 25% de vegetacion compensada</t>
  </si>
  <si>
    <t>Senescencia de vegetación</t>
  </si>
  <si>
    <t>Captura de CO2 e por compensacion</t>
  </si>
  <si>
    <t>Capturas de CO2 por incremento de biomasa asociado a medidas de compensación y restauración, en toneladas por año.</t>
  </si>
  <si>
    <t>Origen de captura</t>
  </si>
  <si>
    <t>Captura de GEI por año [t / año]</t>
  </si>
  <si>
    <t>PRV (incremento anual de biomasa)</t>
  </si>
  <si>
    <t>Compensación y reforestación (75% de prendimiento)</t>
  </si>
  <si>
    <t>Total Captura</t>
  </si>
  <si>
    <t>Captura de CO2 por PRV</t>
  </si>
  <si>
    <t>Balance de emisiones y capturas de GEI por medidas de compensación y restauración.</t>
  </si>
  <si>
    <t>EMISIONES                     [t CO2-eq/año]</t>
  </si>
  <si>
    <t>CAPTURA                         [t CO2-eq/año]</t>
  </si>
  <si>
    <t>BALANCE                         [t CO2-eq/año]</t>
  </si>
  <si>
    <t>Balance final de capturas y emisiones de GEI por intervención de la vegetación, en toneladas por año.</t>
  </si>
  <si>
    <t>Balance de emision/captura anual de GEI por intervencion de la vegetacion [t CO2-eq/año]</t>
  </si>
  <si>
    <t>TOTAL CAPTURA                    [t CO2-eq/año]</t>
  </si>
  <si>
    <t>BALANCE                         [t  CO2-eq/año]</t>
  </si>
  <si>
    <t>Emisiones por deforestación</t>
  </si>
  <si>
    <t>Quema por consumo de leña</t>
  </si>
  <si>
    <t>Descomposición de materia orgánica dispuesta en el suelo</t>
  </si>
  <si>
    <t>Captura y emisión por medidas de compensación y restauración</t>
  </si>
  <si>
    <t>Captura por incremento de biomasa</t>
  </si>
  <si>
    <t>PRV</t>
  </si>
  <si>
    <t>Compensación y reforestación</t>
  </si>
  <si>
    <t>Descomposición de materia orgánica por senescencia</t>
  </si>
  <si>
    <r>
      <t>Total Emisiones [tCO</t>
    </r>
    <r>
      <rPr>
        <b/>
        <vertAlign val="subscript"/>
        <sz val="9"/>
        <color rgb="FFFFFFFF"/>
        <rFont val="Calibri"/>
        <family val="2"/>
      </rPr>
      <t>2</t>
    </r>
    <r>
      <rPr>
        <b/>
        <sz val="9"/>
        <color rgb="FFFFFFFF"/>
        <rFont val="Calibri"/>
        <family val="2"/>
      </rPr>
      <t>e/año]</t>
    </r>
  </si>
  <si>
    <t>Total emisiones GEI proyecto [ton CO2e]</t>
  </si>
  <si>
    <t>Construccion</t>
  </si>
  <si>
    <t>Operacion</t>
  </si>
  <si>
    <t>CONSTRUCCIÓN</t>
  </si>
  <si>
    <t>OPERACIÓN</t>
  </si>
  <si>
    <t>TODO EL PROYECTO, TODOS LOS ALCANCES</t>
  </si>
  <si>
    <t>Subtotales de emisión por etapa del Proyecto</t>
  </si>
  <si>
    <t>Operación (con signos)</t>
  </si>
  <si>
    <t>2011 a 2016</t>
  </si>
  <si>
    <t>2017 a 2021</t>
  </si>
  <si>
    <t>Datos para elaboración gráfico Alcance 3, Construcción</t>
  </si>
  <si>
    <t>Datos para elaboración gráficos de Intervención de la vegetación (Alcance 1 y Alcance 3, separados por etapa del proyecto)</t>
  </si>
  <si>
    <t>Signo negativo indica Capturas de CO2, en vez de emisiones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</si>
</sst>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_-* #,##0.0_-;\-* #,##0.0_-;_-* &quot;-&quot;??_-;_-@_-"/>
    <numFmt numFmtId="166" formatCode="_-* #,##0_-;\-* #,##0_-;_-* &quot;-&quot;??_-;_-@_-"/>
    <numFmt numFmtId="167" formatCode="0.0"/>
    <numFmt numFmtId="168" formatCode="0.000E+00"/>
    <numFmt numFmtId="169" formatCode="_-* #,##0.0_-;\-* #,##0.0_-;_-* &quot;-&quot;?_-;_-@_-"/>
    <numFmt numFmtId="170" formatCode="_-* #,##0.000_-;\-* #,##0.000_-;_-* &quot;-&quot;?_-;_-@_-"/>
    <numFmt numFmtId="171" formatCode="_-* #,##0.00_-;\-* #,##0.00_-;_-* &quot;-&quot;?_-;_-@_-"/>
    <numFmt numFmtId="172" formatCode="_-* #,##0_-;\-* #,##0_-;_-* &quot;-&quot;?_-;_-@_-"/>
    <numFmt numFmtId="173" formatCode="_-* #,##0.000_-;\-* #,##0.000_-;_-* &quot;-&quot;???_-;_-@_-"/>
    <numFmt numFmtId="174" formatCode="_-* #,##0.0_-;\-* #,##0.0_-;_-* &quot;-&quot;???_-;_-@_-"/>
    <numFmt numFmtId="175" formatCode="_-* #.##000_-;\-* #.##000_-;_-* &quot;-&quot;??_-;_-@_-"/>
  </numFmts>
  <fonts count="92">
    <fon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sz val="11"/>
      <color indexed="8"/>
      <name val="Calibri"/>
      <family val="2"/>
      <scheme val="minor"/>
    </font>
    <font>
      <sz val="11"/>
      <color theme="1"/>
      <name val="Calibri"/>
      <family val="2"/>
    </font>
    <font>
      <u/>
      <sz val="11"/>
      <color theme="1"/>
      <name val="Calibri"/>
      <family val="2"/>
      <scheme val="minor"/>
    </font>
    <font>
      <sz val="9"/>
      <name val="Calibri"/>
      <family val="2"/>
      <scheme val="minor"/>
    </font>
    <font>
      <sz val="11"/>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u/>
      <sz val="9"/>
      <color theme="1"/>
      <name val="Calibri"/>
      <family val="2"/>
      <scheme val="minor"/>
    </font>
    <font>
      <u/>
      <sz val="11"/>
      <name val="Calibri"/>
      <family val="2"/>
      <scheme val="minor"/>
    </font>
    <font>
      <u/>
      <sz val="11"/>
      <color indexed="8"/>
      <name val="Calibri"/>
      <family val="2"/>
      <scheme val="minor"/>
    </font>
    <font>
      <b/>
      <sz val="10"/>
      <color theme="1"/>
      <name val="Calibri"/>
      <family val="2"/>
      <scheme val="minor"/>
    </font>
    <font>
      <sz val="9"/>
      <color theme="0" tint="-0.499984740745262"/>
      <name val="Calibri"/>
      <family val="2"/>
      <scheme val="minor"/>
    </font>
    <font>
      <b/>
      <sz val="9"/>
      <name val="Calibri"/>
      <family val="2"/>
      <scheme val="minor"/>
    </font>
    <font>
      <sz val="8"/>
      <color indexed="81"/>
      <name val="Tahoma"/>
      <family val="2"/>
    </font>
    <font>
      <b/>
      <sz val="9"/>
      <color theme="0" tint="-0.499984740745262"/>
      <name val="Calibri"/>
      <family val="2"/>
      <scheme val="minor"/>
    </font>
    <font>
      <b/>
      <sz val="12"/>
      <color rgb="FFFFFFFF"/>
      <name val="Calibri"/>
      <family val="2"/>
    </font>
    <font>
      <sz val="12"/>
      <color theme="1"/>
      <name val="Calibri"/>
      <family val="2"/>
    </font>
    <font>
      <b/>
      <sz val="8"/>
      <color rgb="FFFFFFFF"/>
      <name val="Calibri"/>
      <family val="2"/>
    </font>
    <font>
      <sz val="8"/>
      <color theme="1"/>
      <name val="Calibri"/>
      <family val="2"/>
    </font>
    <font>
      <sz val="9"/>
      <color rgb="FF000000"/>
      <name val="Calibri"/>
      <family val="2"/>
    </font>
    <font>
      <sz val="8"/>
      <color rgb="FFFFFFFF"/>
      <name val="Calibri"/>
      <family val="2"/>
    </font>
    <font>
      <vertAlign val="subscript"/>
      <sz val="8"/>
      <color rgb="FFFFFFFF"/>
      <name val="Calibri"/>
      <family val="2"/>
    </font>
    <font>
      <vertAlign val="subscript"/>
      <sz val="8"/>
      <color theme="1"/>
      <name val="Calibri"/>
      <family val="2"/>
    </font>
    <font>
      <b/>
      <vertAlign val="subscript"/>
      <sz val="8"/>
      <color rgb="FFFFFFFF"/>
      <name val="Calibri"/>
      <family val="2"/>
    </font>
    <font>
      <sz val="8"/>
      <color rgb="FF000000"/>
      <name val="Calibri"/>
      <family val="2"/>
    </font>
    <font>
      <b/>
      <vertAlign val="subscript"/>
      <sz val="8"/>
      <color theme="1"/>
      <name val="Calibri"/>
      <family val="2"/>
      <scheme val="minor"/>
    </font>
    <font>
      <b/>
      <sz val="8"/>
      <color theme="1"/>
      <name val="Calibri"/>
      <family val="2"/>
    </font>
    <font>
      <b/>
      <sz val="9"/>
      <color indexed="81"/>
      <name val="Tahoma"/>
      <family val="2"/>
    </font>
    <font>
      <sz val="8"/>
      <color theme="1"/>
      <name val="Garamond"/>
      <family val="1"/>
    </font>
    <font>
      <sz val="8"/>
      <name val="Garamond"/>
      <family val="1"/>
    </font>
    <font>
      <b/>
      <sz val="8"/>
      <color rgb="FF000000"/>
      <name val="Calibri"/>
      <family val="2"/>
    </font>
    <font>
      <b/>
      <sz val="9"/>
      <color rgb="FFFFFFFF"/>
      <name val="Calibri"/>
      <family val="2"/>
    </font>
    <font>
      <b/>
      <vertAlign val="subscript"/>
      <sz val="9"/>
      <color theme="1"/>
      <name val="Calibri"/>
      <family val="2"/>
      <scheme val="minor"/>
    </font>
    <font>
      <b/>
      <sz val="9"/>
      <color rgb="FF000000"/>
      <name val="Calibri"/>
      <family val="2"/>
    </font>
    <font>
      <sz val="9"/>
      <color rgb="FFFFFFFF"/>
      <name val="Calibri"/>
      <family val="2"/>
    </font>
    <font>
      <b/>
      <sz val="9"/>
      <color rgb="FFFFFFFF"/>
      <name val="Calibri"/>
      <family val="2"/>
      <scheme val="minor"/>
    </font>
    <font>
      <sz val="9"/>
      <color rgb="FF000000"/>
      <name val="Calibri"/>
      <family val="2"/>
      <scheme val="minor"/>
    </font>
    <font>
      <b/>
      <sz val="9"/>
      <color rgb="FF000000"/>
      <name val="Calibri"/>
      <family val="2"/>
      <scheme val="minor"/>
    </font>
    <font>
      <sz val="9"/>
      <color rgb="FFFFFFFF"/>
      <name val="Calibri"/>
      <family val="2"/>
      <scheme val="minor"/>
    </font>
    <font>
      <vertAlign val="subscript"/>
      <sz val="9"/>
      <color rgb="FFFFFFFF"/>
      <name val="Calibri"/>
      <family val="2"/>
      <scheme val="minor"/>
    </font>
    <font>
      <b/>
      <vertAlign val="subscript"/>
      <sz val="9"/>
      <color rgb="FFFFFFFF"/>
      <name val="Calibri"/>
      <family val="2"/>
      <scheme val="minor"/>
    </font>
    <font>
      <sz val="8"/>
      <color rgb="FF000000"/>
      <name val="Calibri"/>
      <family val="2"/>
      <scheme val="minor"/>
    </font>
    <font>
      <sz val="12"/>
      <color rgb="FFFFFFFF"/>
      <name val="Calibri"/>
      <family val="2"/>
    </font>
    <font>
      <b/>
      <sz val="8.5"/>
      <color theme="1"/>
      <name val="Calibri"/>
      <family val="2"/>
      <scheme val="minor"/>
    </font>
    <font>
      <b/>
      <vertAlign val="subscript"/>
      <sz val="8.5"/>
      <color theme="1"/>
      <name val="Calibri"/>
      <family val="2"/>
      <scheme val="minor"/>
    </font>
    <font>
      <sz val="8"/>
      <color theme="0" tint="-0.499984740745262"/>
      <name val="Calibri"/>
      <family val="2"/>
    </font>
    <font>
      <b/>
      <sz val="8"/>
      <color theme="0" tint="-0.499984740745262"/>
      <name val="Calibri"/>
      <family val="2"/>
    </font>
    <font>
      <sz val="11"/>
      <color rgb="FFFF0000"/>
      <name val="Calibri"/>
      <family val="2"/>
      <scheme val="minor"/>
    </font>
    <font>
      <sz val="10"/>
      <color theme="1"/>
      <name val="Calibri"/>
      <family val="2"/>
      <scheme val="minor"/>
    </font>
    <font>
      <b/>
      <sz val="9"/>
      <color theme="0"/>
      <name val="Calibri"/>
      <family val="2"/>
      <scheme val="minor"/>
    </font>
    <font>
      <sz val="11"/>
      <color theme="0"/>
      <name val="Calibri"/>
      <family val="2"/>
      <scheme val="minor"/>
    </font>
    <font>
      <b/>
      <sz val="11"/>
      <color rgb="FFFF0000"/>
      <name val="Calibri"/>
      <family val="2"/>
      <scheme val="minor"/>
    </font>
    <font>
      <sz val="9"/>
      <color theme="0"/>
      <name val="Calibri"/>
      <family val="2"/>
      <scheme val="minor"/>
    </font>
    <font>
      <sz val="9"/>
      <name val="Calibri"/>
      <family val="2"/>
    </font>
    <font>
      <b/>
      <sz val="9"/>
      <color rgb="FFFF0000"/>
      <name val="Calibri"/>
      <family val="2"/>
      <scheme val="minor"/>
    </font>
    <font>
      <b/>
      <sz val="9"/>
      <color rgb="FF00B050"/>
      <name val="Calibri"/>
      <family val="2"/>
      <scheme val="minor"/>
    </font>
    <font>
      <b/>
      <sz val="11"/>
      <color rgb="FF00B050"/>
      <name val="Calibri"/>
      <family val="2"/>
      <scheme val="minor"/>
    </font>
    <font>
      <sz val="9"/>
      <color theme="0" tint="-0.34998626667073579"/>
      <name val="Calibri"/>
      <family val="2"/>
      <scheme val="minor"/>
    </font>
    <font>
      <b/>
      <u/>
      <sz val="9"/>
      <color theme="0" tint="-0.499984740745262"/>
      <name val="Calibri"/>
      <family val="2"/>
      <scheme val="minor"/>
    </font>
    <font>
      <sz val="11"/>
      <color theme="0" tint="-0.499984740745262"/>
      <name val="Calibri"/>
      <family val="2"/>
      <scheme val="minor"/>
    </font>
    <font>
      <b/>
      <sz val="8.5"/>
      <color rgb="FFFFFFFF"/>
      <name val="Calibri"/>
      <family val="2"/>
    </font>
    <font>
      <b/>
      <sz val="9"/>
      <color theme="1"/>
      <name val="Calibri"/>
      <family val="2"/>
    </font>
    <font>
      <sz val="8"/>
      <name val="Calibri"/>
      <family val="2"/>
    </font>
    <font>
      <b/>
      <sz val="8"/>
      <color theme="0"/>
      <name val="Calibri"/>
      <family val="2"/>
    </font>
    <font>
      <b/>
      <sz val="11"/>
      <color theme="0"/>
      <name val="Calibri"/>
      <family val="2"/>
      <scheme val="minor"/>
    </font>
    <font>
      <sz val="10"/>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b/>
      <sz val="10"/>
      <color rgb="FFFFC000"/>
      <name val="Calibri"/>
      <family val="2"/>
      <scheme val="minor"/>
    </font>
    <font>
      <sz val="10"/>
      <color rgb="FF000000"/>
      <name val="Arial"/>
      <family val="2"/>
    </font>
    <font>
      <b/>
      <u/>
      <sz val="10"/>
      <color theme="1"/>
      <name val="Calibri"/>
      <family val="2"/>
      <scheme val="minor"/>
    </font>
    <font>
      <sz val="9"/>
      <color indexed="8"/>
      <name val="Gill Sans MT"/>
      <family val="1"/>
      <charset val="204"/>
    </font>
    <font>
      <sz val="7"/>
      <color indexed="8"/>
      <name val="Times New Roman"/>
      <family val="1"/>
      <charset val="204"/>
    </font>
    <font>
      <b/>
      <u/>
      <sz val="11"/>
      <color theme="1"/>
      <name val="Calibri"/>
      <family val="2"/>
      <scheme val="minor"/>
    </font>
    <font>
      <b/>
      <sz val="9"/>
      <color indexed="8"/>
      <name val="Calibri"/>
      <family val="2"/>
      <scheme val="minor"/>
    </font>
    <font>
      <sz val="12"/>
      <color theme="1"/>
      <name val="Garamond"/>
      <family val="1"/>
    </font>
    <font>
      <vertAlign val="subscript"/>
      <sz val="12"/>
      <color theme="1"/>
      <name val="Garamond"/>
      <family val="1"/>
    </font>
    <font>
      <b/>
      <sz val="10"/>
      <color rgb="FFFFFFFF"/>
      <name val="Calibri"/>
      <family val="2"/>
    </font>
    <font>
      <b/>
      <sz val="10"/>
      <color theme="0"/>
      <name val="Calibri"/>
      <family val="2"/>
      <scheme val="minor"/>
    </font>
    <font>
      <b/>
      <sz val="10"/>
      <color theme="0"/>
      <name val="Calibri"/>
      <family val="2"/>
    </font>
    <font>
      <b/>
      <vertAlign val="subscript"/>
      <sz val="9"/>
      <color rgb="FFFFFFFF"/>
      <name val="Calibri"/>
      <family val="2"/>
    </font>
    <font>
      <sz val="9"/>
      <color theme="1"/>
      <name val="Calibri"/>
      <family val="2"/>
    </font>
    <font>
      <sz val="10"/>
      <color rgb="FF000000"/>
      <name val="Calibri"/>
      <family val="2"/>
    </font>
    <font>
      <sz val="10"/>
      <name val="Calibri"/>
      <family val="2"/>
    </font>
  </fonts>
  <fills count="10">
    <fill>
      <patternFill patternType="none"/>
    </fill>
    <fill>
      <patternFill patternType="gray125"/>
    </fill>
    <fill>
      <patternFill patternType="solid">
        <fgColor theme="0"/>
        <bgColor indexed="64"/>
      </patternFill>
    </fill>
    <fill>
      <patternFill patternType="solid">
        <fgColor rgb="FF9BBB59"/>
        <bgColor indexed="64"/>
      </patternFill>
    </fill>
    <fill>
      <patternFill patternType="solid">
        <fgColor rgb="FFEEFFE1"/>
        <bgColor indexed="64"/>
      </patternFill>
    </fill>
    <fill>
      <patternFill patternType="solid">
        <fgColor theme="4" tint="0.79998168889431442"/>
        <bgColor theme="4" tint="0.79998168889431442"/>
      </patternFill>
    </fill>
    <fill>
      <patternFill patternType="solid">
        <fgColor rgb="FF9BBB59"/>
        <bgColor theme="4" tint="0.79998168889431442"/>
      </patternFill>
    </fill>
    <fill>
      <patternFill patternType="solid">
        <fgColor theme="6"/>
        <bgColor indexed="64"/>
      </patternFill>
    </fill>
    <fill>
      <patternFill patternType="solid">
        <fgColor theme="0" tint="-0.34998626667073579"/>
        <bgColor indexed="64"/>
      </patternFill>
    </fill>
    <fill>
      <patternFill patternType="solid">
        <fgColor rgb="FFFFFFCC"/>
        <bgColor indexed="64"/>
      </patternFill>
    </fill>
  </fills>
  <borders count="113">
    <border>
      <left/>
      <right/>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rgb="FF9BBB59"/>
      </left>
      <right style="dotted">
        <color rgb="FF9BBB59"/>
      </right>
      <top style="medium">
        <color rgb="FF9BBB59"/>
      </top>
      <bottom/>
      <diagonal/>
    </border>
    <border>
      <left style="medium">
        <color rgb="FF9BBB59"/>
      </left>
      <right style="dotted">
        <color rgb="FF9BBB59"/>
      </right>
      <top/>
      <bottom style="dotted">
        <color rgb="FF9BBB59"/>
      </bottom>
      <diagonal/>
    </border>
    <border>
      <left/>
      <right style="dotted">
        <color rgb="FF9BBB59"/>
      </right>
      <top style="medium">
        <color rgb="FF9BBB59"/>
      </top>
      <bottom style="dotted">
        <color rgb="FF9BBB59"/>
      </bottom>
      <diagonal/>
    </border>
    <border>
      <left/>
      <right/>
      <top style="medium">
        <color rgb="FF9BBB59"/>
      </top>
      <bottom style="dotted">
        <color rgb="FF9BBB59"/>
      </bottom>
      <diagonal/>
    </border>
    <border>
      <left/>
      <right style="medium">
        <color rgb="FF9BBB59"/>
      </right>
      <top style="medium">
        <color rgb="FF9BBB59"/>
      </top>
      <bottom style="dotted">
        <color rgb="FF9BBB59"/>
      </bottom>
      <diagonal/>
    </border>
    <border>
      <left/>
      <right style="dotted">
        <color rgb="FF9BBB59"/>
      </right>
      <top/>
      <bottom style="dotted">
        <color rgb="FF9BBB59"/>
      </bottom>
      <diagonal/>
    </border>
    <border>
      <left/>
      <right style="medium">
        <color rgb="FF9BBB59"/>
      </right>
      <top/>
      <bottom style="dotted">
        <color rgb="FF9BBB59"/>
      </bottom>
      <diagonal/>
    </border>
    <border>
      <left style="medium">
        <color rgb="FF9BBB59"/>
      </left>
      <right style="dotted">
        <color rgb="FF9BBB59"/>
      </right>
      <top/>
      <bottom style="medium">
        <color rgb="FF9BBB59"/>
      </bottom>
      <diagonal/>
    </border>
    <border>
      <left/>
      <right style="dotted">
        <color rgb="FF9BBB59"/>
      </right>
      <top/>
      <bottom style="medium">
        <color rgb="FF9BBB59"/>
      </bottom>
      <diagonal/>
    </border>
    <border>
      <left/>
      <right style="medium">
        <color rgb="FF9BBB59"/>
      </right>
      <top/>
      <bottom style="medium">
        <color rgb="FF9BBB59"/>
      </bottom>
      <diagonal/>
    </border>
    <border>
      <left style="dotted">
        <color rgb="FF9BBB59"/>
      </left>
      <right/>
      <top style="medium">
        <color rgb="FF9BBB59"/>
      </top>
      <bottom style="dotted">
        <color rgb="FF9BBB59"/>
      </bottom>
      <diagonal/>
    </border>
    <border>
      <left style="medium">
        <color rgb="FF9BBB59"/>
      </left>
      <right style="dotted">
        <color rgb="FF9BBB59"/>
      </right>
      <top style="medium">
        <color rgb="FF9BBB59"/>
      </top>
      <bottom style="dotted">
        <color rgb="FF9BBB59"/>
      </bottom>
      <diagonal/>
    </border>
    <border>
      <left style="medium">
        <color rgb="FF9BBB59"/>
      </left>
      <right style="dotted">
        <color rgb="FF9BBB59"/>
      </right>
      <top/>
      <bottom/>
      <diagonal/>
    </border>
    <border>
      <left/>
      <right style="dotted">
        <color rgb="FF9BBB59"/>
      </right>
      <top/>
      <bottom/>
      <diagonal/>
    </border>
    <border>
      <left style="medium">
        <color rgb="FF9BBB59"/>
      </left>
      <right style="dotted">
        <color rgb="FF9BBB59"/>
      </right>
      <top style="dotted">
        <color rgb="FF9BBB59"/>
      </top>
      <bottom/>
      <diagonal/>
    </border>
    <border>
      <left style="dotted">
        <color rgb="FF9BBB59"/>
      </left>
      <right style="dotted">
        <color rgb="FF9BBB59"/>
      </right>
      <top style="dotted">
        <color rgb="FF9BBB59"/>
      </top>
      <bottom/>
      <diagonal/>
    </border>
    <border>
      <left style="dotted">
        <color rgb="FF9BBB59"/>
      </left>
      <right style="dotted">
        <color rgb="FF9BBB59"/>
      </right>
      <top/>
      <bottom/>
      <diagonal/>
    </border>
    <border>
      <left style="dotted">
        <color rgb="FF9BBB59"/>
      </left>
      <right style="dotted">
        <color rgb="FF9BBB59"/>
      </right>
      <top/>
      <bottom style="medium">
        <color rgb="FF9BBB59"/>
      </bottom>
      <diagonal/>
    </border>
    <border>
      <left style="dotted">
        <color rgb="FF9BBB59"/>
      </left>
      <right style="dotted">
        <color rgb="FF9BBB59"/>
      </right>
      <top/>
      <bottom style="dotted">
        <color rgb="FF9BBB59"/>
      </bottom>
      <diagonal/>
    </border>
    <border>
      <left style="dotted">
        <color rgb="FF9BBB59"/>
      </left>
      <right style="medium">
        <color rgb="FF9BBB59"/>
      </right>
      <top style="dotted">
        <color rgb="FF9BBB59"/>
      </top>
      <bottom/>
      <diagonal/>
    </border>
    <border>
      <left style="dotted">
        <color rgb="FF9BBB59"/>
      </left>
      <right style="medium">
        <color rgb="FF9BBB59"/>
      </right>
      <top/>
      <bottom style="dotted">
        <color rgb="FF9BBB59"/>
      </bottom>
      <diagonal/>
    </border>
    <border>
      <left/>
      <right style="medium">
        <color rgb="FF9BBB59"/>
      </right>
      <top style="medium">
        <color rgb="FF9BBB59"/>
      </top>
      <bottom/>
      <diagonal/>
    </border>
    <border>
      <left/>
      <right style="dotted">
        <color rgb="FF9BBB59"/>
      </right>
      <top style="medium">
        <color rgb="FF9BBB59"/>
      </top>
      <bottom/>
      <diagonal/>
    </border>
    <border>
      <left/>
      <right/>
      <top style="medium">
        <color rgb="FF9BBB59"/>
      </top>
      <bottom/>
      <diagonal/>
    </border>
    <border>
      <left/>
      <right/>
      <top/>
      <bottom style="dotted">
        <color rgb="FF9BBB59"/>
      </bottom>
      <diagonal/>
    </border>
    <border>
      <left/>
      <right/>
      <top/>
      <bottom style="medium">
        <color rgb="FF9BBB59"/>
      </bottom>
      <diagonal/>
    </border>
    <border>
      <left style="medium">
        <color rgb="FF9BBB59"/>
      </left>
      <right/>
      <top/>
      <bottom style="medium">
        <color rgb="FF9BBB59"/>
      </bottom>
      <diagonal/>
    </border>
    <border>
      <left style="medium">
        <color rgb="FF9BBB59"/>
      </left>
      <right/>
      <top/>
      <bottom/>
      <diagonal/>
    </border>
    <border>
      <left style="dotted">
        <color rgb="FF9BBB59"/>
      </left>
      <right style="dotted">
        <color rgb="FF9BBB59"/>
      </right>
      <top style="medium">
        <color rgb="FF9BBB59"/>
      </top>
      <bottom/>
      <diagonal/>
    </border>
    <border>
      <left/>
      <right style="dotted">
        <color rgb="FF9BBB59"/>
      </right>
      <top style="dotted">
        <color rgb="FF9BBB59"/>
      </top>
      <bottom style="medium">
        <color rgb="FF9BBB59"/>
      </bottom>
      <diagonal/>
    </border>
    <border>
      <left style="dotted">
        <color rgb="FF9BBB59"/>
      </left>
      <right/>
      <top/>
      <bottom style="dotted">
        <color rgb="FF9BBB59"/>
      </bottom>
      <diagonal/>
    </border>
    <border>
      <left style="medium">
        <color indexed="64"/>
      </left>
      <right style="dotted">
        <color rgb="FF9BBB59"/>
      </right>
      <top style="medium">
        <color rgb="FF9BBB59"/>
      </top>
      <bottom/>
      <diagonal/>
    </border>
    <border>
      <left style="medium">
        <color indexed="64"/>
      </left>
      <right style="dotted">
        <color rgb="FF9BBB59"/>
      </right>
      <top/>
      <bottom style="dotted">
        <color rgb="FF9BBB59"/>
      </bottom>
      <diagonal/>
    </border>
    <border>
      <left style="medium">
        <color indexed="64"/>
      </left>
      <right/>
      <top/>
      <bottom style="medium">
        <color rgb="FF9BBB59"/>
      </bottom>
      <diagonal/>
    </border>
    <border>
      <left style="medium">
        <color indexed="64"/>
      </left>
      <right style="dotted">
        <color rgb="FF9BBB59"/>
      </right>
      <top/>
      <bottom style="medium">
        <color rgb="FF9BBB59"/>
      </bottom>
      <diagonal/>
    </border>
    <border>
      <left style="medium">
        <color indexed="64"/>
      </left>
      <right style="dotted">
        <color rgb="FF9BBB59"/>
      </right>
      <top/>
      <bottom/>
      <diagonal/>
    </border>
    <border>
      <left/>
      <right style="medium">
        <color rgb="FF9BBB59"/>
      </right>
      <top/>
      <bottom/>
      <diagonal/>
    </border>
    <border>
      <left/>
      <right style="dotted">
        <color rgb="FF9BBB59"/>
      </right>
      <top style="dotted">
        <color rgb="FF9BBB59"/>
      </top>
      <bottom/>
      <diagonal/>
    </border>
    <border>
      <left style="dotted">
        <color rgb="FF9BBB59"/>
      </left>
      <right/>
      <top style="dotted">
        <color rgb="FF9BBB59"/>
      </top>
      <bottom/>
      <diagonal/>
    </border>
    <border>
      <left style="medium">
        <color indexed="64"/>
      </left>
      <right style="dotted">
        <color rgb="FF9BBB59"/>
      </right>
      <top style="dotted">
        <color rgb="FF9BBB59"/>
      </top>
      <bottom/>
      <diagonal/>
    </border>
    <border>
      <left style="medium">
        <color indexed="64"/>
      </left>
      <right style="dotted">
        <color rgb="FF9BBB59"/>
      </right>
      <top style="medium">
        <color rgb="FF9BBB59"/>
      </top>
      <bottom style="dotted">
        <color rgb="FF9BBB59"/>
      </bottom>
      <diagonal/>
    </border>
    <border>
      <left style="medium">
        <color indexed="64"/>
      </left>
      <right style="medium">
        <color indexed="64"/>
      </right>
      <top/>
      <bottom/>
      <diagonal/>
    </border>
    <border>
      <left style="dotted">
        <color rgb="FF9BBB59"/>
      </left>
      <right/>
      <top/>
      <bottom/>
      <diagonal/>
    </border>
    <border>
      <left style="dotted">
        <color rgb="FF9BBB59"/>
      </left>
      <right style="medium">
        <color rgb="FF9BBB59"/>
      </right>
      <top style="dotted">
        <color rgb="FF9BBB59"/>
      </top>
      <bottom style="medium">
        <color rgb="FF9BBB59"/>
      </bottom>
      <diagonal/>
    </border>
    <border>
      <left style="dotted">
        <color rgb="FF9BBB59"/>
      </left>
      <right style="medium">
        <color rgb="FF9BBB59"/>
      </right>
      <top style="dotted">
        <color rgb="FF9BBB59"/>
      </top>
      <bottom style="dotted">
        <color rgb="FF9BBB59"/>
      </bottom>
      <diagonal/>
    </border>
    <border>
      <left style="dashed">
        <color theme="0"/>
      </left>
      <right style="dotted">
        <color rgb="FF9BBB59"/>
      </right>
      <top/>
      <bottom style="dotted">
        <color rgb="FF9BBB59"/>
      </bottom>
      <diagonal/>
    </border>
    <border>
      <left/>
      <right/>
      <top/>
      <bottom style="thin">
        <color theme="4" tint="0.39997558519241921"/>
      </bottom>
      <diagonal/>
    </border>
    <border>
      <left/>
      <right/>
      <top style="thin">
        <color theme="4" tint="0.39997558519241921"/>
      </top>
      <bottom/>
      <diagonal/>
    </border>
    <border>
      <left style="dotted">
        <color rgb="FF9BBB59"/>
      </left>
      <right style="dotted">
        <color rgb="FF9BBB59"/>
      </right>
      <top style="dotted">
        <color rgb="FF9BBB59"/>
      </top>
      <bottom style="medium">
        <color rgb="FF9BBB59"/>
      </bottom>
      <diagonal/>
    </border>
    <border>
      <left/>
      <right/>
      <top style="dotted">
        <color rgb="FF9BBB59"/>
      </top>
      <bottom style="medium">
        <color rgb="FF9BBB59"/>
      </bottom>
      <diagonal/>
    </border>
    <border>
      <left style="medium">
        <color rgb="FF9BBB59"/>
      </left>
      <right style="medium">
        <color rgb="FF9BBB59"/>
      </right>
      <top style="dotted">
        <color rgb="FF9BBB59"/>
      </top>
      <bottom style="medium">
        <color rgb="FF9BBB59"/>
      </bottom>
      <diagonal/>
    </border>
    <border>
      <left style="medium">
        <color rgb="FF9BBB59"/>
      </left>
      <right style="medium">
        <color rgb="FF9BBB59"/>
      </right>
      <top style="dotted">
        <color rgb="FF9BBB59"/>
      </top>
      <bottom style="dotted">
        <color rgb="FF9BBB59"/>
      </bottom>
      <diagonal/>
    </border>
    <border>
      <left style="medium">
        <color rgb="FF9BBB59"/>
      </left>
      <right style="medium">
        <color rgb="FF9BBB59"/>
      </right>
      <top/>
      <bottom style="dotted">
        <color rgb="FF9BBB59"/>
      </bottom>
      <diagonal/>
    </border>
    <border>
      <left style="medium">
        <color rgb="FF9BBB59"/>
      </left>
      <right style="medium">
        <color rgb="FF9BBB59"/>
      </right>
      <top/>
      <bottom style="medium">
        <color rgb="FF9BBB59"/>
      </bottom>
      <diagonal/>
    </border>
    <border>
      <left style="medium">
        <color indexed="64"/>
      </left>
      <right style="medium">
        <color rgb="FF9BBB59"/>
      </right>
      <top/>
      <bottom style="dotted">
        <color rgb="FF9BBB59"/>
      </bottom>
      <diagonal/>
    </border>
    <border>
      <left style="medium">
        <color indexed="64"/>
      </left>
      <right style="medium">
        <color indexed="64"/>
      </right>
      <top style="medium">
        <color rgb="FF9BBB59"/>
      </top>
      <bottom/>
      <diagonal/>
    </border>
    <border>
      <left style="medium">
        <color indexed="64"/>
      </left>
      <right style="medium">
        <color indexed="64"/>
      </right>
      <top/>
      <bottom style="dotted">
        <color rgb="FF9BBB59"/>
      </bottom>
      <diagonal/>
    </border>
    <border>
      <left style="medium">
        <color rgb="FF9BBB59"/>
      </left>
      <right style="medium">
        <color rgb="FF9BBB59"/>
      </right>
      <top/>
      <bottom/>
      <diagonal/>
    </border>
    <border>
      <left style="dotted">
        <color rgb="FF9BBB59"/>
      </left>
      <right/>
      <top style="dotted">
        <color rgb="FF9BBB59"/>
      </top>
      <bottom style="medium">
        <color rgb="FF9BBB59"/>
      </bottom>
      <diagonal/>
    </border>
    <border>
      <left style="medium">
        <color rgb="FF9BBB59"/>
      </left>
      <right style="medium">
        <color rgb="FF9BBB59"/>
      </right>
      <top style="medium">
        <color rgb="FF9BBB59"/>
      </top>
      <bottom/>
      <diagonal/>
    </border>
    <border>
      <left style="dotted">
        <color rgb="FF9BBB59"/>
      </left>
      <right/>
      <top style="medium">
        <color rgb="FF9BBB59"/>
      </top>
      <bottom/>
      <diagonal/>
    </border>
    <border>
      <left style="dotted">
        <color rgb="FF9BBB59"/>
      </left>
      <right/>
      <top style="dotted">
        <color rgb="FF9BBB59"/>
      </top>
      <bottom style="dotted">
        <color rgb="FF9BBB59"/>
      </bottom>
      <diagonal/>
    </border>
    <border>
      <left/>
      <right style="dotted">
        <color rgb="FF9BBB59"/>
      </right>
      <top style="hair">
        <color theme="0"/>
      </top>
      <bottom style="medium">
        <color rgb="FF9BBB59"/>
      </bottom>
      <diagonal/>
    </border>
    <border>
      <left style="hair">
        <color rgb="FF9BBB59"/>
      </left>
      <right style="hair">
        <color rgb="FF9BBB59"/>
      </right>
      <top style="hair">
        <color rgb="FF9BBB59"/>
      </top>
      <bottom style="hair">
        <color rgb="FF9BBB59"/>
      </bottom>
      <diagonal/>
    </border>
    <border>
      <left style="hair">
        <color rgb="FF9BBB59"/>
      </left>
      <right style="hair">
        <color rgb="FF9BBB59"/>
      </right>
      <top style="hair">
        <color rgb="FF9BBB59"/>
      </top>
      <bottom/>
      <diagonal/>
    </border>
    <border>
      <left style="hair">
        <color rgb="FF9BBB59"/>
      </left>
      <right style="hair">
        <color rgb="FF9BBB59"/>
      </right>
      <top/>
      <bottom style="hair">
        <color rgb="FF9BBB59"/>
      </bottom>
      <diagonal/>
    </border>
    <border>
      <left style="hair">
        <color rgb="FF9BBB59"/>
      </left>
      <right/>
      <top style="hair">
        <color rgb="FF9BBB59"/>
      </top>
      <bottom style="hair">
        <color rgb="FF9BBB59"/>
      </bottom>
      <diagonal/>
    </border>
    <border>
      <left/>
      <right/>
      <top style="hair">
        <color rgb="FF9BBB59"/>
      </top>
      <bottom style="hair">
        <color rgb="FF9BBB59"/>
      </bottom>
      <diagonal/>
    </border>
    <border>
      <left/>
      <right style="hair">
        <color rgb="FF9BBB59"/>
      </right>
      <top style="hair">
        <color rgb="FF9BBB59"/>
      </top>
      <bottom style="hair">
        <color rgb="FF9BBB5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rgb="FF9BBB59"/>
      </left>
      <right/>
      <top style="medium">
        <color rgb="FF9BBB59"/>
      </top>
      <bottom style="dotted">
        <color rgb="FF9BBB59"/>
      </bottom>
      <diagonal/>
    </border>
    <border>
      <left/>
      <right style="medium">
        <color rgb="FF9BBB59"/>
      </right>
      <top style="dotted">
        <color rgb="FF9BBB59"/>
      </top>
      <bottom style="dotted">
        <color rgb="FF9BBB59"/>
      </bottom>
      <diagonal/>
    </border>
    <border>
      <left/>
      <right style="medium">
        <color rgb="FF9BBB59"/>
      </right>
      <top style="dotted">
        <color rgb="FF9BBB59"/>
      </top>
      <bottom style="medium">
        <color rgb="FF9BBB59"/>
      </bottom>
      <diagonal/>
    </border>
    <border>
      <left style="medium">
        <color rgb="FF9BBB59"/>
      </left>
      <right/>
      <top style="dotted">
        <color rgb="FF9BBB59"/>
      </top>
      <bottom style="medium">
        <color rgb="FF9BBB59"/>
      </bottom>
      <diagonal/>
    </border>
    <border>
      <left style="medium">
        <color rgb="FF9BBB59"/>
      </left>
      <right/>
      <top style="hair">
        <color theme="0"/>
      </top>
      <bottom style="dotted">
        <color rgb="FF9BBB59"/>
      </bottom>
      <diagonal/>
    </border>
    <border>
      <left style="medium">
        <color rgb="FF9BBB59"/>
      </left>
      <right style="dotted">
        <color rgb="FF9BBB59"/>
      </right>
      <top style="dotted">
        <color rgb="FF9BBB59"/>
      </top>
      <bottom style="dotted">
        <color rgb="FF9BBB59"/>
      </bottom>
      <diagonal/>
    </border>
    <border>
      <left/>
      <right/>
      <top/>
      <bottom style="hair">
        <color rgb="FF9BBB59"/>
      </bottom>
      <diagonal/>
    </border>
    <border>
      <left style="hair">
        <color rgb="FF9BBB59"/>
      </left>
      <right/>
      <top/>
      <bottom style="hair">
        <color rgb="FF9BBB59"/>
      </bottom>
      <diagonal/>
    </border>
    <border>
      <left style="medium">
        <color rgb="FF9BBB59"/>
      </left>
      <right/>
      <top style="medium">
        <color rgb="FF9BBB59"/>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45">
    <xf numFmtId="0" fontId="0" fillId="0" borderId="0" xfId="0"/>
    <xf numFmtId="0" fontId="2" fillId="0" borderId="0" xfId="0" applyFont="1" applyAlignment="1">
      <alignment horizontal="left"/>
    </xf>
    <xf numFmtId="0" fontId="3" fillId="0" borderId="0" xfId="0" applyNumberFormat="1" applyFont="1" applyFill="1" applyBorder="1" applyAlignment="1" applyProtection="1"/>
    <xf numFmtId="0" fontId="0" fillId="0" borderId="0" xfId="0" applyFont="1" applyFill="1"/>
    <xf numFmtId="3" fontId="3" fillId="0" borderId="0" xfId="0" applyNumberFormat="1" applyFont="1" applyFill="1" applyBorder="1" applyAlignment="1" applyProtection="1"/>
    <xf numFmtId="0" fontId="1" fillId="0" borderId="0" xfId="0" applyFont="1" applyFill="1"/>
    <xf numFmtId="0" fontId="2" fillId="0" borderId="0" xfId="0" applyFont="1" applyFill="1" applyAlignment="1">
      <alignment horizontal="left"/>
    </xf>
    <xf numFmtId="3" fontId="0" fillId="0" borderId="0" xfId="0" applyNumberFormat="1" applyFont="1" applyFill="1"/>
    <xf numFmtId="0" fontId="0" fillId="0" borderId="0" xfId="0" applyFont="1" applyFill="1" applyAlignment="1">
      <alignment vertical="top"/>
    </xf>
    <xf numFmtId="0" fontId="0" fillId="0" borderId="0" xfId="0" applyFill="1"/>
    <xf numFmtId="4" fontId="0" fillId="0" borderId="0" xfId="0" applyNumberFormat="1" applyFont="1" applyFill="1"/>
    <xf numFmtId="0" fontId="5" fillId="0" borderId="0" xfId="0" applyFont="1" applyAlignment="1">
      <alignment horizontal="left"/>
    </xf>
    <xf numFmtId="0" fontId="1" fillId="0" borderId="0" xfId="0" applyFont="1"/>
    <xf numFmtId="0" fontId="0" fillId="0" borderId="0" xfId="0" applyFont="1" applyFill="1" applyAlignment="1">
      <alignment horizontal="right"/>
    </xf>
    <xf numFmtId="0" fontId="6" fillId="0" borderId="0" xfId="0" applyFont="1" applyFill="1"/>
    <xf numFmtId="17" fontId="0" fillId="0" borderId="0" xfId="0" quotePrefix="1" applyNumberFormat="1" applyFill="1" applyAlignment="1">
      <alignment horizontal="right"/>
    </xf>
    <xf numFmtId="3" fontId="0" fillId="0" borderId="0" xfId="0" applyNumberFormat="1"/>
    <xf numFmtId="0" fontId="0" fillId="0" borderId="0" xfId="0" applyFill="1" applyAlignment="1">
      <alignment horizontal="right"/>
    </xf>
    <xf numFmtId="0" fontId="0" fillId="0" borderId="0" xfId="0" applyFont="1" applyFill="1" applyAlignment="1">
      <alignment horizontal="left"/>
    </xf>
    <xf numFmtId="0" fontId="3" fillId="0"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right"/>
    </xf>
    <xf numFmtId="1" fontId="0" fillId="0" borderId="0" xfId="0" applyNumberFormat="1" applyFont="1" applyFill="1"/>
    <xf numFmtId="0" fontId="2" fillId="0" borderId="0" xfId="0" applyFont="1" applyFill="1" applyAlignment="1">
      <alignment horizontal="right"/>
    </xf>
    <xf numFmtId="3" fontId="0" fillId="0" borderId="0" xfId="0" applyNumberFormat="1" applyFill="1"/>
    <xf numFmtId="0" fontId="0" fillId="0" borderId="1" xfId="0" applyFont="1" applyFill="1" applyBorder="1"/>
    <xf numFmtId="3" fontId="0" fillId="0" borderId="1" xfId="0" applyNumberFormat="1" applyFont="1" applyFill="1" applyBorder="1"/>
    <xf numFmtId="3" fontId="0" fillId="0" borderId="1" xfId="0" applyNumberFormat="1" applyFill="1" applyBorder="1"/>
    <xf numFmtId="164" fontId="0" fillId="0" borderId="0" xfId="0" applyNumberFormat="1" applyFont="1" applyFill="1"/>
    <xf numFmtId="0" fontId="10" fillId="0" borderId="0" xfId="0" applyFont="1"/>
    <xf numFmtId="0" fontId="9" fillId="0" borderId="0" xfId="0" applyFont="1"/>
    <xf numFmtId="0" fontId="11" fillId="0" borderId="0" xfId="0" applyFont="1"/>
    <xf numFmtId="4" fontId="9" fillId="0" borderId="0" xfId="0" applyNumberFormat="1" applyFont="1"/>
    <xf numFmtId="0" fontId="9" fillId="0" borderId="0" xfId="0" applyFont="1" applyAlignment="1">
      <alignment horizontal="left"/>
    </xf>
    <xf numFmtId="0" fontId="9" fillId="0" borderId="0" xfId="0" applyFont="1" applyAlignment="1">
      <alignment wrapText="1"/>
    </xf>
    <xf numFmtId="0" fontId="11" fillId="0" borderId="0" xfId="0" applyFont="1" applyAlignment="1">
      <alignment horizontal="left"/>
    </xf>
    <xf numFmtId="0" fontId="12" fillId="0" borderId="0" xfId="0" applyFont="1"/>
    <xf numFmtId="166" fontId="9" fillId="0" borderId="0" xfId="0" applyNumberFormat="1" applyFont="1"/>
    <xf numFmtId="0" fontId="9" fillId="2" borderId="0" xfId="0" applyFont="1" applyFill="1"/>
    <xf numFmtId="165" fontId="9" fillId="0" borderId="0" xfId="0" applyNumberFormat="1" applyFont="1"/>
    <xf numFmtId="2" fontId="9" fillId="0" borderId="0" xfId="0" applyNumberFormat="1" applyFont="1"/>
    <xf numFmtId="0" fontId="11" fillId="0" borderId="0" xfId="0" applyFont="1" applyAlignment="1">
      <alignment wrapText="1"/>
    </xf>
    <xf numFmtId="14" fontId="0" fillId="0" borderId="0" xfId="0" applyNumberFormat="1" applyFont="1" applyFill="1"/>
    <xf numFmtId="0" fontId="14" fillId="0" borderId="0" xfId="0" applyFont="1"/>
    <xf numFmtId="0" fontId="6" fillId="0" borderId="0" xfId="0" applyFont="1" applyFill="1" applyAlignment="1">
      <alignment vertical="top"/>
    </xf>
    <xf numFmtId="0" fontId="15" fillId="0" borderId="0" xfId="0" applyNumberFormat="1" applyFont="1" applyFill="1" applyBorder="1" applyAlignment="1" applyProtection="1">
      <alignment vertical="top"/>
    </xf>
    <xf numFmtId="0" fontId="1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wrapText="1"/>
    </xf>
    <xf numFmtId="0" fontId="6" fillId="0" borderId="0" xfId="0" applyFont="1" applyFill="1" applyAlignment="1">
      <alignment wrapText="1"/>
    </xf>
    <xf numFmtId="0" fontId="6" fillId="0" borderId="0" xfId="0" applyFont="1"/>
    <xf numFmtId="20" fontId="0" fillId="0" borderId="0" xfId="0" applyNumberFormat="1"/>
    <xf numFmtId="20" fontId="0" fillId="0" borderId="0" xfId="0" applyNumberFormat="1" applyAlignment="1">
      <alignment horizontal="left"/>
    </xf>
    <xf numFmtId="0" fontId="0" fillId="0" borderId="0" xfId="0" applyNumberFormat="1"/>
    <xf numFmtId="3" fontId="3" fillId="0" borderId="0" xfId="0" applyNumberFormat="1" applyFont="1" applyFill="1"/>
    <xf numFmtId="0" fontId="9" fillId="0" borderId="0" xfId="0" applyFont="1" applyFill="1" applyBorder="1"/>
    <xf numFmtId="0" fontId="9" fillId="0" borderId="0" xfId="0" applyFont="1" applyAlignment="1"/>
    <xf numFmtId="0" fontId="11" fillId="0" borderId="0" xfId="0" applyFont="1" applyFill="1" applyBorder="1"/>
    <xf numFmtId="0" fontId="9" fillId="0" borderId="0" xfId="0" applyFont="1" applyBorder="1"/>
    <xf numFmtId="0" fontId="18" fillId="0" borderId="0" xfId="0" applyFont="1" applyFill="1" applyBorder="1"/>
    <xf numFmtId="3" fontId="0" fillId="0" borderId="4" xfId="0" applyNumberFormat="1" applyFont="1" applyFill="1" applyBorder="1"/>
    <xf numFmtId="3" fontId="0" fillId="0" borderId="0" xfId="0" applyNumberFormat="1" applyFont="1" applyFill="1" applyBorder="1"/>
    <xf numFmtId="3" fontId="0" fillId="0" borderId="14" xfId="0" applyNumberFormat="1" applyFont="1" applyFill="1" applyBorder="1"/>
    <xf numFmtId="3" fontId="0" fillId="0" borderId="5" xfId="0" applyNumberFormat="1" applyFont="1" applyFill="1" applyBorder="1"/>
    <xf numFmtId="3" fontId="0" fillId="0" borderId="13" xfId="0" applyNumberFormat="1" applyFont="1" applyFill="1" applyBorder="1"/>
    <xf numFmtId="3" fontId="0" fillId="0" borderId="12" xfId="0" applyNumberFormat="1" applyFont="1" applyFill="1" applyBorder="1"/>
    <xf numFmtId="0" fontId="6" fillId="0" borderId="5" xfId="0" applyFont="1" applyFill="1" applyBorder="1"/>
    <xf numFmtId="0" fontId="6" fillId="0" borderId="13" xfId="0" applyFont="1" applyFill="1" applyBorder="1"/>
    <xf numFmtId="0" fontId="6" fillId="0" borderId="12" xfId="0" applyFont="1" applyFill="1" applyBorder="1"/>
    <xf numFmtId="0" fontId="6" fillId="0" borderId="6" xfId="0" applyFont="1" applyFill="1" applyBorder="1"/>
    <xf numFmtId="0" fontId="6" fillId="0" borderId="7" xfId="0" applyFont="1" applyFill="1" applyBorder="1"/>
    <xf numFmtId="0" fontId="6" fillId="0" borderId="8" xfId="0" applyFont="1" applyFill="1" applyBorder="1"/>
    <xf numFmtId="3" fontId="0" fillId="0" borderId="6" xfId="0" applyNumberFormat="1" applyFont="1" applyFill="1" applyBorder="1"/>
    <xf numFmtId="3" fontId="0" fillId="0" borderId="7" xfId="0" applyNumberFormat="1" applyFont="1" applyFill="1" applyBorder="1"/>
    <xf numFmtId="3" fontId="0" fillId="0" borderId="8" xfId="0" applyNumberFormat="1" applyFont="1" applyFill="1" applyBorder="1"/>
    <xf numFmtId="0" fontId="24" fillId="3" borderId="26" xfId="0" applyFont="1" applyFill="1" applyBorder="1" applyAlignment="1">
      <alignment horizontal="justify" vertical="center"/>
    </xf>
    <xf numFmtId="0" fontId="24" fillId="3" borderId="17" xfId="0" applyFont="1" applyFill="1" applyBorder="1" applyAlignment="1">
      <alignment horizontal="justify" vertical="center" wrapText="1"/>
    </xf>
    <xf numFmtId="0" fontId="24" fillId="3" borderId="19" xfId="0" applyFont="1" applyFill="1" applyBorder="1" applyAlignment="1">
      <alignment horizontal="justify" vertical="center" wrapText="1"/>
    </xf>
    <xf numFmtId="0" fontId="25" fillId="0" borderId="16" xfId="0" applyFont="1" applyBorder="1" applyAlignment="1">
      <alignment horizontal="justify" vertical="center"/>
    </xf>
    <xf numFmtId="0" fontId="25" fillId="0" borderId="20" xfId="0" applyFont="1" applyBorder="1" applyAlignment="1">
      <alignment horizontal="justify" vertical="center"/>
    </xf>
    <xf numFmtId="0" fontId="25" fillId="0" borderId="21" xfId="0" applyFont="1" applyBorder="1" applyAlignment="1">
      <alignment horizontal="justify" vertical="center"/>
    </xf>
    <xf numFmtId="0" fontId="25" fillId="0" borderId="22" xfId="0" applyFont="1" applyBorder="1" applyAlignment="1">
      <alignment horizontal="justify" vertical="center"/>
    </xf>
    <xf numFmtId="0" fontId="25" fillId="0" borderId="23" xfId="0" applyFont="1" applyBorder="1" applyAlignment="1">
      <alignment horizontal="justify" vertical="center"/>
    </xf>
    <xf numFmtId="0" fontId="25" fillId="0" borderId="24" xfId="0" applyFont="1" applyBorder="1" applyAlignment="1">
      <alignment horizontal="justify" vertical="center"/>
    </xf>
    <xf numFmtId="0" fontId="25" fillId="0" borderId="20" xfId="0" applyFont="1" applyBorder="1" applyAlignment="1">
      <alignment horizontal="justify" vertical="center" wrapText="1"/>
    </xf>
    <xf numFmtId="0" fontId="25" fillId="0" borderId="21" xfId="0" applyFont="1" applyBorder="1" applyAlignment="1">
      <alignment horizontal="justify" vertical="center" wrapText="1"/>
    </xf>
    <xf numFmtId="0" fontId="25" fillId="0" borderId="23" xfId="0" applyFont="1" applyBorder="1" applyAlignment="1">
      <alignment horizontal="justify" vertical="center" wrapText="1"/>
    </xf>
    <xf numFmtId="0" fontId="25" fillId="0" borderId="24" xfId="0" applyFont="1" applyBorder="1" applyAlignment="1">
      <alignment horizontal="justify" vertical="center" wrapText="1"/>
    </xf>
    <xf numFmtId="0" fontId="24" fillId="3" borderId="36"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5" fillId="0" borderId="2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4" fillId="3" borderId="20" xfId="0" applyFont="1" applyFill="1" applyBorder="1" applyAlignment="1">
      <alignment horizontal="center" vertical="center" wrapText="1"/>
    </xf>
    <xf numFmtId="0" fontId="27" fillId="3" borderId="22" xfId="0" applyFont="1" applyFill="1" applyBorder="1" applyAlignment="1">
      <alignment horizontal="left" vertical="center"/>
    </xf>
    <xf numFmtId="0" fontId="25" fillId="0" borderId="23" xfId="0" applyFont="1" applyBorder="1" applyAlignment="1">
      <alignment horizontal="right" vertical="center"/>
    </xf>
    <xf numFmtId="0" fontId="25" fillId="0" borderId="24" xfId="0" applyFont="1" applyBorder="1" applyAlignment="1">
      <alignment horizontal="right" vertical="center"/>
    </xf>
    <xf numFmtId="0" fontId="31" fillId="0" borderId="20" xfId="0" applyFont="1" applyBorder="1" applyAlignment="1">
      <alignment horizontal="right" vertical="center"/>
    </xf>
    <xf numFmtId="0" fontId="25" fillId="0" borderId="21" xfId="0" applyFont="1" applyBorder="1" applyAlignment="1">
      <alignment horizontal="right" vertical="center"/>
    </xf>
    <xf numFmtId="0" fontId="24" fillId="3" borderId="37" xfId="0" applyFont="1" applyFill="1" applyBorder="1" applyAlignment="1">
      <alignment horizontal="center" vertical="center" wrapText="1"/>
    </xf>
    <xf numFmtId="0" fontId="31" fillId="0" borderId="21" xfId="0" applyFont="1" applyBorder="1" applyAlignment="1">
      <alignment horizontal="right" vertical="center"/>
    </xf>
    <xf numFmtId="0" fontId="25" fillId="0" borderId="20" xfId="0" applyFont="1" applyBorder="1" applyAlignment="1">
      <alignment horizontal="right" vertical="center"/>
    </xf>
    <xf numFmtId="0" fontId="13" fillId="0" borderId="0" xfId="0" applyFont="1" applyFill="1" applyBorder="1"/>
    <xf numFmtId="0" fontId="12" fillId="0" borderId="0" xfId="0" applyFont="1" applyFill="1" applyBorder="1"/>
    <xf numFmtId="0" fontId="24" fillId="0" borderId="0" xfId="0" applyFont="1" applyFill="1" applyBorder="1" applyAlignment="1">
      <alignment horizontal="center" vertical="center" wrapText="1"/>
    </xf>
    <xf numFmtId="0" fontId="25" fillId="0" borderId="0" xfId="0" applyFont="1" applyFill="1" applyBorder="1" applyAlignment="1">
      <alignment horizontal="left" vertical="center"/>
    </xf>
    <xf numFmtId="0" fontId="31" fillId="0" borderId="0" xfId="0" applyFont="1" applyFill="1" applyBorder="1" applyAlignment="1">
      <alignment horizontal="right" vertical="center"/>
    </xf>
    <xf numFmtId="0" fontId="25"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3" fillId="0" borderId="0" xfId="0" applyFont="1" applyFill="1" applyBorder="1" applyAlignment="1">
      <alignment horizontal="right" vertical="center"/>
    </xf>
    <xf numFmtId="0" fontId="9" fillId="0" borderId="0" xfId="0" applyFont="1" applyAlignment="1">
      <alignment horizontal="right"/>
    </xf>
    <xf numFmtId="2" fontId="25" fillId="0" borderId="20" xfId="0" applyNumberFormat="1" applyFont="1" applyBorder="1" applyAlignment="1">
      <alignment horizontal="right" vertical="center"/>
    </xf>
    <xf numFmtId="167" fontId="25" fillId="0" borderId="20" xfId="0" applyNumberFormat="1" applyFont="1" applyBorder="1" applyAlignment="1">
      <alignment horizontal="right" vertical="center"/>
    </xf>
    <xf numFmtId="0" fontId="31" fillId="0" borderId="21" xfId="0" applyFont="1" applyBorder="1" applyAlignment="1">
      <alignment horizontal="left" vertical="center"/>
    </xf>
    <xf numFmtId="165" fontId="25" fillId="0" borderId="20" xfId="0" applyNumberFormat="1" applyFont="1" applyBorder="1" applyAlignment="1">
      <alignment horizontal="right" vertical="center"/>
    </xf>
    <xf numFmtId="0" fontId="12" fillId="0" borderId="0" xfId="0" applyFont="1" applyBorder="1"/>
    <xf numFmtId="165" fontId="11" fillId="0" borderId="0" xfId="0" applyNumberFormat="1" applyFont="1" applyFill="1" applyBorder="1" applyAlignment="1">
      <alignment horizontal="center"/>
    </xf>
    <xf numFmtId="2" fontId="9" fillId="0" borderId="0" xfId="0" applyNumberFormat="1" applyFont="1" applyFill="1" applyBorder="1"/>
    <xf numFmtId="0" fontId="38" fillId="3" borderId="2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3" fillId="0" borderId="0" xfId="0" applyFont="1" applyFill="1" applyBorder="1" applyAlignment="1">
      <alignment horizontal="right" vertical="center"/>
    </xf>
    <xf numFmtId="0" fontId="42" fillId="3" borderId="38" xfId="0" applyFont="1" applyFill="1" applyBorder="1" applyAlignment="1">
      <alignment horizontal="center" vertical="center" wrapText="1"/>
    </xf>
    <xf numFmtId="0" fontId="44" fillId="0" borderId="0" xfId="0" applyFont="1" applyFill="1" applyBorder="1" applyAlignment="1">
      <alignment horizontal="left" vertical="center"/>
    </xf>
    <xf numFmtId="0" fontId="42" fillId="3" borderId="39" xfId="0" applyFont="1" applyFill="1" applyBorder="1" applyAlignment="1">
      <alignment horizontal="center" vertical="center" wrapText="1"/>
    </xf>
    <xf numFmtId="0" fontId="45" fillId="3" borderId="16" xfId="0" applyFont="1" applyFill="1" applyBorder="1" applyAlignment="1">
      <alignment horizontal="center" vertical="center"/>
    </xf>
    <xf numFmtId="0" fontId="43" fillId="0" borderId="21" xfId="0" applyFont="1" applyBorder="1" applyAlignment="1">
      <alignment horizontal="right" vertical="center"/>
    </xf>
    <xf numFmtId="0" fontId="45" fillId="3" borderId="22" xfId="0" applyFont="1" applyFill="1" applyBorder="1" applyAlignment="1">
      <alignment horizontal="center" vertical="center"/>
    </xf>
    <xf numFmtId="0" fontId="43" fillId="0" borderId="24" xfId="0" applyFont="1" applyBorder="1" applyAlignment="1">
      <alignment vertical="center"/>
    </xf>
    <xf numFmtId="0" fontId="9" fillId="0" borderId="0" xfId="0" applyFont="1" applyFill="1" applyBorder="1" applyAlignment="1">
      <alignment horizontal="left" vertical="center"/>
    </xf>
    <xf numFmtId="0" fontId="42" fillId="3" borderId="26" xfId="0" applyFont="1" applyFill="1" applyBorder="1" applyAlignment="1">
      <alignment horizontal="center" vertical="center" wrapText="1"/>
    </xf>
    <xf numFmtId="0" fontId="42" fillId="3" borderId="17" xfId="0" applyFont="1" applyFill="1" applyBorder="1" applyAlignment="1">
      <alignment horizontal="center" vertical="center" wrapText="1"/>
    </xf>
    <xf numFmtId="0" fontId="42" fillId="3" borderId="19" xfId="0" applyFont="1" applyFill="1" applyBorder="1" applyAlignment="1">
      <alignment horizontal="center" vertical="center" wrapText="1"/>
    </xf>
    <xf numFmtId="0" fontId="45" fillId="3" borderId="16" xfId="0" applyFont="1" applyFill="1" applyBorder="1" applyAlignment="1">
      <alignment horizontal="left" vertical="center" wrapText="1"/>
    </xf>
    <xf numFmtId="1" fontId="43" fillId="0" borderId="20" xfId="0" applyNumberFormat="1" applyFont="1" applyBorder="1" applyAlignment="1">
      <alignment horizontal="right" vertical="center"/>
    </xf>
    <xf numFmtId="0" fontId="7" fillId="0" borderId="20" xfId="0" applyFont="1" applyBorder="1" applyAlignment="1">
      <alignment horizontal="left" vertical="center" indent="5"/>
    </xf>
    <xf numFmtId="0" fontId="43" fillId="0" borderId="21" xfId="0" applyFont="1" applyBorder="1" applyAlignment="1">
      <alignment horizontal="right" vertical="center" indent="5"/>
    </xf>
    <xf numFmtId="0" fontId="45" fillId="3" borderId="22" xfId="0" applyFont="1" applyFill="1" applyBorder="1" applyAlignment="1">
      <alignment horizontal="left" vertical="center" wrapText="1"/>
    </xf>
    <xf numFmtId="0" fontId="43" fillId="0" borderId="24" xfId="0" applyFont="1" applyBorder="1" applyAlignment="1">
      <alignment horizontal="right" vertical="center" indent="5"/>
    </xf>
    <xf numFmtId="0" fontId="42" fillId="3" borderId="22" xfId="0" applyFont="1" applyFill="1" applyBorder="1" applyAlignment="1">
      <alignment horizontal="left" vertical="center" wrapText="1"/>
    </xf>
    <xf numFmtId="165" fontId="44" fillId="0" borderId="20" xfId="1" applyNumberFormat="1" applyFont="1" applyBorder="1" applyAlignment="1">
      <alignment horizontal="right" vertical="center"/>
    </xf>
    <xf numFmtId="0" fontId="9" fillId="0" borderId="0" xfId="0" applyFont="1" applyAlignment="1">
      <alignment horizontal="justify" vertical="center" wrapText="1"/>
    </xf>
    <xf numFmtId="0" fontId="42" fillId="0" borderId="0" xfId="0" applyFont="1" applyFill="1" applyBorder="1" applyAlignment="1">
      <alignment horizontal="left" vertical="center" wrapText="1"/>
    </xf>
    <xf numFmtId="165" fontId="44" fillId="0" borderId="0" xfId="1" applyNumberFormat="1" applyFont="1" applyBorder="1" applyAlignment="1">
      <alignment horizontal="right" vertical="center"/>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19" fillId="0" borderId="0" xfId="0" applyFont="1" applyFill="1" applyBorder="1" applyAlignment="1">
      <alignment horizontal="center" vertical="center" wrapText="1"/>
    </xf>
    <xf numFmtId="169" fontId="9" fillId="0" borderId="20" xfId="0" applyNumberFormat="1" applyFont="1" applyBorder="1" applyAlignment="1">
      <alignment horizontal="right" vertical="center"/>
    </xf>
    <xf numFmtId="0" fontId="42" fillId="3" borderId="16" xfId="0" applyFont="1" applyFill="1" applyBorder="1" applyAlignment="1">
      <alignment horizontal="left" vertical="center"/>
    </xf>
    <xf numFmtId="168" fontId="7" fillId="0" borderId="0" xfId="0" applyNumberFormat="1" applyFont="1" applyFill="1" applyBorder="1" applyAlignment="1">
      <alignment horizontal="right" vertical="center"/>
    </xf>
    <xf numFmtId="169" fontId="11" fillId="0" borderId="23" xfId="0" applyNumberFormat="1" applyFont="1" applyBorder="1" applyAlignment="1">
      <alignment horizontal="right" vertical="center"/>
    </xf>
    <xf numFmtId="11" fontId="11" fillId="0" borderId="0" xfId="0" applyNumberFormat="1" applyFont="1"/>
    <xf numFmtId="0" fontId="42" fillId="2" borderId="0" xfId="0" applyFont="1" applyFill="1" applyBorder="1" applyAlignment="1">
      <alignment horizontal="center" vertical="center" wrapText="1"/>
    </xf>
    <xf numFmtId="0" fontId="43" fillId="2" borderId="0" xfId="0" applyFont="1" applyFill="1" applyBorder="1" applyAlignment="1">
      <alignment horizontal="right" vertical="center"/>
    </xf>
    <xf numFmtId="0" fontId="44" fillId="2" borderId="0" xfId="0" applyFont="1" applyFill="1" applyBorder="1" applyAlignment="1">
      <alignment horizontal="left" vertical="center"/>
    </xf>
    <xf numFmtId="0" fontId="12" fillId="2" borderId="0" xfId="0" applyFont="1" applyFill="1" applyBorder="1"/>
    <xf numFmtId="0" fontId="48" fillId="2" borderId="0" xfId="0" applyFont="1" applyFill="1" applyBorder="1" applyAlignment="1">
      <alignment horizontal="right" vertical="center"/>
    </xf>
    <xf numFmtId="0" fontId="48" fillId="2" borderId="0" xfId="0" applyFont="1" applyFill="1" applyBorder="1" applyAlignment="1">
      <alignment horizontal="left" vertical="center"/>
    </xf>
    <xf numFmtId="0" fontId="49" fillId="2" borderId="0" xfId="0" applyFont="1" applyFill="1" applyBorder="1" applyAlignment="1">
      <alignment horizontal="center" vertical="center"/>
    </xf>
    <xf numFmtId="0" fontId="9" fillId="2" borderId="0" xfId="0" applyFont="1" applyFill="1" applyBorder="1"/>
    <xf numFmtId="0" fontId="10" fillId="2" borderId="9" xfId="0" applyFont="1" applyFill="1" applyBorder="1"/>
    <xf numFmtId="0" fontId="42" fillId="2" borderId="2" xfId="0" applyFont="1" applyFill="1" applyBorder="1" applyAlignment="1">
      <alignment horizontal="center" vertical="center" wrapText="1"/>
    </xf>
    <xf numFmtId="0" fontId="9" fillId="2" borderId="2" xfId="0" applyFont="1" applyFill="1" applyBorder="1"/>
    <xf numFmtId="0" fontId="9" fillId="2" borderId="3" xfId="0" applyFont="1" applyFill="1" applyBorder="1"/>
    <xf numFmtId="0" fontId="9" fillId="2" borderId="4" xfId="0" applyFont="1" applyFill="1" applyBorder="1"/>
    <xf numFmtId="0" fontId="9" fillId="2" borderId="14" xfId="0" applyFont="1" applyFill="1" applyBorder="1"/>
    <xf numFmtId="0" fontId="0" fillId="2" borderId="4" xfId="0" applyFill="1" applyBorder="1"/>
    <xf numFmtId="165" fontId="9" fillId="2" borderId="14" xfId="0" applyNumberFormat="1" applyFont="1" applyFill="1" applyBorder="1"/>
    <xf numFmtId="0" fontId="0" fillId="2" borderId="0" xfId="0" applyFill="1" applyBorder="1"/>
    <xf numFmtId="0" fontId="11" fillId="2" borderId="0" xfId="0" applyFont="1" applyFill="1" applyBorder="1"/>
    <xf numFmtId="0" fontId="11" fillId="2" borderId="4" xfId="0" applyFont="1" applyFill="1" applyBorder="1" applyAlignment="1">
      <alignment wrapText="1"/>
    </xf>
    <xf numFmtId="0" fontId="22" fillId="2" borderId="14" xfId="0" applyFont="1" applyFill="1" applyBorder="1" applyAlignment="1">
      <alignment horizontal="center" vertical="center" wrapText="1"/>
    </xf>
    <xf numFmtId="0" fontId="11" fillId="2" borderId="0" xfId="0" applyFont="1" applyFill="1" applyBorder="1" applyAlignment="1">
      <alignment horizontal="left"/>
    </xf>
    <xf numFmtId="0" fontId="12" fillId="2" borderId="4" xfId="0" applyFont="1" applyFill="1" applyBorder="1"/>
    <xf numFmtId="0" fontId="12" fillId="2" borderId="0" xfId="0" applyFont="1" applyFill="1" applyBorder="1" applyAlignment="1">
      <alignment horizontal="left"/>
    </xf>
    <xf numFmtId="0" fontId="13" fillId="2" borderId="0" xfId="0" applyFont="1" applyFill="1" applyBorder="1"/>
    <xf numFmtId="4" fontId="23" fillId="2" borderId="14" xfId="0" applyNumberFormat="1" applyFont="1" applyFill="1" applyBorder="1" applyAlignment="1">
      <alignment horizontal="right" vertical="center"/>
    </xf>
    <xf numFmtId="0" fontId="23" fillId="2" borderId="14" xfId="0" applyFont="1" applyFill="1" applyBorder="1" applyAlignment="1">
      <alignment horizontal="right" vertical="center"/>
    </xf>
    <xf numFmtId="11" fontId="13" fillId="2" borderId="0" xfId="0" applyNumberFormat="1" applyFont="1" applyFill="1" applyBorder="1"/>
    <xf numFmtId="0" fontId="12" fillId="2" borderId="4" xfId="0" applyFont="1" applyFill="1" applyBorder="1" applyAlignment="1">
      <alignment horizontal="left" vertical="center"/>
    </xf>
    <xf numFmtId="0" fontId="9" fillId="2" borderId="5" xfId="0" applyFont="1" applyFill="1" applyBorder="1"/>
    <xf numFmtId="0" fontId="9" fillId="2" borderId="13" xfId="0" applyFont="1" applyFill="1" applyBorder="1"/>
    <xf numFmtId="0" fontId="43" fillId="2" borderId="13" xfId="0" applyFont="1" applyFill="1" applyBorder="1" applyAlignment="1">
      <alignment horizontal="right" vertical="center"/>
    </xf>
    <xf numFmtId="0" fontId="9" fillId="2" borderId="12" xfId="0" applyFont="1" applyFill="1" applyBorder="1"/>
    <xf numFmtId="0" fontId="7" fillId="2" borderId="0" xfId="0" applyFont="1" applyFill="1" applyBorder="1" applyAlignment="1">
      <alignment horizontal="left" vertical="center" indent="5"/>
    </xf>
    <xf numFmtId="0" fontId="11" fillId="2" borderId="0" xfId="0" applyFont="1" applyFill="1" applyBorder="1" applyAlignment="1">
      <alignment wrapText="1"/>
    </xf>
    <xf numFmtId="1" fontId="43" fillId="2" borderId="0" xfId="0" applyNumberFormat="1" applyFont="1" applyFill="1" applyBorder="1" applyAlignment="1">
      <alignment horizontal="right" vertical="center"/>
    </xf>
    <xf numFmtId="0" fontId="43" fillId="2" borderId="0" xfId="0" applyFont="1" applyFill="1" applyBorder="1" applyAlignment="1">
      <alignment horizontal="right" vertical="center" indent="5"/>
    </xf>
    <xf numFmtId="165" fontId="43" fillId="2" borderId="0" xfId="1" applyNumberFormat="1" applyFont="1" applyFill="1" applyBorder="1" applyAlignment="1">
      <alignment horizontal="right" vertical="center"/>
    </xf>
    <xf numFmtId="43" fontId="43" fillId="2" borderId="0" xfId="1" applyFont="1" applyFill="1" applyBorder="1" applyAlignment="1">
      <alignment horizontal="right" vertical="center"/>
    </xf>
    <xf numFmtId="2" fontId="9" fillId="2" borderId="0" xfId="0" applyNumberFormat="1" applyFont="1" applyFill="1" applyBorder="1"/>
    <xf numFmtId="0" fontId="25" fillId="2" borderId="0" xfId="0" applyFont="1" applyFill="1" applyBorder="1" applyAlignment="1">
      <alignment horizontal="justify" vertical="center"/>
    </xf>
    <xf numFmtId="0" fontId="43" fillId="2" borderId="0" xfId="0" applyFont="1" applyFill="1" applyBorder="1" applyAlignment="1">
      <alignment vertical="center"/>
    </xf>
    <xf numFmtId="3" fontId="26" fillId="0" borderId="20" xfId="0" applyNumberFormat="1" applyFont="1" applyBorder="1" applyAlignment="1">
      <alignment horizontal="right" vertical="center"/>
    </xf>
    <xf numFmtId="0" fontId="27" fillId="3" borderId="16" xfId="0" applyFont="1" applyFill="1" applyBorder="1" applyAlignment="1">
      <alignment horizontal="left" vertical="center"/>
    </xf>
    <xf numFmtId="2" fontId="33" fillId="0" borderId="23" xfId="0" applyNumberFormat="1" applyFont="1" applyBorder="1" applyAlignment="1">
      <alignment horizontal="right" vertical="center"/>
    </xf>
    <xf numFmtId="167" fontId="33" fillId="0" borderId="23" xfId="0" applyNumberFormat="1" applyFont="1" applyBorder="1" applyAlignment="1">
      <alignment horizontal="right" vertical="center"/>
    </xf>
    <xf numFmtId="0" fontId="43" fillId="2" borderId="2" xfId="0" applyFont="1" applyFill="1" applyBorder="1" applyAlignment="1">
      <alignment horizontal="right" vertical="center"/>
    </xf>
    <xf numFmtId="0" fontId="45" fillId="3" borderId="47" xfId="0" applyFont="1" applyFill="1" applyBorder="1" applyAlignment="1">
      <alignment horizontal="center" vertical="center" wrapText="1"/>
    </xf>
    <xf numFmtId="0" fontId="45" fillId="2" borderId="4" xfId="0" applyFont="1" applyFill="1" applyBorder="1" applyAlignment="1">
      <alignment horizontal="left" vertical="center" wrapText="1"/>
    </xf>
    <xf numFmtId="0" fontId="24" fillId="3" borderId="49" xfId="0" applyFont="1" applyFill="1" applyBorder="1" applyAlignment="1">
      <alignment horizontal="justify" vertical="center"/>
    </xf>
    <xf numFmtId="0" fontId="25" fillId="0" borderId="47" xfId="0" applyFont="1" applyBorder="1" applyAlignment="1">
      <alignment horizontal="left" vertical="center"/>
    </xf>
    <xf numFmtId="0" fontId="24" fillId="3" borderId="49" xfId="0" applyFont="1" applyFill="1" applyBorder="1" applyAlignment="1">
      <alignment horizontal="left" vertical="center"/>
    </xf>
    <xf numFmtId="0" fontId="18" fillId="2" borderId="0" xfId="0" applyFont="1" applyFill="1" applyBorder="1"/>
    <xf numFmtId="0" fontId="45" fillId="3" borderId="50" xfId="0" applyFont="1" applyFill="1" applyBorder="1" applyAlignment="1">
      <alignment horizontal="center" vertical="center" wrapText="1"/>
    </xf>
    <xf numFmtId="0" fontId="17" fillId="2" borderId="0" xfId="0" applyFont="1" applyFill="1" applyBorder="1"/>
    <xf numFmtId="2" fontId="11" fillId="2" borderId="0" xfId="2" applyNumberFormat="1" applyFont="1" applyFill="1" applyBorder="1"/>
    <xf numFmtId="0" fontId="21" fillId="2" borderId="0" xfId="0" applyFont="1" applyFill="1" applyBorder="1" applyAlignment="1">
      <alignment horizontal="right" wrapText="1"/>
    </xf>
    <xf numFmtId="0" fontId="21" fillId="2" borderId="0" xfId="0" applyFont="1" applyFill="1" applyBorder="1"/>
    <xf numFmtId="2" fontId="21" fillId="2" borderId="0" xfId="2" applyNumberFormat="1" applyFont="1" applyFill="1" applyBorder="1"/>
    <xf numFmtId="0" fontId="26" fillId="0" borderId="20" xfId="0" applyFont="1" applyBorder="1" applyAlignment="1">
      <alignment horizontal="left" vertical="center" wrapText="1"/>
    </xf>
    <xf numFmtId="0" fontId="26" fillId="0" borderId="23" xfId="0" applyFont="1" applyBorder="1" applyAlignment="1">
      <alignment horizontal="left" vertical="center" wrapText="1"/>
    </xf>
    <xf numFmtId="0" fontId="26" fillId="0" borderId="23" xfId="0" applyFont="1" applyBorder="1" applyAlignment="1">
      <alignment horizontal="right" vertical="center"/>
    </xf>
    <xf numFmtId="0" fontId="26" fillId="0" borderId="40" xfId="0" applyFont="1" applyBorder="1" applyAlignment="1">
      <alignment horizontal="right" vertical="center"/>
    </xf>
    <xf numFmtId="0" fontId="38" fillId="2" borderId="0" xfId="0" applyFont="1" applyFill="1" applyBorder="1" applyAlignment="1">
      <alignment horizontal="center" vertical="center" wrapText="1"/>
    </xf>
    <xf numFmtId="0" fontId="26" fillId="2" borderId="0" xfId="0" applyFont="1" applyFill="1" applyBorder="1" applyAlignment="1">
      <alignment horizontal="left" vertical="center" wrapText="1"/>
    </xf>
    <xf numFmtId="0" fontId="26" fillId="2" borderId="0" xfId="0" applyFont="1" applyFill="1" applyBorder="1" applyAlignment="1">
      <alignment horizontal="right"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left" vertical="center"/>
    </xf>
    <xf numFmtId="3" fontId="25" fillId="0" borderId="23" xfId="0" applyNumberFormat="1" applyFont="1" applyBorder="1" applyAlignment="1">
      <alignment horizontal="right" vertical="center"/>
    </xf>
    <xf numFmtId="0" fontId="27" fillId="3" borderId="20" xfId="0" applyFont="1" applyFill="1" applyBorder="1" applyAlignment="1">
      <alignment horizontal="left" vertical="center" wrapText="1"/>
    </xf>
    <xf numFmtId="0" fontId="24" fillId="3" borderId="17" xfId="0" applyFont="1" applyFill="1" applyBorder="1" applyAlignment="1">
      <alignment horizontal="justify" vertical="center"/>
    </xf>
    <xf numFmtId="0" fontId="25" fillId="0" borderId="51" xfId="0" applyFont="1" applyBorder="1" applyAlignment="1">
      <alignment horizontal="justify" vertical="center"/>
    </xf>
    <xf numFmtId="1" fontId="26" fillId="0" borderId="20" xfId="0" applyNumberFormat="1" applyFont="1" applyBorder="1" applyAlignment="1">
      <alignment horizontal="center" vertical="center"/>
    </xf>
    <xf numFmtId="1" fontId="26" fillId="0" borderId="23" xfId="0" applyNumberFormat="1" applyFont="1" applyBorder="1" applyAlignment="1">
      <alignment horizontal="center" vertical="center"/>
    </xf>
    <xf numFmtId="1" fontId="26" fillId="0" borderId="21" xfId="0" applyNumberFormat="1" applyFont="1" applyBorder="1" applyAlignment="1">
      <alignment horizontal="center" vertical="center"/>
    </xf>
    <xf numFmtId="1" fontId="26" fillId="0" borderId="24" xfId="0" applyNumberFormat="1" applyFont="1" applyBorder="1" applyAlignment="1">
      <alignment horizontal="center" vertical="center"/>
    </xf>
    <xf numFmtId="166" fontId="40" fillId="0" borderId="24" xfId="1" applyNumberFormat="1" applyFont="1" applyBorder="1" applyAlignment="1">
      <alignment horizontal="right" vertical="center"/>
    </xf>
    <xf numFmtId="49" fontId="25" fillId="0" borderId="20" xfId="0" applyNumberFormat="1" applyFont="1" applyBorder="1" applyAlignment="1">
      <alignment horizontal="center" vertical="center" wrapText="1"/>
    </xf>
    <xf numFmtId="0" fontId="27" fillId="3" borderId="28" xfId="0" applyFont="1" applyFill="1" applyBorder="1" applyAlignment="1">
      <alignment horizontal="center" vertical="center"/>
    </xf>
    <xf numFmtId="0" fontId="27" fillId="3" borderId="51"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21" xfId="0" applyFont="1" applyFill="1" applyBorder="1" applyAlignment="1">
      <alignment horizontal="center" vertical="center"/>
    </xf>
    <xf numFmtId="165" fontId="25" fillId="0" borderId="20" xfId="1" applyNumberFormat="1" applyFont="1" applyBorder="1" applyAlignment="1">
      <alignment horizontal="right" vertical="center"/>
    </xf>
    <xf numFmtId="166" fontId="25" fillId="0" borderId="20" xfId="1" applyNumberFormat="1" applyFont="1" applyBorder="1" applyAlignment="1">
      <alignment horizontal="right" vertical="center"/>
    </xf>
    <xf numFmtId="166" fontId="37" fillId="0" borderId="23" xfId="0" applyNumberFormat="1" applyFont="1" applyBorder="1" applyAlignment="1">
      <alignment horizontal="right" vertical="center"/>
    </xf>
    <xf numFmtId="166" fontId="25" fillId="0" borderId="20" xfId="0" applyNumberFormat="1" applyFont="1" applyBorder="1" applyAlignment="1">
      <alignment horizontal="right" vertical="center"/>
    </xf>
    <xf numFmtId="166" fontId="25" fillId="0" borderId="21" xfId="0" applyNumberFormat="1" applyFont="1" applyBorder="1" applyAlignment="1">
      <alignment horizontal="right" vertical="center"/>
    </xf>
    <xf numFmtId="165" fontId="33" fillId="0" borderId="20" xfId="0" applyNumberFormat="1" applyFont="1" applyBorder="1" applyAlignment="1">
      <alignment horizontal="right" vertical="center"/>
    </xf>
    <xf numFmtId="165" fontId="33" fillId="0" borderId="23" xfId="0" applyNumberFormat="1" applyFont="1" applyBorder="1" applyAlignment="1">
      <alignment horizontal="right" vertical="center"/>
    </xf>
    <xf numFmtId="43" fontId="25" fillId="0" borderId="20" xfId="0" applyNumberFormat="1" applyFont="1" applyBorder="1" applyAlignment="1">
      <alignment horizontal="right" vertical="center"/>
    </xf>
    <xf numFmtId="43" fontId="25" fillId="0" borderId="21" xfId="0" applyNumberFormat="1" applyFont="1" applyBorder="1" applyAlignment="1">
      <alignment horizontal="right" vertical="center"/>
    </xf>
    <xf numFmtId="43" fontId="33" fillId="0" borderId="20" xfId="0" applyNumberFormat="1" applyFont="1" applyBorder="1" applyAlignment="1">
      <alignment horizontal="right" vertical="center"/>
    </xf>
    <xf numFmtId="43" fontId="33" fillId="0" borderId="23" xfId="0" applyNumberFormat="1" applyFont="1" applyBorder="1" applyAlignment="1">
      <alignment horizontal="right" vertical="center"/>
    </xf>
    <xf numFmtId="43" fontId="33" fillId="0" borderId="24" xfId="0" applyNumberFormat="1" applyFont="1" applyBorder="1" applyAlignment="1">
      <alignment horizontal="right" vertical="center"/>
    </xf>
    <xf numFmtId="0" fontId="38" fillId="3" borderId="46" xfId="0" applyFont="1" applyFill="1" applyBorder="1" applyAlignment="1">
      <alignment horizontal="center" vertical="center" wrapText="1"/>
    </xf>
    <xf numFmtId="0" fontId="38" fillId="3" borderId="47" xfId="0" applyFont="1" applyFill="1" applyBorder="1" applyAlignment="1">
      <alignment horizontal="center" vertical="center" wrapText="1"/>
    </xf>
    <xf numFmtId="0" fontId="12" fillId="0" borderId="4" xfId="0" applyFont="1" applyBorder="1"/>
    <xf numFmtId="0" fontId="18" fillId="2" borderId="0" xfId="0" applyFont="1" applyFill="1" applyBorder="1" applyAlignment="1"/>
    <xf numFmtId="0" fontId="24" fillId="3" borderId="55" xfId="0" applyFont="1" applyFill="1" applyBorder="1" applyAlignment="1">
      <alignment horizontal="center" vertical="center" wrapText="1"/>
    </xf>
    <xf numFmtId="0" fontId="27" fillId="3" borderId="47"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27" fillId="3" borderId="47" xfId="0" applyFont="1" applyFill="1" applyBorder="1" applyAlignment="1">
      <alignment horizontal="left" vertical="center"/>
    </xf>
    <xf numFmtId="0" fontId="27" fillId="3" borderId="49" xfId="0" applyFont="1" applyFill="1" applyBorder="1" applyAlignment="1">
      <alignment horizontal="left" vertical="center"/>
    </xf>
    <xf numFmtId="0" fontId="24" fillId="3" borderId="55" xfId="0" applyFont="1" applyFill="1" applyBorder="1" applyAlignment="1">
      <alignment horizontal="justify" vertical="center"/>
    </xf>
    <xf numFmtId="0" fontId="38" fillId="3" borderId="55" xfId="0" applyFont="1" applyFill="1" applyBorder="1" applyAlignment="1">
      <alignment horizontal="left" vertical="center"/>
    </xf>
    <xf numFmtId="0" fontId="41" fillId="3" borderId="47" xfId="0" applyFont="1" applyFill="1" applyBorder="1" applyAlignment="1">
      <alignment horizontal="left" vertical="center"/>
    </xf>
    <xf numFmtId="0" fontId="41" fillId="3" borderId="49" xfId="0" applyFont="1" applyFill="1" applyBorder="1" applyAlignment="1">
      <alignment horizontal="left" vertical="center"/>
    </xf>
    <xf numFmtId="0" fontId="24" fillId="3" borderId="49" xfId="0" applyFont="1" applyFill="1" applyBorder="1" applyAlignment="1">
      <alignment horizontal="right" vertical="center"/>
    </xf>
    <xf numFmtId="0" fontId="10" fillId="2" borderId="10" xfId="0" applyFont="1" applyFill="1" applyBorder="1"/>
    <xf numFmtId="0" fontId="11" fillId="2" borderId="56" xfId="0" applyFont="1" applyFill="1" applyBorder="1"/>
    <xf numFmtId="0" fontId="11" fillId="2" borderId="11" xfId="0" applyFont="1" applyFill="1" applyBorder="1"/>
    <xf numFmtId="0" fontId="13" fillId="2" borderId="0" xfId="0" applyFont="1" applyFill="1" applyBorder="1" applyAlignment="1">
      <alignment wrapText="1"/>
    </xf>
    <xf numFmtId="0" fontId="13" fillId="2" borderId="0" xfId="0" applyFont="1" applyFill="1" applyBorder="1" applyAlignment="1">
      <alignment horizontal="right" wrapText="1"/>
    </xf>
    <xf numFmtId="0" fontId="42" fillId="3" borderId="16" xfId="0" applyFont="1" applyFill="1" applyBorder="1" applyAlignment="1">
      <alignment horizontal="center" vertical="center"/>
    </xf>
    <xf numFmtId="0" fontId="27" fillId="3" borderId="50" xfId="0" applyFont="1" applyFill="1" applyBorder="1" applyAlignment="1">
      <alignment horizontal="left" vertical="center" wrapText="1"/>
    </xf>
    <xf numFmtId="0" fontId="31"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9" fillId="2" borderId="0" xfId="0" applyFont="1" applyFill="1" applyBorder="1" applyAlignment="1"/>
    <xf numFmtId="0" fontId="9" fillId="2" borderId="14" xfId="0" applyFont="1" applyFill="1" applyBorder="1" applyAlignment="1"/>
    <xf numFmtId="0" fontId="38" fillId="3" borderId="17" xfId="0" applyFont="1" applyFill="1" applyBorder="1" applyAlignment="1">
      <alignment horizontal="left" vertical="center"/>
    </xf>
    <xf numFmtId="0" fontId="38" fillId="3" borderId="19" xfId="0" applyFont="1" applyFill="1" applyBorder="1" applyAlignment="1">
      <alignment horizontal="left" vertical="center"/>
    </xf>
    <xf numFmtId="0" fontId="25" fillId="2" borderId="0" xfId="0" applyFont="1" applyFill="1" applyBorder="1" applyAlignment="1">
      <alignment horizontal="right" vertical="center"/>
    </xf>
    <xf numFmtId="0" fontId="25" fillId="0" borderId="21" xfId="0" applyFont="1" applyBorder="1" applyAlignment="1">
      <alignment horizontal="left" vertical="center"/>
    </xf>
    <xf numFmtId="0" fontId="25" fillId="0" borderId="51" xfId="0" applyFont="1" applyBorder="1" applyAlignment="1">
      <alignment horizontal="left" vertical="center"/>
    </xf>
    <xf numFmtId="0" fontId="25" fillId="0" borderId="49" xfId="0" applyFont="1" applyBorder="1" applyAlignment="1">
      <alignment horizontal="left" vertical="center"/>
    </xf>
    <xf numFmtId="3" fontId="25" fillId="0" borderId="23" xfId="0" applyNumberFormat="1" applyFont="1" applyBorder="1" applyAlignment="1">
      <alignment horizontal="left" vertical="center"/>
    </xf>
    <xf numFmtId="0" fontId="25" fillId="0" borderId="24" xfId="0" applyFont="1" applyBorder="1" applyAlignment="1">
      <alignment horizontal="left" vertical="center"/>
    </xf>
    <xf numFmtId="0" fontId="31" fillId="0" borderId="20" xfId="0" applyFont="1" applyBorder="1" applyAlignment="1">
      <alignment horizontal="left" vertical="center"/>
    </xf>
    <xf numFmtId="0" fontId="31" fillId="0" borderId="20" xfId="0" applyFont="1" applyBorder="1" applyAlignment="1">
      <alignment horizontal="right" vertical="center" wrapText="1"/>
    </xf>
    <xf numFmtId="0" fontId="24" fillId="2" borderId="42" xfId="0" applyFont="1" applyFill="1" applyBorder="1" applyAlignment="1">
      <alignment horizontal="justify" vertical="center"/>
    </xf>
    <xf numFmtId="0" fontId="25" fillId="2" borderId="42" xfId="0" applyFont="1" applyFill="1" applyBorder="1" applyAlignment="1">
      <alignment horizontal="left" vertical="center"/>
    </xf>
    <xf numFmtId="0" fontId="9" fillId="0" borderId="0" xfId="0" applyFont="1" applyBorder="1" applyAlignment="1"/>
    <xf numFmtId="0" fontId="25" fillId="0" borderId="16" xfId="0" applyFont="1" applyBorder="1" applyAlignment="1">
      <alignment horizontal="right" vertical="center"/>
    </xf>
    <xf numFmtId="0" fontId="24" fillId="3" borderId="23" xfId="0" applyFont="1" applyFill="1" applyBorder="1" applyAlignment="1">
      <alignment horizontal="right" vertical="center"/>
    </xf>
    <xf numFmtId="0" fontId="24" fillId="3" borderId="28" xfId="0" applyFont="1" applyFill="1" applyBorder="1" applyAlignment="1">
      <alignment horizontal="left" vertical="center"/>
    </xf>
    <xf numFmtId="0" fontId="27" fillId="3" borderId="20" xfId="0" applyFont="1" applyFill="1" applyBorder="1" applyAlignment="1">
      <alignment horizontal="left" vertical="center"/>
    </xf>
    <xf numFmtId="3" fontId="25" fillId="0" borderId="21" xfId="0" applyNumberFormat="1" applyFont="1" applyBorder="1" applyAlignment="1">
      <alignment horizontal="center" vertical="center" wrapText="1"/>
    </xf>
    <xf numFmtId="0" fontId="27" fillId="3" borderId="23" xfId="0" applyFont="1" applyFill="1" applyBorder="1" applyAlignment="1">
      <alignment horizontal="left" vertical="center"/>
    </xf>
    <xf numFmtId="3" fontId="25" fillId="0" borderId="24" xfId="0" applyNumberFormat="1" applyFont="1" applyBorder="1" applyAlignment="1">
      <alignment horizontal="center" vertical="center" wrapText="1"/>
    </xf>
    <xf numFmtId="166" fontId="40" fillId="0" borderId="0" xfId="1" applyNumberFormat="1" applyFont="1" applyBorder="1" applyAlignment="1">
      <alignment horizontal="right" vertical="center"/>
    </xf>
    <xf numFmtId="0" fontId="0" fillId="4" borderId="0" xfId="0" applyFill="1" applyBorder="1" applyAlignment="1">
      <alignment wrapText="1"/>
    </xf>
    <xf numFmtId="0" fontId="9" fillId="4" borderId="0" xfId="0" applyFont="1" applyFill="1" applyBorder="1"/>
    <xf numFmtId="0" fontId="7" fillId="4" borderId="0" xfId="0" applyFont="1" applyFill="1" applyBorder="1" applyAlignment="1">
      <alignment horizontal="left" vertical="center" indent="5"/>
    </xf>
    <xf numFmtId="0" fontId="18" fillId="4" borderId="0" xfId="0" applyFont="1" applyFill="1" applyBorder="1"/>
    <xf numFmtId="0" fontId="18" fillId="4" borderId="0" xfId="0" applyFont="1" applyFill="1" applyBorder="1" applyAlignment="1"/>
    <xf numFmtId="0" fontId="12" fillId="4" borderId="0" xfId="0" applyFont="1" applyFill="1" applyBorder="1"/>
    <xf numFmtId="0" fontId="42" fillId="4" borderId="0" xfId="0" applyFont="1" applyFill="1" applyBorder="1" applyAlignment="1">
      <alignment horizontal="center" vertical="center" wrapText="1"/>
    </xf>
    <xf numFmtId="1" fontId="26" fillId="2" borderId="0" xfId="0" applyNumberFormat="1" applyFont="1" applyFill="1" applyBorder="1" applyAlignment="1">
      <alignment horizontal="center" vertical="center"/>
    </xf>
    <xf numFmtId="0" fontId="27"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49" fontId="25" fillId="2" borderId="0" xfId="0" applyNumberFormat="1" applyFont="1" applyFill="1" applyBorder="1" applyAlignment="1">
      <alignment horizontal="center" vertical="center" wrapText="1"/>
    </xf>
    <xf numFmtId="3" fontId="33" fillId="0" borderId="21" xfId="0" applyNumberFormat="1" applyFont="1" applyBorder="1" applyAlignment="1">
      <alignment horizontal="center" vertical="center" wrapText="1"/>
    </xf>
    <xf numFmtId="0" fontId="38" fillId="3" borderId="17" xfId="0" applyFont="1" applyFill="1" applyBorder="1" applyAlignment="1">
      <alignment horizontal="justify" vertical="center" wrapText="1"/>
    </xf>
    <xf numFmtId="3" fontId="33" fillId="0" borderId="24" xfId="0" applyNumberFormat="1" applyFont="1" applyBorder="1" applyAlignment="1">
      <alignment horizontal="center" vertical="center" wrapText="1"/>
    </xf>
    <xf numFmtId="3" fontId="25" fillId="0" borderId="39" xfId="0" applyNumberFormat="1" applyFont="1" applyBorder="1" applyAlignment="1">
      <alignment horizontal="center" vertical="center" wrapText="1"/>
    </xf>
    <xf numFmtId="3" fontId="25" fillId="0" borderId="40" xfId="0" applyNumberFormat="1" applyFont="1" applyBorder="1" applyAlignment="1">
      <alignment horizontal="center" vertical="center" wrapText="1"/>
    </xf>
    <xf numFmtId="3" fontId="25" fillId="0" borderId="59" xfId="0" applyNumberFormat="1" applyFont="1" applyBorder="1" applyAlignment="1">
      <alignment horizontal="center" vertical="center" wrapText="1"/>
    </xf>
    <xf numFmtId="3" fontId="25" fillId="0" borderId="58" xfId="0" applyNumberFormat="1" applyFont="1" applyBorder="1" applyAlignment="1">
      <alignment horizontal="center" vertical="center" wrapText="1"/>
    </xf>
    <xf numFmtId="0" fontId="24" fillId="3" borderId="60" xfId="0" applyFont="1" applyFill="1" applyBorder="1" applyAlignment="1">
      <alignment horizontal="center" vertical="center" wrapText="1"/>
    </xf>
    <xf numFmtId="0" fontId="25" fillId="0" borderId="39" xfId="0" applyFont="1" applyBorder="1" applyAlignment="1">
      <alignment horizontal="center" vertical="center"/>
    </xf>
    <xf numFmtId="166" fontId="26" fillId="0" borderId="20" xfId="1" applyNumberFormat="1" applyFont="1" applyBorder="1" applyAlignment="1">
      <alignment horizontal="center" vertical="center"/>
    </xf>
    <xf numFmtId="0" fontId="10" fillId="4" borderId="4" xfId="0" applyFont="1" applyFill="1" applyBorder="1" applyAlignment="1">
      <alignment wrapText="1"/>
    </xf>
    <xf numFmtId="0" fontId="9" fillId="4" borderId="4" xfId="0" applyFont="1" applyFill="1" applyBorder="1"/>
    <xf numFmtId="0" fontId="11" fillId="4" borderId="4" xfId="0" applyFont="1" applyFill="1" applyBorder="1"/>
    <xf numFmtId="0" fontId="11" fillId="4" borderId="0" xfId="0" applyFont="1" applyFill="1" applyBorder="1"/>
    <xf numFmtId="165" fontId="25" fillId="0" borderId="47" xfId="0" applyNumberFormat="1" applyFont="1" applyBorder="1" applyAlignment="1">
      <alignment horizontal="left" vertical="center"/>
    </xf>
    <xf numFmtId="0" fontId="11" fillId="2" borderId="4" xfId="0" applyFont="1" applyFill="1" applyBorder="1"/>
    <xf numFmtId="166" fontId="25" fillId="0" borderId="47" xfId="0" applyNumberFormat="1" applyFont="1" applyBorder="1" applyAlignment="1">
      <alignment horizontal="right" vertical="center"/>
    </xf>
    <xf numFmtId="0" fontId="25" fillId="2" borderId="4" xfId="0" applyFont="1" applyFill="1" applyBorder="1" applyAlignment="1">
      <alignment horizontal="justify" vertical="center"/>
    </xf>
    <xf numFmtId="0" fontId="25" fillId="0" borderId="47" xfId="0" applyFont="1" applyBorder="1" applyAlignment="1">
      <alignment horizontal="right" vertical="center"/>
    </xf>
    <xf numFmtId="0" fontId="11" fillId="0" borderId="4" xfId="0" applyFont="1" applyBorder="1"/>
    <xf numFmtId="0" fontId="38" fillId="3" borderId="55" xfId="0" applyFont="1" applyFill="1" applyBorder="1" applyAlignment="1">
      <alignment horizontal="left" vertical="center" wrapText="1"/>
    </xf>
    <xf numFmtId="0" fontId="9" fillId="0" borderId="4" xfId="0" applyFont="1" applyBorder="1" applyAlignment="1"/>
    <xf numFmtId="14" fontId="25" fillId="0" borderId="20" xfId="0" applyNumberFormat="1" applyFont="1" applyBorder="1" applyAlignment="1">
      <alignment horizontal="right" vertical="center"/>
    </xf>
    <xf numFmtId="0" fontId="0" fillId="0" borderId="0" xfId="0" applyFill="1" applyAlignment="1">
      <alignment horizontal="left"/>
    </xf>
    <xf numFmtId="3" fontId="3" fillId="0" borderId="0" xfId="0" applyNumberFormat="1" applyFont="1" applyFill="1" applyAlignment="1">
      <alignment horizontal="left"/>
    </xf>
    <xf numFmtId="3" fontId="0" fillId="0" borderId="0" xfId="0" applyNumberFormat="1" applyFont="1" applyFill="1" applyAlignment="1">
      <alignment horizontal="left"/>
    </xf>
    <xf numFmtId="3" fontId="0" fillId="0" borderId="0" xfId="0" applyNumberFormat="1" applyFill="1" applyAlignment="1">
      <alignment horizontal="left"/>
    </xf>
    <xf numFmtId="3" fontId="0" fillId="0" borderId="1" xfId="0" applyNumberFormat="1" applyFont="1" applyFill="1" applyBorder="1" applyAlignment="1">
      <alignment horizontal="left"/>
    </xf>
    <xf numFmtId="4" fontId="0" fillId="0" borderId="0" xfId="0" applyNumberFormat="1" applyFill="1" applyAlignment="1">
      <alignment horizontal="left"/>
    </xf>
    <xf numFmtId="0" fontId="0" fillId="0" borderId="1" xfId="0" applyFill="1" applyBorder="1" applyAlignment="1">
      <alignment horizontal="left"/>
    </xf>
    <xf numFmtId="3" fontId="0" fillId="0" borderId="0" xfId="0" applyNumberFormat="1" applyFill="1" applyBorder="1" applyAlignment="1">
      <alignment horizontal="left"/>
    </xf>
    <xf numFmtId="164" fontId="0" fillId="0" borderId="0" xfId="0" applyNumberFormat="1" applyFont="1" applyFill="1" applyBorder="1" applyAlignment="1">
      <alignment horizontal="left"/>
    </xf>
    <xf numFmtId="164" fontId="0" fillId="0" borderId="0" xfId="0" applyNumberFormat="1" applyFill="1" applyBorder="1" applyAlignment="1">
      <alignment horizontal="left"/>
    </xf>
    <xf numFmtId="166" fontId="40" fillId="0" borderId="23" xfId="1" applyNumberFormat="1" applyFont="1" applyBorder="1" applyAlignment="1">
      <alignment horizontal="center" vertical="center"/>
    </xf>
    <xf numFmtId="14" fontId="0" fillId="0" borderId="0" xfId="0" applyNumberFormat="1"/>
    <xf numFmtId="0" fontId="25" fillId="0" borderId="39" xfId="0" applyFont="1" applyBorder="1" applyAlignment="1">
      <alignment horizontal="right" vertical="center"/>
    </xf>
    <xf numFmtId="0" fontId="25" fillId="0" borderId="27" xfId="0" applyFont="1" applyBorder="1" applyAlignment="1">
      <alignment horizontal="right" vertical="center"/>
    </xf>
    <xf numFmtId="0" fontId="25" fillId="0" borderId="28" xfId="0" applyFont="1" applyBorder="1" applyAlignment="1">
      <alignment horizontal="right" vertical="center"/>
    </xf>
    <xf numFmtId="0" fontId="25" fillId="0" borderId="0" xfId="0" applyFont="1" applyBorder="1" applyAlignment="1">
      <alignment horizontal="right" vertical="center"/>
    </xf>
    <xf numFmtId="0" fontId="53" fillId="0" borderId="0" xfId="0" applyFont="1" applyFill="1" applyBorder="1" applyAlignment="1">
      <alignment horizontal="right" vertical="center"/>
    </xf>
    <xf numFmtId="166" fontId="26" fillId="0" borderId="39" xfId="1" applyNumberFormat="1" applyFont="1" applyBorder="1" applyAlignment="1">
      <alignment horizontal="center" vertical="center"/>
    </xf>
    <xf numFmtId="0" fontId="10" fillId="2" borderId="0" xfId="0" applyFont="1" applyFill="1" applyBorder="1"/>
    <xf numFmtId="165" fontId="9" fillId="2" borderId="0" xfId="0" applyNumberFormat="1" applyFont="1" applyFill="1" applyBorder="1"/>
    <xf numFmtId="165" fontId="33" fillId="0" borderId="24" xfId="0" applyNumberFormat="1" applyFont="1" applyBorder="1" applyAlignment="1">
      <alignment horizontal="right" vertical="center"/>
    </xf>
    <xf numFmtId="166" fontId="43" fillId="0" borderId="20" xfId="1" applyNumberFormat="1" applyFont="1" applyBorder="1" applyAlignment="1">
      <alignment horizontal="right" vertical="center"/>
    </xf>
    <xf numFmtId="169" fontId="9" fillId="0" borderId="39" xfId="0" applyNumberFormat="1" applyFont="1" applyBorder="1" applyAlignment="1">
      <alignment horizontal="right" vertical="center"/>
    </xf>
    <xf numFmtId="0" fontId="9" fillId="0" borderId="0" xfId="0" applyFont="1" applyFill="1" applyBorder="1" applyAlignment="1">
      <alignment wrapText="1"/>
    </xf>
    <xf numFmtId="167" fontId="9" fillId="0" borderId="0" xfId="0" applyNumberFormat="1" applyFont="1"/>
    <xf numFmtId="1" fontId="9" fillId="0" borderId="0" xfId="0" applyNumberFormat="1" applyFont="1"/>
    <xf numFmtId="1" fontId="9" fillId="0" borderId="0" xfId="0" applyNumberFormat="1" applyFont="1" applyFill="1" applyBorder="1"/>
    <xf numFmtId="0" fontId="42" fillId="3" borderId="15" xfId="0" applyFont="1" applyFill="1" applyBorder="1" applyAlignment="1">
      <alignment horizontal="center" vertical="center" wrapText="1"/>
    </xf>
    <xf numFmtId="0" fontId="0" fillId="2" borderId="0" xfId="0" applyFill="1" applyBorder="1" applyAlignment="1">
      <alignment wrapText="1"/>
    </xf>
    <xf numFmtId="0" fontId="11" fillId="2" borderId="4" xfId="0" applyFont="1" applyFill="1" applyBorder="1" applyAlignment="1">
      <alignment wrapText="1"/>
    </xf>
    <xf numFmtId="0" fontId="12" fillId="2" borderId="0" xfId="0" applyFont="1" applyFill="1" applyBorder="1" applyAlignment="1"/>
    <xf numFmtId="0" fontId="42" fillId="2" borderId="0" xfId="0" applyFont="1" applyFill="1" applyBorder="1" applyAlignment="1">
      <alignment horizontal="center" vertical="center" wrapText="1"/>
    </xf>
    <xf numFmtId="169" fontId="9" fillId="0" borderId="0" xfId="0" applyNumberFormat="1" applyFont="1" applyFill="1" applyBorder="1" applyAlignment="1">
      <alignment horizontal="right" vertical="center"/>
    </xf>
    <xf numFmtId="169" fontId="11" fillId="0" borderId="0" xfId="0" applyNumberFormat="1" applyFont="1" applyFill="1" applyBorder="1" applyAlignment="1">
      <alignment horizontal="right" vertical="center"/>
    </xf>
    <xf numFmtId="0" fontId="55" fillId="0" borderId="0" xfId="0" pivotButton="1" applyFont="1"/>
    <xf numFmtId="0" fontId="55" fillId="0" borderId="0" xfId="0" applyFont="1"/>
    <xf numFmtId="0" fontId="55" fillId="0" borderId="0" xfId="0" applyFont="1" applyAlignment="1">
      <alignment horizontal="left"/>
    </xf>
    <xf numFmtId="0" fontId="55" fillId="0" borderId="0" xfId="0" applyNumberFormat="1" applyFont="1"/>
    <xf numFmtId="0" fontId="11" fillId="6" borderId="0" xfId="0" applyFont="1" applyFill="1"/>
    <xf numFmtId="0" fontId="11" fillId="6" borderId="61" xfId="0" applyFont="1" applyFill="1" applyBorder="1" applyAlignment="1">
      <alignment wrapText="1"/>
    </xf>
    <xf numFmtId="0" fontId="11" fillId="2" borderId="61" xfId="0" applyFont="1" applyFill="1" applyBorder="1" applyAlignment="1">
      <alignment horizontal="left"/>
    </xf>
    <xf numFmtId="0" fontId="11" fillId="6" borderId="62" xfId="0" applyFont="1" applyFill="1" applyBorder="1" applyAlignment="1">
      <alignment horizontal="left"/>
    </xf>
    <xf numFmtId="167" fontId="11" fillId="6" borderId="62" xfId="1" applyNumberFormat="1" applyFont="1" applyFill="1" applyBorder="1" applyAlignment="1">
      <alignment horizontal="right"/>
    </xf>
    <xf numFmtId="3" fontId="11" fillId="0" borderId="0" xfId="0" applyNumberFormat="1" applyFont="1" applyAlignment="1">
      <alignment wrapText="1"/>
    </xf>
    <xf numFmtId="3" fontId="11" fillId="0" borderId="0" xfId="0" applyNumberFormat="1" applyFont="1"/>
    <xf numFmtId="0" fontId="9" fillId="0" borderId="0" xfId="0" applyFont="1" applyAlignment="1">
      <alignment horizontal="left" indent="1"/>
    </xf>
    <xf numFmtId="164" fontId="9" fillId="0" borderId="0" xfId="0" applyNumberFormat="1" applyFont="1"/>
    <xf numFmtId="0" fontId="11" fillId="5" borderId="61" xfId="0" applyFont="1" applyFill="1" applyBorder="1"/>
    <xf numFmtId="0" fontId="11" fillId="5" borderId="61" xfId="0" applyFont="1" applyFill="1" applyBorder="1" applyAlignment="1">
      <alignment wrapText="1"/>
    </xf>
    <xf numFmtId="0" fontId="9" fillId="2" borderId="0" xfId="0" applyFont="1" applyFill="1" applyAlignment="1">
      <alignment horizontal="left"/>
    </xf>
    <xf numFmtId="166" fontId="9" fillId="2" borderId="0" xfId="1" applyNumberFormat="1" applyFont="1" applyFill="1"/>
    <xf numFmtId="0" fontId="11" fillId="5" borderId="62" xfId="0" applyFont="1" applyFill="1" applyBorder="1" applyAlignment="1">
      <alignment horizontal="left"/>
    </xf>
    <xf numFmtId="166" fontId="11" fillId="5" borderId="62" xfId="1" applyNumberFormat="1" applyFont="1" applyFill="1" applyBorder="1" applyAlignment="1">
      <alignment horizontal="right"/>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5" fillId="0" borderId="0" xfId="0" applyFont="1" applyFill="1" applyBorder="1" applyAlignment="1">
      <alignment horizontal="justify" vertical="center"/>
    </xf>
    <xf numFmtId="0" fontId="12" fillId="0" borderId="0" xfId="0" applyFont="1" applyFill="1" applyBorder="1" applyAlignment="1">
      <alignment vertical="top"/>
    </xf>
    <xf numFmtId="167" fontId="25" fillId="0" borderId="0" xfId="0" applyNumberFormat="1" applyFont="1" applyFill="1" applyBorder="1" applyAlignment="1">
      <alignment horizontal="justify" vertical="center"/>
    </xf>
    <xf numFmtId="167" fontId="9" fillId="0" borderId="0" xfId="0" applyNumberFormat="1" applyFont="1" applyFill="1" applyBorder="1"/>
    <xf numFmtId="0" fontId="42" fillId="3" borderId="21" xfId="0" applyFont="1" applyFill="1" applyBorder="1" applyAlignment="1">
      <alignment horizontal="left" vertical="center" wrapText="1"/>
    </xf>
    <xf numFmtId="170" fontId="9" fillId="0" borderId="20" xfId="0" applyNumberFormat="1" applyFont="1" applyBorder="1" applyAlignment="1">
      <alignment horizontal="right" vertical="center"/>
    </xf>
    <xf numFmtId="0" fontId="42" fillId="3" borderId="16" xfId="0" applyFont="1" applyFill="1" applyBorder="1" applyAlignment="1">
      <alignment horizontal="left" vertical="center" wrapText="1"/>
    </xf>
    <xf numFmtId="0" fontId="56" fillId="6" borderId="0" xfId="0" applyFont="1" applyFill="1"/>
    <xf numFmtId="169" fontId="11" fillId="0" borderId="40" xfId="0" applyNumberFormat="1" applyFont="1" applyBorder="1" applyAlignment="1">
      <alignment horizontal="right" vertical="center"/>
    </xf>
    <xf numFmtId="169" fontId="11" fillId="0" borderId="66" xfId="0" applyNumberFormat="1" applyFont="1" applyBorder="1" applyAlignment="1">
      <alignment horizontal="right" vertical="center"/>
    </xf>
    <xf numFmtId="170" fontId="11" fillId="0" borderId="67" xfId="0" applyNumberFormat="1" applyFont="1" applyBorder="1" applyAlignment="1">
      <alignment horizontal="right" vertical="center"/>
    </xf>
    <xf numFmtId="170" fontId="11" fillId="0" borderId="65" xfId="0" applyNumberFormat="1" applyFont="1" applyBorder="1" applyAlignment="1">
      <alignment horizontal="right" vertical="center"/>
    </xf>
    <xf numFmtId="169" fontId="11" fillId="0" borderId="68" xfId="0" applyNumberFormat="1" applyFont="1" applyBorder="1" applyAlignment="1">
      <alignment horizontal="right" vertical="center"/>
    </xf>
    <xf numFmtId="0" fontId="10" fillId="0" borderId="0" xfId="0" applyFont="1" applyFill="1" applyBorder="1"/>
    <xf numFmtId="0" fontId="9" fillId="2" borderId="0" xfId="0" applyFont="1" applyFill="1" applyAlignment="1">
      <alignment horizontal="left" indent="1"/>
    </xf>
    <xf numFmtId="0" fontId="9" fillId="0" borderId="0" xfId="0" pivotButton="1" applyFont="1"/>
    <xf numFmtId="0" fontId="9" fillId="0" borderId="0" xfId="0" applyNumberFormat="1" applyFont="1"/>
    <xf numFmtId="0" fontId="11" fillId="0" borderId="61" xfId="0" applyFont="1" applyBorder="1" applyAlignment="1">
      <alignment horizontal="left"/>
    </xf>
    <xf numFmtId="165" fontId="11" fillId="0" borderId="0" xfId="1" applyNumberFormat="1" applyFont="1" applyFill="1" applyBorder="1" applyAlignment="1">
      <alignment horizontal="right"/>
    </xf>
    <xf numFmtId="0" fontId="54" fillId="0" borderId="0" xfId="0" applyFont="1" applyFill="1"/>
    <xf numFmtId="167" fontId="11" fillId="0" borderId="61" xfId="0" applyNumberFormat="1" applyFont="1" applyBorder="1"/>
    <xf numFmtId="167" fontId="11" fillId="5" borderId="62" xfId="0" applyNumberFormat="1" applyFont="1" applyFill="1" applyBorder="1"/>
    <xf numFmtId="165" fontId="9" fillId="0" borderId="0" xfId="1" applyNumberFormat="1" applyFont="1" applyFill="1" applyBorder="1" applyAlignment="1">
      <alignment horizontal="right" indent="1"/>
    </xf>
    <xf numFmtId="0" fontId="11" fillId="0" borderId="0" xfId="0" applyFont="1" applyAlignment="1">
      <alignment horizontal="left" indent="1"/>
    </xf>
    <xf numFmtId="43" fontId="9" fillId="0" borderId="0" xfId="1" applyFont="1"/>
    <xf numFmtId="166" fontId="9" fillId="2" borderId="0" xfId="0" applyNumberFormat="1" applyFont="1" applyFill="1" applyAlignment="1">
      <alignment horizontal="right"/>
    </xf>
    <xf numFmtId="0" fontId="9" fillId="2" borderId="0" xfId="0" applyFont="1" applyFill="1" applyAlignment="1">
      <alignment horizontal="right"/>
    </xf>
    <xf numFmtId="3" fontId="9" fillId="2" borderId="0" xfId="1" applyNumberFormat="1" applyFont="1" applyFill="1" applyAlignment="1">
      <alignment horizontal="right"/>
    </xf>
    <xf numFmtId="165" fontId="11" fillId="0" borderId="0" xfId="1" applyNumberFormat="1" applyFont="1" applyFill="1" applyBorder="1" applyAlignment="1">
      <alignment horizontal="right" indent="1"/>
    </xf>
    <xf numFmtId="0" fontId="24" fillId="3" borderId="19"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50" fillId="2" borderId="4" xfId="0" applyFont="1" applyFill="1" applyBorder="1" applyAlignment="1">
      <alignment horizontal="left" wrapText="1"/>
    </xf>
    <xf numFmtId="0" fontId="0" fillId="0" borderId="0" xfId="0" applyBorder="1" applyAlignment="1"/>
    <xf numFmtId="0" fontId="24" fillId="3" borderId="39"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24" fillId="3" borderId="19" xfId="0" applyFont="1" applyFill="1" applyBorder="1" applyAlignment="1">
      <alignment horizontal="justify" vertical="center"/>
    </xf>
    <xf numFmtId="0" fontId="0" fillId="2" borderId="0" xfId="0" applyFill="1" applyBorder="1" applyAlignment="1"/>
    <xf numFmtId="0" fontId="13" fillId="2" borderId="0" xfId="0" applyFont="1" applyFill="1" applyBorder="1" applyAlignment="1">
      <alignment horizontal="left" wrapText="1"/>
    </xf>
    <xf numFmtId="0" fontId="19" fillId="2" borderId="4" xfId="0" applyFont="1" applyFill="1" applyBorder="1" applyAlignment="1">
      <alignment horizontal="left" vertical="center" wrapText="1"/>
    </xf>
    <xf numFmtId="0" fontId="0" fillId="2" borderId="0" xfId="0" applyFill="1" applyBorder="1" applyAlignment="1">
      <alignment vertical="center" wrapText="1"/>
    </xf>
    <xf numFmtId="0" fontId="11" fillId="2" borderId="4" xfId="0" applyFont="1" applyFill="1" applyBorder="1" applyAlignment="1">
      <alignment wrapText="1"/>
    </xf>
    <xf numFmtId="0" fontId="0" fillId="2" borderId="0" xfId="0" applyFill="1" applyBorder="1" applyAlignment="1">
      <alignment wrapText="1"/>
    </xf>
    <xf numFmtId="0" fontId="38" fillId="3" borderId="39" xfId="0" applyFont="1" applyFill="1" applyBorder="1" applyAlignment="1">
      <alignment horizontal="center" vertical="center" wrapText="1"/>
    </xf>
    <xf numFmtId="0" fontId="25" fillId="0" borderId="47" xfId="0" applyFont="1" applyBorder="1" applyAlignment="1">
      <alignment horizontal="justify" vertical="center"/>
    </xf>
    <xf numFmtId="0" fontId="26" fillId="0" borderId="30" xfId="0" applyFont="1" applyBorder="1" applyAlignment="1">
      <alignment horizontal="right" vertical="center"/>
    </xf>
    <xf numFmtId="0" fontId="24" fillId="3" borderId="39" xfId="0" applyFont="1" applyFill="1" applyBorder="1" applyAlignment="1">
      <alignment horizontal="justify" vertical="center"/>
    </xf>
    <xf numFmtId="0" fontId="24" fillId="3" borderId="20" xfId="0" applyFont="1" applyFill="1" applyBorder="1" applyAlignment="1">
      <alignment horizontal="justify" vertical="center"/>
    </xf>
    <xf numFmtId="0" fontId="24" fillId="3" borderId="21" xfId="0" applyFont="1" applyFill="1" applyBorder="1" applyAlignment="1">
      <alignment horizontal="justify" vertical="center"/>
    </xf>
    <xf numFmtId="0" fontId="50" fillId="2" borderId="0" xfId="0" applyFont="1" applyFill="1" applyBorder="1" applyAlignment="1">
      <alignment horizontal="left" wrapText="1"/>
    </xf>
    <xf numFmtId="0" fontId="26" fillId="0" borderId="53" xfId="0" applyFont="1" applyBorder="1" applyAlignment="1">
      <alignment horizontal="right" vertical="center"/>
    </xf>
    <xf numFmtId="0" fontId="24" fillId="3" borderId="47" xfId="0" applyFont="1" applyFill="1" applyBorder="1" applyAlignment="1">
      <alignment horizontal="left" vertical="center"/>
    </xf>
    <xf numFmtId="0" fontId="25" fillId="2" borderId="0" xfId="0" applyFont="1" applyFill="1" applyBorder="1" applyAlignment="1">
      <alignment horizontal="justify" vertical="center" wrapText="1"/>
    </xf>
    <xf numFmtId="0" fontId="42" fillId="3" borderId="47"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11" fillId="6" borderId="0" xfId="0" applyFont="1" applyFill="1" applyBorder="1"/>
    <xf numFmtId="167" fontId="11" fillId="0" borderId="0" xfId="0" applyNumberFormat="1" applyFont="1" applyFill="1" applyBorder="1"/>
    <xf numFmtId="166" fontId="11" fillId="0" borderId="0" xfId="1" applyNumberFormat="1" applyFont="1" applyFill="1" applyBorder="1" applyAlignment="1">
      <alignment horizontal="right" indent="1"/>
    </xf>
    <xf numFmtId="166" fontId="0" fillId="0" borderId="0" xfId="0" applyNumberFormat="1"/>
    <xf numFmtId="166" fontId="9" fillId="0" borderId="0" xfId="1" applyNumberFormat="1" applyFont="1" applyFill="1" applyBorder="1" applyAlignment="1">
      <alignment horizontal="right" indent="1"/>
    </xf>
    <xf numFmtId="0" fontId="0" fillId="0" borderId="0" xfId="0" applyFill="1" applyBorder="1"/>
    <xf numFmtId="0" fontId="11" fillId="0" borderId="0" xfId="0" applyFont="1" applyFill="1" applyBorder="1" applyAlignment="1">
      <alignment horizontal="left"/>
    </xf>
    <xf numFmtId="0" fontId="9" fillId="0" borderId="0" xfId="0" applyFont="1" applyFill="1" applyBorder="1" applyAlignment="1">
      <alignment horizontal="left" indent="1"/>
    </xf>
    <xf numFmtId="165" fontId="0" fillId="0" borderId="0" xfId="0" applyNumberFormat="1" applyFill="1" applyBorder="1"/>
    <xf numFmtId="166" fontId="11" fillId="0" borderId="0" xfId="1" applyNumberFormat="1" applyFont="1" applyFill="1" applyBorder="1" applyAlignment="1">
      <alignment horizontal="right"/>
    </xf>
    <xf numFmtId="166" fontId="11" fillId="6" borderId="0" xfId="1" applyNumberFormat="1" applyFont="1" applyFill="1"/>
    <xf numFmtId="0" fontId="0" fillId="0" borderId="0" xfId="0" applyAlignment="1">
      <alignment horizontal="left"/>
    </xf>
    <xf numFmtId="1" fontId="9" fillId="2" borderId="61" xfId="1" applyNumberFormat="1" applyFont="1" applyFill="1" applyBorder="1" applyAlignment="1">
      <alignment horizontal="right"/>
    </xf>
    <xf numFmtId="0" fontId="11" fillId="0" borderId="0" xfId="0" applyFont="1" applyFill="1" applyBorder="1" applyAlignment="1">
      <alignment wrapText="1"/>
    </xf>
    <xf numFmtId="1" fontId="9" fillId="0" borderId="0" xfId="1" applyNumberFormat="1" applyFont="1" applyFill="1" applyBorder="1" applyAlignment="1">
      <alignment horizontal="right"/>
    </xf>
    <xf numFmtId="167" fontId="11" fillId="0" borderId="0" xfId="1" applyNumberFormat="1" applyFont="1" applyFill="1" applyBorder="1" applyAlignment="1">
      <alignment horizontal="right"/>
    </xf>
    <xf numFmtId="166" fontId="56" fillId="6" borderId="0" xfId="1" applyNumberFormat="1" applyFont="1" applyFill="1"/>
    <xf numFmtId="0" fontId="58" fillId="0" borderId="0" xfId="0" applyFont="1"/>
    <xf numFmtId="166" fontId="9" fillId="2" borderId="0" xfId="0" applyNumberFormat="1" applyFont="1" applyFill="1" applyBorder="1"/>
    <xf numFmtId="166" fontId="9" fillId="0" borderId="0" xfId="0" applyNumberFormat="1" applyFont="1" applyFill="1" applyBorder="1"/>
    <xf numFmtId="0" fontId="19" fillId="0" borderId="0" xfId="0" applyNumberFormat="1" applyFont="1"/>
    <xf numFmtId="0" fontId="7" fillId="0" borderId="0" xfId="0" applyFont="1"/>
    <xf numFmtId="166" fontId="19" fillId="0" borderId="0" xfId="0" applyNumberFormat="1" applyFont="1"/>
    <xf numFmtId="1" fontId="7" fillId="0" borderId="20" xfId="0" applyNumberFormat="1" applyFont="1" applyBorder="1" applyAlignment="1">
      <alignment horizontal="right" vertical="center"/>
    </xf>
    <xf numFmtId="0" fontId="7" fillId="0" borderId="21" xfId="0" applyFont="1" applyBorder="1" applyAlignment="1">
      <alignment horizontal="right" vertical="center" indent="5"/>
    </xf>
    <xf numFmtId="166" fontId="7" fillId="0" borderId="20" xfId="1" applyNumberFormat="1" applyFont="1" applyBorder="1" applyAlignment="1">
      <alignment horizontal="right" vertical="center"/>
    </xf>
    <xf numFmtId="0" fontId="56" fillId="0" borderId="0" xfId="0" applyFont="1" applyFill="1" applyBorder="1" applyAlignment="1">
      <alignment horizontal="left"/>
    </xf>
    <xf numFmtId="167" fontId="56" fillId="0" borderId="0" xfId="1" applyNumberFormat="1" applyFont="1" applyFill="1" applyBorder="1" applyAlignment="1">
      <alignment horizontal="right"/>
    </xf>
    <xf numFmtId="0" fontId="57" fillId="0" borderId="0" xfId="0" applyFont="1" applyFill="1" applyBorder="1"/>
    <xf numFmtId="0" fontId="59" fillId="0" borderId="0" xfId="0" applyFont="1" applyFill="1" applyBorder="1"/>
    <xf numFmtId="0" fontId="56" fillId="0" borderId="0" xfId="0" applyFont="1" applyFill="1" applyBorder="1"/>
    <xf numFmtId="0" fontId="56" fillId="0" borderId="0" xfId="0" applyFont="1" applyFill="1" applyBorder="1" applyAlignment="1">
      <alignment wrapText="1"/>
    </xf>
    <xf numFmtId="0" fontId="59" fillId="0" borderId="0" xfId="0" applyFont="1" applyFill="1" applyBorder="1" applyAlignment="1">
      <alignment horizontal="left"/>
    </xf>
    <xf numFmtId="0" fontId="59" fillId="0" borderId="0" xfId="0" applyNumberFormat="1" applyFont="1" applyFill="1" applyBorder="1"/>
    <xf numFmtId="1" fontId="59" fillId="0" borderId="0" xfId="1" applyNumberFormat="1" applyFont="1" applyFill="1" applyBorder="1" applyAlignment="1">
      <alignment horizontal="right"/>
    </xf>
    <xf numFmtId="167" fontId="59" fillId="0" borderId="0" xfId="0" applyNumberFormat="1" applyFont="1" applyFill="1" applyBorder="1"/>
    <xf numFmtId="0" fontId="42" fillId="3" borderId="27" xfId="0" applyFont="1" applyFill="1" applyBorder="1" applyAlignment="1">
      <alignment horizontal="left" vertical="center"/>
    </xf>
    <xf numFmtId="0" fontId="42" fillId="0" borderId="0" xfId="0" applyFont="1" applyFill="1" applyBorder="1" applyAlignment="1">
      <alignment horizontal="left" vertical="center"/>
    </xf>
    <xf numFmtId="169" fontId="9" fillId="0" borderId="0" xfId="0" applyNumberFormat="1" applyFont="1"/>
    <xf numFmtId="0" fontId="7" fillId="0" borderId="0" xfId="0" applyFont="1" applyFill="1" applyBorder="1"/>
    <xf numFmtId="0" fontId="19" fillId="2" borderId="4" xfId="0" applyFont="1" applyFill="1" applyBorder="1" applyAlignment="1">
      <alignment horizontal="left" vertical="center"/>
    </xf>
    <xf numFmtId="0" fontId="0" fillId="2" borderId="0" xfId="0" applyFill="1" applyBorder="1" applyAlignment="1">
      <alignment vertical="center"/>
    </xf>
    <xf numFmtId="2" fontId="9" fillId="2" borderId="0" xfId="0" applyNumberFormat="1" applyFont="1" applyFill="1" applyBorder="1" applyAlignment="1"/>
    <xf numFmtId="171" fontId="9" fillId="0" borderId="20" xfId="0" applyNumberFormat="1" applyFont="1" applyBorder="1" applyAlignment="1">
      <alignment horizontal="right" vertical="center"/>
    </xf>
    <xf numFmtId="172" fontId="9" fillId="0" borderId="20" xfId="0" applyNumberFormat="1" applyFont="1" applyBorder="1" applyAlignment="1">
      <alignment horizontal="right" vertical="center"/>
    </xf>
    <xf numFmtId="172" fontId="9" fillId="0" borderId="67" xfId="0" applyNumberFormat="1" applyFont="1" applyBorder="1" applyAlignment="1">
      <alignment horizontal="right" vertical="center"/>
    </xf>
    <xf numFmtId="172" fontId="11" fillId="0" borderId="66" xfId="0" applyNumberFormat="1" applyFont="1" applyBorder="1" applyAlignment="1">
      <alignment horizontal="right" vertical="center"/>
    </xf>
    <xf numFmtId="172" fontId="11" fillId="0" borderId="67" xfId="0" applyNumberFormat="1" applyFont="1" applyBorder="1" applyAlignment="1">
      <alignment horizontal="right" vertical="center"/>
    </xf>
    <xf numFmtId="172" fontId="11" fillId="0" borderId="23" xfId="0" applyNumberFormat="1" applyFont="1" applyBorder="1" applyAlignment="1">
      <alignment horizontal="right" vertical="center"/>
    </xf>
    <xf numFmtId="172" fontId="11" fillId="0" borderId="68" xfId="0" applyNumberFormat="1" applyFont="1" applyBorder="1" applyAlignment="1">
      <alignment horizontal="right" vertical="center"/>
    </xf>
    <xf numFmtId="166" fontId="11" fillId="0" borderId="61" xfId="1" applyNumberFormat="1" applyFont="1" applyBorder="1"/>
    <xf numFmtId="3" fontId="53"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3" fontId="53" fillId="0" borderId="0" xfId="0" applyNumberFormat="1" applyFont="1" applyFill="1" applyBorder="1" applyAlignment="1">
      <alignment horizontal="right" vertical="center" wrapText="1"/>
    </xf>
    <xf numFmtId="167" fontId="33" fillId="0" borderId="0" xfId="0" applyNumberFormat="1" applyFont="1" applyBorder="1" applyAlignment="1">
      <alignment horizontal="right" vertical="center"/>
    </xf>
    <xf numFmtId="2" fontId="33" fillId="0" borderId="0" xfId="0" applyNumberFormat="1" applyFont="1" applyBorder="1" applyAlignment="1">
      <alignment horizontal="right" vertical="center"/>
    </xf>
    <xf numFmtId="0" fontId="24" fillId="0" borderId="4" xfId="0" applyFont="1" applyFill="1" applyBorder="1" applyAlignment="1">
      <alignment horizontal="left" vertical="center"/>
    </xf>
    <xf numFmtId="167" fontId="9" fillId="2" borderId="0" xfId="0" applyNumberFormat="1" applyFont="1" applyFill="1" applyBorder="1"/>
    <xf numFmtId="0" fontId="9" fillId="0" borderId="4" xfId="0" pivotButton="1" applyFont="1" applyBorder="1"/>
    <xf numFmtId="0" fontId="9" fillId="0" borderId="4" xfId="0" applyFont="1" applyBorder="1"/>
    <xf numFmtId="0" fontId="56" fillId="6" borderId="0" xfId="0" applyFont="1" applyFill="1" applyBorder="1"/>
    <xf numFmtId="0" fontId="9" fillId="0" borderId="0" xfId="0" applyFont="1" applyBorder="1" applyAlignment="1">
      <alignment wrapText="1"/>
    </xf>
    <xf numFmtId="0" fontId="9" fillId="0" borderId="4" xfId="0" applyFont="1" applyBorder="1" applyAlignment="1">
      <alignment horizontal="left"/>
    </xf>
    <xf numFmtId="166" fontId="9" fillId="0" borderId="0" xfId="0" applyNumberFormat="1" applyFont="1" applyBorder="1"/>
    <xf numFmtId="0" fontId="9" fillId="0" borderId="0" xfId="0" applyNumberFormat="1" applyFont="1" applyBorder="1"/>
    <xf numFmtId="0" fontId="9" fillId="0" borderId="4" xfId="0" applyFont="1" applyBorder="1" applyAlignment="1">
      <alignment horizontal="left" indent="1"/>
    </xf>
    <xf numFmtId="0" fontId="9" fillId="0" borderId="0" xfId="0" applyFont="1" applyBorder="1" applyAlignment="1">
      <alignment horizontal="left" indent="1"/>
    </xf>
    <xf numFmtId="166" fontId="9" fillId="0" borderId="0" xfId="1" applyNumberFormat="1" applyFont="1" applyBorder="1"/>
    <xf numFmtId="166" fontId="56" fillId="6" borderId="0" xfId="1" applyNumberFormat="1" applyFont="1" applyFill="1" applyBorder="1"/>
    <xf numFmtId="0" fontId="0" fillId="2" borderId="4" xfId="0" applyFill="1" applyBorder="1" applyAlignment="1">
      <alignment horizontal="left"/>
    </xf>
    <xf numFmtId="0" fontId="0" fillId="2" borderId="5" xfId="0" applyFill="1" applyBorder="1" applyAlignment="1">
      <alignment horizontal="left"/>
    </xf>
    <xf numFmtId="0" fontId="27" fillId="2" borderId="4" xfId="0" applyFont="1" applyFill="1" applyBorder="1" applyAlignment="1">
      <alignment horizontal="left" vertical="center"/>
    </xf>
    <xf numFmtId="0" fontId="31" fillId="2" borderId="0" xfId="0" applyFont="1" applyFill="1" applyBorder="1" applyAlignment="1">
      <alignment horizontal="right" vertical="center"/>
    </xf>
    <xf numFmtId="1" fontId="31" fillId="2" borderId="0" xfId="0" applyNumberFormat="1" applyFont="1" applyFill="1" applyBorder="1" applyAlignment="1">
      <alignment horizontal="right" vertical="center"/>
    </xf>
    <xf numFmtId="1" fontId="25" fillId="2" borderId="0" xfId="0" applyNumberFormat="1" applyFont="1" applyFill="1" applyBorder="1" applyAlignment="1">
      <alignment horizontal="right" vertical="center"/>
    </xf>
    <xf numFmtId="166" fontId="31" fillId="0" borderId="20" xfId="0" applyNumberFormat="1" applyFont="1" applyBorder="1" applyAlignment="1">
      <alignment horizontal="right" vertical="center"/>
    </xf>
    <xf numFmtId="166" fontId="27" fillId="3" borderId="49" xfId="0" applyNumberFormat="1" applyFont="1" applyFill="1" applyBorder="1" applyAlignment="1">
      <alignment horizontal="left" vertical="center"/>
    </xf>
    <xf numFmtId="165" fontId="31" fillId="0" borderId="20" xfId="0" applyNumberFormat="1" applyFont="1" applyBorder="1" applyAlignment="1">
      <alignment horizontal="right" vertical="center"/>
    </xf>
    <xf numFmtId="0" fontId="41" fillId="3" borderId="20" xfId="0" applyFont="1" applyFill="1" applyBorder="1" applyAlignment="1">
      <alignment horizontal="left" vertical="center"/>
    </xf>
    <xf numFmtId="0" fontId="38" fillId="3" borderId="23" xfId="0" applyFont="1" applyFill="1" applyBorder="1" applyAlignment="1">
      <alignment horizontal="left" vertical="center"/>
    </xf>
    <xf numFmtId="3" fontId="40" fillId="0" borderId="20" xfId="0" applyNumberFormat="1" applyFont="1" applyBorder="1" applyAlignment="1">
      <alignment horizontal="right" vertical="center"/>
    </xf>
    <xf numFmtId="3" fontId="60" fillId="0" borderId="20" xfId="0" applyNumberFormat="1" applyFont="1" applyBorder="1" applyAlignment="1">
      <alignment horizontal="right" vertical="center"/>
    </xf>
    <xf numFmtId="166" fontId="40" fillId="0" borderId="0" xfId="1" applyNumberFormat="1" applyFont="1" applyFill="1" applyBorder="1" applyAlignment="1">
      <alignment horizontal="right" vertical="center"/>
    </xf>
    <xf numFmtId="165" fontId="33" fillId="0" borderId="0" xfId="0" applyNumberFormat="1" applyFont="1" applyFill="1" applyBorder="1" applyAlignment="1">
      <alignment horizontal="right" vertical="center"/>
    </xf>
    <xf numFmtId="43" fontId="33" fillId="0" borderId="0" xfId="0" applyNumberFormat="1" applyFont="1" applyFill="1" applyBorder="1" applyAlignment="1">
      <alignment horizontal="right" vertical="center"/>
    </xf>
    <xf numFmtId="0" fontId="9" fillId="0" borderId="0" xfId="0" applyFont="1" applyFill="1"/>
    <xf numFmtId="0" fontId="9" fillId="0" borderId="2" xfId="0" applyFont="1" applyBorder="1"/>
    <xf numFmtId="0" fontId="9" fillId="0" borderId="3" xfId="0" applyFont="1" applyBorder="1"/>
    <xf numFmtId="0" fontId="9" fillId="0" borderId="14" xfId="0" applyFont="1" applyBorder="1"/>
    <xf numFmtId="0" fontId="11" fillId="0" borderId="0" xfId="0" applyFont="1" applyBorder="1"/>
    <xf numFmtId="3" fontId="11" fillId="2" borderId="0" xfId="0" applyNumberFormat="1" applyFont="1" applyFill="1" applyBorder="1"/>
    <xf numFmtId="3" fontId="9" fillId="0" borderId="0" xfId="0" applyNumberFormat="1" applyFont="1" applyBorder="1"/>
    <xf numFmtId="3" fontId="11" fillId="0" borderId="0" xfId="0" applyNumberFormat="1" applyFont="1" applyBorder="1"/>
    <xf numFmtId="0" fontId="9" fillId="2" borderId="4" xfId="0" applyFont="1" applyFill="1" applyBorder="1" applyAlignment="1">
      <alignment horizontal="left"/>
    </xf>
    <xf numFmtId="165" fontId="37" fillId="0" borderId="23" xfId="0" applyNumberFormat="1" applyFont="1" applyBorder="1" applyAlignment="1">
      <alignment horizontal="right" vertical="center"/>
    </xf>
    <xf numFmtId="0" fontId="9" fillId="2" borderId="9" xfId="0" applyFont="1" applyFill="1" applyBorder="1"/>
    <xf numFmtId="0" fontId="42" fillId="3" borderId="69" xfId="0" applyFont="1" applyFill="1" applyBorder="1" applyAlignment="1">
      <alignment horizontal="left" vertical="center" wrapText="1"/>
    </xf>
    <xf numFmtId="0" fontId="42" fillId="3" borderId="50" xfId="0" applyFont="1" applyFill="1" applyBorder="1" applyAlignment="1">
      <alignment horizontal="left" vertical="center"/>
    </xf>
    <xf numFmtId="169" fontId="9" fillId="0" borderId="0" xfId="0" applyNumberFormat="1" applyFont="1" applyBorder="1"/>
    <xf numFmtId="0" fontId="42" fillId="0" borderId="4" xfId="0" applyFont="1" applyFill="1" applyBorder="1" applyAlignment="1">
      <alignment horizontal="left" vertical="center"/>
    </xf>
    <xf numFmtId="2" fontId="9" fillId="2" borderId="14" xfId="0" applyNumberFormat="1" applyFont="1" applyFill="1" applyBorder="1"/>
    <xf numFmtId="0" fontId="24" fillId="2" borderId="14" xfId="0" applyFont="1" applyFill="1" applyBorder="1" applyAlignment="1">
      <alignment horizontal="left" vertical="center" wrapText="1"/>
    </xf>
    <xf numFmtId="0" fontId="24" fillId="2" borderId="14" xfId="0" applyFont="1" applyFill="1" applyBorder="1" applyAlignment="1">
      <alignment horizontal="right" vertical="center"/>
    </xf>
    <xf numFmtId="0" fontId="24" fillId="0" borderId="5" xfId="0" applyFont="1" applyFill="1" applyBorder="1" applyAlignment="1">
      <alignment horizontal="left" vertical="center"/>
    </xf>
    <xf numFmtId="167" fontId="33" fillId="0" borderId="13" xfId="0" applyNumberFormat="1" applyFont="1" applyBorder="1" applyAlignment="1">
      <alignment horizontal="right" vertical="center"/>
    </xf>
    <xf numFmtId="2" fontId="33" fillId="0" borderId="13" xfId="0" applyNumberFormat="1" applyFont="1" applyBorder="1" applyAlignment="1">
      <alignment horizontal="right" vertical="center"/>
    </xf>
    <xf numFmtId="0" fontId="10" fillId="2" borderId="4" xfId="0" applyFont="1" applyFill="1" applyBorder="1"/>
    <xf numFmtId="0" fontId="18" fillId="2" borderId="14" xfId="0" applyFont="1" applyFill="1" applyBorder="1" applyAlignment="1"/>
    <xf numFmtId="0" fontId="9" fillId="0" borderId="9" xfId="0" applyFont="1" applyFill="1" applyBorder="1"/>
    <xf numFmtId="0" fontId="9" fillId="0" borderId="2" xfId="0" applyFont="1" applyFill="1" applyBorder="1"/>
    <xf numFmtId="1" fontId="9" fillId="0" borderId="0" xfId="0" applyNumberFormat="1" applyFont="1" applyAlignment="1">
      <alignment horizontal="left"/>
    </xf>
    <xf numFmtId="0" fontId="9" fillId="0" borderId="0" xfId="0" applyFont="1" applyFill="1" applyBorder="1" applyAlignment="1"/>
    <xf numFmtId="169" fontId="9" fillId="2" borderId="0" xfId="0" applyNumberFormat="1" applyFont="1" applyFill="1" applyBorder="1"/>
    <xf numFmtId="0" fontId="38" fillId="3" borderId="70" xfId="0" applyFont="1" applyFill="1" applyBorder="1" applyAlignment="1">
      <alignment horizontal="left" vertical="center"/>
    </xf>
    <xf numFmtId="0" fontId="38" fillId="3" borderId="56" xfId="0" applyFont="1" applyFill="1" applyBorder="1" applyAlignment="1">
      <alignment horizontal="left" vertical="center"/>
    </xf>
    <xf numFmtId="0" fontId="38" fillId="3" borderId="71" xfId="0" applyFont="1" applyFill="1" applyBorder="1" applyAlignment="1">
      <alignment horizontal="left" vertical="center"/>
    </xf>
    <xf numFmtId="0" fontId="52" fillId="2" borderId="0" xfId="0" applyFont="1" applyFill="1" applyBorder="1" applyAlignment="1">
      <alignment horizontal="right" vertical="center"/>
    </xf>
    <xf numFmtId="166" fontId="11" fillId="2" borderId="0" xfId="1" applyNumberFormat="1" applyFont="1" applyFill="1" applyBorder="1"/>
    <xf numFmtId="169" fontId="9" fillId="2" borderId="14" xfId="0" applyNumberFormat="1" applyFont="1" applyFill="1" applyBorder="1"/>
    <xf numFmtId="173" fontId="9" fillId="2" borderId="14" xfId="0" applyNumberFormat="1" applyFont="1" applyFill="1" applyBorder="1"/>
    <xf numFmtId="166" fontId="40" fillId="2" borderId="14" xfId="1" applyNumberFormat="1" applyFont="1" applyFill="1" applyBorder="1" applyAlignment="1">
      <alignment horizontal="right" vertical="center"/>
    </xf>
    <xf numFmtId="0" fontId="42" fillId="2" borderId="4" xfId="0" applyFont="1" applyFill="1" applyBorder="1" applyAlignment="1">
      <alignment horizontal="left" vertical="center"/>
    </xf>
    <xf numFmtId="169" fontId="11" fillId="2" borderId="0" xfId="0" applyNumberFormat="1" applyFont="1" applyFill="1" applyBorder="1" applyAlignment="1">
      <alignment horizontal="right" vertical="center"/>
    </xf>
    <xf numFmtId="0" fontId="24" fillId="2" borderId="4" xfId="0" applyFont="1" applyFill="1" applyBorder="1" applyAlignment="1">
      <alignment horizontal="left" vertical="center"/>
    </xf>
    <xf numFmtId="165" fontId="33" fillId="2" borderId="0" xfId="0" applyNumberFormat="1" applyFont="1" applyFill="1" applyBorder="1" applyAlignment="1">
      <alignment horizontal="right" vertical="center"/>
    </xf>
    <xf numFmtId="43" fontId="33" fillId="2" borderId="0" xfId="0" applyNumberFormat="1" applyFont="1" applyFill="1" applyBorder="1" applyAlignment="1">
      <alignment horizontal="right" vertical="center"/>
    </xf>
    <xf numFmtId="0" fontId="0" fillId="0" borderId="0" xfId="0" applyBorder="1"/>
    <xf numFmtId="0" fontId="25" fillId="2" borderId="4" xfId="0" applyFont="1" applyFill="1" applyBorder="1" applyAlignment="1">
      <alignment horizontal="center" vertical="center" wrapText="1"/>
    </xf>
    <xf numFmtId="0" fontId="41" fillId="0" borderId="4" xfId="0" applyFont="1" applyFill="1" applyBorder="1" applyAlignment="1">
      <alignment horizontal="left" vertical="center"/>
    </xf>
    <xf numFmtId="165" fontId="38" fillId="3" borderId="27" xfId="1" applyNumberFormat="1" applyFont="1" applyFill="1" applyBorder="1" applyAlignment="1">
      <alignment horizontal="center" vertical="center"/>
    </xf>
    <xf numFmtId="0" fontId="22" fillId="0" borderId="0" xfId="0" applyFont="1" applyFill="1" applyBorder="1" applyAlignment="1">
      <alignment horizontal="center" vertical="center" wrapText="1"/>
    </xf>
    <xf numFmtId="0" fontId="9" fillId="0" borderId="9" xfId="0" applyFont="1" applyBorder="1"/>
    <xf numFmtId="0" fontId="9" fillId="0" borderId="2" xfId="0" pivotButton="1" applyFont="1" applyBorder="1"/>
    <xf numFmtId="0" fontId="9" fillId="0" borderId="14" xfId="0" applyFont="1" applyBorder="1" applyAlignment="1">
      <alignment wrapText="1"/>
    </xf>
    <xf numFmtId="166" fontId="9" fillId="0" borderId="14" xfId="0" applyNumberFormat="1" applyFont="1" applyBorder="1"/>
    <xf numFmtId="0" fontId="9" fillId="0" borderId="5" xfId="0" applyFont="1" applyBorder="1" applyAlignment="1">
      <alignment horizontal="left"/>
    </xf>
    <xf numFmtId="166" fontId="9" fillId="0" borderId="13" xfId="0" applyNumberFormat="1" applyFont="1" applyBorder="1"/>
    <xf numFmtId="166" fontId="9" fillId="0" borderId="12" xfId="0" applyNumberFormat="1" applyFont="1" applyBorder="1"/>
    <xf numFmtId="0" fontId="9" fillId="0" borderId="6" xfId="0" pivotButton="1" applyFont="1" applyBorder="1"/>
    <xf numFmtId="0" fontId="9" fillId="0" borderId="8" xfId="0" applyFont="1" applyBorder="1"/>
    <xf numFmtId="0" fontId="9" fillId="0" borderId="14" xfId="0" applyNumberFormat="1" applyFont="1" applyBorder="1"/>
    <xf numFmtId="0" fontId="9" fillId="0" borderId="13" xfId="0" applyNumberFormat="1" applyFont="1" applyBorder="1"/>
    <xf numFmtId="0" fontId="9" fillId="0" borderId="12" xfId="0" applyNumberFormat="1" applyFont="1" applyBorder="1"/>
    <xf numFmtId="0" fontId="4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0" xfId="0" applyFont="1" applyFill="1"/>
    <xf numFmtId="0" fontId="11" fillId="2" borderId="9" xfId="0" applyFont="1" applyFill="1" applyBorder="1"/>
    <xf numFmtId="172" fontId="9" fillId="0" borderId="0" xfId="0" applyNumberFormat="1" applyFont="1"/>
    <xf numFmtId="0" fontId="61" fillId="0" borderId="0" xfId="0" applyFont="1" applyFill="1" applyBorder="1"/>
    <xf numFmtId="0" fontId="11" fillId="4" borderId="0" xfId="0" applyFont="1" applyFill="1"/>
    <xf numFmtId="0" fontId="9" fillId="4" borderId="0" xfId="0" applyFont="1" applyFill="1"/>
    <xf numFmtId="0" fontId="11" fillId="4" borderId="9" xfId="0" applyFont="1" applyFill="1" applyBorder="1"/>
    <xf numFmtId="0" fontId="9" fillId="4" borderId="2" xfId="0" applyFont="1" applyFill="1" applyBorder="1"/>
    <xf numFmtId="0" fontId="9" fillId="4" borderId="3" xfId="0" applyFont="1" applyFill="1" applyBorder="1"/>
    <xf numFmtId="0" fontId="9" fillId="4" borderId="14" xfId="0" applyFont="1" applyFill="1" applyBorder="1"/>
    <xf numFmtId="0" fontId="9" fillId="4" borderId="5" xfId="0" applyFont="1" applyFill="1" applyBorder="1"/>
    <xf numFmtId="0" fontId="9" fillId="4" borderId="13" xfId="0" applyFont="1" applyFill="1" applyBorder="1"/>
    <xf numFmtId="0" fontId="9" fillId="4" borderId="12" xfId="0" applyFont="1" applyFill="1" applyBorder="1"/>
    <xf numFmtId="0" fontId="10" fillId="2" borderId="0" xfId="0" applyFont="1" applyFill="1"/>
    <xf numFmtId="166" fontId="40" fillId="2" borderId="0" xfId="1" applyNumberFormat="1" applyFont="1" applyFill="1" applyBorder="1" applyAlignment="1">
      <alignment horizontal="right" vertical="center"/>
    </xf>
    <xf numFmtId="0" fontId="11" fillId="4" borderId="2" xfId="0" applyFont="1" applyFill="1" applyBorder="1"/>
    <xf numFmtId="174" fontId="42" fillId="3" borderId="21" xfId="0" applyNumberFormat="1" applyFont="1" applyFill="1" applyBorder="1" applyAlignment="1">
      <alignment horizontal="center" vertical="center" wrapText="1"/>
    </xf>
    <xf numFmtId="171" fontId="11" fillId="0" borderId="20" xfId="0" applyNumberFormat="1" applyFont="1" applyBorder="1" applyAlignment="1">
      <alignment horizontal="right" vertical="center"/>
    </xf>
    <xf numFmtId="16" fontId="9" fillId="2" borderId="4" xfId="0" applyNumberFormat="1" applyFont="1" applyFill="1" applyBorder="1"/>
    <xf numFmtId="0" fontId="64" fillId="0" borderId="0" xfId="0" applyFont="1"/>
    <xf numFmtId="0" fontId="21" fillId="0" borderId="0" xfId="0" applyFont="1" applyFill="1" applyBorder="1"/>
    <xf numFmtId="0" fontId="65" fillId="0" borderId="0" xfId="0" applyFont="1" applyFill="1" applyBorder="1"/>
    <xf numFmtId="16" fontId="18" fillId="0" borderId="0" xfId="0" applyNumberFormat="1" applyFont="1" applyFill="1" applyBorder="1"/>
    <xf numFmtId="0" fontId="65" fillId="2" borderId="9" xfId="0" applyFont="1" applyFill="1" applyBorder="1"/>
    <xf numFmtId="0" fontId="18" fillId="2" borderId="2" xfId="0" applyFont="1" applyFill="1" applyBorder="1"/>
    <xf numFmtId="0" fontId="18" fillId="2" borderId="3" xfId="0" applyFont="1" applyFill="1" applyBorder="1"/>
    <xf numFmtId="0" fontId="65" fillId="2" borderId="4" xfId="0" applyFont="1" applyFill="1" applyBorder="1"/>
    <xf numFmtId="0" fontId="18" fillId="2" borderId="14" xfId="0" applyFont="1" applyFill="1" applyBorder="1"/>
    <xf numFmtId="0" fontId="18" fillId="2" borderId="4" xfId="0" applyFont="1" applyFill="1" applyBorder="1"/>
    <xf numFmtId="0" fontId="21" fillId="2" borderId="4" xfId="0" applyFont="1" applyFill="1" applyBorder="1"/>
    <xf numFmtId="16" fontId="18" fillId="2" borderId="5" xfId="0" applyNumberFormat="1" applyFont="1" applyFill="1" applyBorder="1"/>
    <xf numFmtId="0" fontId="18" fillId="2" borderId="13" xfId="0" applyFont="1" applyFill="1" applyBorder="1"/>
    <xf numFmtId="0" fontId="21" fillId="2" borderId="13" xfId="0" applyFont="1" applyFill="1" applyBorder="1"/>
    <xf numFmtId="0" fontId="18" fillId="2" borderId="12" xfId="0" applyFont="1" applyFill="1" applyBorder="1"/>
    <xf numFmtId="0" fontId="24" fillId="0" borderId="0" xfId="0" applyFont="1" applyFill="1" applyBorder="1" applyAlignment="1">
      <alignment horizontal="center" vertical="center" wrapText="1"/>
    </xf>
    <xf numFmtId="172" fontId="9" fillId="0" borderId="0" xfId="0" applyNumberFormat="1" applyFont="1" applyFill="1" applyBorder="1" applyAlignment="1">
      <alignment horizontal="right" vertical="center"/>
    </xf>
    <xf numFmtId="171" fontId="9" fillId="0" borderId="0" xfId="0" applyNumberFormat="1" applyFont="1" applyFill="1" applyBorder="1" applyAlignment="1">
      <alignment horizontal="right" vertical="center"/>
    </xf>
    <xf numFmtId="174" fontId="42" fillId="0" borderId="0" xfId="0" applyNumberFormat="1" applyFont="1" applyFill="1" applyBorder="1" applyAlignment="1">
      <alignment horizontal="center" vertical="center" wrapText="1"/>
    </xf>
    <xf numFmtId="0" fontId="38" fillId="3" borderId="26" xfId="0" applyFont="1" applyFill="1" applyBorder="1" applyAlignment="1">
      <alignment horizontal="left" vertical="center" wrapText="1"/>
    </xf>
    <xf numFmtId="0" fontId="67" fillId="3" borderId="22" xfId="0" applyFont="1" applyFill="1" applyBorder="1" applyAlignment="1">
      <alignment horizontal="left" vertical="center" wrapText="1"/>
    </xf>
    <xf numFmtId="0" fontId="67" fillId="3" borderId="40" xfId="0" applyFont="1" applyFill="1" applyBorder="1" applyAlignment="1">
      <alignment horizontal="left" vertical="center" wrapText="1"/>
    </xf>
    <xf numFmtId="0" fontId="67" fillId="3" borderId="23" xfId="0" applyFont="1" applyFill="1" applyBorder="1" applyAlignment="1">
      <alignment horizontal="left" vertical="center" wrapText="1"/>
    </xf>
    <xf numFmtId="0" fontId="25" fillId="0" borderId="43" xfId="0" applyFont="1" applyBorder="1" applyAlignment="1">
      <alignment horizontal="left" vertical="center" wrapText="1"/>
    </xf>
    <xf numFmtId="0" fontId="25" fillId="0" borderId="76" xfId="0" applyFont="1" applyBorder="1" applyAlignment="1">
      <alignment horizontal="left" vertical="center" wrapText="1"/>
    </xf>
    <xf numFmtId="0" fontId="25" fillId="0" borderId="73" xfId="0" applyFont="1" applyBorder="1" applyAlignment="1">
      <alignment horizontal="left" vertical="center" wrapText="1"/>
    </xf>
    <xf numFmtId="0" fontId="25" fillId="0" borderId="75" xfId="0" applyFont="1" applyBorder="1" applyAlignment="1">
      <alignment horizontal="left" vertical="center" wrapText="1"/>
    </xf>
    <xf numFmtId="0" fontId="67" fillId="3" borderId="73" xfId="0" applyFont="1" applyFill="1" applyBorder="1" applyAlignment="1">
      <alignment horizontal="left" vertical="center" wrapText="1"/>
    </xf>
    <xf numFmtId="0" fontId="67" fillId="3" borderId="64" xfId="0" applyFont="1" applyFill="1" applyBorder="1" applyAlignment="1">
      <alignment horizontal="left" vertical="center" wrapText="1"/>
    </xf>
    <xf numFmtId="165" fontId="38" fillId="3" borderId="0" xfId="1" applyNumberFormat="1" applyFont="1" applyFill="1" applyBorder="1" applyAlignment="1">
      <alignment horizontal="center" vertical="center"/>
    </xf>
    <xf numFmtId="165" fontId="25" fillId="0" borderId="28" xfId="1" applyNumberFormat="1" applyFont="1" applyBorder="1" applyAlignment="1">
      <alignment horizontal="right" vertical="center" wrapText="1"/>
    </xf>
    <xf numFmtId="165" fontId="25" fillId="0" borderId="20" xfId="1" applyNumberFormat="1" applyFont="1" applyBorder="1" applyAlignment="1">
      <alignment horizontal="right" vertical="center" wrapText="1"/>
    </xf>
    <xf numFmtId="165" fontId="25" fillId="0" borderId="23" xfId="1" applyNumberFormat="1" applyFont="1" applyBorder="1" applyAlignment="1">
      <alignment horizontal="right" vertical="center" wrapText="1"/>
    </xf>
    <xf numFmtId="0" fontId="67" fillId="3" borderId="77" xfId="0" applyFont="1" applyFill="1" applyBorder="1" applyAlignment="1">
      <alignment horizontal="left" vertical="center" wrapText="1"/>
    </xf>
    <xf numFmtId="165" fontId="69" fillId="0" borderId="20" xfId="0" applyNumberFormat="1" applyFont="1" applyBorder="1" applyAlignment="1">
      <alignment horizontal="left" vertical="center" wrapText="1"/>
    </xf>
    <xf numFmtId="0" fontId="0" fillId="0" borderId="0" xfId="0" applyNumberFormat="1" applyAlignment="1"/>
    <xf numFmtId="165" fontId="70" fillId="3" borderId="20" xfId="0" applyNumberFormat="1" applyFont="1" applyFill="1" applyBorder="1" applyAlignment="1">
      <alignment horizontal="left" vertical="center" wrapText="1"/>
    </xf>
    <xf numFmtId="0" fontId="43" fillId="0" borderId="0" xfId="0" applyFont="1" applyFill="1" applyBorder="1" applyAlignment="1">
      <alignment vertical="center"/>
    </xf>
    <xf numFmtId="0" fontId="69" fillId="0" borderId="20" xfId="0" applyFont="1" applyBorder="1" applyAlignment="1">
      <alignment horizontal="right" vertical="center" wrapText="1"/>
    </xf>
    <xf numFmtId="165" fontId="69" fillId="0" borderId="20" xfId="0" applyNumberFormat="1" applyFont="1" applyBorder="1" applyAlignment="1">
      <alignment horizontal="right" vertical="center" wrapText="1"/>
    </xf>
    <xf numFmtId="166" fontId="69" fillId="0" borderId="23" xfId="1" applyNumberFormat="1" applyFont="1" applyBorder="1" applyAlignment="1">
      <alignment horizontal="right" vertical="center"/>
    </xf>
    <xf numFmtId="1" fontId="11" fillId="6" borderId="62" xfId="1" applyNumberFormat="1" applyFont="1" applyFill="1" applyBorder="1" applyAlignment="1">
      <alignment horizontal="right"/>
    </xf>
    <xf numFmtId="166" fontId="11" fillId="2" borderId="61" xfId="1" applyNumberFormat="1" applyFont="1" applyFill="1" applyBorder="1" applyAlignment="1">
      <alignment horizontal="right"/>
    </xf>
    <xf numFmtId="166" fontId="9" fillId="2" borderId="0" xfId="1" applyNumberFormat="1" applyFont="1" applyFill="1" applyAlignment="1">
      <alignment horizontal="right" indent="1"/>
    </xf>
    <xf numFmtId="166" fontId="11" fillId="6" borderId="0" xfId="0" applyNumberFormat="1" applyFont="1" applyFill="1"/>
    <xf numFmtId="169" fontId="11" fillId="0" borderId="67" xfId="0" applyNumberFormat="1" applyFont="1" applyBorder="1" applyAlignment="1">
      <alignment horizontal="right" vertical="center"/>
    </xf>
    <xf numFmtId="169" fontId="9" fillId="0" borderId="63" xfId="0" applyNumberFormat="1" applyFont="1" applyBorder="1" applyAlignment="1">
      <alignment horizontal="right" vertical="center"/>
    </xf>
    <xf numFmtId="169" fontId="9" fillId="0" borderId="44" xfId="0" applyNumberFormat="1" applyFont="1" applyBorder="1" applyAlignment="1">
      <alignment horizontal="right" vertical="center"/>
    </xf>
    <xf numFmtId="169" fontId="9" fillId="0" borderId="64" xfId="0" applyNumberFormat="1" applyFont="1" applyBorder="1" applyAlignment="1">
      <alignment horizontal="right" vertical="center"/>
    </xf>
    <xf numFmtId="169" fontId="11" fillId="0" borderId="65" xfId="0" applyNumberFormat="1" applyFont="1" applyBorder="1" applyAlignment="1">
      <alignment horizontal="right" vertical="center"/>
    </xf>
    <xf numFmtId="169" fontId="11" fillId="0" borderId="20" xfId="0" applyNumberFormat="1" applyFont="1" applyBorder="1" applyAlignment="1">
      <alignment horizontal="right" vertical="center"/>
    </xf>
    <xf numFmtId="0" fontId="38" fillId="3" borderId="78" xfId="0" applyFont="1" applyFill="1" applyBorder="1" applyAlignment="1">
      <alignment horizontal="left" vertical="center" wrapText="1"/>
    </xf>
    <xf numFmtId="0" fontId="67" fillId="3" borderId="78" xfId="0" applyFont="1" applyFill="1" applyBorder="1" applyAlignment="1">
      <alignment horizontal="left" vertical="center" wrapText="1"/>
    </xf>
    <xf numFmtId="0" fontId="0" fillId="0" borderId="0" xfId="0" applyAlignment="1">
      <alignment wrapText="1"/>
    </xf>
    <xf numFmtId="0" fontId="0" fillId="0" borderId="0" xfId="0" applyBorder="1" applyAlignment="1"/>
    <xf numFmtId="0" fontId="0" fillId="0" borderId="0" xfId="0" applyAlignment="1"/>
    <xf numFmtId="0" fontId="0" fillId="0" borderId="82" xfId="0" applyBorder="1" applyAlignment="1"/>
    <xf numFmtId="0" fontId="0" fillId="0" borderId="83" xfId="0" applyBorder="1" applyAlignment="1"/>
    <xf numFmtId="0" fontId="0" fillId="0" borderId="0" xfId="0" applyNumberFormat="1" applyAlignment="1"/>
    <xf numFmtId="0" fontId="55" fillId="0" borderId="0" xfId="0" applyFont="1" applyFill="1" applyBorder="1" applyAlignment="1">
      <alignment horizontal="left" vertical="top" wrapText="1"/>
    </xf>
    <xf numFmtId="0" fontId="72" fillId="0" borderId="0" xfId="0" applyFont="1" applyFill="1" applyBorder="1" applyAlignment="1">
      <alignment horizontal="left" vertical="top" wrapText="1"/>
    </xf>
    <xf numFmtId="0" fontId="17" fillId="0" borderId="87" xfId="0" applyFont="1" applyFill="1" applyBorder="1" applyAlignment="1">
      <alignment horizontal="left" vertical="top" wrapText="1"/>
    </xf>
    <xf numFmtId="0" fontId="73" fillId="0" borderId="87" xfId="0" applyFont="1" applyFill="1" applyBorder="1" applyAlignment="1">
      <alignment horizontal="left" vertical="top" wrapText="1"/>
    </xf>
    <xf numFmtId="0" fontId="74" fillId="0" borderId="87" xfId="0" applyFont="1" applyFill="1" applyBorder="1" applyAlignment="1">
      <alignment horizontal="left" vertical="top" wrapText="1"/>
    </xf>
    <xf numFmtId="0" fontId="17" fillId="0" borderId="88" xfId="0" applyFont="1" applyFill="1" applyBorder="1" applyAlignment="1">
      <alignment vertical="top" wrapText="1"/>
    </xf>
    <xf numFmtId="0" fontId="17" fillId="0" borderId="87" xfId="0" applyFont="1" applyFill="1" applyBorder="1" applyAlignment="1">
      <alignment vertical="top" wrapText="1"/>
    </xf>
    <xf numFmtId="0" fontId="17" fillId="0" borderId="89" xfId="0" applyFont="1" applyFill="1" applyBorder="1" applyAlignment="1">
      <alignment horizontal="left" vertical="top" wrapText="1"/>
    </xf>
    <xf numFmtId="0" fontId="55" fillId="0" borderId="87" xfId="0" applyFont="1" applyFill="1" applyBorder="1" applyAlignment="1">
      <alignment horizontal="left" vertical="top" wrapText="1"/>
    </xf>
    <xf numFmtId="0" fontId="75" fillId="0" borderId="87" xfId="0" applyFont="1" applyFill="1" applyBorder="1" applyAlignment="1">
      <alignment horizontal="left" vertical="top" wrapText="1"/>
    </xf>
    <xf numFmtId="0" fontId="72" fillId="0" borderId="87" xfId="0" applyFont="1" applyFill="1" applyBorder="1" applyAlignment="1">
      <alignment horizontal="left" vertical="top" wrapText="1"/>
    </xf>
    <xf numFmtId="43" fontId="55" fillId="0" borderId="88" xfId="1" applyFont="1" applyFill="1" applyBorder="1" applyAlignment="1">
      <alignment horizontal="left" vertical="top" wrapText="1"/>
    </xf>
    <xf numFmtId="43" fontId="55" fillId="0" borderId="87" xfId="1" applyFont="1" applyFill="1" applyBorder="1" applyAlignment="1">
      <alignment horizontal="left" vertical="top" wrapText="1"/>
    </xf>
    <xf numFmtId="43" fontId="55" fillId="0" borderId="89" xfId="1" applyFont="1" applyFill="1" applyBorder="1" applyAlignment="1">
      <alignment horizontal="left" vertical="top" wrapText="1"/>
    </xf>
    <xf numFmtId="2" fontId="55" fillId="0" borderId="87" xfId="0" applyNumberFormat="1" applyFont="1" applyFill="1" applyBorder="1" applyAlignment="1">
      <alignment horizontal="left" vertical="top" wrapText="1"/>
    </xf>
    <xf numFmtId="43" fontId="55" fillId="0" borderId="90" xfId="1" applyFont="1" applyFill="1" applyBorder="1" applyAlignment="1">
      <alignment horizontal="left" vertical="top" wrapText="1"/>
    </xf>
    <xf numFmtId="43" fontId="55" fillId="0" borderId="91" xfId="1" applyFont="1" applyFill="1" applyBorder="1" applyAlignment="1">
      <alignment horizontal="left" vertical="top" wrapText="1"/>
    </xf>
    <xf numFmtId="43" fontId="55" fillId="0" borderId="92" xfId="1" applyFont="1" applyFill="1" applyBorder="1" applyAlignment="1">
      <alignment horizontal="left" vertical="top" wrapText="1"/>
    </xf>
    <xf numFmtId="0" fontId="17" fillId="0" borderId="0" xfId="0" applyFont="1" applyFill="1" applyBorder="1" applyAlignment="1">
      <alignment horizontal="left" vertical="top" wrapText="1"/>
    </xf>
    <xf numFmtId="1" fontId="55" fillId="0" borderId="0" xfId="0" applyNumberFormat="1" applyFont="1" applyFill="1" applyBorder="1" applyAlignment="1">
      <alignment horizontal="left" vertical="top" wrapText="1"/>
    </xf>
    <xf numFmtId="0" fontId="55" fillId="0" borderId="9" xfId="0" applyFont="1" applyFill="1" applyBorder="1" applyAlignment="1">
      <alignment horizontal="left" vertical="top"/>
    </xf>
    <xf numFmtId="0" fontId="76" fillId="0" borderId="2" xfId="0" applyFont="1" applyFill="1" applyBorder="1" applyAlignment="1">
      <alignment horizontal="left" vertical="top" wrapText="1"/>
    </xf>
    <xf numFmtId="0" fontId="55" fillId="0" borderId="2" xfId="0" applyFont="1" applyFill="1" applyBorder="1" applyAlignment="1">
      <alignment horizontal="left" vertical="top" wrapText="1"/>
    </xf>
    <xf numFmtId="0" fontId="72" fillId="0" borderId="2" xfId="0" applyFont="1" applyFill="1" applyBorder="1" applyAlignment="1">
      <alignment horizontal="left" vertical="top" wrapText="1"/>
    </xf>
    <xf numFmtId="0" fontId="55" fillId="0" borderId="3" xfId="0" applyFont="1" applyFill="1" applyBorder="1" applyAlignment="1">
      <alignment horizontal="left" vertical="top" wrapText="1"/>
    </xf>
    <xf numFmtId="0" fontId="0" fillId="0" borderId="4" xfId="0" applyFill="1" applyBorder="1"/>
    <xf numFmtId="0" fontId="0" fillId="0" borderId="14" xfId="0" applyBorder="1"/>
    <xf numFmtId="0" fontId="0" fillId="7" borderId="4" xfId="0" applyFill="1" applyBorder="1"/>
    <xf numFmtId="0" fontId="0" fillId="7" borderId="0" xfId="0" applyFill="1" applyBorder="1"/>
    <xf numFmtId="0" fontId="0" fillId="0" borderId="4" xfId="0" applyBorder="1"/>
    <xf numFmtId="0" fontId="0" fillId="0" borderId="87" xfId="0" applyBorder="1"/>
    <xf numFmtId="165" fontId="0" fillId="0" borderId="87" xfId="1" applyNumberFormat="1" applyFont="1" applyBorder="1"/>
    <xf numFmtId="169" fontId="0" fillId="0" borderId="87" xfId="0" applyNumberFormat="1" applyBorder="1"/>
    <xf numFmtId="169" fontId="0" fillId="0" borderId="0" xfId="0" applyNumberFormat="1" applyBorder="1"/>
    <xf numFmtId="169" fontId="0" fillId="0" borderId="14" xfId="0" applyNumberFormat="1" applyBorder="1"/>
    <xf numFmtId="0" fontId="55" fillId="0" borderId="5" xfId="0" applyFont="1" applyFill="1" applyBorder="1" applyAlignment="1">
      <alignment horizontal="left" vertical="top"/>
    </xf>
    <xf numFmtId="0" fontId="55" fillId="0" borderId="13" xfId="0" applyFont="1" applyFill="1" applyBorder="1" applyAlignment="1">
      <alignment horizontal="left" vertical="top" wrapText="1"/>
    </xf>
    <xf numFmtId="0" fontId="72" fillId="0" borderId="13" xfId="0" applyFont="1" applyFill="1" applyBorder="1" applyAlignment="1">
      <alignment horizontal="left" vertical="top" wrapText="1"/>
    </xf>
    <xf numFmtId="0" fontId="55" fillId="0" borderId="12" xfId="0" applyFont="1" applyFill="1" applyBorder="1" applyAlignment="1">
      <alignment horizontal="left" vertical="top" wrapText="1"/>
    </xf>
    <xf numFmtId="0" fontId="55" fillId="0" borderId="4" xfId="0" applyFont="1" applyFill="1" applyBorder="1" applyAlignment="1">
      <alignment horizontal="left" vertical="top"/>
    </xf>
    <xf numFmtId="0" fontId="55" fillId="0" borderId="14" xfId="0" applyFont="1" applyFill="1" applyBorder="1" applyAlignment="1">
      <alignment horizontal="left" vertical="top" wrapText="1"/>
    </xf>
    <xf numFmtId="0" fontId="0" fillId="0" borderId="88" xfId="0" applyBorder="1"/>
    <xf numFmtId="0" fontId="0" fillId="0" borderId="89" xfId="0" applyBorder="1"/>
    <xf numFmtId="0" fontId="77" fillId="0" borderId="88" xfId="0" applyFont="1" applyFill="1" applyBorder="1" applyAlignment="1">
      <alignment vertical="center" wrapText="1"/>
    </xf>
    <xf numFmtId="43" fontId="0" fillId="0" borderId="87" xfId="1" applyFont="1" applyBorder="1"/>
    <xf numFmtId="43" fontId="0" fillId="0" borderId="87" xfId="0" applyNumberFormat="1" applyBorder="1"/>
    <xf numFmtId="43" fontId="0" fillId="0" borderId="89" xfId="0" applyNumberFormat="1" applyBorder="1"/>
    <xf numFmtId="43" fontId="0" fillId="0" borderId="0" xfId="0" applyNumberFormat="1"/>
    <xf numFmtId="0" fontId="55" fillId="0" borderId="4" xfId="0" applyFont="1" applyFill="1" applyBorder="1" applyAlignment="1">
      <alignment horizontal="left" vertical="top" wrapText="1"/>
    </xf>
    <xf numFmtId="0" fontId="55" fillId="0" borderId="5" xfId="0" applyFont="1" applyFill="1" applyBorder="1" applyAlignment="1">
      <alignment horizontal="left" vertical="top" wrapText="1"/>
    </xf>
    <xf numFmtId="0" fontId="73" fillId="0" borderId="93" xfId="0" applyFont="1" applyBorder="1" applyAlignment="1">
      <alignment horizontal="left" vertical="top" wrapText="1"/>
    </xf>
    <xf numFmtId="0" fontId="55" fillId="0" borderId="87" xfId="0" applyFont="1" applyFill="1" applyBorder="1" applyAlignment="1">
      <alignment vertical="top" wrapText="1"/>
    </xf>
    <xf numFmtId="0" fontId="55" fillId="0" borderId="87" xfId="0" applyFont="1" applyBorder="1" applyAlignment="1">
      <alignment horizontal="left" vertical="top" wrapText="1"/>
    </xf>
    <xf numFmtId="0" fontId="55" fillId="8" borderId="87" xfId="0" applyFont="1" applyFill="1" applyBorder="1" applyAlignment="1">
      <alignment horizontal="left" vertical="top" wrapText="1"/>
    </xf>
    <xf numFmtId="0" fontId="17" fillId="8" borderId="87" xfId="0" applyFont="1" applyFill="1" applyBorder="1" applyAlignment="1">
      <alignment horizontal="left" vertical="top" wrapText="1"/>
    </xf>
    <xf numFmtId="0" fontId="75" fillId="0" borderId="93" xfId="0" applyFont="1" applyBorder="1" applyAlignment="1">
      <alignment horizontal="left" vertical="top" wrapText="1"/>
    </xf>
    <xf numFmtId="43" fontId="0" fillId="8" borderId="87" xfId="0" applyNumberFormat="1" applyFill="1" applyBorder="1"/>
    <xf numFmtId="43" fontId="1" fillId="8" borderId="87" xfId="0" applyNumberFormat="1" applyFont="1" applyFill="1" applyBorder="1"/>
    <xf numFmtId="0" fontId="55" fillId="0" borderId="93" xfId="0" applyFont="1" applyFill="1" applyBorder="1" applyAlignment="1">
      <alignment horizontal="left" vertical="top" wrapText="1"/>
    </xf>
    <xf numFmtId="0" fontId="78" fillId="9" borderId="0" xfId="0" applyFont="1" applyFill="1" applyBorder="1" applyAlignment="1">
      <alignment horizontal="left" vertical="top" wrapText="1"/>
    </xf>
    <xf numFmtId="0" fontId="0" fillId="9" borderId="0" xfId="0" applyFill="1"/>
    <xf numFmtId="0" fontId="55" fillId="9" borderId="0" xfId="0" applyFont="1" applyFill="1" applyBorder="1" applyAlignment="1">
      <alignment horizontal="left" vertical="top" wrapText="1"/>
    </xf>
    <xf numFmtId="0" fontId="55" fillId="9" borderId="87" xfId="0" applyFont="1" applyFill="1" applyBorder="1" applyAlignment="1">
      <alignment horizontal="left" vertical="top" wrapText="1"/>
    </xf>
    <xf numFmtId="0" fontId="79" fillId="9" borderId="87" xfId="0" applyFont="1" applyFill="1" applyBorder="1" applyAlignment="1">
      <alignment horizontal="left" vertical="top"/>
    </xf>
    <xf numFmtId="0" fontId="0" fillId="9" borderId="87" xfId="0" applyFill="1" applyBorder="1" applyAlignment="1">
      <alignment horizontal="left" vertical="top"/>
    </xf>
    <xf numFmtId="0" fontId="0" fillId="9" borderId="0" xfId="0" applyFill="1" applyAlignment="1"/>
    <xf numFmtId="0" fontId="55" fillId="9" borderId="0" xfId="0" applyFont="1" applyFill="1" applyBorder="1" applyAlignment="1">
      <alignment horizontal="left" vertical="top"/>
    </xf>
    <xf numFmtId="0" fontId="79" fillId="9" borderId="0" xfId="0" applyFont="1" applyFill="1" applyBorder="1" applyAlignment="1">
      <alignment horizontal="left" vertical="top"/>
    </xf>
    <xf numFmtId="0" fontId="0" fillId="9" borderId="87" xfId="0" applyFill="1" applyBorder="1"/>
    <xf numFmtId="0" fontId="17" fillId="0" borderId="97" xfId="0" applyFont="1" applyFill="1" applyBorder="1" applyAlignment="1">
      <alignment vertical="center" wrapText="1"/>
    </xf>
    <xf numFmtId="0" fontId="73" fillId="0" borderId="87" xfId="0" applyFont="1" applyBorder="1" applyAlignment="1">
      <alignment horizontal="left" vertical="top"/>
    </xf>
    <xf numFmtId="0" fontId="74" fillId="0" borderId="87" xfId="0" applyFont="1" applyFill="1" applyBorder="1" applyAlignment="1">
      <alignment horizontal="left" vertical="top"/>
    </xf>
    <xf numFmtId="0" fontId="73" fillId="0" borderId="93" xfId="0" applyFont="1" applyBorder="1" applyAlignment="1">
      <alignment horizontal="left" vertical="top"/>
    </xf>
    <xf numFmtId="0" fontId="17" fillId="0" borderId="87" xfId="0" applyFont="1" applyFill="1" applyBorder="1" applyAlignment="1">
      <alignment vertical="top"/>
    </xf>
    <xf numFmtId="0" fontId="17" fillId="0" borderId="87" xfId="0" applyFont="1" applyBorder="1" applyAlignment="1">
      <alignment horizontal="left" vertical="top"/>
    </xf>
    <xf numFmtId="0" fontId="1" fillId="0" borderId="87" xfId="0" applyFont="1" applyBorder="1" applyAlignment="1">
      <alignment wrapText="1"/>
    </xf>
    <xf numFmtId="0" fontId="81" fillId="9" borderId="0" xfId="0" applyFont="1" applyFill="1" applyBorder="1" applyAlignment="1">
      <alignment vertical="center" wrapText="1"/>
    </xf>
    <xf numFmtId="0" fontId="81" fillId="9" borderId="0" xfId="0" applyFont="1" applyFill="1" applyAlignment="1">
      <alignment vertical="center"/>
    </xf>
    <xf numFmtId="0" fontId="75" fillId="0" borderId="87" xfId="0" applyFont="1" applyBorder="1" applyAlignment="1">
      <alignment horizontal="left" vertical="top"/>
    </xf>
    <xf numFmtId="0" fontId="72" fillId="0" borderId="87" xfId="0" applyFont="1" applyFill="1" applyBorder="1" applyAlignment="1">
      <alignment horizontal="left" vertical="top"/>
    </xf>
    <xf numFmtId="0" fontId="75" fillId="0" borderId="93" xfId="0" applyFont="1" applyBorder="1" applyAlignment="1">
      <alignment horizontal="left" vertical="top"/>
    </xf>
    <xf numFmtId="43" fontId="0" fillId="0" borderId="87" xfId="0" applyNumberFormat="1" applyBorder="1" applyAlignment="1"/>
    <xf numFmtId="43" fontId="0" fillId="0" borderId="87" xfId="0" applyNumberFormat="1" applyFill="1" applyBorder="1"/>
    <xf numFmtId="0" fontId="0" fillId="0" borderId="87" xfId="0" applyBorder="1" applyAlignment="1">
      <alignment horizontal="left" wrapText="1"/>
    </xf>
    <xf numFmtId="43" fontId="0" fillId="0" borderId="87" xfId="0" applyNumberFormat="1" applyBorder="1" applyAlignment="1">
      <alignment wrapText="1"/>
    </xf>
    <xf numFmtId="0" fontId="0" fillId="9" borderId="0" xfId="0" applyFont="1" applyFill="1" applyAlignment="1">
      <alignment vertical="center"/>
    </xf>
    <xf numFmtId="0" fontId="55" fillId="0" borderId="87" xfId="0" applyFont="1" applyFill="1" applyBorder="1" applyAlignment="1">
      <alignment horizontal="left" vertical="top"/>
    </xf>
    <xf numFmtId="0" fontId="55" fillId="0" borderId="93" xfId="0" applyFont="1" applyFill="1" applyBorder="1" applyAlignment="1">
      <alignment horizontal="left" vertical="top"/>
    </xf>
    <xf numFmtId="43" fontId="0" fillId="0" borderId="0" xfId="0" applyNumberFormat="1" applyAlignment="1"/>
    <xf numFmtId="0" fontId="1" fillId="0" borderId="87" xfId="0" applyFont="1" applyBorder="1"/>
    <xf numFmtId="43" fontId="0" fillId="0" borderId="87" xfId="0" applyNumberFormat="1" applyBorder="1" applyAlignment="1">
      <alignment horizontal="left"/>
    </xf>
    <xf numFmtId="43" fontId="0" fillId="8" borderId="87" xfId="0" applyNumberFormat="1" applyFill="1" applyBorder="1" applyAlignment="1"/>
    <xf numFmtId="0" fontId="17" fillId="0" borderId="0" xfId="0" applyFont="1" applyFill="1" applyBorder="1" applyAlignment="1">
      <alignment vertical="top" wrapText="1"/>
    </xf>
    <xf numFmtId="43" fontId="0" fillId="0" borderId="0" xfId="0" applyNumberFormat="1" applyBorder="1" applyAlignment="1"/>
    <xf numFmtId="0" fontId="17" fillId="0" borderId="0" xfId="0" applyFont="1" applyFill="1" applyBorder="1" applyAlignment="1">
      <alignment vertical="center" wrapText="1"/>
    </xf>
    <xf numFmtId="0" fontId="0" fillId="8" borderId="98" xfId="0" applyFill="1" applyBorder="1" applyAlignment="1"/>
    <xf numFmtId="43" fontId="0" fillId="8" borderId="0" xfId="0" applyNumberFormat="1" applyFill="1"/>
    <xf numFmtId="0" fontId="0" fillId="0" borderId="0" xfId="0" applyFill="1" applyBorder="1" applyAlignment="1">
      <alignment horizontal="left"/>
    </xf>
    <xf numFmtId="0" fontId="73" fillId="0" borderId="87" xfId="0" applyFont="1" applyBorder="1" applyAlignment="1">
      <alignment horizontal="left" vertical="top" wrapText="1"/>
    </xf>
    <xf numFmtId="0" fontId="73" fillId="8" borderId="87" xfId="0" applyFont="1" applyFill="1" applyBorder="1" applyAlignment="1">
      <alignment horizontal="left" vertical="top" wrapText="1"/>
    </xf>
    <xf numFmtId="0" fontId="75" fillId="0" borderId="99" xfId="0" applyFont="1" applyBorder="1" applyAlignment="1">
      <alignment horizontal="left" vertical="top" wrapText="1"/>
    </xf>
    <xf numFmtId="0" fontId="72" fillId="0" borderId="99" xfId="0" applyFont="1" applyFill="1" applyBorder="1" applyAlignment="1">
      <alignment horizontal="left" vertical="top" wrapText="1"/>
    </xf>
    <xf numFmtId="0" fontId="75" fillId="0" borderId="87" xfId="0" applyFont="1" applyBorder="1" applyAlignment="1">
      <alignment horizontal="left" vertical="top" wrapText="1"/>
    </xf>
    <xf numFmtId="0" fontId="72" fillId="0" borderId="0" xfId="0" applyFont="1" applyFill="1" applyBorder="1" applyAlignment="1">
      <alignment horizontal="left" vertical="top"/>
    </xf>
    <xf numFmtId="0" fontId="0" fillId="8" borderId="0" xfId="0" applyFill="1"/>
    <xf numFmtId="0" fontId="17" fillId="0" borderId="87" xfId="0" applyFont="1" applyBorder="1" applyAlignment="1">
      <alignment horizontal="left" vertical="top" wrapText="1"/>
    </xf>
    <xf numFmtId="0" fontId="0" fillId="0" borderId="87" xfId="0" applyBorder="1" applyAlignment="1"/>
    <xf numFmtId="43" fontId="0" fillId="0" borderId="87" xfId="1" applyFont="1" applyBorder="1" applyAlignment="1"/>
    <xf numFmtId="0" fontId="1" fillId="0" borderId="87" xfId="0" applyFont="1" applyBorder="1" applyAlignment="1"/>
    <xf numFmtId="165" fontId="0" fillId="0" borderId="87" xfId="1" applyNumberFormat="1" applyFont="1" applyBorder="1" applyAlignment="1"/>
    <xf numFmtId="0" fontId="0" fillId="8" borderId="87" xfId="0" applyFill="1" applyBorder="1" applyAlignment="1"/>
    <xf numFmtId="165" fontId="0" fillId="8" borderId="87" xfId="1" applyNumberFormat="1" applyFont="1" applyFill="1" applyBorder="1" applyAlignment="1"/>
    <xf numFmtId="0" fontId="81" fillId="9" borderId="0" xfId="0" applyFont="1" applyFill="1"/>
    <xf numFmtId="0" fontId="81" fillId="9" borderId="0" xfId="0" applyFont="1" applyFill="1" applyAlignment="1">
      <alignment wrapText="1"/>
    </xf>
    <xf numFmtId="0" fontId="0" fillId="9" borderId="0" xfId="0" applyFill="1" applyAlignment="1">
      <alignment wrapText="1"/>
    </xf>
    <xf numFmtId="0" fontId="19" fillId="0" borderId="87" xfId="0" applyNumberFormat="1" applyFont="1" applyFill="1" applyBorder="1" applyAlignment="1" applyProtection="1"/>
    <xf numFmtId="2" fontId="0" fillId="9" borderId="0" xfId="0" applyNumberFormat="1" applyFill="1"/>
    <xf numFmtId="0" fontId="0" fillId="0" borderId="87" xfId="0" applyFont="1" applyBorder="1"/>
    <xf numFmtId="0" fontId="0" fillId="0" borderId="93" xfId="0" applyBorder="1"/>
    <xf numFmtId="1" fontId="19" fillId="0" borderId="100" xfId="0" applyNumberFormat="1" applyFont="1" applyFill="1" applyBorder="1" applyAlignment="1" applyProtection="1"/>
    <xf numFmtId="1" fontId="19" fillId="0" borderId="94" xfId="0" applyNumberFormat="1" applyFont="1" applyFill="1" applyBorder="1" applyAlignment="1" applyProtection="1"/>
    <xf numFmtId="0" fontId="0" fillId="8" borderId="87" xfId="0" applyFill="1" applyBorder="1"/>
    <xf numFmtId="0" fontId="0" fillId="0" borderId="97" xfId="0" applyBorder="1"/>
    <xf numFmtId="43" fontId="0" fillId="0" borderId="97" xfId="1" applyFont="1" applyBorder="1"/>
    <xf numFmtId="43" fontId="0" fillId="0" borderId="97" xfId="0" applyNumberFormat="1" applyBorder="1"/>
    <xf numFmtId="43" fontId="0" fillId="8" borderId="97" xfId="0" applyNumberFormat="1" applyFill="1" applyBorder="1"/>
    <xf numFmtId="0" fontId="0" fillId="0" borderId="98" xfId="0" applyBorder="1"/>
    <xf numFmtId="43" fontId="0" fillId="0" borderId="98" xfId="0" applyNumberFormat="1" applyBorder="1"/>
    <xf numFmtId="0" fontId="83" fillId="0" borderId="0" xfId="0" applyFont="1"/>
    <xf numFmtId="0" fontId="71" fillId="7" borderId="87" xfId="0" applyFont="1" applyFill="1" applyBorder="1"/>
    <xf numFmtId="165" fontId="0" fillId="0" borderId="93" xfId="1" applyNumberFormat="1" applyFont="1" applyBorder="1"/>
    <xf numFmtId="43" fontId="8" fillId="0" borderId="1" xfId="1" applyFont="1" applyBorder="1"/>
    <xf numFmtId="165" fontId="1" fillId="0" borderId="87" xfId="1" applyNumberFormat="1" applyFont="1" applyBorder="1"/>
    <xf numFmtId="165" fontId="1" fillId="0" borderId="93" xfId="1" applyNumberFormat="1" applyFont="1" applyBorder="1"/>
    <xf numFmtId="0" fontId="17" fillId="0" borderId="87" xfId="0" applyFont="1" applyFill="1" applyBorder="1" applyAlignment="1">
      <alignment vertical="center" wrapText="1"/>
    </xf>
    <xf numFmtId="0" fontId="72" fillId="0" borderId="99" xfId="0" applyFont="1" applyFill="1" applyBorder="1" applyAlignment="1">
      <alignment horizontal="left" vertical="top"/>
    </xf>
    <xf numFmtId="43" fontId="55" fillId="0" borderId="99" xfId="0" applyNumberFormat="1" applyFont="1" applyFill="1" applyBorder="1" applyAlignment="1">
      <alignment vertical="center" wrapText="1"/>
    </xf>
    <xf numFmtId="0" fontId="86" fillId="7" borderId="101" xfId="0" applyFont="1" applyFill="1" applyBorder="1" applyAlignment="1">
      <alignment horizontal="left" vertical="top"/>
    </xf>
    <xf numFmtId="0" fontId="86" fillId="7" borderId="99" xfId="0" applyFont="1" applyFill="1" applyBorder="1" applyAlignment="1">
      <alignment horizontal="left" vertical="top"/>
    </xf>
    <xf numFmtId="165" fontId="0" fillId="0" borderId="95" xfId="0" applyNumberFormat="1" applyBorder="1"/>
    <xf numFmtId="165" fontId="0" fillId="0" borderId="87" xfId="0" applyNumberFormat="1" applyBorder="1"/>
    <xf numFmtId="165" fontId="1" fillId="0" borderId="95" xfId="0" applyNumberFormat="1" applyFont="1" applyBorder="1"/>
    <xf numFmtId="165" fontId="1" fillId="0" borderId="87" xfId="0" applyNumberFormat="1" applyFont="1" applyBorder="1"/>
    <xf numFmtId="0" fontId="86" fillId="7" borderId="87" xfId="0" applyFont="1" applyFill="1" applyBorder="1" applyAlignment="1">
      <alignment horizontal="left" vertical="top"/>
    </xf>
    <xf numFmtId="165" fontId="0" fillId="0" borderId="0" xfId="0" applyNumberFormat="1"/>
    <xf numFmtId="0" fontId="3" fillId="0" borderId="87" xfId="0" applyFont="1" applyFill="1" applyBorder="1"/>
    <xf numFmtId="165" fontId="3" fillId="0" borderId="87" xfId="0" applyNumberFormat="1" applyFont="1" applyFill="1" applyBorder="1"/>
    <xf numFmtId="43" fontId="3" fillId="0" borderId="87" xfId="0" applyNumberFormat="1" applyFont="1" applyFill="1" applyBorder="1"/>
    <xf numFmtId="0" fontId="17" fillId="0" borderId="97" xfId="0" applyFont="1" applyFill="1" applyBorder="1" applyAlignment="1">
      <alignment vertical="top" wrapText="1"/>
    </xf>
    <xf numFmtId="43" fontId="0" fillId="0" borderId="0" xfId="1" applyFont="1" applyBorder="1"/>
    <xf numFmtId="0" fontId="71" fillId="7" borderId="95" xfId="0" applyFont="1" applyFill="1" applyBorder="1"/>
    <xf numFmtId="0" fontId="85" fillId="3" borderId="87" xfId="0" applyFont="1" applyFill="1" applyBorder="1" applyAlignment="1">
      <alignment horizontal="left" vertical="center"/>
    </xf>
    <xf numFmtId="165" fontId="0" fillId="0" borderId="95" xfId="1" applyNumberFormat="1" applyFont="1" applyFill="1" applyBorder="1"/>
    <xf numFmtId="165" fontId="0" fillId="0" borderId="87" xfId="1" applyNumberFormat="1" applyFont="1" applyFill="1" applyBorder="1"/>
    <xf numFmtId="0" fontId="85" fillId="3" borderId="87" xfId="0" applyFont="1" applyFill="1" applyBorder="1" applyAlignment="1">
      <alignment horizontal="left" vertical="center" wrapText="1"/>
    </xf>
    <xf numFmtId="0" fontId="71" fillId="7" borderId="87" xfId="0" applyFont="1" applyFill="1" applyBorder="1" applyAlignment="1">
      <alignment wrapText="1"/>
    </xf>
    <xf numFmtId="43" fontId="0" fillId="0" borderId="1" xfId="0" applyNumberFormat="1" applyBorder="1"/>
    <xf numFmtId="43" fontId="0" fillId="0" borderId="0" xfId="0" applyNumberFormat="1" applyBorder="1"/>
    <xf numFmtId="169" fontId="0" fillId="0" borderId="0" xfId="0" applyNumberFormat="1"/>
    <xf numFmtId="0" fontId="0" fillId="0" borderId="87" xfId="0" applyFill="1" applyBorder="1"/>
    <xf numFmtId="165" fontId="0" fillId="0" borderId="87" xfId="0" applyNumberFormat="1" applyFill="1" applyBorder="1"/>
    <xf numFmtId="0" fontId="1" fillId="0" borderId="87" xfId="0" applyFont="1" applyFill="1" applyBorder="1"/>
    <xf numFmtId="165" fontId="1" fillId="0" borderId="87" xfId="0" applyNumberFormat="1" applyFont="1" applyFill="1" applyBorder="1"/>
    <xf numFmtId="0" fontId="1" fillId="0" borderId="87" xfId="0" applyFont="1" applyFill="1" applyBorder="1" applyAlignment="1">
      <alignment wrapText="1"/>
    </xf>
    <xf numFmtId="165" fontId="1" fillId="0" borderId="87" xfId="1" applyNumberFormat="1" applyFont="1" applyFill="1" applyBorder="1"/>
    <xf numFmtId="165" fontId="1" fillId="0" borderId="93" xfId="1" applyNumberFormat="1" applyFont="1" applyFill="1" applyBorder="1"/>
    <xf numFmtId="169" fontId="1" fillId="0" borderId="87" xfId="0" applyNumberFormat="1" applyFont="1" applyFill="1" applyBorder="1"/>
    <xf numFmtId="0" fontId="67" fillId="3" borderId="17" xfId="0" applyFont="1" applyFill="1" applyBorder="1" applyAlignment="1">
      <alignment horizontal="left" wrapText="1"/>
    </xf>
    <xf numFmtId="4" fontId="89" fillId="0" borderId="21" xfId="0" applyNumberFormat="1" applyFont="1" applyBorder="1" applyAlignment="1">
      <alignment horizontal="right" wrapText="1"/>
    </xf>
    <xf numFmtId="0" fontId="89" fillId="0" borderId="21" xfId="0" applyFont="1" applyBorder="1" applyAlignment="1">
      <alignment horizontal="right" wrapText="1"/>
    </xf>
    <xf numFmtId="0" fontId="26" fillId="0" borderId="21" xfId="0" applyFont="1" applyBorder="1" applyAlignment="1">
      <alignment horizontal="right" wrapText="1"/>
    </xf>
    <xf numFmtId="0" fontId="89" fillId="0" borderId="21" xfId="0" applyFont="1" applyBorder="1" applyAlignment="1">
      <alignment horizontal="left" wrapText="1"/>
    </xf>
    <xf numFmtId="0" fontId="89" fillId="0" borderId="24" xfId="0" applyFont="1" applyBorder="1" applyAlignment="1">
      <alignment horizontal="right" wrapText="1"/>
    </xf>
    <xf numFmtId="0" fontId="67" fillId="3" borderId="23" xfId="0" applyFont="1" applyFill="1" applyBorder="1" applyAlignment="1">
      <alignment horizontal="right"/>
    </xf>
    <xf numFmtId="0" fontId="42" fillId="3" borderId="108" xfId="0" applyFont="1" applyFill="1" applyBorder="1" applyAlignment="1">
      <alignment horizontal="left" vertical="center" wrapText="1"/>
    </xf>
    <xf numFmtId="165" fontId="25" fillId="0" borderId="0" xfId="1" applyNumberFormat="1" applyFont="1" applyBorder="1" applyAlignment="1">
      <alignment horizontal="right" vertical="center" wrapText="1"/>
    </xf>
    <xf numFmtId="165" fontId="25" fillId="0" borderId="40" xfId="1" applyNumberFormat="1" applyFont="1" applyBorder="1" applyAlignment="1">
      <alignment horizontal="right" vertical="center" wrapText="1"/>
    </xf>
    <xf numFmtId="0" fontId="67" fillId="0" borderId="0" xfId="0" applyFont="1" applyFill="1" applyBorder="1" applyAlignment="1">
      <alignment horizontal="left" vertical="center" wrapText="1"/>
    </xf>
    <xf numFmtId="0" fontId="25" fillId="0" borderId="0" xfId="0" applyFont="1" applyFill="1" applyBorder="1" applyAlignment="1">
      <alignment horizontal="right" vertical="center" wrapText="1"/>
    </xf>
    <xf numFmtId="165" fontId="38" fillId="0" borderId="0" xfId="1" applyNumberFormat="1" applyFont="1" applyFill="1" applyBorder="1" applyAlignment="1">
      <alignment horizontal="center" vertical="center"/>
    </xf>
    <xf numFmtId="165" fontId="67" fillId="3" borderId="23" xfId="1" applyNumberFormat="1" applyFont="1" applyFill="1" applyBorder="1" applyAlignment="1">
      <alignment horizontal="right"/>
    </xf>
    <xf numFmtId="0" fontId="25" fillId="0" borderId="20" xfId="0" applyFont="1" applyBorder="1" applyAlignment="1">
      <alignment vertical="center" wrapText="1"/>
    </xf>
    <xf numFmtId="0" fontId="26" fillId="0" borderId="20" xfId="0" applyFont="1" applyBorder="1" applyAlignment="1">
      <alignment wrapText="1"/>
    </xf>
    <xf numFmtId="165" fontId="89" fillId="0" borderId="20" xfId="1" applyNumberFormat="1" applyFont="1" applyBorder="1" applyAlignment="1">
      <alignment horizontal="right" wrapText="1"/>
    </xf>
    <xf numFmtId="165" fontId="26" fillId="0" borderId="20" xfId="1" applyNumberFormat="1" applyFont="1" applyBorder="1" applyAlignment="1">
      <alignment horizontal="right" wrapText="1"/>
    </xf>
    <xf numFmtId="165" fontId="90" fillId="0" borderId="109" xfId="1" applyNumberFormat="1" applyFont="1" applyFill="1" applyBorder="1" applyAlignment="1">
      <alignment wrapText="1"/>
    </xf>
    <xf numFmtId="165" fontId="91" fillId="0" borderId="109" xfId="1" applyNumberFormat="1" applyFont="1" applyFill="1" applyBorder="1" applyAlignment="1">
      <alignment wrapText="1"/>
    </xf>
    <xf numFmtId="43" fontId="89" fillId="0" borderId="23" xfId="0" applyNumberFormat="1" applyFont="1" applyBorder="1" applyAlignment="1">
      <alignment horizontal="right" wrapText="1"/>
    </xf>
    <xf numFmtId="43" fontId="91" fillId="0" borderId="22" xfId="0" applyNumberFormat="1" applyFont="1" applyFill="1" applyBorder="1" applyAlignment="1">
      <alignment wrapText="1"/>
    </xf>
    <xf numFmtId="165" fontId="25" fillId="0" borderId="20" xfId="1" applyNumberFormat="1" applyFont="1" applyBorder="1" applyAlignment="1">
      <alignment vertical="center" wrapText="1"/>
    </xf>
    <xf numFmtId="165" fontId="69" fillId="0" borderId="20" xfId="1" applyNumberFormat="1" applyFont="1" applyBorder="1" applyAlignment="1">
      <alignment horizontal="right" vertical="center" wrapText="1"/>
    </xf>
    <xf numFmtId="165" fontId="69" fillId="0" borderId="20" xfId="1" applyNumberFormat="1" applyFont="1" applyBorder="1" applyAlignment="1">
      <alignment horizontal="left" vertical="center" wrapText="1"/>
    </xf>
    <xf numFmtId="165" fontId="89" fillId="0" borderId="23" xfId="0" applyNumberFormat="1" applyFont="1" applyBorder="1" applyAlignment="1">
      <alignment horizontal="right" wrapText="1"/>
    </xf>
    <xf numFmtId="165" fontId="25" fillId="0" borderId="39" xfId="1" applyNumberFormat="1" applyFont="1" applyBorder="1" applyAlignment="1">
      <alignment vertical="center" wrapText="1"/>
    </xf>
    <xf numFmtId="0" fontId="25" fillId="0" borderId="28" xfId="0" applyFont="1" applyBorder="1" applyAlignment="1">
      <alignment vertical="center" wrapText="1"/>
    </xf>
    <xf numFmtId="165" fontId="25" fillId="0" borderId="0" xfId="1" applyNumberFormat="1" applyFont="1" applyBorder="1" applyAlignment="1">
      <alignment vertical="center" wrapText="1"/>
    </xf>
    <xf numFmtId="165" fontId="90" fillId="0" borderId="0" xfId="1" applyNumberFormat="1" applyFont="1" applyFill="1" applyBorder="1" applyAlignment="1">
      <alignment wrapText="1"/>
    </xf>
    <xf numFmtId="165" fontId="91" fillId="0" borderId="0" xfId="1" applyNumberFormat="1" applyFont="1" applyFill="1" applyBorder="1" applyAlignment="1">
      <alignment wrapText="1"/>
    </xf>
    <xf numFmtId="0" fontId="0" fillId="0" borderId="0" xfId="0" pivotButton="1"/>
    <xf numFmtId="0" fontId="0" fillId="3" borderId="0" xfId="0" applyNumberFormat="1" applyFill="1" applyAlignment="1"/>
    <xf numFmtId="0" fontId="57" fillId="3" borderId="78" xfId="0" applyNumberFormat="1" applyFont="1" applyFill="1" applyBorder="1" applyAlignment="1"/>
    <xf numFmtId="0" fontId="56" fillId="3" borderId="78" xfId="0" applyFont="1" applyFill="1" applyBorder="1"/>
    <xf numFmtId="0" fontId="9" fillId="0" borderId="78" xfId="0" applyFont="1" applyFill="1" applyBorder="1"/>
    <xf numFmtId="0" fontId="57" fillId="3" borderId="81" xfId="0" applyNumberFormat="1" applyFont="1" applyFill="1" applyBorder="1" applyAlignment="1"/>
    <xf numFmtId="0" fontId="56" fillId="3" borderId="81" xfId="0" applyFont="1" applyFill="1" applyBorder="1"/>
    <xf numFmtId="0" fontId="1" fillId="0" borderId="0" xfId="0" applyFont="1" applyBorder="1" applyAlignment="1"/>
    <xf numFmtId="0" fontId="0" fillId="0" borderId="0" xfId="0" applyNumberFormat="1" applyFill="1" applyBorder="1" applyAlignment="1"/>
    <xf numFmtId="165" fontId="9" fillId="0" borderId="78" xfId="0" applyNumberFormat="1" applyFont="1" applyFill="1" applyBorder="1"/>
    <xf numFmtId="0" fontId="9" fillId="2" borderId="112" xfId="0" applyFont="1" applyFill="1" applyBorder="1"/>
    <xf numFmtId="0" fontId="9" fillId="2" borderId="38" xfId="0" applyFont="1" applyFill="1" applyBorder="1"/>
    <xf numFmtId="0" fontId="11" fillId="2" borderId="38" xfId="0" applyFont="1" applyFill="1" applyBorder="1"/>
    <xf numFmtId="0" fontId="9" fillId="2" borderId="36" xfId="0" applyFont="1" applyFill="1" applyBorder="1"/>
    <xf numFmtId="0" fontId="9" fillId="2" borderId="42" xfId="0" applyFont="1" applyFill="1" applyBorder="1"/>
    <xf numFmtId="0" fontId="9" fillId="2" borderId="51" xfId="0" applyFont="1" applyFill="1" applyBorder="1"/>
    <xf numFmtId="0" fontId="9" fillId="2" borderId="41" xfId="0" applyFont="1" applyFill="1" applyBorder="1"/>
    <xf numFmtId="0" fontId="9" fillId="2" borderId="40" xfId="0" applyFont="1" applyFill="1" applyBorder="1"/>
    <xf numFmtId="0" fontId="9" fillId="2" borderId="24" xfId="0" applyFont="1" applyFill="1" applyBorder="1"/>
    <xf numFmtId="0" fontId="15"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xf>
    <xf numFmtId="0" fontId="24" fillId="3" borderId="25"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4" fillId="0" borderId="0" xfId="0" applyFont="1" applyFill="1" applyBorder="1" applyAlignment="1">
      <alignment horizontal="center" vertical="center" wrapText="1"/>
    </xf>
    <xf numFmtId="0" fontId="35" fillId="0" borderId="38" xfId="0" applyFont="1" applyBorder="1" applyAlignment="1">
      <alignment horizontal="justify" vertical="center" wrapText="1"/>
    </xf>
    <xf numFmtId="0" fontId="12" fillId="0" borderId="38" xfId="0" applyFont="1" applyBorder="1" applyAlignment="1">
      <alignment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1" fillId="0" borderId="40" xfId="0" applyFont="1" applyBorder="1" applyAlignment="1">
      <alignment wrapText="1"/>
    </xf>
    <xf numFmtId="0" fontId="9" fillId="0" borderId="40" xfId="0" applyFont="1" applyBorder="1" applyAlignment="1">
      <alignment wrapText="1"/>
    </xf>
    <xf numFmtId="0" fontId="42" fillId="0" borderId="0" xfId="0" applyFont="1" applyFill="1" applyBorder="1" applyAlignment="1">
      <alignment horizontal="center" vertical="center" wrapText="1"/>
    </xf>
    <xf numFmtId="0" fontId="25" fillId="0" borderId="0" xfId="0" applyFont="1" applyAlignment="1">
      <alignment horizontal="justify" vertical="center" wrapText="1"/>
    </xf>
    <xf numFmtId="0" fontId="12" fillId="0" borderId="0" xfId="0" applyFont="1" applyAlignment="1">
      <alignment wrapText="1"/>
    </xf>
    <xf numFmtId="0" fontId="42" fillId="3" borderId="15"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wrapText="1"/>
    </xf>
    <xf numFmtId="0" fontId="0" fillId="0" borderId="0" xfId="0" applyAlignment="1">
      <alignment wrapText="1"/>
    </xf>
    <xf numFmtId="0" fontId="11" fillId="2" borderId="48" xfId="0" applyFont="1" applyFill="1" applyBorder="1" applyAlignment="1">
      <alignment horizontal="left" wrapText="1"/>
    </xf>
    <xf numFmtId="0" fontId="11" fillId="2" borderId="40" xfId="0" applyFont="1" applyFill="1" applyBorder="1" applyAlignment="1">
      <alignment horizontal="left" wrapText="1"/>
    </xf>
    <xf numFmtId="0" fontId="24" fillId="3" borderId="25"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19" xfId="0" applyFont="1" applyFill="1" applyBorder="1" applyAlignment="1">
      <alignment horizontal="left" vertical="center" wrapText="1"/>
    </xf>
    <xf numFmtId="0" fontId="24" fillId="3" borderId="46" xfId="0" applyFont="1" applyFill="1" applyBorder="1" applyAlignment="1">
      <alignment horizontal="left" vertical="center"/>
    </xf>
    <xf numFmtId="0" fontId="24" fillId="3" borderId="47" xfId="0" applyFont="1" applyFill="1" applyBorder="1" applyAlignment="1">
      <alignment horizontal="left" vertical="center"/>
    </xf>
    <xf numFmtId="0" fontId="50" fillId="2" borderId="4" xfId="0" applyFont="1" applyFill="1" applyBorder="1" applyAlignment="1">
      <alignment horizontal="left" wrapText="1"/>
    </xf>
    <xf numFmtId="0" fontId="50" fillId="2" borderId="0" xfId="0" applyFont="1" applyFill="1" applyBorder="1" applyAlignment="1">
      <alignment horizontal="left" wrapText="1"/>
    </xf>
    <xf numFmtId="0" fontId="24" fillId="3" borderId="46" xfId="0" applyFont="1" applyFill="1" applyBorder="1" applyAlignment="1">
      <alignment horizontal="justify" vertical="center"/>
    </xf>
    <xf numFmtId="0" fontId="24" fillId="3" borderId="47" xfId="0" applyFont="1" applyFill="1" applyBorder="1" applyAlignment="1">
      <alignment horizontal="justify" vertical="center"/>
    </xf>
    <xf numFmtId="0" fontId="24" fillId="3" borderId="25" xfId="0" applyFont="1" applyFill="1" applyBorder="1" applyAlignment="1">
      <alignment horizontal="justify" vertical="center"/>
    </xf>
    <xf numFmtId="0" fontId="24" fillId="3" borderId="18" xfId="0" applyFont="1" applyFill="1" applyBorder="1" applyAlignment="1">
      <alignment horizontal="justify" vertical="center"/>
    </xf>
    <xf numFmtId="0" fontId="24" fillId="3" borderId="19" xfId="0" applyFont="1" applyFill="1" applyBorder="1" applyAlignment="1">
      <alignment horizontal="justify" vertical="center"/>
    </xf>
    <xf numFmtId="0" fontId="11" fillId="2" borderId="4" xfId="0" applyFont="1" applyFill="1" applyBorder="1" applyAlignment="1">
      <alignment wrapText="1"/>
    </xf>
    <xf numFmtId="0" fontId="0" fillId="2" borderId="0" xfId="0" applyFill="1" applyBorder="1" applyAlignment="1">
      <alignment wrapText="1"/>
    </xf>
    <xf numFmtId="0" fontId="38" fillId="3" borderId="43" xfId="0" applyFont="1" applyFill="1" applyBorder="1" applyAlignment="1">
      <alignment horizontal="center" vertical="center" wrapText="1"/>
    </xf>
    <xf numFmtId="0" fontId="38" fillId="3" borderId="33" xfId="0" applyFont="1" applyFill="1" applyBorder="1" applyAlignment="1">
      <alignment horizontal="center" vertical="center" wrapText="1"/>
    </xf>
    <xf numFmtId="0" fontId="38" fillId="3" borderId="25" xfId="0" applyFont="1" applyFill="1" applyBorder="1" applyAlignment="1">
      <alignment horizontal="center" vertical="center" wrapText="1"/>
    </xf>
    <xf numFmtId="0" fontId="38" fillId="3" borderId="18" xfId="0" applyFont="1" applyFill="1" applyBorder="1" applyAlignment="1">
      <alignment horizontal="center" vertical="center" wrapText="1"/>
    </xf>
    <xf numFmtId="0" fontId="24" fillId="3" borderId="25"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9" xfId="0" applyFont="1" applyFill="1" applyBorder="1" applyAlignment="1">
      <alignment horizontal="center" vertical="center"/>
    </xf>
    <xf numFmtId="0" fontId="38" fillId="3" borderId="54" xfId="0" applyFont="1" applyFill="1" applyBorder="1" applyAlignment="1">
      <alignment horizontal="left" vertical="center"/>
    </xf>
    <xf numFmtId="0" fontId="38" fillId="3" borderId="47" xfId="0" applyFont="1" applyFill="1" applyBorder="1" applyAlignment="1">
      <alignment horizontal="left" vertical="center"/>
    </xf>
    <xf numFmtId="0" fontId="25" fillId="0" borderId="54" xfId="0" applyFont="1" applyBorder="1" applyAlignment="1">
      <alignment horizontal="justify" vertical="center"/>
    </xf>
    <xf numFmtId="0" fontId="25" fillId="0" borderId="50" xfId="0" applyFont="1" applyBorder="1" applyAlignment="1">
      <alignment horizontal="justify" vertical="center"/>
    </xf>
    <xf numFmtId="0" fontId="25" fillId="0" borderId="49" xfId="0" applyFont="1" applyBorder="1" applyAlignment="1">
      <alignment horizontal="justify" vertical="center"/>
    </xf>
    <xf numFmtId="0" fontId="25" fillId="0" borderId="30" xfId="0" applyFont="1" applyBorder="1" applyAlignment="1">
      <alignment horizontal="justify" vertical="center" wrapText="1"/>
    </xf>
    <xf numFmtId="0" fontId="25" fillId="0" borderId="31" xfId="0" applyFont="1" applyBorder="1" applyAlignment="1">
      <alignment horizontal="justify" vertical="center" wrapText="1"/>
    </xf>
    <xf numFmtId="0" fontId="25" fillId="0" borderId="32" xfId="0" applyFont="1" applyBorder="1" applyAlignment="1">
      <alignment horizontal="justify" vertical="center" wrapText="1"/>
    </xf>
    <xf numFmtId="0" fontId="25" fillId="0" borderId="30" xfId="0" applyFont="1" applyBorder="1" applyAlignment="1">
      <alignment horizontal="justify" vertical="center"/>
    </xf>
    <xf numFmtId="0" fontId="25" fillId="0" borderId="31" xfId="0" applyFont="1" applyBorder="1" applyAlignment="1">
      <alignment horizontal="justify" vertical="center"/>
    </xf>
    <xf numFmtId="0" fontId="25" fillId="0" borderId="32" xfId="0" applyFont="1" applyBorder="1" applyAlignment="1">
      <alignment horizontal="justify" vertical="center"/>
    </xf>
    <xf numFmtId="0" fontId="25" fillId="0" borderId="30" xfId="0" applyFont="1" applyBorder="1" applyAlignment="1">
      <alignment horizontal="right" vertical="center"/>
    </xf>
    <xf numFmtId="0" fontId="25" fillId="0" borderId="31" xfId="0" applyFont="1" applyBorder="1" applyAlignment="1">
      <alignment horizontal="right" vertical="center"/>
    </xf>
    <xf numFmtId="0" fontId="25" fillId="0" borderId="32" xfId="0" applyFont="1" applyBorder="1" applyAlignment="1">
      <alignment horizontal="right" vertical="center"/>
    </xf>
    <xf numFmtId="0" fontId="50" fillId="2" borderId="48" xfId="0" applyFont="1" applyFill="1" applyBorder="1" applyAlignment="1">
      <alignment horizontal="left" wrapText="1"/>
    </xf>
    <xf numFmtId="0" fontId="0" fillId="2" borderId="40" xfId="0" applyFill="1" applyBorder="1" applyAlignment="1"/>
    <xf numFmtId="0" fontId="38" fillId="3" borderId="46" xfId="0" applyFont="1" applyFill="1" applyBorder="1" applyAlignment="1">
      <alignment horizontal="left" vertical="center"/>
    </xf>
    <xf numFmtId="0" fontId="0" fillId="0" borderId="50" xfId="0" applyBorder="1" applyAlignment="1">
      <alignment horizontal="left" vertical="center"/>
    </xf>
    <xf numFmtId="0" fontId="0" fillId="0" borderId="47" xfId="0" applyBorder="1" applyAlignment="1">
      <alignment horizontal="left" vertical="center"/>
    </xf>
    <xf numFmtId="0" fontId="0" fillId="0" borderId="0" xfId="0" applyBorder="1" applyAlignment="1"/>
    <xf numFmtId="0" fontId="24" fillId="3" borderId="45" xfId="0" applyFont="1" applyFill="1" applyBorder="1" applyAlignment="1">
      <alignment horizontal="left" vertical="center" wrapText="1"/>
    </xf>
    <xf numFmtId="0" fontId="24" fillId="3" borderId="3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38" fillId="3" borderId="57" xfId="0" applyFont="1" applyFill="1" applyBorder="1" applyAlignment="1">
      <alignment horizontal="justify" vertical="center" wrapText="1"/>
    </xf>
    <xf numFmtId="0" fontId="0" fillId="0" borderId="0" xfId="0" applyBorder="1" applyAlignment="1">
      <alignment horizontal="justify" vertical="center"/>
    </xf>
    <xf numFmtId="0" fontId="24" fillId="3" borderId="15" xfId="0" applyFont="1" applyFill="1" applyBorder="1" applyAlignment="1">
      <alignment horizontal="justify" vertical="center"/>
    </xf>
    <xf numFmtId="0" fontId="24" fillId="3" borderId="16" xfId="0" applyFont="1" applyFill="1" applyBorder="1" applyAlignment="1">
      <alignment horizontal="justify" vertical="center"/>
    </xf>
    <xf numFmtId="0" fontId="0" fillId="0" borderId="40" xfId="0" applyBorder="1" applyAlignment="1"/>
    <xf numFmtId="0" fontId="41" fillId="3" borderId="54" xfId="0" applyFont="1" applyFill="1" applyBorder="1" applyAlignment="1">
      <alignment horizontal="center" vertical="center"/>
    </xf>
    <xf numFmtId="0" fontId="41" fillId="3" borderId="50" xfId="0" applyFont="1" applyFill="1" applyBorder="1" applyAlignment="1">
      <alignment horizontal="center" vertical="center"/>
    </xf>
    <xf numFmtId="0" fontId="41" fillId="3" borderId="49" xfId="0" applyFont="1" applyFill="1" applyBorder="1" applyAlignment="1">
      <alignment horizontal="center" vertical="center"/>
    </xf>
    <xf numFmtId="0" fontId="26" fillId="0" borderId="30" xfId="0" applyFont="1" applyBorder="1" applyAlignment="1">
      <alignment horizontal="left" vertical="top"/>
    </xf>
    <xf numFmtId="0" fontId="26" fillId="0" borderId="31" xfId="0" applyFont="1" applyBorder="1" applyAlignment="1">
      <alignment horizontal="left" vertical="top"/>
    </xf>
    <xf numFmtId="0" fontId="0" fillId="0" borderId="33" xfId="0" applyBorder="1" applyAlignment="1">
      <alignment horizontal="left" vertical="top"/>
    </xf>
    <xf numFmtId="0" fontId="31" fillId="0" borderId="53" xfId="0" applyFont="1" applyBorder="1" applyAlignment="1">
      <alignment horizontal="justify" vertical="center" wrapText="1"/>
    </xf>
    <xf numFmtId="0" fontId="31" fillId="0" borderId="52" xfId="0" applyFont="1" applyBorder="1" applyAlignment="1">
      <alignment horizontal="justify" vertical="center" wrapText="1"/>
    </xf>
    <xf numFmtId="0" fontId="31" fillId="0" borderId="57" xfId="0" applyFont="1" applyBorder="1" applyAlignment="1">
      <alignment horizontal="justify" vertical="center" wrapText="1"/>
    </xf>
    <xf numFmtId="0" fontId="31" fillId="0" borderId="28"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20" xfId="0" applyFont="1" applyBorder="1" applyAlignment="1">
      <alignment horizontal="justify" vertical="center" wrapText="1"/>
    </xf>
    <xf numFmtId="0" fontId="41" fillId="3" borderId="46" xfId="0" applyFont="1" applyFill="1" applyBorder="1" applyAlignment="1">
      <alignment horizontal="left" vertical="center"/>
    </xf>
    <xf numFmtId="0" fontId="0" fillId="0" borderId="50" xfId="0" applyFont="1" applyBorder="1" applyAlignment="1">
      <alignment horizontal="left" vertical="center"/>
    </xf>
    <xf numFmtId="0" fontId="0" fillId="0" borderId="47" xfId="0" applyFont="1" applyBorder="1" applyAlignment="1">
      <alignment horizontal="left" vertical="center"/>
    </xf>
    <xf numFmtId="0" fontId="53" fillId="2" borderId="0" xfId="0" applyFont="1" applyFill="1" applyBorder="1" applyAlignment="1">
      <alignment horizontal="justify" vertical="center"/>
    </xf>
    <xf numFmtId="0" fontId="41" fillId="3" borderId="47" xfId="0" applyFont="1" applyFill="1" applyBorder="1" applyAlignment="1">
      <alignment horizontal="center" vertical="center"/>
    </xf>
    <xf numFmtId="0" fontId="26" fillId="0" borderId="33" xfId="0" applyFont="1" applyBorder="1" applyAlignment="1">
      <alignment horizontal="left" vertical="top"/>
    </xf>
    <xf numFmtId="0" fontId="24" fillId="3" borderId="50" xfId="0" applyFont="1" applyFill="1" applyBorder="1" applyAlignment="1">
      <alignment horizontal="center" vertical="center" wrapText="1"/>
    </xf>
    <xf numFmtId="0" fontId="0" fillId="0" borderId="47" xfId="0" applyBorder="1" applyAlignment="1">
      <alignment horizontal="center" vertical="center" wrapText="1"/>
    </xf>
    <xf numFmtId="0" fontId="24" fillId="3" borderId="31" xfId="0" applyFont="1" applyFill="1" applyBorder="1" applyAlignment="1">
      <alignment horizontal="center" vertical="center" wrapText="1"/>
    </xf>
    <xf numFmtId="0" fontId="0" fillId="0" borderId="33" xfId="0" applyBorder="1" applyAlignment="1">
      <alignment horizontal="center" vertical="center" wrapText="1"/>
    </xf>
    <xf numFmtId="0" fontId="24" fillId="3" borderId="39"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24" fillId="3" borderId="57" xfId="0" applyFont="1" applyFill="1" applyBorder="1" applyAlignment="1">
      <alignment horizontal="center" vertical="center" wrapText="1"/>
    </xf>
    <xf numFmtId="0" fontId="0" fillId="0" borderId="57" xfId="0" applyBorder="1" applyAlignment="1"/>
    <xf numFmtId="0" fontId="19" fillId="2" borderId="4" xfId="0" applyFont="1" applyFill="1" applyBorder="1" applyAlignment="1">
      <alignment horizontal="left" vertical="center" wrapText="1"/>
    </xf>
    <xf numFmtId="0" fontId="0" fillId="2" borderId="0" xfId="0" applyFill="1" applyBorder="1" applyAlignment="1">
      <alignment vertical="center" wrapText="1"/>
    </xf>
    <xf numFmtId="0" fontId="0" fillId="2" borderId="0" xfId="0" applyFill="1" applyBorder="1" applyAlignment="1"/>
    <xf numFmtId="0" fontId="10" fillId="2" borderId="4" xfId="0" applyFont="1" applyFill="1" applyBorder="1" applyAlignment="1">
      <alignment wrapText="1"/>
    </xf>
    <xf numFmtId="0" fontId="6" fillId="2" borderId="0" xfId="0" applyFont="1" applyFill="1" applyBorder="1" applyAlignment="1">
      <alignment wrapText="1"/>
    </xf>
    <xf numFmtId="0" fontId="24" fillId="3" borderId="0" xfId="0" applyFont="1" applyFill="1" applyBorder="1" applyAlignment="1">
      <alignment horizontal="left" vertical="center"/>
    </xf>
    <xf numFmtId="0" fontId="12" fillId="0" borderId="0" xfId="0" applyFont="1" applyBorder="1" applyAlignment="1"/>
    <xf numFmtId="0" fontId="12" fillId="0" borderId="39" xfId="0" applyFont="1" applyBorder="1" applyAlignment="1"/>
    <xf numFmtId="0" fontId="25" fillId="0" borderId="47" xfId="0" applyFont="1" applyBorder="1" applyAlignment="1">
      <alignment horizontal="justify" vertical="center"/>
    </xf>
    <xf numFmtId="0" fontId="25" fillId="0" borderId="33" xfId="0" applyFont="1" applyBorder="1" applyAlignment="1">
      <alignment horizontal="justify" vertical="center" wrapText="1"/>
    </xf>
    <xf numFmtId="0" fontId="25" fillId="0" borderId="33" xfId="0" applyFont="1" applyBorder="1" applyAlignment="1">
      <alignment horizontal="justify" vertical="center"/>
    </xf>
    <xf numFmtId="0" fontId="25" fillId="0" borderId="33" xfId="0" applyFont="1" applyBorder="1" applyAlignment="1">
      <alignment horizontal="right" vertical="center"/>
    </xf>
    <xf numFmtId="0" fontId="45" fillId="3" borderId="54" xfId="0" applyFont="1" applyFill="1" applyBorder="1" applyAlignment="1">
      <alignment horizontal="center" vertical="center" wrapText="1"/>
    </xf>
    <xf numFmtId="0" fontId="0" fillId="0" borderId="47" xfId="0" applyBorder="1" applyAlignment="1">
      <alignment vertical="center" wrapText="1"/>
    </xf>
    <xf numFmtId="0" fontId="26" fillId="0" borderId="30" xfId="0" applyFont="1" applyBorder="1" applyAlignment="1">
      <alignment horizontal="right" vertical="center"/>
    </xf>
    <xf numFmtId="0" fontId="26" fillId="0" borderId="33" xfId="0" applyFont="1" applyBorder="1" applyAlignment="1">
      <alignment horizontal="right" vertical="center"/>
    </xf>
    <xf numFmtId="0" fontId="26" fillId="0" borderId="53" xfId="0" applyFont="1" applyBorder="1" applyAlignment="1">
      <alignment horizontal="right" vertical="center"/>
    </xf>
    <xf numFmtId="0" fontId="26" fillId="0" borderId="45" xfId="0" applyFont="1" applyBorder="1" applyAlignment="1">
      <alignment horizontal="right" vertical="center"/>
    </xf>
    <xf numFmtId="0" fontId="25" fillId="2" borderId="0" xfId="0" applyFont="1" applyFill="1" applyBorder="1" applyAlignment="1">
      <alignment horizontal="justify" vertical="center" wrapText="1"/>
    </xf>
    <xf numFmtId="0" fontId="12" fillId="2" borderId="0" xfId="0" applyFont="1" applyFill="1" applyBorder="1" applyAlignment="1">
      <alignment wrapText="1"/>
    </xf>
    <xf numFmtId="0" fontId="22" fillId="2" borderId="0" xfId="0" applyFont="1" applyFill="1" applyBorder="1" applyAlignment="1">
      <alignment horizontal="center" vertical="center" wrapText="1"/>
    </xf>
    <xf numFmtId="0" fontId="12" fillId="2" borderId="0" xfId="0" applyFont="1" applyFill="1" applyBorder="1" applyAlignment="1">
      <alignment horizontal="justify" vertical="center" wrapText="1"/>
    </xf>
    <xf numFmtId="0" fontId="42" fillId="3" borderId="46" xfId="0" applyFont="1" applyFill="1" applyBorder="1" applyAlignment="1">
      <alignment horizontal="center" vertical="center" wrapText="1"/>
    </xf>
    <xf numFmtId="0" fontId="42" fillId="3" borderId="47" xfId="0" applyFont="1" applyFill="1" applyBorder="1" applyAlignment="1">
      <alignment horizontal="center" vertical="center" wrapText="1"/>
    </xf>
    <xf numFmtId="0" fontId="45" fillId="3" borderId="41" xfId="0" applyFont="1" applyFill="1" applyBorder="1" applyAlignment="1">
      <alignment horizontal="center" vertical="center" wrapText="1"/>
    </xf>
    <xf numFmtId="0" fontId="0" fillId="0" borderId="40" xfId="0" applyBorder="1" applyAlignment="1">
      <alignment wrapText="1"/>
    </xf>
    <xf numFmtId="0" fontId="11" fillId="0" borderId="48" xfId="0" applyFont="1" applyBorder="1" applyAlignment="1">
      <alignment wrapText="1"/>
    </xf>
    <xf numFmtId="0" fontId="24" fillId="3" borderId="47"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13" fillId="2" borderId="48" xfId="0" applyFont="1" applyFill="1" applyBorder="1" applyAlignment="1">
      <alignment horizontal="left" wrapText="1"/>
    </xf>
    <xf numFmtId="0" fontId="12" fillId="2" borderId="40" xfId="0" applyFont="1" applyFill="1" applyBorder="1" applyAlignment="1">
      <alignment horizontal="left"/>
    </xf>
    <xf numFmtId="0" fontId="24" fillId="3" borderId="46" xfId="0" applyFont="1" applyFill="1" applyBorder="1" applyAlignment="1">
      <alignment horizontal="center" vertical="center" wrapText="1"/>
    </xf>
    <xf numFmtId="0" fontId="0" fillId="0" borderId="50" xfId="0" applyBorder="1" applyAlignment="1">
      <alignment horizontal="center" vertical="center" wrapText="1"/>
    </xf>
    <xf numFmtId="0" fontId="11" fillId="2" borderId="48" xfId="0" applyFont="1" applyFill="1" applyBorder="1" applyAlignment="1">
      <alignment wrapText="1"/>
    </xf>
    <xf numFmtId="0" fontId="9" fillId="2" borderId="40" xfId="0" applyFont="1" applyFill="1" applyBorder="1" applyAlignment="1">
      <alignment wrapText="1"/>
    </xf>
    <xf numFmtId="0" fontId="18" fillId="0" borderId="0" xfId="0" applyFont="1" applyFill="1" applyBorder="1" applyAlignment="1">
      <alignment wrapText="1"/>
    </xf>
    <xf numFmtId="0" fontId="66" fillId="0" borderId="0" xfId="0" applyFont="1" applyFill="1" applyBorder="1" applyAlignment="1">
      <alignment wrapText="1"/>
    </xf>
    <xf numFmtId="0" fontId="9" fillId="2" borderId="0" xfId="0" applyFont="1" applyFill="1" applyBorder="1" applyAlignment="1">
      <alignment wrapText="1"/>
    </xf>
    <xf numFmtId="0" fontId="0" fillId="2" borderId="0" xfId="0" applyFill="1" applyAlignment="1">
      <alignment wrapText="1"/>
    </xf>
    <xf numFmtId="0" fontId="62" fillId="2" borderId="9" xfId="0" applyFont="1" applyFill="1" applyBorder="1" applyAlignment="1">
      <alignment wrapText="1"/>
    </xf>
    <xf numFmtId="0" fontId="63" fillId="2" borderId="2" xfId="0" applyFont="1" applyFill="1" applyBorder="1" applyAlignment="1">
      <alignment wrapText="1"/>
    </xf>
    <xf numFmtId="0" fontId="63" fillId="2" borderId="3" xfId="0" applyFont="1" applyFill="1" applyBorder="1" applyAlignment="1">
      <alignment wrapText="1"/>
    </xf>
    <xf numFmtId="0" fontId="63" fillId="2" borderId="5" xfId="0" applyFont="1" applyFill="1" applyBorder="1" applyAlignment="1">
      <alignment wrapText="1"/>
    </xf>
    <xf numFmtId="0" fontId="63" fillId="2" borderId="13" xfId="0" applyFont="1" applyFill="1" applyBorder="1" applyAlignment="1">
      <alignment wrapText="1"/>
    </xf>
    <xf numFmtId="0" fontId="63" fillId="2" borderId="12" xfId="0" applyFont="1" applyFill="1" applyBorder="1" applyAlignment="1">
      <alignment wrapText="1"/>
    </xf>
    <xf numFmtId="0" fontId="0" fillId="2" borderId="14" xfId="0" applyFill="1" applyBorder="1" applyAlignment="1">
      <alignment wrapText="1"/>
    </xf>
    <xf numFmtId="0" fontId="18" fillId="2" borderId="0" xfId="0" applyFont="1" applyFill="1" applyBorder="1" applyAlignment="1">
      <alignment wrapText="1"/>
    </xf>
    <xf numFmtId="0" fontId="66" fillId="2" borderId="0" xfId="0" applyFont="1" applyFill="1" applyBorder="1" applyAlignment="1">
      <alignment wrapText="1"/>
    </xf>
    <xf numFmtId="0" fontId="66" fillId="2" borderId="14" xfId="0" applyFont="1" applyFill="1" applyBorder="1" applyAlignment="1">
      <alignment wrapText="1"/>
    </xf>
    <xf numFmtId="0" fontId="9" fillId="0" borderId="0" xfId="0" applyFont="1" applyFill="1" applyAlignment="1">
      <alignment wrapText="1"/>
    </xf>
    <xf numFmtId="0" fontId="0" fillId="0" borderId="0" xfId="0" applyFill="1" applyAlignment="1">
      <alignment wrapText="1"/>
    </xf>
    <xf numFmtId="0" fontId="24" fillId="0" borderId="0" xfId="0" applyFont="1" applyFill="1" applyBorder="1" applyAlignment="1">
      <alignment horizontal="center" vertical="center"/>
    </xf>
    <xf numFmtId="0" fontId="17" fillId="0" borderId="84" xfId="0" applyFont="1" applyFill="1" applyBorder="1" applyAlignment="1">
      <alignment horizontal="center" vertical="top" wrapText="1"/>
    </xf>
    <xf numFmtId="0" fontId="17" fillId="0" borderId="85" xfId="0" applyFont="1" applyFill="1" applyBorder="1" applyAlignment="1">
      <alignment horizontal="center" vertical="top" wrapText="1"/>
    </xf>
    <xf numFmtId="0" fontId="17" fillId="0" borderId="86" xfId="0" applyFont="1" applyFill="1" applyBorder="1" applyAlignment="1">
      <alignment horizontal="center" vertical="top" wrapText="1"/>
    </xf>
    <xf numFmtId="0" fontId="0" fillId="0" borderId="0" xfId="0" applyBorder="1" applyAlignment="1">
      <alignment horizontal="center"/>
    </xf>
    <xf numFmtId="0" fontId="55" fillId="9" borderId="0" xfId="0" applyFont="1" applyFill="1" applyBorder="1" applyAlignment="1">
      <alignment horizontal="left" vertical="top"/>
    </xf>
    <xf numFmtId="0" fontId="55" fillId="0" borderId="93" xfId="0" applyFont="1" applyFill="1" applyBorder="1" applyAlignment="1">
      <alignment horizontal="center" vertical="top" wrapText="1"/>
    </xf>
    <xf numFmtId="0" fontId="55" fillId="0" borderId="94" xfId="0" applyFont="1" applyFill="1" applyBorder="1" applyAlignment="1">
      <alignment horizontal="center" vertical="top" wrapText="1"/>
    </xf>
    <xf numFmtId="0" fontId="55" fillId="0" borderId="95" xfId="0" applyFont="1" applyFill="1" applyBorder="1" applyAlignment="1">
      <alignment horizontal="center" vertical="top" wrapText="1"/>
    </xf>
    <xf numFmtId="0" fontId="0" fillId="0" borderId="87" xfId="0" applyBorder="1" applyAlignment="1">
      <alignment horizontal="center"/>
    </xf>
    <xf numFmtId="0" fontId="0" fillId="8" borderId="87" xfId="0" applyFill="1" applyBorder="1" applyAlignment="1">
      <alignment horizontal="center"/>
    </xf>
    <xf numFmtId="0" fontId="55" fillId="9" borderId="0" xfId="0" applyFont="1" applyFill="1" applyBorder="1" applyAlignment="1">
      <alignment horizontal="left" vertical="top" wrapText="1"/>
    </xf>
    <xf numFmtId="0" fontId="0" fillId="8" borderId="98" xfId="0" applyFill="1" applyBorder="1" applyAlignment="1">
      <alignment horizontal="left"/>
    </xf>
    <xf numFmtId="0" fontId="17" fillId="8" borderId="87" xfId="0" applyFont="1" applyFill="1" applyBorder="1" applyAlignment="1">
      <alignment horizontal="center" vertical="center" wrapText="1"/>
    </xf>
    <xf numFmtId="0" fontId="1" fillId="0" borderId="87" xfId="0" applyFont="1" applyBorder="1" applyAlignment="1">
      <alignment horizontal="center"/>
    </xf>
    <xf numFmtId="0" fontId="17" fillId="0" borderId="87" xfId="0" applyFont="1" applyFill="1" applyBorder="1" applyAlignment="1">
      <alignment horizontal="center" vertical="center" wrapText="1"/>
    </xf>
    <xf numFmtId="0" fontId="0" fillId="0" borderId="96" xfId="0" applyBorder="1" applyAlignment="1">
      <alignment horizontal="center"/>
    </xf>
    <xf numFmtId="0" fontId="17" fillId="0" borderId="87" xfId="0" applyFont="1" applyFill="1" applyBorder="1" applyAlignment="1">
      <alignment horizontal="center" vertical="top" wrapText="1"/>
    </xf>
    <xf numFmtId="0" fontId="1" fillId="0" borderId="97" xfId="0" applyFont="1" applyBorder="1" applyAlignment="1">
      <alignment horizontal="left" wrapText="1"/>
    </xf>
    <xf numFmtId="0" fontId="1" fillId="0" borderId="99" xfId="0" applyFont="1" applyBorder="1" applyAlignment="1">
      <alignment horizontal="left" wrapText="1"/>
    </xf>
    <xf numFmtId="0" fontId="19" fillId="0" borderId="97" xfId="0" applyNumberFormat="1" applyFont="1" applyFill="1" applyBorder="1" applyAlignment="1" applyProtection="1">
      <alignment horizontal="center" wrapText="1"/>
    </xf>
    <xf numFmtId="0" fontId="19" fillId="0" borderId="99" xfId="0" applyNumberFormat="1" applyFont="1" applyFill="1" applyBorder="1" applyAlignment="1" applyProtection="1">
      <alignment horizontal="center" wrapText="1"/>
    </xf>
    <xf numFmtId="0" fontId="19" fillId="0" borderId="97" xfId="0" applyNumberFormat="1" applyFont="1" applyFill="1" applyBorder="1" applyAlignment="1" applyProtection="1">
      <alignment horizontal="center"/>
    </xf>
    <xf numFmtId="0" fontId="19" fillId="0" borderId="99" xfId="0" applyNumberFormat="1" applyFont="1" applyFill="1" applyBorder="1" applyAlignment="1" applyProtection="1">
      <alignment horizontal="center"/>
    </xf>
    <xf numFmtId="0" fontId="17" fillId="0" borderId="97" xfId="0" applyFont="1" applyFill="1" applyBorder="1" applyAlignment="1">
      <alignment horizontal="center" vertical="top" wrapText="1"/>
    </xf>
    <xf numFmtId="0" fontId="17" fillId="0" borderId="99" xfId="0" applyFont="1" applyFill="1" applyBorder="1" applyAlignment="1">
      <alignment horizontal="center" vertical="top" wrapText="1"/>
    </xf>
    <xf numFmtId="0" fontId="17" fillId="0" borderId="93" xfId="0" applyFont="1" applyFill="1" applyBorder="1" applyAlignment="1">
      <alignment horizontal="center" vertical="top" wrapText="1"/>
    </xf>
    <xf numFmtId="0" fontId="17" fillId="0" borderId="94" xfId="0" applyFont="1" applyFill="1" applyBorder="1" applyAlignment="1">
      <alignment horizontal="center" vertical="top" wrapText="1"/>
    </xf>
    <xf numFmtId="0" fontId="17" fillId="0" borderId="95" xfId="0" applyFont="1" applyFill="1" applyBorder="1" applyAlignment="1">
      <alignment horizontal="center" vertical="top" wrapText="1"/>
    </xf>
    <xf numFmtId="0" fontId="17" fillId="0" borderId="97" xfId="0" applyFont="1" applyFill="1" applyBorder="1" applyAlignment="1">
      <alignment horizontal="center" vertical="center" wrapText="1"/>
    </xf>
    <xf numFmtId="0" fontId="17" fillId="0" borderId="99" xfId="0" applyFont="1" applyFill="1" applyBorder="1" applyAlignment="1">
      <alignment horizontal="center" vertical="center" wrapText="1"/>
    </xf>
    <xf numFmtId="0" fontId="17" fillId="8" borderId="97" xfId="0" applyFont="1" applyFill="1" applyBorder="1" applyAlignment="1">
      <alignment horizontal="center" vertical="center" wrapText="1"/>
    </xf>
    <xf numFmtId="0" fontId="17" fillId="8" borderId="99" xfId="0" applyFont="1" applyFill="1" applyBorder="1" applyAlignment="1">
      <alignment horizontal="center" vertical="center" wrapText="1"/>
    </xf>
    <xf numFmtId="0" fontId="55" fillId="9" borderId="0" xfId="0" applyFont="1" applyFill="1" applyAlignment="1">
      <alignment horizontal="left"/>
    </xf>
    <xf numFmtId="0" fontId="1" fillId="0" borderId="87" xfId="0" applyFont="1" applyBorder="1" applyAlignment="1">
      <alignment horizontal="center" wrapText="1"/>
    </xf>
    <xf numFmtId="0" fontId="55" fillId="9" borderId="0" xfId="0" applyFont="1" applyFill="1" applyAlignment="1">
      <alignment horizontal="left" vertical="top" wrapText="1"/>
    </xf>
    <xf numFmtId="0" fontId="3" fillId="0" borderId="87" xfId="0" applyFont="1" applyFill="1" applyBorder="1" applyAlignment="1">
      <alignment horizontal="center"/>
    </xf>
    <xf numFmtId="0" fontId="71" fillId="7" borderId="87" xfId="0" applyFont="1" applyFill="1" applyBorder="1" applyAlignment="1">
      <alignment horizontal="left" vertical="center" wrapText="1"/>
    </xf>
    <xf numFmtId="0" fontId="85" fillId="3" borderId="87" xfId="0" applyFont="1" applyFill="1" applyBorder="1" applyAlignment="1">
      <alignment horizontal="left" vertical="center" wrapText="1"/>
    </xf>
    <xf numFmtId="0" fontId="71" fillId="7" borderId="87" xfId="0" applyFont="1" applyFill="1" applyBorder="1" applyAlignment="1">
      <alignment horizontal="center"/>
    </xf>
    <xf numFmtId="0" fontId="71" fillId="7" borderId="87" xfId="0" applyFont="1" applyFill="1" applyBorder="1" applyAlignment="1">
      <alignment horizontal="center" vertical="top" wrapText="1"/>
    </xf>
    <xf numFmtId="0" fontId="85" fillId="3" borderId="95" xfId="0" applyFont="1" applyFill="1" applyBorder="1" applyAlignment="1">
      <alignment horizontal="left" vertical="center" wrapText="1"/>
    </xf>
    <xf numFmtId="0" fontId="0" fillId="0" borderId="87" xfId="0" applyFill="1" applyBorder="1" applyAlignment="1">
      <alignment horizontal="center"/>
    </xf>
    <xf numFmtId="0" fontId="0" fillId="7" borderId="102" xfId="0" applyFill="1" applyBorder="1" applyAlignment="1">
      <alignment horizontal="center"/>
    </xf>
    <xf numFmtId="0" fontId="0" fillId="7" borderId="103" xfId="0" applyFill="1" applyBorder="1" applyAlignment="1">
      <alignment horizontal="center"/>
    </xf>
    <xf numFmtId="0" fontId="0" fillId="7" borderId="101" xfId="0" applyFill="1" applyBorder="1" applyAlignment="1">
      <alignment horizontal="center"/>
    </xf>
    <xf numFmtId="0" fontId="87" fillId="3" borderId="87" xfId="0" applyFont="1" applyFill="1" applyBorder="1" applyAlignment="1">
      <alignment horizontal="left" vertical="center" wrapText="1"/>
    </xf>
    <xf numFmtId="0" fontId="0" fillId="7" borderId="87" xfId="0" applyFill="1" applyBorder="1" applyAlignment="1">
      <alignment horizontal="center"/>
    </xf>
    <xf numFmtId="0" fontId="71" fillId="3" borderId="111" xfId="0" applyNumberFormat="1" applyFont="1" applyFill="1" applyBorder="1" applyAlignment="1"/>
    <xf numFmtId="0" fontId="0" fillId="0" borderId="110" xfId="0" applyBorder="1" applyAlignment="1"/>
    <xf numFmtId="0" fontId="38" fillId="0" borderId="0" xfId="0" applyFont="1" applyFill="1" applyBorder="1" applyAlignment="1">
      <alignment horizontal="left" vertical="center" wrapText="1"/>
    </xf>
    <xf numFmtId="0" fontId="0" fillId="0" borderId="0" xfId="0" applyFill="1" applyBorder="1" applyAlignment="1"/>
    <xf numFmtId="0" fontId="68" fillId="0" borderId="74" xfId="0" applyFont="1" applyBorder="1" applyAlignment="1">
      <alignment horizontal="left" vertical="center" wrapText="1"/>
    </xf>
    <xf numFmtId="0" fontId="68" fillId="0" borderId="72" xfId="0" applyFont="1" applyBorder="1" applyAlignment="1">
      <alignment horizontal="left" vertical="center" wrapText="1"/>
    </xf>
    <xf numFmtId="0" fontId="68" fillId="0" borderId="68" xfId="0" applyFont="1" applyBorder="1" applyAlignment="1">
      <alignment horizontal="left" vertical="center" wrapText="1"/>
    </xf>
    <xf numFmtId="0" fontId="42" fillId="3" borderId="79" xfId="0" applyFont="1" applyFill="1" applyBorder="1" applyAlignment="1">
      <alignment horizontal="left" vertical="center" wrapText="1"/>
    </xf>
    <xf numFmtId="0" fontId="0" fillId="0" borderId="80" xfId="0" applyBorder="1" applyAlignment="1"/>
    <xf numFmtId="0" fontId="25" fillId="0" borderId="15" xfId="0" applyFont="1" applyBorder="1" applyAlignment="1">
      <alignment horizontal="left" vertical="center" wrapText="1"/>
    </xf>
    <xf numFmtId="0" fontId="25" fillId="0" borderId="27" xfId="0" applyFont="1" applyBorder="1" applyAlignment="1">
      <alignment horizontal="left" vertical="center" wrapText="1"/>
    </xf>
    <xf numFmtId="0" fontId="25" fillId="0" borderId="22" xfId="0" applyFont="1" applyBorder="1" applyAlignment="1">
      <alignment horizontal="left" vertical="center" wrapText="1"/>
    </xf>
    <xf numFmtId="0" fontId="25" fillId="0" borderId="0" xfId="0" applyFont="1" applyFill="1" applyBorder="1" applyAlignment="1">
      <alignment horizontal="right" vertical="center"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5" fillId="0" borderId="32" xfId="0" applyFont="1" applyBorder="1" applyAlignment="1">
      <alignment horizontal="left" vertical="center" wrapText="1"/>
    </xf>
    <xf numFmtId="0" fontId="38" fillId="3" borderId="38" xfId="0" applyFont="1" applyFill="1" applyBorder="1" applyAlignment="1">
      <alignment horizontal="left" vertical="center"/>
    </xf>
    <xf numFmtId="0" fontId="0" fillId="0" borderId="38" xfId="0" applyBorder="1" applyAlignment="1"/>
    <xf numFmtId="0" fontId="0" fillId="0" borderId="36" xfId="0" applyBorder="1" applyAlignment="1"/>
    <xf numFmtId="0" fontId="38" fillId="0" borderId="0" xfId="0" applyFont="1" applyFill="1" applyBorder="1" applyAlignment="1">
      <alignment horizontal="left" vertical="center"/>
    </xf>
    <xf numFmtId="0" fontId="38" fillId="3" borderId="104" xfId="0" applyFont="1" applyFill="1" applyBorder="1" applyAlignment="1">
      <alignment horizontal="left" wrapText="1"/>
    </xf>
    <xf numFmtId="0" fontId="38" fillId="3" borderId="18" xfId="0" applyFont="1" applyFill="1" applyBorder="1" applyAlignment="1">
      <alignment horizontal="left" wrapText="1"/>
    </xf>
    <xf numFmtId="0" fontId="38" fillId="3" borderId="17" xfId="0" applyFont="1" applyFill="1" applyBorder="1" applyAlignment="1">
      <alignment horizontal="left" wrapText="1"/>
    </xf>
    <xf numFmtId="0" fontId="89" fillId="0" borderId="29" xfId="0" applyFont="1" applyBorder="1" applyAlignment="1">
      <alignment horizontal="left" wrapText="1"/>
    </xf>
    <xf numFmtId="0" fontId="89" fillId="0" borderId="27" xfId="0" applyFont="1" applyBorder="1" applyAlignment="1">
      <alignment horizontal="left" wrapText="1"/>
    </xf>
    <xf numFmtId="0" fontId="89" fillId="0" borderId="22" xfId="0" applyFont="1" applyBorder="1" applyAlignment="1">
      <alignment horizontal="left" wrapText="1"/>
    </xf>
    <xf numFmtId="0" fontId="89" fillId="0" borderId="30" xfId="0" applyFont="1" applyBorder="1" applyAlignment="1">
      <alignment horizontal="left" wrapText="1"/>
    </xf>
    <xf numFmtId="0" fontId="89" fillId="0" borderId="33" xfId="0" applyFont="1" applyBorder="1" applyAlignment="1">
      <alignment horizontal="left" wrapText="1"/>
    </xf>
    <xf numFmtId="0" fontId="89" fillId="0" borderId="76" xfId="0" applyFont="1" applyBorder="1" applyAlignment="1">
      <alignment horizontal="left" wrapText="1"/>
    </xf>
    <xf numFmtId="0" fontId="89" fillId="0" borderId="105" xfId="0" applyFont="1" applyBorder="1" applyAlignment="1">
      <alignment horizontal="left" wrapText="1"/>
    </xf>
    <xf numFmtId="0" fontId="89" fillId="0" borderId="31" xfId="0" applyFont="1" applyBorder="1" applyAlignment="1">
      <alignment horizontal="left" wrapText="1"/>
    </xf>
    <xf numFmtId="0" fontId="89" fillId="0" borderId="32" xfId="0" applyFont="1" applyBorder="1" applyAlignment="1">
      <alignment horizontal="left" wrapText="1"/>
    </xf>
    <xf numFmtId="0" fontId="89" fillId="0" borderId="73" xfId="0" applyFont="1" applyBorder="1" applyAlignment="1">
      <alignment horizontal="left" wrapText="1"/>
    </xf>
    <xf numFmtId="0" fontId="89" fillId="0" borderId="106" xfId="0" applyFont="1" applyBorder="1" applyAlignment="1">
      <alignment horizontal="left" wrapText="1"/>
    </xf>
    <xf numFmtId="0" fontId="11" fillId="0" borderId="0" xfId="0" applyFont="1" applyFill="1" applyBorder="1" applyAlignment="1">
      <alignment wrapText="1"/>
    </xf>
    <xf numFmtId="0" fontId="9" fillId="0" borderId="0" xfId="0" applyFont="1" applyFill="1" applyBorder="1" applyAlignment="1">
      <alignment wrapText="1"/>
    </xf>
    <xf numFmtId="0" fontId="0" fillId="0" borderId="0" xfId="0" applyAlignment="1"/>
    <xf numFmtId="0" fontId="38" fillId="3" borderId="81" xfId="0" applyNumberFormat="1" applyFont="1" applyFill="1" applyBorder="1" applyAlignment="1">
      <alignment horizontal="left" vertical="center"/>
    </xf>
    <xf numFmtId="0" fontId="0" fillId="0" borderId="82" xfId="0" applyBorder="1" applyAlignment="1"/>
    <xf numFmtId="0" fontId="0" fillId="0" borderId="83" xfId="0" applyBorder="1" applyAlignment="1"/>
    <xf numFmtId="0" fontId="11" fillId="0" borderId="110" xfId="0" applyFont="1" applyFill="1" applyBorder="1" applyAlignment="1">
      <alignment wrapText="1"/>
    </xf>
    <xf numFmtId="0" fontId="9" fillId="0" borderId="110" xfId="0" applyFont="1" applyFill="1" applyBorder="1" applyAlignment="1">
      <alignment wrapText="1"/>
    </xf>
    <xf numFmtId="0" fontId="38" fillId="3" borderId="57" xfId="0" applyNumberFormat="1" applyFont="1" applyFill="1" applyBorder="1" applyAlignment="1">
      <alignment horizontal="left" vertical="center" wrapText="1"/>
    </xf>
    <xf numFmtId="0" fontId="26" fillId="0" borderId="104" xfId="0" applyFont="1" applyBorder="1" applyAlignment="1">
      <alignment horizontal="left" wrapText="1"/>
    </xf>
    <xf numFmtId="0" fontId="26" fillId="0" borderId="18" xfId="0" applyFont="1" applyBorder="1" applyAlignment="1">
      <alignment horizontal="left" wrapText="1"/>
    </xf>
    <xf numFmtId="0" fontId="26" fillId="0" borderId="19" xfId="0" applyFont="1" applyBorder="1" applyAlignment="1">
      <alignment horizontal="left" wrapText="1"/>
    </xf>
    <xf numFmtId="0" fontId="38" fillId="3" borderId="107" xfId="0" applyFont="1" applyFill="1" applyBorder="1" applyAlignment="1">
      <alignment horizontal="left"/>
    </xf>
    <xf numFmtId="0" fontId="38" fillId="3" borderId="64" xfId="0" applyFont="1" applyFill="1" applyBorder="1" applyAlignment="1">
      <alignment horizontal="left"/>
    </xf>
    <xf numFmtId="0" fontId="38" fillId="3" borderId="44" xfId="0" applyFont="1" applyFill="1" applyBorder="1" applyAlignment="1">
      <alignment horizontal="left"/>
    </xf>
    <xf numFmtId="0" fontId="38" fillId="3" borderId="57" xfId="0" applyFont="1" applyFill="1"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0" fontId="0" fillId="0" borderId="0" xfId="0" applyFill="1" applyBorder="1" applyAlignment="1">
      <alignment horizontal="right" vertical="center" wrapText="1"/>
    </xf>
    <xf numFmtId="0" fontId="38" fillId="3" borderId="78" xfId="0" applyFont="1" applyFill="1" applyBorder="1" applyAlignment="1">
      <alignment horizontal="left" vertical="center" wrapText="1"/>
    </xf>
    <xf numFmtId="0" fontId="0" fillId="0" borderId="78" xfId="0" applyBorder="1" applyAlignment="1">
      <alignment horizontal="left" vertical="center" wrapText="1"/>
    </xf>
  </cellXfs>
  <cellStyles count="3">
    <cellStyle name="Millares" xfId="1" builtinId="3"/>
    <cellStyle name="Normal" xfId="0" builtinId="0"/>
    <cellStyle name="Porcentaje" xfId="2" builtinId="5"/>
  </cellStyles>
  <dxfs count="38">
    <dxf>
      <numFmt numFmtId="35" formatCode="_-* #,##0.00_-;\-* #,##0.00_-;_-* &quot;-&quot;??_-;_-@_-"/>
    </dxf>
    <dxf>
      <border>
        <left style="medium">
          <color indexed="64"/>
        </left>
        <right style="medium">
          <color indexed="64"/>
        </right>
        <top style="medium">
          <color indexed="64"/>
        </top>
        <bottom style="medium">
          <color indexed="64"/>
        </bottom>
      </border>
    </dxf>
    <dxf>
      <font>
        <sz val="9"/>
      </font>
    </dxf>
    <dxf>
      <numFmt numFmtId="166" formatCode="_-* #,##0_-;\-* #,##0_-;_-* &quot;-&quot;??_-;_-@_-"/>
    </dxf>
    <dxf>
      <font>
        <sz val="9"/>
      </font>
    </dxf>
    <dxf>
      <alignment wrapText="1" readingOrder="0"/>
    </dxf>
    <dxf>
      <font>
        <sz val="9"/>
      </font>
    </dxf>
    <dxf>
      <font>
        <sz val="9"/>
      </font>
    </dxf>
    <dxf>
      <font>
        <sz val="9"/>
      </font>
    </dxf>
    <dxf>
      <font>
        <sz val="9"/>
      </font>
    </dxf>
    <dxf>
      <border>
        <left style="medium">
          <color indexed="64"/>
        </left>
        <right style="medium">
          <color indexed="64"/>
        </right>
        <top style="medium">
          <color indexed="64"/>
        </top>
        <bottom style="medium">
          <color indexed="64"/>
        </bottom>
      </border>
    </dxf>
    <dxf>
      <font>
        <sz val="9"/>
      </font>
    </dxf>
    <dxf>
      <numFmt numFmtId="166" formatCode="_-* #,##0_-;\-* #,##0_-;_-* &quot;-&quot;??_-;_-@_-"/>
    </dxf>
    <dxf>
      <alignment wrapText="1" readingOrder="0"/>
    </dxf>
    <dxf>
      <font>
        <sz val="9"/>
      </font>
    </dxf>
    <dxf>
      <font>
        <sz val="9"/>
      </font>
    </dxf>
    <dxf>
      <font>
        <sz val="9"/>
      </font>
    </dxf>
    <dxf>
      <font>
        <sz val="9"/>
      </font>
    </dxf>
    <dxf>
      <border>
        <left style="medium">
          <color indexed="64"/>
        </left>
        <right style="medium">
          <color indexed="64"/>
        </right>
        <top style="medium">
          <color indexed="64"/>
        </top>
        <bottom style="medium">
          <color indexed="64"/>
        </bottom>
      </border>
    </dxf>
    <dxf>
      <font>
        <sz val="9"/>
      </font>
    </dxf>
    <dxf>
      <alignment wrapText="1" readingOrder="0"/>
    </dxf>
    <dxf>
      <numFmt numFmtId="166" formatCode="_-* #,##0_-;\-* #,##0_-;_-* &quot;-&quot;??_-;_-@_-"/>
    </dxf>
    <dxf>
      <font>
        <sz val="9"/>
      </font>
    </dxf>
    <dxf>
      <font>
        <sz val="9"/>
      </font>
    </dxf>
    <dxf>
      <font>
        <sz val="9"/>
      </font>
    </dxf>
    <dxf>
      <font>
        <sz val="9"/>
      </font>
    </dxf>
    <dxf>
      <font>
        <sz val="10"/>
      </font>
    </dxf>
    <dxf>
      <font>
        <sz val="9"/>
      </font>
    </dxf>
    <dxf>
      <font>
        <sz val="9"/>
      </font>
    </dxf>
    <dxf>
      <font>
        <sz val="9"/>
      </font>
    </dxf>
    <dxf>
      <font>
        <color auto="1"/>
      </font>
    </dxf>
    <dxf>
      <font>
        <b/>
      </font>
    </dxf>
    <dxf>
      <font>
        <sz val="9"/>
      </font>
    </dxf>
    <dxf>
      <font>
        <sz val="9"/>
      </font>
    </dxf>
    <dxf>
      <numFmt numFmtId="167" formatCode="0.0"/>
    </dxf>
    <dxf>
      <font>
        <sz val="9"/>
      </font>
    </dxf>
    <dxf>
      <numFmt numFmtId="19" formatCode="dd/mm/yyyy"/>
    </dxf>
    <dxf>
      <numFmt numFmtId="19" formatCode="dd/mm/yyyy"/>
    </dxf>
  </dxfs>
  <tableStyles count="0" defaultTableStyle="TableStyleMedium9" defaultPivotStyle="PivotStyleLight16"/>
  <colors>
    <mruColors>
      <color rgb="FF9BBB59"/>
      <color rgb="FF00CC66"/>
      <color rgb="FFB889DB"/>
      <color rgb="FFEEFFE1"/>
      <color rgb="FF339933"/>
      <color rgb="FFD2F583"/>
      <color rgb="FFECDFF5"/>
      <color rgb="FFFFEDB3"/>
      <color rgb="FFD9FF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0"/>
          <c:order val="0"/>
          <c:cat>
            <c:numRef>
              <c:f>Referencias_Dimensiones!$A$103:$A$168</c:f>
              <c:numCache>
                <c:formatCode>m/d/yyyy</c:formatCode>
                <c:ptCount val="66"/>
                <c:pt idx="0">
                  <c:v>40575</c:v>
                </c:pt>
                <c:pt idx="1">
                  <c:v>40605</c:v>
                </c:pt>
                <c:pt idx="2">
                  <c:v>40635</c:v>
                </c:pt>
                <c:pt idx="3">
                  <c:v>40665</c:v>
                </c:pt>
                <c:pt idx="4">
                  <c:v>40695</c:v>
                </c:pt>
                <c:pt idx="5">
                  <c:v>40725</c:v>
                </c:pt>
                <c:pt idx="6">
                  <c:v>40755</c:v>
                </c:pt>
                <c:pt idx="7">
                  <c:v>40785</c:v>
                </c:pt>
                <c:pt idx="8">
                  <c:v>40815</c:v>
                </c:pt>
                <c:pt idx="9">
                  <c:v>40845</c:v>
                </c:pt>
                <c:pt idx="10">
                  <c:v>40875</c:v>
                </c:pt>
                <c:pt idx="11">
                  <c:v>40905</c:v>
                </c:pt>
                <c:pt idx="12">
                  <c:v>40935</c:v>
                </c:pt>
                <c:pt idx="13">
                  <c:v>40965</c:v>
                </c:pt>
                <c:pt idx="14">
                  <c:v>40995</c:v>
                </c:pt>
                <c:pt idx="15">
                  <c:v>41025</c:v>
                </c:pt>
                <c:pt idx="16">
                  <c:v>41055</c:v>
                </c:pt>
                <c:pt idx="17">
                  <c:v>41085</c:v>
                </c:pt>
                <c:pt idx="18">
                  <c:v>41115</c:v>
                </c:pt>
                <c:pt idx="19">
                  <c:v>41145</c:v>
                </c:pt>
                <c:pt idx="20">
                  <c:v>41175</c:v>
                </c:pt>
                <c:pt idx="21">
                  <c:v>41205</c:v>
                </c:pt>
                <c:pt idx="22">
                  <c:v>41235</c:v>
                </c:pt>
                <c:pt idx="23">
                  <c:v>41265</c:v>
                </c:pt>
                <c:pt idx="24">
                  <c:v>41295</c:v>
                </c:pt>
                <c:pt idx="25">
                  <c:v>41325</c:v>
                </c:pt>
                <c:pt idx="26">
                  <c:v>41355</c:v>
                </c:pt>
                <c:pt idx="27">
                  <c:v>41385</c:v>
                </c:pt>
                <c:pt idx="28">
                  <c:v>41415</c:v>
                </c:pt>
                <c:pt idx="29">
                  <c:v>41445</c:v>
                </c:pt>
                <c:pt idx="30">
                  <c:v>41475</c:v>
                </c:pt>
                <c:pt idx="31">
                  <c:v>41505</c:v>
                </c:pt>
                <c:pt idx="32">
                  <c:v>41535</c:v>
                </c:pt>
                <c:pt idx="33">
                  <c:v>41565</c:v>
                </c:pt>
                <c:pt idx="34">
                  <c:v>41595</c:v>
                </c:pt>
                <c:pt idx="35">
                  <c:v>41625</c:v>
                </c:pt>
                <c:pt idx="36">
                  <c:v>41655</c:v>
                </c:pt>
                <c:pt idx="37">
                  <c:v>41685</c:v>
                </c:pt>
                <c:pt idx="38">
                  <c:v>41715</c:v>
                </c:pt>
                <c:pt idx="39">
                  <c:v>41745</c:v>
                </c:pt>
                <c:pt idx="40">
                  <c:v>41775</c:v>
                </c:pt>
                <c:pt idx="41">
                  <c:v>41805</c:v>
                </c:pt>
                <c:pt idx="42">
                  <c:v>41835</c:v>
                </c:pt>
                <c:pt idx="43">
                  <c:v>41865</c:v>
                </c:pt>
                <c:pt idx="44">
                  <c:v>41895</c:v>
                </c:pt>
                <c:pt idx="45">
                  <c:v>41925</c:v>
                </c:pt>
                <c:pt idx="46">
                  <c:v>41955</c:v>
                </c:pt>
                <c:pt idx="47">
                  <c:v>41985</c:v>
                </c:pt>
                <c:pt idx="48">
                  <c:v>42015</c:v>
                </c:pt>
                <c:pt idx="49">
                  <c:v>42045</c:v>
                </c:pt>
                <c:pt idx="50">
                  <c:v>42075</c:v>
                </c:pt>
                <c:pt idx="51">
                  <c:v>42105</c:v>
                </c:pt>
                <c:pt idx="52">
                  <c:v>42135</c:v>
                </c:pt>
                <c:pt idx="53">
                  <c:v>42165</c:v>
                </c:pt>
                <c:pt idx="54">
                  <c:v>42195</c:v>
                </c:pt>
                <c:pt idx="55">
                  <c:v>42225</c:v>
                </c:pt>
                <c:pt idx="56">
                  <c:v>42255</c:v>
                </c:pt>
                <c:pt idx="57">
                  <c:v>42285</c:v>
                </c:pt>
                <c:pt idx="58">
                  <c:v>42315</c:v>
                </c:pt>
                <c:pt idx="59">
                  <c:v>42345</c:v>
                </c:pt>
                <c:pt idx="60">
                  <c:v>42375</c:v>
                </c:pt>
                <c:pt idx="61">
                  <c:v>42405</c:v>
                </c:pt>
                <c:pt idx="62">
                  <c:v>42435</c:v>
                </c:pt>
                <c:pt idx="63">
                  <c:v>42465</c:v>
                </c:pt>
                <c:pt idx="64">
                  <c:v>42495</c:v>
                </c:pt>
                <c:pt idx="65">
                  <c:v>42525</c:v>
                </c:pt>
              </c:numCache>
            </c:numRef>
          </c:cat>
          <c:val>
            <c:numRef>
              <c:f>Referencias_Dimensiones!$D$103:$D$168</c:f>
              <c:numCache>
                <c:formatCode>General</c:formatCode>
                <c:ptCount val="66"/>
                <c:pt idx="0">
                  <c:v>0</c:v>
                </c:pt>
                <c:pt idx="1">
                  <c:v>0</c:v>
                </c:pt>
                <c:pt idx="2">
                  <c:v>0</c:v>
                </c:pt>
                <c:pt idx="3">
                  <c:v>100</c:v>
                </c:pt>
                <c:pt idx="4">
                  <c:v>200</c:v>
                </c:pt>
                <c:pt idx="5">
                  <c:v>200</c:v>
                </c:pt>
                <c:pt idx="6">
                  <c:v>250</c:v>
                </c:pt>
                <c:pt idx="7">
                  <c:v>250</c:v>
                </c:pt>
                <c:pt idx="8">
                  <c:v>250</c:v>
                </c:pt>
                <c:pt idx="9">
                  <c:v>300</c:v>
                </c:pt>
                <c:pt idx="10">
                  <c:v>500</c:v>
                </c:pt>
                <c:pt idx="11">
                  <c:v>500</c:v>
                </c:pt>
                <c:pt idx="12">
                  <c:v>750</c:v>
                </c:pt>
                <c:pt idx="13">
                  <c:v>950</c:v>
                </c:pt>
                <c:pt idx="14">
                  <c:v>1050</c:v>
                </c:pt>
                <c:pt idx="15">
                  <c:v>1400</c:v>
                </c:pt>
                <c:pt idx="16">
                  <c:v>1600</c:v>
                </c:pt>
                <c:pt idx="17">
                  <c:v>1900</c:v>
                </c:pt>
                <c:pt idx="18">
                  <c:v>2100</c:v>
                </c:pt>
                <c:pt idx="19">
                  <c:v>2100</c:v>
                </c:pt>
                <c:pt idx="20">
                  <c:v>2200</c:v>
                </c:pt>
                <c:pt idx="21">
                  <c:v>2250</c:v>
                </c:pt>
                <c:pt idx="22">
                  <c:v>2250</c:v>
                </c:pt>
                <c:pt idx="23">
                  <c:v>2400</c:v>
                </c:pt>
                <c:pt idx="24">
                  <c:v>2400</c:v>
                </c:pt>
                <c:pt idx="25">
                  <c:v>2600</c:v>
                </c:pt>
                <c:pt idx="26">
                  <c:v>2600</c:v>
                </c:pt>
                <c:pt idx="27">
                  <c:v>2400</c:v>
                </c:pt>
                <c:pt idx="28">
                  <c:v>2250</c:v>
                </c:pt>
                <c:pt idx="29">
                  <c:v>2100</c:v>
                </c:pt>
                <c:pt idx="30">
                  <c:v>2100</c:v>
                </c:pt>
                <c:pt idx="31">
                  <c:v>2100</c:v>
                </c:pt>
                <c:pt idx="32">
                  <c:v>2300</c:v>
                </c:pt>
                <c:pt idx="33">
                  <c:v>2550</c:v>
                </c:pt>
                <c:pt idx="34">
                  <c:v>2650</c:v>
                </c:pt>
                <c:pt idx="35">
                  <c:v>2900</c:v>
                </c:pt>
                <c:pt idx="36">
                  <c:v>2900</c:v>
                </c:pt>
                <c:pt idx="37">
                  <c:v>2650</c:v>
                </c:pt>
                <c:pt idx="38">
                  <c:v>2650</c:v>
                </c:pt>
                <c:pt idx="39">
                  <c:v>2350</c:v>
                </c:pt>
                <c:pt idx="40">
                  <c:v>1850</c:v>
                </c:pt>
                <c:pt idx="41">
                  <c:v>1850</c:v>
                </c:pt>
                <c:pt idx="42">
                  <c:v>1850</c:v>
                </c:pt>
                <c:pt idx="43">
                  <c:v>1800</c:v>
                </c:pt>
                <c:pt idx="44">
                  <c:v>1750</c:v>
                </c:pt>
                <c:pt idx="45">
                  <c:v>1750</c:v>
                </c:pt>
                <c:pt idx="46">
                  <c:v>1750</c:v>
                </c:pt>
                <c:pt idx="47">
                  <c:v>1650</c:v>
                </c:pt>
                <c:pt idx="48">
                  <c:v>1600</c:v>
                </c:pt>
                <c:pt idx="49">
                  <c:v>1450</c:v>
                </c:pt>
                <c:pt idx="50">
                  <c:v>1250</c:v>
                </c:pt>
                <c:pt idx="51">
                  <c:v>900</c:v>
                </c:pt>
                <c:pt idx="52">
                  <c:v>800</c:v>
                </c:pt>
                <c:pt idx="53">
                  <c:v>600</c:v>
                </c:pt>
                <c:pt idx="54">
                  <c:v>500</c:v>
                </c:pt>
                <c:pt idx="55">
                  <c:v>450</c:v>
                </c:pt>
                <c:pt idx="56">
                  <c:v>450</c:v>
                </c:pt>
                <c:pt idx="57">
                  <c:v>350</c:v>
                </c:pt>
                <c:pt idx="58">
                  <c:v>300</c:v>
                </c:pt>
                <c:pt idx="59">
                  <c:v>300</c:v>
                </c:pt>
                <c:pt idx="60">
                  <c:v>150</c:v>
                </c:pt>
                <c:pt idx="61">
                  <c:v>150</c:v>
                </c:pt>
                <c:pt idx="62">
                  <c:v>100</c:v>
                </c:pt>
                <c:pt idx="63">
                  <c:v>0</c:v>
                </c:pt>
                <c:pt idx="64">
                  <c:v>0</c:v>
                </c:pt>
                <c:pt idx="65">
                  <c:v>0</c:v>
                </c:pt>
              </c:numCache>
            </c:numRef>
          </c:val>
          <c:smooth val="0"/>
        </c:ser>
        <c:dLbls>
          <c:showLegendKey val="0"/>
          <c:showVal val="0"/>
          <c:showCatName val="0"/>
          <c:showSerName val="0"/>
          <c:showPercent val="0"/>
          <c:showBubbleSize val="0"/>
        </c:dLbls>
        <c:marker val="1"/>
        <c:smooth val="0"/>
        <c:axId val="146667776"/>
        <c:axId val="147390848"/>
      </c:lineChart>
      <c:dateAx>
        <c:axId val="146667776"/>
        <c:scaling>
          <c:orientation val="minMax"/>
        </c:scaling>
        <c:delete val="0"/>
        <c:axPos val="b"/>
        <c:title>
          <c:tx>
            <c:rich>
              <a:bodyPr/>
              <a:lstStyle/>
              <a:p>
                <a:pPr>
                  <a:defRPr/>
                </a:pPr>
                <a:r>
                  <a:rPr lang="en-US"/>
                  <a:t>Mes/Año</a:t>
                </a:r>
              </a:p>
            </c:rich>
          </c:tx>
          <c:overlay val="0"/>
        </c:title>
        <c:numFmt formatCode="mm\/yy;@" sourceLinked="0"/>
        <c:majorTickMark val="out"/>
        <c:minorTickMark val="none"/>
        <c:tickLblPos val="nextTo"/>
        <c:crossAx val="147390848"/>
        <c:crosses val="autoZero"/>
        <c:auto val="1"/>
        <c:lblOffset val="100"/>
        <c:baseTimeUnit val="months"/>
      </c:dateAx>
      <c:valAx>
        <c:axId val="147390848"/>
        <c:scaling>
          <c:orientation val="minMax"/>
        </c:scaling>
        <c:delete val="0"/>
        <c:axPos val="l"/>
        <c:majorGridlines/>
        <c:title>
          <c:tx>
            <c:rich>
              <a:bodyPr rot="-5400000" vert="horz"/>
              <a:lstStyle/>
              <a:p>
                <a:pPr>
                  <a:defRPr/>
                </a:pPr>
                <a:r>
                  <a:rPr lang="en-US"/>
                  <a:t>Número de trabajadores</a:t>
                </a:r>
              </a:p>
            </c:rich>
          </c:tx>
          <c:overlay val="0"/>
        </c:title>
        <c:numFmt formatCode="General" sourceLinked="1"/>
        <c:majorTickMark val="out"/>
        <c:minorTickMark val="none"/>
        <c:tickLblPos val="nextTo"/>
        <c:crossAx val="146667776"/>
        <c:crosses val="autoZero"/>
        <c:crossBetween val="between"/>
      </c:valAx>
    </c:plotArea>
    <c:plotVisOnly val="1"/>
    <c:dispBlanksAs val="zero"/>
    <c:showDLblsOverMax val="0"/>
  </c:chart>
  <c:txPr>
    <a:bodyPr/>
    <a:lstStyle/>
    <a:p>
      <a:pPr>
        <a:defRPr sz="1000"/>
      </a:pPr>
      <a:endParaRPr lang="es-CL"/>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sz="1200" b="1" i="0" u="none" strike="noStrike" baseline="0">
                <a:effectLst/>
              </a:rPr>
              <a:t>Curva Ocupacional (estimada a partir de gráfico: Figura 4 Adenda 1)</a:t>
            </a:r>
            <a:r>
              <a:rPr lang="es-CL" sz="1200" b="1" i="0" u="none" strike="noStrike" baseline="0"/>
              <a:t> </a:t>
            </a:r>
            <a:endParaRPr lang="es-CL"/>
          </a:p>
        </c:rich>
      </c:tx>
      <c:overlay val="0"/>
    </c:title>
    <c:autoTitleDeleted val="0"/>
    <c:plotArea>
      <c:layout>
        <c:manualLayout>
          <c:layoutTarget val="inner"/>
          <c:xMode val="edge"/>
          <c:yMode val="edge"/>
          <c:x val="9.3479139193412678E-2"/>
          <c:y val="8.2552050876372698E-2"/>
          <c:w val="0.89047593298728511"/>
          <c:h val="0.76573612684481251"/>
        </c:manualLayout>
      </c:layout>
      <c:lineChart>
        <c:grouping val="stacked"/>
        <c:varyColors val="0"/>
        <c:ser>
          <c:idx val="0"/>
          <c:order val="0"/>
          <c:cat>
            <c:numRef>
              <c:f>Referencias_Dimensiones!$A$103:$A$168</c:f>
              <c:numCache>
                <c:formatCode>m/d/yyyy</c:formatCode>
                <c:ptCount val="66"/>
                <c:pt idx="0">
                  <c:v>40575</c:v>
                </c:pt>
                <c:pt idx="1">
                  <c:v>40605</c:v>
                </c:pt>
                <c:pt idx="2">
                  <c:v>40635</c:v>
                </c:pt>
                <c:pt idx="3">
                  <c:v>40665</c:v>
                </c:pt>
                <c:pt idx="4">
                  <c:v>40695</c:v>
                </c:pt>
                <c:pt idx="5">
                  <c:v>40725</c:v>
                </c:pt>
                <c:pt idx="6">
                  <c:v>40755</c:v>
                </c:pt>
                <c:pt idx="7">
                  <c:v>40785</c:v>
                </c:pt>
                <c:pt idx="8">
                  <c:v>40815</c:v>
                </c:pt>
                <c:pt idx="9">
                  <c:v>40845</c:v>
                </c:pt>
                <c:pt idx="10">
                  <c:v>40875</c:v>
                </c:pt>
                <c:pt idx="11">
                  <c:v>40905</c:v>
                </c:pt>
                <c:pt idx="12">
                  <c:v>40935</c:v>
                </c:pt>
                <c:pt idx="13">
                  <c:v>40965</c:v>
                </c:pt>
                <c:pt idx="14">
                  <c:v>40995</c:v>
                </c:pt>
                <c:pt idx="15">
                  <c:v>41025</c:v>
                </c:pt>
                <c:pt idx="16">
                  <c:v>41055</c:v>
                </c:pt>
                <c:pt idx="17">
                  <c:v>41085</c:v>
                </c:pt>
                <c:pt idx="18">
                  <c:v>41115</c:v>
                </c:pt>
                <c:pt idx="19">
                  <c:v>41145</c:v>
                </c:pt>
                <c:pt idx="20">
                  <c:v>41175</c:v>
                </c:pt>
                <c:pt idx="21">
                  <c:v>41205</c:v>
                </c:pt>
                <c:pt idx="22">
                  <c:v>41235</c:v>
                </c:pt>
                <c:pt idx="23">
                  <c:v>41265</c:v>
                </c:pt>
                <c:pt idx="24">
                  <c:v>41295</c:v>
                </c:pt>
                <c:pt idx="25">
                  <c:v>41325</c:v>
                </c:pt>
                <c:pt idx="26">
                  <c:v>41355</c:v>
                </c:pt>
                <c:pt idx="27">
                  <c:v>41385</c:v>
                </c:pt>
                <c:pt idx="28">
                  <c:v>41415</c:v>
                </c:pt>
                <c:pt idx="29">
                  <c:v>41445</c:v>
                </c:pt>
                <c:pt idx="30">
                  <c:v>41475</c:v>
                </c:pt>
                <c:pt idx="31">
                  <c:v>41505</c:v>
                </c:pt>
                <c:pt idx="32">
                  <c:v>41535</c:v>
                </c:pt>
                <c:pt idx="33">
                  <c:v>41565</c:v>
                </c:pt>
                <c:pt idx="34">
                  <c:v>41595</c:v>
                </c:pt>
                <c:pt idx="35">
                  <c:v>41625</c:v>
                </c:pt>
                <c:pt idx="36">
                  <c:v>41655</c:v>
                </c:pt>
                <c:pt idx="37">
                  <c:v>41685</c:v>
                </c:pt>
                <c:pt idx="38">
                  <c:v>41715</c:v>
                </c:pt>
                <c:pt idx="39">
                  <c:v>41745</c:v>
                </c:pt>
                <c:pt idx="40">
                  <c:v>41775</c:v>
                </c:pt>
                <c:pt idx="41">
                  <c:v>41805</c:v>
                </c:pt>
                <c:pt idx="42">
                  <c:v>41835</c:v>
                </c:pt>
                <c:pt idx="43">
                  <c:v>41865</c:v>
                </c:pt>
                <c:pt idx="44">
                  <c:v>41895</c:v>
                </c:pt>
                <c:pt idx="45">
                  <c:v>41925</c:v>
                </c:pt>
                <c:pt idx="46">
                  <c:v>41955</c:v>
                </c:pt>
                <c:pt idx="47">
                  <c:v>41985</c:v>
                </c:pt>
                <c:pt idx="48">
                  <c:v>42015</c:v>
                </c:pt>
                <c:pt idx="49">
                  <c:v>42045</c:v>
                </c:pt>
                <c:pt idx="50">
                  <c:v>42075</c:v>
                </c:pt>
                <c:pt idx="51">
                  <c:v>42105</c:v>
                </c:pt>
                <c:pt idx="52">
                  <c:v>42135</c:v>
                </c:pt>
                <c:pt idx="53">
                  <c:v>42165</c:v>
                </c:pt>
                <c:pt idx="54">
                  <c:v>42195</c:v>
                </c:pt>
                <c:pt idx="55">
                  <c:v>42225</c:v>
                </c:pt>
                <c:pt idx="56">
                  <c:v>42255</c:v>
                </c:pt>
                <c:pt idx="57">
                  <c:v>42285</c:v>
                </c:pt>
                <c:pt idx="58">
                  <c:v>42315</c:v>
                </c:pt>
                <c:pt idx="59">
                  <c:v>42345</c:v>
                </c:pt>
                <c:pt idx="60">
                  <c:v>42375</c:v>
                </c:pt>
                <c:pt idx="61">
                  <c:v>42405</c:v>
                </c:pt>
                <c:pt idx="62">
                  <c:v>42435</c:v>
                </c:pt>
                <c:pt idx="63">
                  <c:v>42465</c:v>
                </c:pt>
                <c:pt idx="64">
                  <c:v>42495</c:v>
                </c:pt>
                <c:pt idx="65">
                  <c:v>42525</c:v>
                </c:pt>
              </c:numCache>
            </c:numRef>
          </c:cat>
          <c:val>
            <c:numRef>
              <c:f>Referencias_Dimensiones!$D$103:$D$168</c:f>
              <c:numCache>
                <c:formatCode>General</c:formatCode>
                <c:ptCount val="66"/>
                <c:pt idx="0">
                  <c:v>0</c:v>
                </c:pt>
                <c:pt idx="1">
                  <c:v>0</c:v>
                </c:pt>
                <c:pt idx="2">
                  <c:v>0</c:v>
                </c:pt>
                <c:pt idx="3">
                  <c:v>100</c:v>
                </c:pt>
                <c:pt idx="4">
                  <c:v>200</c:v>
                </c:pt>
                <c:pt idx="5">
                  <c:v>200</c:v>
                </c:pt>
                <c:pt idx="6">
                  <c:v>250</c:v>
                </c:pt>
                <c:pt idx="7">
                  <c:v>250</c:v>
                </c:pt>
                <c:pt idx="8">
                  <c:v>250</c:v>
                </c:pt>
                <c:pt idx="9">
                  <c:v>300</c:v>
                </c:pt>
                <c:pt idx="10">
                  <c:v>500</c:v>
                </c:pt>
                <c:pt idx="11">
                  <c:v>500</c:v>
                </c:pt>
                <c:pt idx="12">
                  <c:v>750</c:v>
                </c:pt>
                <c:pt idx="13">
                  <c:v>950</c:v>
                </c:pt>
                <c:pt idx="14">
                  <c:v>1050</c:v>
                </c:pt>
                <c:pt idx="15">
                  <c:v>1400</c:v>
                </c:pt>
                <c:pt idx="16">
                  <c:v>1600</c:v>
                </c:pt>
                <c:pt idx="17">
                  <c:v>1900</c:v>
                </c:pt>
                <c:pt idx="18">
                  <c:v>2100</c:v>
                </c:pt>
                <c:pt idx="19">
                  <c:v>2100</c:v>
                </c:pt>
                <c:pt idx="20">
                  <c:v>2200</c:v>
                </c:pt>
                <c:pt idx="21">
                  <c:v>2250</c:v>
                </c:pt>
                <c:pt idx="22">
                  <c:v>2250</c:v>
                </c:pt>
                <c:pt idx="23">
                  <c:v>2400</c:v>
                </c:pt>
                <c:pt idx="24">
                  <c:v>2400</c:v>
                </c:pt>
                <c:pt idx="25">
                  <c:v>2600</c:v>
                </c:pt>
                <c:pt idx="26">
                  <c:v>2600</c:v>
                </c:pt>
                <c:pt idx="27">
                  <c:v>2400</c:v>
                </c:pt>
                <c:pt idx="28">
                  <c:v>2250</c:v>
                </c:pt>
                <c:pt idx="29">
                  <c:v>2100</c:v>
                </c:pt>
                <c:pt idx="30">
                  <c:v>2100</c:v>
                </c:pt>
                <c:pt idx="31">
                  <c:v>2100</c:v>
                </c:pt>
                <c:pt idx="32">
                  <c:v>2300</c:v>
                </c:pt>
                <c:pt idx="33">
                  <c:v>2550</c:v>
                </c:pt>
                <c:pt idx="34">
                  <c:v>2650</c:v>
                </c:pt>
                <c:pt idx="35">
                  <c:v>2900</c:v>
                </c:pt>
                <c:pt idx="36">
                  <c:v>2900</c:v>
                </c:pt>
                <c:pt idx="37">
                  <c:v>2650</c:v>
                </c:pt>
                <c:pt idx="38">
                  <c:v>2650</c:v>
                </c:pt>
                <c:pt idx="39">
                  <c:v>2350</c:v>
                </c:pt>
                <c:pt idx="40">
                  <c:v>1850</c:v>
                </c:pt>
                <c:pt idx="41">
                  <c:v>1850</c:v>
                </c:pt>
                <c:pt idx="42">
                  <c:v>1850</c:v>
                </c:pt>
                <c:pt idx="43">
                  <c:v>1800</c:v>
                </c:pt>
                <c:pt idx="44">
                  <c:v>1750</c:v>
                </c:pt>
                <c:pt idx="45">
                  <c:v>1750</c:v>
                </c:pt>
                <c:pt idx="46">
                  <c:v>1750</c:v>
                </c:pt>
                <c:pt idx="47">
                  <c:v>1650</c:v>
                </c:pt>
                <c:pt idx="48">
                  <c:v>1600</c:v>
                </c:pt>
                <c:pt idx="49">
                  <c:v>1450</c:v>
                </c:pt>
                <c:pt idx="50">
                  <c:v>1250</c:v>
                </c:pt>
                <c:pt idx="51">
                  <c:v>900</c:v>
                </c:pt>
                <c:pt idx="52">
                  <c:v>800</c:v>
                </c:pt>
                <c:pt idx="53">
                  <c:v>600</c:v>
                </c:pt>
                <c:pt idx="54">
                  <c:v>500</c:v>
                </c:pt>
                <c:pt idx="55">
                  <c:v>450</c:v>
                </c:pt>
                <c:pt idx="56">
                  <c:v>450</c:v>
                </c:pt>
                <c:pt idx="57">
                  <c:v>350</c:v>
                </c:pt>
                <c:pt idx="58">
                  <c:v>300</c:v>
                </c:pt>
                <c:pt idx="59">
                  <c:v>300</c:v>
                </c:pt>
                <c:pt idx="60">
                  <c:v>150</c:v>
                </c:pt>
                <c:pt idx="61">
                  <c:v>150</c:v>
                </c:pt>
                <c:pt idx="62">
                  <c:v>100</c:v>
                </c:pt>
                <c:pt idx="63">
                  <c:v>0</c:v>
                </c:pt>
                <c:pt idx="64">
                  <c:v>0</c:v>
                </c:pt>
                <c:pt idx="65">
                  <c:v>0</c:v>
                </c:pt>
              </c:numCache>
            </c:numRef>
          </c:val>
          <c:smooth val="0"/>
        </c:ser>
        <c:dLbls>
          <c:showLegendKey val="0"/>
          <c:showVal val="0"/>
          <c:showCatName val="0"/>
          <c:showSerName val="0"/>
          <c:showPercent val="0"/>
          <c:showBubbleSize val="0"/>
        </c:dLbls>
        <c:marker val="1"/>
        <c:smooth val="0"/>
        <c:axId val="149400960"/>
        <c:axId val="149403136"/>
      </c:lineChart>
      <c:dateAx>
        <c:axId val="149400960"/>
        <c:scaling>
          <c:orientation val="minMax"/>
        </c:scaling>
        <c:delete val="0"/>
        <c:axPos val="b"/>
        <c:title>
          <c:tx>
            <c:rich>
              <a:bodyPr/>
              <a:lstStyle/>
              <a:p>
                <a:pPr>
                  <a:defRPr/>
                </a:pPr>
                <a:r>
                  <a:rPr lang="en-US"/>
                  <a:t>Mes/Año</a:t>
                </a:r>
              </a:p>
            </c:rich>
          </c:tx>
          <c:overlay val="0"/>
        </c:title>
        <c:numFmt formatCode="mm\/yy;@" sourceLinked="0"/>
        <c:majorTickMark val="out"/>
        <c:minorTickMark val="none"/>
        <c:tickLblPos val="nextTo"/>
        <c:crossAx val="149403136"/>
        <c:crosses val="autoZero"/>
        <c:auto val="1"/>
        <c:lblOffset val="100"/>
        <c:baseTimeUnit val="months"/>
      </c:dateAx>
      <c:valAx>
        <c:axId val="149403136"/>
        <c:scaling>
          <c:orientation val="minMax"/>
        </c:scaling>
        <c:delete val="0"/>
        <c:axPos val="l"/>
        <c:majorGridlines/>
        <c:title>
          <c:tx>
            <c:rich>
              <a:bodyPr rot="-5400000" vert="horz"/>
              <a:lstStyle/>
              <a:p>
                <a:pPr>
                  <a:defRPr/>
                </a:pPr>
                <a:r>
                  <a:rPr lang="en-US"/>
                  <a:t>Número de trabajadores</a:t>
                </a:r>
              </a:p>
            </c:rich>
          </c:tx>
          <c:overlay val="0"/>
        </c:title>
        <c:numFmt formatCode="General" sourceLinked="1"/>
        <c:majorTickMark val="out"/>
        <c:minorTickMark val="none"/>
        <c:tickLblPos val="nextTo"/>
        <c:crossAx val="149400960"/>
        <c:crosses val="autoZero"/>
        <c:crossBetween val="between"/>
      </c:valAx>
    </c:plotArea>
    <c:plotVisOnly val="1"/>
    <c:dispBlanksAs val="zero"/>
    <c:showDLblsOverMax val="0"/>
  </c:chart>
  <c:txPr>
    <a:bodyPr/>
    <a:lstStyle/>
    <a:p>
      <a:pPr>
        <a:defRPr sz="1000"/>
      </a:pPr>
      <a:endParaRPr lang="es-CL"/>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L" sz="1600"/>
              <a:t>Distribución emisiones GEI del proyecto</a:t>
            </a:r>
          </a:p>
        </c:rich>
      </c:tx>
      <c:layout/>
      <c:overlay val="0"/>
    </c:title>
    <c:autoTitleDeleted val="0"/>
    <c:plotArea>
      <c:layout/>
      <c:pieChart>
        <c:varyColors val="1"/>
        <c:ser>
          <c:idx val="0"/>
          <c:order val="0"/>
          <c:dLbls>
            <c:dLbl>
              <c:idx val="0"/>
              <c:layout>
                <c:manualLayout>
                  <c:x val="2.0354888071423504E-2"/>
                  <c:y val="2.4927092446777484E-2"/>
                </c:manualLayout>
              </c:layout>
              <c:showLegendKey val="0"/>
              <c:showVal val="0"/>
              <c:showCatName val="0"/>
              <c:showSerName val="0"/>
              <c:showPercent val="1"/>
              <c:showBubbleSize val="0"/>
            </c:dLbl>
            <c:dLbl>
              <c:idx val="1"/>
              <c:layout>
                <c:manualLayout>
                  <c:x val="-3.9886297996534203E-2"/>
                  <c:y val="-6.1153032954214058E-2"/>
                </c:manualLayout>
              </c:layout>
              <c:showLegendKey val="0"/>
              <c:showVal val="0"/>
              <c:showCatName val="0"/>
              <c:showSerName val="0"/>
              <c:showPercent val="1"/>
              <c:showBubbleSize val="0"/>
            </c:dLbl>
            <c:dLbl>
              <c:idx val="2"/>
              <c:layout>
                <c:manualLayout>
                  <c:x val="2.9935041903545817E-2"/>
                  <c:y val="-4.7227325750947798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'GEI TOTAL EMISIONES'!$B$26:$B$28</c:f>
              <c:strCache>
                <c:ptCount val="3"/>
                <c:pt idx="0">
                  <c:v>Quema de combustible (diesel líquido)</c:v>
                </c:pt>
                <c:pt idx="1">
                  <c:v>Tratamiento de aguas servidas</c:v>
                </c:pt>
                <c:pt idx="2">
                  <c:v>Intervención de la vegetación</c:v>
                </c:pt>
              </c:strCache>
            </c:strRef>
          </c:cat>
          <c:val>
            <c:numRef>
              <c:f>'GEI TOTAL EMISIONES'!$P$26:$P$28</c:f>
              <c:numCache>
                <c:formatCode>_-* #,##0.0_-;\-* #,##0.0_-;_-* "-"??_-;_-@_-</c:formatCode>
                <c:ptCount val="3"/>
                <c:pt idx="0">
                  <c:v>16428.171339420136</c:v>
                </c:pt>
                <c:pt idx="1">
                  <c:v>447.41699999999997</c:v>
                </c:pt>
                <c:pt idx="2">
                  <c:v>6502.1485698136239</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es-CL"/>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L" sz="1100"/>
              <a:t>Distribución emisiones</a:t>
            </a:r>
            <a:r>
              <a:rPr lang="es-CL" sz="1100" baseline="0"/>
              <a:t> </a:t>
            </a:r>
            <a:r>
              <a:rPr lang="es-CL" sz="1100"/>
              <a:t>GEI de la construcción del proyecto</a:t>
            </a:r>
            <a:br>
              <a:rPr lang="es-CL" sz="1100"/>
            </a:br>
            <a:r>
              <a:rPr lang="es-CL" sz="1100"/>
              <a:t>Alcance 1 </a:t>
            </a:r>
          </a:p>
        </c:rich>
      </c:tx>
      <c:layout/>
      <c:overlay val="0"/>
    </c:title>
    <c:autoTitleDeleted val="0"/>
    <c:plotArea>
      <c:layout/>
      <c:pieChart>
        <c:varyColors val="1"/>
        <c:ser>
          <c:idx val="0"/>
          <c:order val="0"/>
          <c:dPt>
            <c:idx val="0"/>
            <c:bubble3D val="0"/>
            <c:spPr>
              <a:solidFill>
                <a:schemeClr val="tx2"/>
              </a:solidFill>
            </c:spPr>
          </c:dPt>
          <c:dPt>
            <c:idx val="1"/>
            <c:bubble3D val="0"/>
            <c:spPr>
              <a:solidFill>
                <a:schemeClr val="tx2">
                  <a:lumMod val="40000"/>
                  <a:lumOff val="60000"/>
                </a:schemeClr>
              </a:solidFill>
            </c:spPr>
          </c:dPt>
          <c:dPt>
            <c:idx val="2"/>
            <c:bubble3D val="0"/>
            <c:spPr>
              <a:solidFill>
                <a:schemeClr val="tx2">
                  <a:lumMod val="20000"/>
                  <a:lumOff val="80000"/>
                </a:schemeClr>
              </a:solidFill>
            </c:spPr>
          </c:dPt>
          <c:dPt>
            <c:idx val="3"/>
            <c:bubble3D val="0"/>
            <c:spPr>
              <a:solidFill>
                <a:schemeClr val="tx2">
                  <a:lumMod val="60000"/>
                  <a:lumOff val="40000"/>
                </a:schemeClr>
              </a:solidFill>
            </c:spPr>
          </c:dPt>
          <c:dLbls>
            <c:dLbl>
              <c:idx val="0"/>
              <c:layout>
                <c:manualLayout>
                  <c:x val="4.6352362204724405E-2"/>
                  <c:y val="3.8815981335666376E-2"/>
                </c:manualLayout>
              </c:layout>
              <c:showLegendKey val="0"/>
              <c:showVal val="0"/>
              <c:showCatName val="0"/>
              <c:showSerName val="0"/>
              <c:showPercent val="1"/>
              <c:showBubbleSize val="0"/>
            </c:dLbl>
            <c:dLbl>
              <c:idx val="1"/>
              <c:layout>
                <c:manualLayout>
                  <c:x val="-2.9590332458442694E-2"/>
                  <c:y val="-1.9486366287547394E-2"/>
                </c:manualLayout>
              </c:layout>
              <c:showLegendKey val="0"/>
              <c:showVal val="0"/>
              <c:showCatName val="0"/>
              <c:showSerName val="0"/>
              <c:showPercent val="1"/>
              <c:showBubbleSize val="0"/>
            </c:dLbl>
            <c:dLbl>
              <c:idx val="2"/>
              <c:layout>
                <c:manualLayout>
                  <c:x val="-4.2973534558180246E-2"/>
                  <c:y val="-5.648658501020698E-2"/>
                </c:manualLayout>
              </c:layout>
              <c:showLegendKey val="0"/>
              <c:showVal val="0"/>
              <c:showCatName val="0"/>
              <c:showSerName val="0"/>
              <c:showPercent val="1"/>
              <c:showBubbleSize val="0"/>
            </c:dLbl>
            <c:dLbl>
              <c:idx val="3"/>
              <c:layout>
                <c:manualLayout>
                  <c:x val="-1.3546369203849521E-2"/>
                  <c:y val="-0.10127661125692623"/>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'GEI TOTAL EMISIONES'!$D$4:$D$7</c:f>
              <c:strCache>
                <c:ptCount val="4"/>
                <c:pt idx="0">
                  <c:v>Maquinaria y equipos</c:v>
                </c:pt>
                <c:pt idx="1">
                  <c:v>Transporte de marinas</c:v>
                </c:pt>
                <c:pt idx="2">
                  <c:v>Transporte de insumos</c:v>
                </c:pt>
                <c:pt idx="3">
                  <c:v>Transporte de trabajadores</c:v>
                </c:pt>
              </c:strCache>
            </c:strRef>
          </c:cat>
          <c:val>
            <c:numRef>
              <c:f>'GEI TOTAL EMISIONES'!$K$4:$K$7</c:f>
              <c:numCache>
                <c:formatCode>_-* #,##0.0_-;\-* #,##0.0_-;_-* "-"??_-;_-@_-</c:formatCode>
                <c:ptCount val="4"/>
                <c:pt idx="0">
                  <c:v>9779.5595843122828</c:v>
                </c:pt>
                <c:pt idx="1">
                  <c:v>1029.2840676320359</c:v>
                </c:pt>
                <c:pt idx="2">
                  <c:v>757.20594221172405</c:v>
                </c:pt>
                <c:pt idx="3">
                  <c:v>4862.1217452640958</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es-CL"/>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200"/>
            </a:pPr>
            <a:r>
              <a:rPr lang="es-CL" sz="1200"/>
              <a:t>Distribución emisiones GEI de la construcción del proyecto</a:t>
            </a:r>
            <a:br>
              <a:rPr lang="es-CL" sz="1200"/>
            </a:br>
            <a:r>
              <a:rPr lang="es-CL" sz="1200"/>
              <a:t>Alcance 3 </a:t>
            </a:r>
          </a:p>
        </c:rich>
      </c:tx>
      <c:layout/>
      <c:overlay val="0"/>
    </c:title>
    <c:autoTitleDeleted val="0"/>
    <c:plotArea>
      <c:layout/>
      <c:pieChart>
        <c:varyColors val="1"/>
        <c:ser>
          <c:idx val="0"/>
          <c:order val="0"/>
          <c:dPt>
            <c:idx val="0"/>
            <c:bubble3D val="0"/>
          </c:dPt>
          <c:dPt>
            <c:idx val="1"/>
            <c:bubble3D val="0"/>
          </c:dPt>
          <c:dPt>
            <c:idx val="2"/>
            <c:bubble3D val="0"/>
          </c:dPt>
          <c:dPt>
            <c:idx val="3"/>
            <c:bubble3D val="0"/>
          </c:dPt>
          <c:dLbls>
            <c:dLbl>
              <c:idx val="0"/>
              <c:layout>
                <c:manualLayout>
                  <c:x val="4.6352362204724405E-2"/>
                  <c:y val="3.8815981335666376E-2"/>
                </c:manualLayout>
              </c:layout>
              <c:showLegendKey val="0"/>
              <c:showVal val="0"/>
              <c:showCatName val="0"/>
              <c:showSerName val="0"/>
              <c:showPercent val="1"/>
              <c:showBubbleSize val="0"/>
            </c:dLbl>
            <c:dLbl>
              <c:idx val="1"/>
              <c:layout>
                <c:manualLayout>
                  <c:x val="-2.9590332458442694E-2"/>
                  <c:y val="-1.9486366287547401E-2"/>
                </c:manualLayout>
              </c:layout>
              <c:showLegendKey val="0"/>
              <c:showVal val="0"/>
              <c:showCatName val="0"/>
              <c:showSerName val="0"/>
              <c:showPercent val="1"/>
              <c:showBubbleSize val="0"/>
            </c:dLbl>
            <c:dLbl>
              <c:idx val="2"/>
              <c:layout>
                <c:manualLayout>
                  <c:x val="-4.2973534558180287E-2"/>
                  <c:y val="-5.6486585010206994E-2"/>
                </c:manualLayout>
              </c:layout>
              <c:showLegendKey val="0"/>
              <c:showVal val="0"/>
              <c:showCatName val="0"/>
              <c:showSerName val="0"/>
              <c:showPercent val="1"/>
              <c:showBubbleSize val="0"/>
            </c:dLbl>
            <c:dLbl>
              <c:idx val="3"/>
              <c:layout>
                <c:manualLayout>
                  <c:x val="-1.3546369203849521E-2"/>
                  <c:y val="-0.10127661125692627"/>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'GEI TOTAL EMISIONES'!$B$27:$B$28</c:f>
              <c:strCache>
                <c:ptCount val="2"/>
                <c:pt idx="0">
                  <c:v>Tratamiento de aguas servidas</c:v>
                </c:pt>
                <c:pt idx="1">
                  <c:v>Intervención de la vegetación</c:v>
                </c:pt>
              </c:strCache>
            </c:strRef>
          </c:cat>
          <c:val>
            <c:numRef>
              <c:f>'GEI TOTAL EMISIONES'!$R$27:$R$28</c:f>
              <c:numCache>
                <c:formatCode>_-* #,##0.0_-;\-* #,##0.0_-;_-* "-"??_-;_-@_-</c:formatCode>
                <c:ptCount val="2"/>
                <c:pt idx="0">
                  <c:v>447.41699999999997</c:v>
                </c:pt>
                <c:pt idx="1">
                  <c:v>7906.6035268385149</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s-CL" sz="1200" b="1" i="0" baseline="0">
                <a:effectLst/>
              </a:rPr>
              <a:t>Distribución emisiones GEI de la Operación del proyecto por intervención de la vegetación (Alcance 3)</a:t>
            </a:r>
            <a:endParaRPr lang="es-CL" sz="1200">
              <a:effectLst/>
            </a:endParaRPr>
          </a:p>
        </c:rich>
      </c:tx>
      <c:layout/>
      <c:overlay val="0"/>
    </c:title>
    <c:autoTitleDeleted val="0"/>
    <c:plotArea>
      <c:layout>
        <c:manualLayout>
          <c:layoutTarget val="inner"/>
          <c:xMode val="edge"/>
          <c:yMode val="edge"/>
          <c:x val="0.12109624826308477"/>
          <c:y val="7.0012577462758921E-2"/>
          <c:w val="0.53486817971282996"/>
          <c:h val="0.88830413877133907"/>
        </c:manualLayout>
      </c:layout>
      <c:barChart>
        <c:barDir val="col"/>
        <c:grouping val="clustered"/>
        <c:varyColors val="0"/>
        <c:ser>
          <c:idx val="1"/>
          <c:order val="0"/>
          <c:tx>
            <c:strRef>
              <c:f>'GEI TOTAL EMISIONES'!$N$15:$O$15</c:f>
              <c:strCache>
                <c:ptCount val="1"/>
                <c:pt idx="0">
                  <c:v>Descomposición de materia orgánica dispuesta en el suelo</c:v>
                </c:pt>
              </c:strCache>
            </c:strRef>
          </c:tx>
          <c:invertIfNegative val="0"/>
          <c:dLbls>
            <c:showLegendKey val="0"/>
            <c:showVal val="1"/>
            <c:showCatName val="0"/>
            <c:showSerName val="0"/>
            <c:showPercent val="0"/>
            <c:showBubbleSize val="0"/>
            <c:showLeaderLines val="0"/>
          </c:dLbls>
          <c:val>
            <c:numRef>
              <c:f>'GEI TOTAL EMISIONES'!$Y$15</c:f>
              <c:numCache>
                <c:formatCode>_-* #,##0.0_-;\-* #,##0.0_-;_-* "-"??_-;_-@_-</c:formatCode>
                <c:ptCount val="1"/>
                <c:pt idx="0">
                  <c:v>1788.3921456391272</c:v>
                </c:pt>
              </c:numCache>
            </c:numRef>
          </c:val>
        </c:ser>
        <c:ser>
          <c:idx val="2"/>
          <c:order val="1"/>
          <c:tx>
            <c:strRef>
              <c:f>'GEI TOTAL EMISIONES'!$O$16</c:f>
              <c:strCache>
                <c:ptCount val="1"/>
                <c:pt idx="0">
                  <c:v>PRV</c:v>
                </c:pt>
              </c:strCache>
            </c:strRef>
          </c:tx>
          <c:invertIfNegative val="0"/>
          <c:dLbls>
            <c:showLegendKey val="0"/>
            <c:showVal val="1"/>
            <c:showCatName val="0"/>
            <c:showSerName val="0"/>
            <c:showPercent val="0"/>
            <c:showBubbleSize val="0"/>
            <c:showLeaderLines val="0"/>
          </c:dLbls>
          <c:val>
            <c:numRef>
              <c:f>'GEI TOTAL EMISIONES'!$Y$16</c:f>
              <c:numCache>
                <c:formatCode>_-* #,##0.0_-;\-* #,##0.0_-;_-* "-"??_-;_-@_-</c:formatCode>
                <c:ptCount val="1"/>
                <c:pt idx="0">
                  <c:v>-3187.0299999999997</c:v>
                </c:pt>
              </c:numCache>
            </c:numRef>
          </c:val>
        </c:ser>
        <c:ser>
          <c:idx val="3"/>
          <c:order val="2"/>
          <c:tx>
            <c:strRef>
              <c:f>'GEI TOTAL EMISIONES'!$O$17</c:f>
              <c:strCache>
                <c:ptCount val="1"/>
                <c:pt idx="0">
                  <c:v>Compensación y reforestación</c:v>
                </c:pt>
              </c:strCache>
            </c:strRef>
          </c:tx>
          <c:invertIfNegative val="0"/>
          <c:dLbls>
            <c:showLegendKey val="0"/>
            <c:showVal val="1"/>
            <c:showCatName val="0"/>
            <c:showSerName val="0"/>
            <c:showPercent val="0"/>
            <c:showBubbleSize val="0"/>
            <c:showLeaderLines val="0"/>
          </c:dLbls>
          <c:val>
            <c:numRef>
              <c:f>'GEI TOTAL EMISIONES'!$Y$17</c:f>
              <c:numCache>
                <c:formatCode>_-* #,##0.0_-;\-* #,##0.0_-;_-* "-"??_-;_-@_-</c:formatCode>
                <c:ptCount val="1"/>
                <c:pt idx="0">
                  <c:v>-6.432525</c:v>
                </c:pt>
              </c:numCache>
            </c:numRef>
          </c:val>
        </c:ser>
        <c:ser>
          <c:idx val="4"/>
          <c:order val="3"/>
          <c:tx>
            <c:strRef>
              <c:f>'GEI TOTAL EMISIONES'!$N$18:$O$18</c:f>
              <c:strCache>
                <c:ptCount val="1"/>
                <c:pt idx="0">
                  <c:v>Descomposición de materia orgánica por senescencia</c:v>
                </c:pt>
              </c:strCache>
            </c:strRef>
          </c:tx>
          <c:invertIfNegative val="0"/>
          <c:dLbls>
            <c:showLegendKey val="0"/>
            <c:showVal val="1"/>
            <c:showCatName val="0"/>
            <c:showSerName val="0"/>
            <c:showPercent val="0"/>
            <c:showBubbleSize val="0"/>
            <c:showLeaderLines val="0"/>
          </c:dLbls>
          <c:val>
            <c:numRef>
              <c:f>'GEI TOTAL EMISIONES'!$Y$18</c:f>
              <c:numCache>
                <c:formatCode>_-* #,##0.0_-;\-* #,##0.0_-;_-* "-"??_-;_-@_-</c:formatCode>
                <c:ptCount val="1"/>
                <c:pt idx="0">
                  <c:v>0.61542233598126561</c:v>
                </c:pt>
              </c:numCache>
            </c:numRef>
          </c:val>
        </c:ser>
        <c:dLbls>
          <c:showLegendKey val="0"/>
          <c:showVal val="0"/>
          <c:showCatName val="0"/>
          <c:showSerName val="0"/>
          <c:showPercent val="0"/>
          <c:showBubbleSize val="0"/>
        </c:dLbls>
        <c:gapWidth val="150"/>
        <c:axId val="150998400"/>
        <c:axId val="151012480"/>
      </c:barChart>
      <c:catAx>
        <c:axId val="150998400"/>
        <c:scaling>
          <c:orientation val="minMax"/>
        </c:scaling>
        <c:delete val="0"/>
        <c:axPos val="b"/>
        <c:majorTickMark val="none"/>
        <c:minorTickMark val="none"/>
        <c:tickLblPos val="none"/>
        <c:crossAx val="151012480"/>
        <c:crossesAt val="0"/>
        <c:auto val="1"/>
        <c:lblAlgn val="ctr"/>
        <c:lblOffset val="100"/>
        <c:noMultiLvlLbl val="0"/>
      </c:catAx>
      <c:valAx>
        <c:axId val="151012480"/>
        <c:scaling>
          <c:orientation val="minMax"/>
          <c:max val="3300"/>
          <c:min val="-3300"/>
        </c:scaling>
        <c:delete val="0"/>
        <c:axPos val="l"/>
        <c:majorGridlines>
          <c:spPr>
            <a:ln>
              <a:prstDash val="dash"/>
            </a:ln>
          </c:spPr>
        </c:majorGridlines>
        <c:numFmt formatCode="#,##0" sourceLinked="0"/>
        <c:majorTickMark val="none"/>
        <c:minorTickMark val="none"/>
        <c:tickLblPos val="low"/>
        <c:crossAx val="150998400"/>
        <c:crosses val="autoZero"/>
        <c:crossBetween val="between"/>
      </c:valAx>
    </c:plotArea>
    <c:legend>
      <c:legendPos val="r"/>
      <c:layout>
        <c:manualLayout>
          <c:xMode val="edge"/>
          <c:yMode val="edge"/>
          <c:x val="0.65596442797591481"/>
          <c:y val="0.19111787162968266"/>
          <c:w val="0.32991792496526168"/>
          <c:h val="0.766151753758053"/>
        </c:manualLayout>
      </c:layout>
      <c:overlay val="0"/>
      <c:txPr>
        <a:bodyPr/>
        <a:lstStyle/>
        <a:p>
          <a:pPr>
            <a:defRPr sz="1050"/>
          </a:pPr>
          <a:endParaRPr lang="es-CL"/>
        </a:p>
      </c:txPr>
    </c:legend>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L" sz="1100" b="1" i="0" u="none" strike="noStrike" kern="1200" baseline="0">
                <a:solidFill>
                  <a:sysClr val="windowText" lastClr="000000"/>
                </a:solidFill>
                <a:latin typeface="+mn-lt"/>
                <a:ea typeface="+mn-ea"/>
                <a:cs typeface="+mn-cs"/>
              </a:rPr>
              <a:t>Distribución emisiones GEI de la construcción del proyecto por intervención de la vegetación (Alcance 3)</a:t>
            </a:r>
          </a:p>
        </c:rich>
      </c:tx>
      <c:layout>
        <c:manualLayout>
          <c:xMode val="edge"/>
          <c:yMode val="edge"/>
          <c:x val="0.14721491761273309"/>
          <c:y val="2.5179856115107913E-2"/>
        </c:manualLayout>
      </c:layout>
      <c:overlay val="0"/>
    </c:title>
    <c:autoTitleDeleted val="0"/>
    <c:plotArea>
      <c:layout>
        <c:manualLayout>
          <c:layoutTarget val="inner"/>
          <c:xMode val="edge"/>
          <c:yMode val="edge"/>
          <c:x val="0.1352052668000823"/>
          <c:y val="0.29853849204101285"/>
          <c:w val="0.37499429554678587"/>
          <c:h val="0.56788704469495266"/>
        </c:manualLayout>
      </c:layout>
      <c:pieChart>
        <c:varyColors val="1"/>
        <c:ser>
          <c:idx val="0"/>
          <c:order val="0"/>
          <c:dPt>
            <c:idx val="0"/>
            <c:bubble3D val="0"/>
          </c:dPt>
          <c:dPt>
            <c:idx val="1"/>
            <c:bubble3D val="0"/>
          </c:dPt>
          <c:dPt>
            <c:idx val="2"/>
            <c:bubble3D val="0"/>
          </c:dPt>
          <c:dPt>
            <c:idx val="3"/>
            <c:bubble3D val="0"/>
          </c:dPt>
          <c:dLbls>
            <c:dLbl>
              <c:idx val="0"/>
              <c:layout>
                <c:manualLayout>
                  <c:x val="4.6352362204724405E-2"/>
                  <c:y val="3.8815981335666376E-2"/>
                </c:manualLayout>
              </c:layout>
              <c:showLegendKey val="0"/>
              <c:showVal val="0"/>
              <c:showCatName val="0"/>
              <c:showSerName val="0"/>
              <c:showPercent val="1"/>
              <c:showBubbleSize val="0"/>
            </c:dLbl>
            <c:dLbl>
              <c:idx val="1"/>
              <c:layout>
                <c:manualLayout>
                  <c:x val="-2.9590332458442694E-2"/>
                  <c:y val="-1.9486366287547408E-2"/>
                </c:manualLayout>
              </c:layout>
              <c:showLegendKey val="0"/>
              <c:showVal val="0"/>
              <c:showCatName val="0"/>
              <c:showSerName val="0"/>
              <c:showPercent val="1"/>
              <c:showBubbleSize val="0"/>
            </c:dLbl>
            <c:dLbl>
              <c:idx val="2"/>
              <c:layout>
                <c:manualLayout>
                  <c:x val="-4.2973534558180308E-2"/>
                  <c:y val="-5.6486585010206994E-2"/>
                </c:manualLayout>
              </c:layout>
              <c:showLegendKey val="0"/>
              <c:showVal val="0"/>
              <c:showCatName val="0"/>
              <c:showSerName val="0"/>
              <c:showPercent val="1"/>
              <c:showBubbleSize val="0"/>
            </c:dLbl>
            <c:dLbl>
              <c:idx val="3"/>
              <c:layout>
                <c:manualLayout>
                  <c:x val="-1.8176035287255761E-2"/>
                  <c:y val="-7.9771117320012422E-2"/>
                </c:manualLayout>
              </c:layout>
              <c:showLegendKey val="0"/>
              <c:showVal val="0"/>
              <c:showCatName val="0"/>
              <c:showSerName val="0"/>
              <c:showPercent val="1"/>
              <c:showBubbleSize val="0"/>
            </c:dLbl>
            <c:dLbl>
              <c:idx val="4"/>
              <c:layout>
                <c:manualLayout>
                  <c:x val="6.2760644502770482E-2"/>
                  <c:y val="-5.3471058053227216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multiLvlStrRef>
              <c:f>'GEI TOTAL EMISIONES'!$C$14:$E$18</c:f>
              <c:multiLvlStrCache>
                <c:ptCount val="5"/>
                <c:lvl>
                  <c:pt idx="2">
                    <c:v>PRV</c:v>
                  </c:pt>
                  <c:pt idx="3">
                    <c:v>Compensación y reforestación</c:v>
                  </c:pt>
                </c:lvl>
                <c:lvl>
                  <c:pt idx="0">
                    <c:v>Quema por consumo de leña</c:v>
                  </c:pt>
                  <c:pt idx="1">
                    <c:v>Descomposición de materia orgánica dispuesta en el suelo</c:v>
                  </c:pt>
                  <c:pt idx="2">
                    <c:v>Captura por incremento de biomasa</c:v>
                  </c:pt>
                  <c:pt idx="4">
                    <c:v>Descomposición de materia orgánica por senescencia</c:v>
                  </c:pt>
                </c:lvl>
                <c:lvl>
                  <c:pt idx="0">
                    <c:v>Emisiones por deforestación</c:v>
                  </c:pt>
                  <c:pt idx="2">
                    <c:v>Captura y emisión por medidas de compensación y restauración</c:v>
                  </c:pt>
                </c:lvl>
              </c:multiLvlStrCache>
            </c:multiLvlStrRef>
          </c:cat>
          <c:val>
            <c:numRef>
              <c:f>'GEI TOTAL EMISIONES'!$W$14:$W$18</c:f>
              <c:numCache>
                <c:formatCode>_-* #,##0.0_-;\-* #,##0.0_-;_-* "-"??_-;_-@_-</c:formatCode>
                <c:ptCount val="5"/>
                <c:pt idx="0">
                  <c:v>5793.2837495046988</c:v>
                </c:pt>
                <c:pt idx="1">
                  <c:v>3033.6557677354299</c:v>
                </c:pt>
                <c:pt idx="2">
                  <c:v>917.02416666666659</c:v>
                </c:pt>
                <c:pt idx="3">
                  <c:v>3.8797549999999998</c:v>
                </c:pt>
                <c:pt idx="4">
                  <c:v>0.5679312650521664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836796442111407"/>
          <c:y val="0.15954929020969155"/>
          <c:w val="0.37738024934383202"/>
          <c:h val="0.82078853046594979"/>
        </c:manualLayout>
      </c:layout>
      <c:overlay val="0"/>
      <c:txPr>
        <a:bodyPr/>
        <a:lstStyle/>
        <a:p>
          <a:pPr>
            <a:defRPr sz="1000"/>
          </a:pPr>
          <a:endParaRPr lang="es-CL"/>
        </a:p>
      </c:txPr>
    </c:legend>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187</xdr:row>
      <xdr:rowOff>162030</xdr:rowOff>
    </xdr:from>
    <xdr:to>
      <xdr:col>2</xdr:col>
      <xdr:colOff>1397000</xdr:colOff>
      <xdr:row>210</xdr:row>
      <xdr:rowOff>142875</xdr:rowOff>
    </xdr:to>
    <xdr:pic>
      <xdr:nvPicPr>
        <xdr:cNvPr id="13314" name="Picture 2"/>
        <xdr:cNvPicPr>
          <a:picLocks noChangeAspect="1" noChangeArrowheads="1"/>
        </xdr:cNvPicPr>
      </xdr:nvPicPr>
      <xdr:blipFill>
        <a:blip xmlns:r="http://schemas.openxmlformats.org/officeDocument/2006/relationships" r:embed="rId1" cstate="print"/>
        <a:srcRect l="1337" t="65837" r="66310" b="1763"/>
        <a:stretch>
          <a:fillRect/>
        </a:stretch>
      </xdr:blipFill>
      <xdr:spPr bwMode="auto">
        <a:xfrm>
          <a:off x="0" y="35785530"/>
          <a:ext cx="4222750" cy="4362345"/>
        </a:xfrm>
        <a:prstGeom prst="rect">
          <a:avLst/>
        </a:prstGeom>
        <a:noFill/>
        <a:ln w="9525">
          <a:noFill/>
          <a:miter lim="800000"/>
          <a:headEnd/>
          <a:tailEnd/>
        </a:ln>
      </xdr:spPr>
    </xdr:pic>
    <xdr:clientData/>
  </xdr:twoCellAnchor>
  <xdr:twoCellAnchor>
    <xdr:from>
      <xdr:col>11</xdr:col>
      <xdr:colOff>507999</xdr:colOff>
      <xdr:row>102</xdr:row>
      <xdr:rowOff>15875</xdr:rowOff>
    </xdr:from>
    <xdr:to>
      <xdr:col>19</xdr:col>
      <xdr:colOff>1412874</xdr:colOff>
      <xdr:row>134</xdr:row>
      <xdr:rowOff>95250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126968</xdr:colOff>
      <xdr:row>4</xdr:row>
      <xdr:rowOff>98901</xdr:rowOff>
    </xdr:from>
    <xdr:ext cx="4073557" cy="263049"/>
    <xdr:sp macro="" textlink="">
      <xdr:nvSpPr>
        <xdr:cNvPr id="2" name="1 CuadroTexto"/>
        <xdr:cNvSpPr txBox="1"/>
      </xdr:nvSpPr>
      <xdr:spPr>
        <a:xfrm>
          <a:off x="126968" y="708501"/>
          <a:ext cx="4073557" cy="263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1050" b="0" i="0">
              <a:latin typeface="Cambria Math"/>
            </a:rPr>
            <a:t>𝐸[k𝑔 𝑐𝑜𝑛𝑡𝑎𝑚𝑖𝑛𝑎𝑛𝑡𝑒]=𝐸_𝑏𝑎𝑠𝑒 [k𝑔 𝑐𝑜𝑛𝑡𝑎𝑚𝑖𝑛𝑎𝑛𝑡𝑒]</a:t>
          </a:r>
          <a:r>
            <a:rPr lang="es-ES" sz="1050" b="0" i="0">
              <a:latin typeface="Cambria Math"/>
              <a:ea typeface="Cambria Math"/>
            </a:rPr>
            <a:t>×𝐹𝑇[]×(1+𝐹𝐷[])</a:t>
          </a:r>
          <a:endParaRPr lang="es-CL" sz="1050"/>
        </a:p>
      </xdr:txBody>
    </xdr:sp>
    <xdr:clientData/>
  </xdr:oneCellAnchor>
  <xdr:oneCellAnchor>
    <xdr:from>
      <xdr:col>0</xdr:col>
      <xdr:colOff>57149</xdr:colOff>
      <xdr:row>5</xdr:row>
      <xdr:rowOff>47625</xdr:rowOff>
    </xdr:from>
    <xdr:ext cx="5467351" cy="295275"/>
    <xdr:sp macro="" textlink="">
      <xdr:nvSpPr>
        <xdr:cNvPr id="3" name="2 CuadroTexto"/>
        <xdr:cNvSpPr txBox="1"/>
      </xdr:nvSpPr>
      <xdr:spPr>
        <a:xfrm>
          <a:off x="57149" y="1162050"/>
          <a:ext cx="5467351" cy="2952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050" b="0" i="0">
              <a:solidFill>
                <a:sysClr val="windowText" lastClr="000000"/>
              </a:solidFill>
              <a:latin typeface="Cambria Math"/>
            </a:rPr>
            <a:t>𝐸_𝑏𝑎𝑠𝑒 [kg 𝑐𝑜𝑛𝑡𝑎𝑚𝑖𝑛𝑎𝑛𝑡𝑒]=</a:t>
          </a:r>
          <a:r>
            <a:rPr lang="es-ES" sz="1050" b="0" i="0">
              <a:solidFill>
                <a:sysClr val="windowText" lastClr="000000"/>
              </a:solidFill>
              <a:latin typeface="Cambria Math"/>
              <a:ea typeface="Cambria Math"/>
            </a:rPr>
            <a:t>𝐻𝑅𝑆[ℎ]×𝑃[𝑘𝑊]×𝐹𝐶[]×𝐹𝐸[k𝑔 𝑐𝑜𝑛𝑡𝑎𝑚𝑖𝑛𝑎𝑛𝑡𝑒/TJ] x K [TJ/kWh]</a:t>
          </a:r>
          <a:endParaRPr lang="es-CL" sz="105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114299</xdr:colOff>
      <xdr:row>9</xdr:row>
      <xdr:rowOff>466725</xdr:rowOff>
    </xdr:from>
    <xdr:ext cx="6029325" cy="381000"/>
    <xdr:sp macro="" textlink="">
      <xdr:nvSpPr>
        <xdr:cNvPr id="2" name="1 CuadroTexto"/>
        <xdr:cNvSpPr txBox="1"/>
      </xdr:nvSpPr>
      <xdr:spPr>
        <a:xfrm>
          <a:off x="114299" y="1857375"/>
          <a:ext cx="6029325" cy="381000"/>
        </a:xfrm>
        <a:prstGeom prst="rect">
          <a:avLst/>
        </a:prstGeom>
        <a:ln>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r>
            <a:rPr lang="es-ES" sz="900" b="0" i="0">
              <a:latin typeface="Cambria Math"/>
            </a:rPr>
            <a:t>𝐸[𝑘𝑔 𝑐𝑜𝑛𝑡𝑎𝑚𝑖𝑛𝑎𝑛𝑡𝑒]=𝐹𝐸[(𝑘𝑔 𝑐𝑜𝑛𝑡𝑎𝑚𝑖𝑛𝑎𝑛𝑡𝑒)/𝑇𝐽]</a:t>
          </a:r>
          <a:r>
            <a:rPr lang="es-ES" sz="900" b="0" i="0">
              <a:latin typeface="Cambria Math"/>
              <a:ea typeface="Cambria Math"/>
            </a:rPr>
            <a:t>×𝑃𝐶𝐼[𝑇𝐽/(𝑘𝑔 𝑐𝑜𝑚𝑏𝑢𝑠𝑡𝑖𝑏𝑙𝑒)]×𝐶𝐶[(𝑘𝑔 𝑐𝑜𝑚𝑏𝑢𝑠𝑡𝑖𝑏𝑙𝑒)/𝑘𝑚]×𝑉𝐾𝑇[𝑘𝑚]</a:t>
          </a:r>
          <a:endParaRPr lang="es-CL" sz="900"/>
        </a:p>
      </xdr:txBody>
    </xdr:sp>
    <xdr:clientData/>
  </xdr:oneCellAnchor>
  <xdr:twoCellAnchor>
    <xdr:from>
      <xdr:col>0</xdr:col>
      <xdr:colOff>142875</xdr:colOff>
      <xdr:row>9</xdr:row>
      <xdr:rowOff>0</xdr:rowOff>
    </xdr:from>
    <xdr:to>
      <xdr:col>1</xdr:col>
      <xdr:colOff>108059</xdr:colOff>
      <xdr:row>9</xdr:row>
      <xdr:rowOff>409575</xdr:rowOff>
    </xdr:to>
    <xdr:pic>
      <xdr:nvPicPr>
        <xdr:cNvPr id="3" name="2 Imag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1390650"/>
          <a:ext cx="1946384"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95250</xdr:colOff>
      <xdr:row>203</xdr:row>
      <xdr:rowOff>114301</xdr:rowOff>
    </xdr:from>
    <xdr:to>
      <xdr:col>9</xdr:col>
      <xdr:colOff>752474</xdr:colOff>
      <xdr:row>236</xdr:row>
      <xdr:rowOff>123825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317</xdr:row>
      <xdr:rowOff>152400</xdr:rowOff>
    </xdr:from>
    <xdr:to>
      <xdr:col>1</xdr:col>
      <xdr:colOff>1323975</xdr:colOff>
      <xdr:row>318</xdr:row>
      <xdr:rowOff>76200</xdr:rowOff>
    </xdr:to>
    <xdr:pic>
      <xdr:nvPicPr>
        <xdr:cNvPr id="5" name="4 Imagen"/>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81200" y="57892950"/>
          <a:ext cx="13239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313</xdr:row>
      <xdr:rowOff>238125</xdr:rowOff>
    </xdr:from>
    <xdr:to>
      <xdr:col>1</xdr:col>
      <xdr:colOff>1266825</xdr:colOff>
      <xdr:row>314</xdr:row>
      <xdr:rowOff>238125</xdr:rowOff>
    </xdr:to>
    <xdr:pic>
      <xdr:nvPicPr>
        <xdr:cNvPr id="6" name="5 Imagen"/>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0725" y="56949975"/>
          <a:ext cx="12573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114299</xdr:colOff>
      <xdr:row>9</xdr:row>
      <xdr:rowOff>466725</xdr:rowOff>
    </xdr:from>
    <xdr:ext cx="6029325" cy="381000"/>
    <xdr:sp macro="" textlink="">
      <xdr:nvSpPr>
        <xdr:cNvPr id="5" name="4 CuadroTexto"/>
        <xdr:cNvSpPr txBox="1"/>
      </xdr:nvSpPr>
      <xdr:spPr>
        <a:xfrm>
          <a:off x="114299" y="1857375"/>
          <a:ext cx="6029325" cy="381000"/>
        </a:xfrm>
        <a:prstGeom prst="rect">
          <a:avLst/>
        </a:prstGeom>
        <a:ln>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r>
            <a:rPr lang="es-ES" sz="900" b="0" i="0">
              <a:latin typeface="Cambria Math"/>
            </a:rPr>
            <a:t>𝐸[𝑘𝑔 𝑐𝑜𝑛𝑡𝑎𝑚𝑖𝑛𝑎𝑛𝑡𝑒]=𝐹𝐸[(𝑘𝑔 𝑐𝑜𝑛𝑡𝑎𝑚𝑖𝑛𝑎𝑛𝑡𝑒)/𝑇𝐽]</a:t>
          </a:r>
          <a:r>
            <a:rPr lang="es-ES" sz="900" b="0" i="0">
              <a:latin typeface="Cambria Math"/>
              <a:ea typeface="Cambria Math"/>
            </a:rPr>
            <a:t>×𝑃𝐶𝐼[𝑇𝐽/(𝑘𝑔 𝑐𝑜𝑚𝑏𝑢𝑠𝑡𝑖𝑏𝑙𝑒)]×𝐶𝐶[(𝑘𝑔 𝑐𝑜𝑚𝑏𝑢𝑠𝑡𝑖𝑏𝑙𝑒)/𝑘𝑚]×𝑉𝐾𝑇[𝑘𝑚]</a:t>
          </a:r>
          <a:endParaRPr lang="es-CL" sz="900"/>
        </a:p>
      </xdr:txBody>
    </xdr:sp>
    <xdr:clientData/>
  </xdr:oneCellAnchor>
  <xdr:twoCellAnchor>
    <xdr:from>
      <xdr:col>0</xdr:col>
      <xdr:colOff>142875</xdr:colOff>
      <xdr:row>9</xdr:row>
      <xdr:rowOff>0</xdr:rowOff>
    </xdr:from>
    <xdr:to>
      <xdr:col>1</xdr:col>
      <xdr:colOff>108059</xdr:colOff>
      <xdr:row>9</xdr:row>
      <xdr:rowOff>409575</xdr:rowOff>
    </xdr:to>
    <xdr:pic>
      <xdr:nvPicPr>
        <xdr:cNvPr id="6" name="5 Imag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1828800"/>
          <a:ext cx="1355834"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20</xdr:row>
      <xdr:rowOff>0</xdr:rowOff>
    </xdr:from>
    <xdr:to>
      <xdr:col>5</xdr:col>
      <xdr:colOff>200026</xdr:colOff>
      <xdr:row>45</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314700"/>
          <a:ext cx="4324350" cy="385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419101</xdr:colOff>
      <xdr:row>18</xdr:row>
      <xdr:rowOff>133351</xdr:rowOff>
    </xdr:from>
    <xdr:to>
      <xdr:col>15</xdr:col>
      <xdr:colOff>506555</xdr:colOff>
      <xdr:row>51</xdr:row>
      <xdr:rowOff>47625</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05301" y="3143251"/>
          <a:ext cx="5688154" cy="4972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581026</xdr:colOff>
      <xdr:row>20</xdr:row>
      <xdr:rowOff>114301</xdr:rowOff>
    </xdr:from>
    <xdr:to>
      <xdr:col>24</xdr:col>
      <xdr:colOff>95251</xdr:colOff>
      <xdr:row>30</xdr:row>
      <xdr:rowOff>63857</xdr:rowOff>
    </xdr:to>
    <xdr:pic>
      <xdr:nvPicPr>
        <xdr:cNvPr id="4" name="3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67926" y="3429001"/>
          <a:ext cx="5581650" cy="1473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94</xdr:row>
      <xdr:rowOff>19050</xdr:rowOff>
    </xdr:from>
    <xdr:to>
      <xdr:col>5</xdr:col>
      <xdr:colOff>581025</xdr:colOff>
      <xdr:row>99</xdr:row>
      <xdr:rowOff>95250</xdr:rowOff>
    </xdr:to>
    <xdr:pic>
      <xdr:nvPicPr>
        <xdr:cNvPr id="19" name="18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14801850"/>
          <a:ext cx="46767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371475</xdr:colOff>
      <xdr:row>93</xdr:row>
      <xdr:rowOff>142875</xdr:rowOff>
    </xdr:from>
    <xdr:to>
      <xdr:col>14</xdr:col>
      <xdr:colOff>95250</xdr:colOff>
      <xdr:row>100</xdr:row>
      <xdr:rowOff>0</xdr:rowOff>
    </xdr:to>
    <xdr:pic>
      <xdr:nvPicPr>
        <xdr:cNvPr id="20" name="19 Image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00" y="14944725"/>
          <a:ext cx="4714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561975</xdr:colOff>
      <xdr:row>35</xdr:row>
      <xdr:rowOff>47626</xdr:rowOff>
    </xdr:from>
    <xdr:to>
      <xdr:col>1</xdr:col>
      <xdr:colOff>428625</xdr:colOff>
      <xdr:row>37</xdr:row>
      <xdr:rowOff>38100</xdr:rowOff>
    </xdr:to>
    <xdr:sp macro="" textlink="">
      <xdr:nvSpPr>
        <xdr:cNvPr id="27" name="26 Rectángulo"/>
        <xdr:cNvSpPr/>
      </xdr:nvSpPr>
      <xdr:spPr>
        <a:xfrm>
          <a:off x="561975" y="5657851"/>
          <a:ext cx="914400" cy="2952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66676</xdr:colOff>
      <xdr:row>30</xdr:row>
      <xdr:rowOff>28575</xdr:rowOff>
    </xdr:from>
    <xdr:to>
      <xdr:col>15</xdr:col>
      <xdr:colOff>390526</xdr:colOff>
      <xdr:row>34</xdr:row>
      <xdr:rowOff>57150</xdr:rowOff>
    </xdr:to>
    <xdr:sp macro="" textlink="">
      <xdr:nvSpPr>
        <xdr:cNvPr id="28" name="27 Rectángulo"/>
        <xdr:cNvSpPr/>
      </xdr:nvSpPr>
      <xdr:spPr>
        <a:xfrm>
          <a:off x="5248276" y="4867275"/>
          <a:ext cx="4629150" cy="638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oneCellAnchor>
    <xdr:from>
      <xdr:col>16</xdr:col>
      <xdr:colOff>57150</xdr:colOff>
      <xdr:row>33</xdr:row>
      <xdr:rowOff>42862</xdr:rowOff>
    </xdr:from>
    <xdr:ext cx="4057650" cy="531364"/>
    <mc:AlternateContent xmlns:mc="http://schemas.openxmlformats.org/markup-compatibility/2006" xmlns:a14="http://schemas.microsoft.com/office/drawing/2010/main">
      <mc:Choice Requires="a14">
        <xdr:sp macro="" textlink="">
          <xdr:nvSpPr>
            <xdr:cNvPr id="34" name="33 CuadroTexto"/>
            <xdr:cNvSpPr txBox="1"/>
          </xdr:nvSpPr>
          <xdr:spPr>
            <a:xfrm>
              <a:off x="10153650" y="5348287"/>
              <a:ext cx="4057650" cy="531364"/>
            </a:xfrm>
            <a:prstGeom prst="rec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s-ES" sz="1100" b="0" i="1">
                            <a:latin typeface="Cambria Math"/>
                          </a:rPr>
                        </m:ctrlPr>
                      </m:sSubPr>
                      <m:e>
                        <m:r>
                          <a:rPr lang="es-ES" sz="1100" b="0" i="1">
                            <a:latin typeface="Cambria Math"/>
                          </a:rPr>
                          <m:t>𝐸𝑚𝑖𝑠𝑖𝑜𝑛𝑒𝑠</m:t>
                        </m:r>
                        <m:r>
                          <a:rPr lang="es-ES" sz="1100" b="0" i="1">
                            <a:latin typeface="Cambria Math"/>
                          </a:rPr>
                          <m:t> </m:t>
                        </m:r>
                        <m:r>
                          <a:rPr lang="es-ES" sz="1100" b="0" i="1">
                            <a:latin typeface="Cambria Math"/>
                          </a:rPr>
                          <m:t>𝑑𝑒</m:t>
                        </m:r>
                        <m:r>
                          <a:rPr lang="es-ES" sz="1100" b="0" i="1">
                            <a:latin typeface="Cambria Math"/>
                          </a:rPr>
                          <m:t> </m:t>
                        </m:r>
                        <m:r>
                          <a:rPr lang="es-ES" sz="1100" b="0" i="1">
                            <a:latin typeface="Cambria Math"/>
                          </a:rPr>
                          <m:t>𝐶𝐻</m:t>
                        </m:r>
                      </m:e>
                      <m:sub>
                        <m:r>
                          <a:rPr lang="es-ES" sz="1100" b="0" i="1">
                            <a:latin typeface="Cambria Math"/>
                          </a:rPr>
                          <m:t>4</m:t>
                        </m:r>
                      </m:sub>
                    </m:sSub>
                    <m:r>
                      <a:rPr lang="es-ES" sz="1100" b="0" i="1">
                        <a:latin typeface="Cambria Math"/>
                      </a:rPr>
                      <m:t>=</m:t>
                    </m:r>
                    <m:d>
                      <m:dPr>
                        <m:begChr m:val="["/>
                        <m:endChr m:val="]"/>
                        <m:ctrlPr>
                          <a:rPr lang="es-ES" sz="1100" b="0" i="1">
                            <a:solidFill>
                              <a:schemeClr val="tx1"/>
                            </a:solidFill>
                            <a:effectLst/>
                            <a:latin typeface="Cambria Math"/>
                            <a:ea typeface="+mn-ea"/>
                            <a:cs typeface="+mn-cs"/>
                          </a:rPr>
                        </m:ctrlPr>
                      </m:dPr>
                      <m:e>
                        <m:nary>
                          <m:naryPr>
                            <m:chr m:val="∑"/>
                            <m:supHide m:val="on"/>
                            <m:ctrlPr>
                              <a:rPr lang="es-ES" sz="1100" b="0" i="1">
                                <a:solidFill>
                                  <a:schemeClr val="tx1"/>
                                </a:solidFill>
                                <a:effectLst/>
                                <a:latin typeface="Cambria Math"/>
                                <a:ea typeface="+mn-ea"/>
                                <a:cs typeface="+mn-cs"/>
                              </a:rPr>
                            </m:ctrlPr>
                          </m:naryPr>
                          <m:sub>
                            <m:r>
                              <m:rPr>
                                <m:brk m:alnAt="7"/>
                              </m:rPr>
                              <a:rPr lang="es-ES" sz="1100" b="0" i="1">
                                <a:solidFill>
                                  <a:schemeClr val="tx1"/>
                                </a:solidFill>
                                <a:effectLst/>
                                <a:latin typeface="Cambria Math"/>
                                <a:ea typeface="+mn-ea"/>
                                <a:cs typeface="+mn-cs"/>
                              </a:rPr>
                              <m:t>𝑖</m:t>
                            </m:r>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𝑗</m:t>
                            </m:r>
                          </m:sub>
                          <m:sup/>
                          <m:e>
                            <m:d>
                              <m:dPr>
                                <m:ctrlPr>
                                  <a:rPr lang="es-ES" sz="1100" b="0" i="1">
                                    <a:solidFill>
                                      <a:schemeClr val="tx1"/>
                                    </a:solidFill>
                                    <a:effectLst/>
                                    <a:latin typeface="Cambria Math"/>
                                    <a:ea typeface="+mn-ea"/>
                                    <a:cs typeface="+mn-cs"/>
                                  </a:rPr>
                                </m:ctrlPr>
                              </m:dPr>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𝑈</m:t>
                                    </m:r>
                                  </m:e>
                                  <m:sub>
                                    <m:r>
                                      <a:rPr lang="es-ES" sz="1100" b="0" i="1">
                                        <a:solidFill>
                                          <a:schemeClr val="tx1"/>
                                        </a:solidFill>
                                        <a:effectLst/>
                                        <a:latin typeface="Cambria Math"/>
                                        <a:ea typeface="+mn-ea"/>
                                        <a:cs typeface="+mn-cs"/>
                                      </a:rPr>
                                      <m:t>𝑖</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𝑇</m:t>
                                    </m:r>
                                  </m:e>
                                  <m:sub>
                                    <m:r>
                                      <a:rPr lang="es-ES" sz="1100" b="0" i="1">
                                        <a:solidFill>
                                          <a:schemeClr val="tx1"/>
                                        </a:solidFill>
                                        <a:effectLst/>
                                        <a:latin typeface="Cambria Math"/>
                                        <a:ea typeface="+mn-ea"/>
                                        <a:cs typeface="+mn-cs"/>
                                      </a:rPr>
                                      <m:t>𝑖</m:t>
                                    </m:r>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𝑗</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𝐸𝐹</m:t>
                                    </m:r>
                                  </m:e>
                                  <m:sub>
                                    <m:r>
                                      <a:rPr lang="es-ES" sz="1100" b="0" i="1">
                                        <a:solidFill>
                                          <a:schemeClr val="tx1"/>
                                        </a:solidFill>
                                        <a:effectLst/>
                                        <a:latin typeface="Cambria Math"/>
                                        <a:ea typeface="+mn-ea"/>
                                        <a:cs typeface="+mn-cs"/>
                                      </a:rPr>
                                      <m:t>𝑗</m:t>
                                    </m:r>
                                  </m:sub>
                                </m:sSub>
                              </m:e>
                            </m:d>
                          </m:e>
                        </m:nary>
                      </m:e>
                    </m:d>
                    <m:r>
                      <a:rPr lang="es-ES" sz="1100" b="0" i="1">
                        <a:solidFill>
                          <a:schemeClr val="tx1"/>
                        </a:solidFill>
                        <a:effectLst/>
                        <a:latin typeface="Cambria Math"/>
                        <a:ea typeface="+mn-ea"/>
                        <a:cs typeface="+mn-cs"/>
                      </a:rPr>
                      <m:t>×</m:t>
                    </m:r>
                    <m:d>
                      <m:dPr>
                        <m:ctrlPr>
                          <a:rPr lang="es-ES" sz="1100" b="0" i="1">
                            <a:solidFill>
                              <a:schemeClr val="tx1"/>
                            </a:solidFill>
                            <a:effectLst/>
                            <a:latin typeface="Cambria Math"/>
                            <a:ea typeface="+mn-ea"/>
                            <a:cs typeface="+mn-cs"/>
                          </a:rPr>
                        </m:ctrlPr>
                      </m:dPr>
                      <m:e>
                        <m:r>
                          <a:rPr lang="es-ES" sz="1100" b="0" i="1">
                            <a:solidFill>
                              <a:schemeClr val="tx1"/>
                            </a:solidFill>
                            <a:effectLst/>
                            <a:latin typeface="Cambria Math"/>
                            <a:ea typeface="+mn-ea"/>
                            <a:cs typeface="+mn-cs"/>
                          </a:rPr>
                          <m:t>𝑇𝑂𝑊</m:t>
                        </m:r>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𝑆</m:t>
                        </m:r>
                      </m:e>
                    </m:d>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𝑅</m:t>
                    </m:r>
                  </m:oMath>
                </m:oMathPara>
              </a14:m>
              <a:endParaRPr lang="es-CL" sz="1100"/>
            </a:p>
          </xdr:txBody>
        </xdr:sp>
      </mc:Choice>
      <mc:Fallback xmlns="">
        <xdr:sp macro="" textlink="">
          <xdr:nvSpPr>
            <xdr:cNvPr id="34" name="33 CuadroTexto"/>
            <xdr:cNvSpPr txBox="1"/>
          </xdr:nvSpPr>
          <xdr:spPr>
            <a:xfrm>
              <a:off x="10153650" y="5348287"/>
              <a:ext cx="4057650" cy="531364"/>
            </a:xfrm>
            <a:prstGeom prst="rec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1100" b="0" i="0">
                  <a:latin typeface="Cambria Math"/>
                </a:rPr>
                <a:t>〖𝐸𝑚𝑖𝑠𝑖𝑜𝑛𝑒𝑠 𝑑𝑒 𝐶𝐻〗_4=</a:t>
              </a:r>
              <a:r>
                <a:rPr lang="es-ES" sz="1100" b="0" i="0">
                  <a:solidFill>
                    <a:schemeClr val="tx1"/>
                  </a:solidFill>
                  <a:effectLst/>
                  <a:latin typeface="+mn-lt"/>
                  <a:ea typeface="+mn-ea"/>
                  <a:cs typeface="+mn-cs"/>
                </a:rPr>
                <a:t>[∑_(𝑖,𝑗)▒(𝑈_𝑖×𝑇_(𝑖,𝑗)×〖𝐸𝐹〗_𝑗 ) ]×(𝑇𝑂𝑊−𝑆)−𝑅</a:t>
              </a:r>
              <a:endParaRPr lang="es-CL" sz="1100"/>
            </a:p>
          </xdr:txBody>
        </xdr:sp>
      </mc:Fallback>
    </mc:AlternateContent>
    <xdr:clientData/>
  </xdr:oneCellAnchor>
  <xdr:twoCellAnchor editAs="oneCell">
    <xdr:from>
      <xdr:col>12</xdr:col>
      <xdr:colOff>47626</xdr:colOff>
      <xdr:row>7</xdr:row>
      <xdr:rowOff>0</xdr:rowOff>
    </xdr:from>
    <xdr:to>
      <xdr:col>18</xdr:col>
      <xdr:colOff>47625</xdr:colOff>
      <xdr:row>16</xdr:row>
      <xdr:rowOff>59748</xdr:rowOff>
    </xdr:to>
    <xdr:pic>
      <xdr:nvPicPr>
        <xdr:cNvPr id="42" name="41 Image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6" y="3171825"/>
          <a:ext cx="3657599" cy="1440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57150</xdr:colOff>
      <xdr:row>9</xdr:row>
      <xdr:rowOff>57150</xdr:rowOff>
    </xdr:from>
    <xdr:to>
      <xdr:col>15</xdr:col>
      <xdr:colOff>476250</xdr:colOff>
      <xdr:row>13</xdr:row>
      <xdr:rowOff>142875</xdr:rowOff>
    </xdr:to>
    <xdr:sp macro="" textlink="">
      <xdr:nvSpPr>
        <xdr:cNvPr id="43" name="42 Rectángulo"/>
        <xdr:cNvSpPr/>
      </xdr:nvSpPr>
      <xdr:spPr>
        <a:xfrm>
          <a:off x="7715250" y="1676400"/>
          <a:ext cx="2247900" cy="704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oneCellAnchor>
    <xdr:from>
      <xdr:col>0</xdr:col>
      <xdr:colOff>19050</xdr:colOff>
      <xdr:row>61</xdr:row>
      <xdr:rowOff>9525</xdr:rowOff>
    </xdr:from>
    <xdr:ext cx="4686300" cy="523875"/>
    <mc:AlternateContent xmlns:mc="http://schemas.openxmlformats.org/markup-compatibility/2006" xmlns:a14="http://schemas.microsoft.com/office/drawing/2010/main">
      <mc:Choice Requires="a14">
        <xdr:sp macro="" textlink="">
          <xdr:nvSpPr>
            <xdr:cNvPr id="50" name="49 CuadroTexto"/>
            <xdr:cNvSpPr txBox="1"/>
          </xdr:nvSpPr>
          <xdr:spPr>
            <a:xfrm>
              <a:off x="19050" y="9296400"/>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s-ES" sz="1100" b="0" i="1">
                            <a:latin typeface="Cambria Math"/>
                          </a:rPr>
                        </m:ctrlPr>
                      </m:sSubPr>
                      <m:e>
                        <m:r>
                          <a:rPr lang="es-ES" sz="1100" b="0" i="1">
                            <a:latin typeface="Cambria Math"/>
                          </a:rPr>
                          <m:t>𝐸𝑚𝑖𝑠𝑖𝑜𝑛𝑒𝑠</m:t>
                        </m:r>
                        <m:r>
                          <a:rPr lang="es-ES" sz="1100" b="0" i="1">
                            <a:latin typeface="Cambria Math"/>
                          </a:rPr>
                          <m:t> </m:t>
                        </m:r>
                        <m:r>
                          <a:rPr lang="es-ES" sz="1100" b="0" i="1">
                            <a:latin typeface="Cambria Math"/>
                          </a:rPr>
                          <m:t>𝑑𝑒</m:t>
                        </m:r>
                        <m:r>
                          <a:rPr lang="es-ES" sz="1100" b="0" i="1">
                            <a:latin typeface="Cambria Math"/>
                          </a:rPr>
                          <m:t> </m:t>
                        </m:r>
                        <m:r>
                          <a:rPr lang="es-ES" sz="1100" b="0" i="1">
                            <a:latin typeface="Cambria Math"/>
                          </a:rPr>
                          <m:t>𝐶𝐻</m:t>
                        </m:r>
                      </m:e>
                      <m:sub>
                        <m:r>
                          <a:rPr lang="es-ES" sz="1100" b="0" i="1">
                            <a:latin typeface="Cambria Math"/>
                          </a:rPr>
                          <m:t>4</m:t>
                        </m:r>
                      </m:sub>
                    </m:sSub>
                    <m:r>
                      <a:rPr lang="es-ES" sz="1100" b="0" i="1">
                        <a:latin typeface="Cambria Math"/>
                      </a:rPr>
                      <m:t>=</m:t>
                    </m:r>
                    <m:d>
                      <m:dPr>
                        <m:begChr m:val="["/>
                        <m:endChr m:val="]"/>
                        <m:ctrlPr>
                          <a:rPr lang="es-ES" sz="1100" b="0" i="1">
                            <a:solidFill>
                              <a:schemeClr val="tx1"/>
                            </a:solidFill>
                            <a:effectLst/>
                            <a:latin typeface="Cambria Math"/>
                            <a:ea typeface="+mn-ea"/>
                            <a:cs typeface="+mn-cs"/>
                          </a:rPr>
                        </m:ctrlPr>
                      </m:dPr>
                      <m:e>
                        <m:nary>
                          <m:naryPr>
                            <m:chr m:val="∑"/>
                            <m:supHide m:val="on"/>
                            <m:ctrlPr>
                              <a:rPr lang="es-ES" sz="1100" b="0" i="1">
                                <a:solidFill>
                                  <a:schemeClr val="tx1"/>
                                </a:solidFill>
                                <a:effectLst/>
                                <a:latin typeface="Cambria Math"/>
                                <a:ea typeface="+mn-ea"/>
                                <a:cs typeface="+mn-cs"/>
                              </a:rPr>
                            </m:ctrlPr>
                          </m:naryPr>
                          <m:sub>
                            <m:r>
                              <m:rPr>
                                <m:brk m:alnAt="7"/>
                              </m:rPr>
                              <a:rPr lang="es-ES" sz="1100" b="0" i="1">
                                <a:solidFill>
                                  <a:schemeClr val="tx1"/>
                                </a:solidFill>
                                <a:effectLst/>
                                <a:latin typeface="Cambria Math"/>
                                <a:ea typeface="+mn-ea"/>
                                <a:cs typeface="+mn-cs"/>
                              </a:rPr>
                              <m:t>𝑖</m:t>
                            </m:r>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𝑗</m:t>
                            </m:r>
                          </m:sub>
                          <m:sup/>
                          <m:e>
                            <m:d>
                              <m:dPr>
                                <m:ctrlPr>
                                  <a:rPr lang="es-ES" sz="1100" b="0" i="1">
                                    <a:solidFill>
                                      <a:schemeClr val="tx1"/>
                                    </a:solidFill>
                                    <a:effectLst/>
                                    <a:latin typeface="Cambria Math"/>
                                    <a:ea typeface="+mn-ea"/>
                                    <a:cs typeface="+mn-cs"/>
                                  </a:rPr>
                                </m:ctrlPr>
                              </m:dPr>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𝑃</m:t>
                                    </m:r>
                                  </m:e>
                                  <m:sub>
                                    <m:r>
                                      <a:rPr lang="es-ES" sz="1100" b="0" i="1">
                                        <a:solidFill>
                                          <a:schemeClr val="tx1"/>
                                        </a:solidFill>
                                        <a:effectLst/>
                                        <a:latin typeface="Cambria Math"/>
                                        <a:ea typeface="+mn-ea"/>
                                        <a:cs typeface="+mn-cs"/>
                                      </a:rPr>
                                      <m:t>𝑝𝑡</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𝐷𝐵𝑂</m:t>
                                    </m:r>
                                  </m:e>
                                  <m:sub>
                                    <m:r>
                                      <a:rPr lang="es-ES" sz="1100" b="0" i="1">
                                        <a:solidFill>
                                          <a:schemeClr val="tx1"/>
                                        </a:solidFill>
                                        <a:effectLst/>
                                        <a:latin typeface="Cambria Math"/>
                                        <a:ea typeface="+mn-ea"/>
                                        <a:cs typeface="+mn-cs"/>
                                      </a:rPr>
                                      <m:t>𝑝</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𝐹</m:t>
                                        </m:r>
                                      </m:e>
                                      <m:sub>
                                        <m:r>
                                          <a:rPr lang="es-ES" sz="1100" b="0" i="1">
                                            <a:solidFill>
                                              <a:schemeClr val="tx1"/>
                                            </a:solidFill>
                                            <a:effectLst/>
                                            <a:latin typeface="Cambria Math"/>
                                            <a:ea typeface="+mn-ea"/>
                                            <a:cs typeface="+mn-cs"/>
                                          </a:rPr>
                                          <m:t>𝐷𝐵𝑂</m:t>
                                        </m:r>
                                      </m:sub>
                                    </m:sSub>
                                    <m:r>
                                      <a:rPr lang="es-ES" sz="1100" b="0" i="1">
                                        <a:solidFill>
                                          <a:schemeClr val="tx1"/>
                                        </a:solidFill>
                                        <a:effectLst/>
                                        <a:latin typeface="Cambria Math"/>
                                        <a:ea typeface="Cambria Math"/>
                                        <a:cs typeface="+mn-cs"/>
                                      </a:rPr>
                                      <m:t>×</m:t>
                                    </m:r>
                                    <m:r>
                                      <a:rPr lang="es-ES" sz="1100" b="0" i="1">
                                        <a:solidFill>
                                          <a:schemeClr val="tx1"/>
                                        </a:solidFill>
                                        <a:effectLst/>
                                        <a:latin typeface="Cambria Math"/>
                                        <a:ea typeface="+mn-ea"/>
                                        <a:cs typeface="+mn-cs"/>
                                      </a:rPr>
                                      <m:t>𝐸𝐹</m:t>
                                    </m:r>
                                  </m:e>
                                  <m:sub>
                                    <m:r>
                                      <a:rPr lang="es-ES" sz="1100" b="0" i="1">
                                        <a:solidFill>
                                          <a:schemeClr val="tx1"/>
                                        </a:solidFill>
                                        <a:effectLst/>
                                        <a:latin typeface="Cambria Math"/>
                                        <a:ea typeface="+mn-ea"/>
                                        <a:cs typeface="+mn-cs"/>
                                      </a:rPr>
                                      <m:t>𝑗</m:t>
                                    </m:r>
                                  </m:sub>
                                </m:sSub>
                              </m:e>
                            </m:d>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𝑀𝑅</m:t>
                            </m:r>
                          </m:e>
                        </m:nary>
                      </m:e>
                    </m:d>
                    <m:r>
                      <a:rPr lang="es-ES" sz="1100" b="0" i="1">
                        <a:solidFill>
                          <a:schemeClr val="tx1"/>
                        </a:solidFill>
                        <a:effectLst/>
                        <a:latin typeface="Cambria Math"/>
                        <a:ea typeface="+mn-ea"/>
                        <a:cs typeface="+mn-cs"/>
                      </a:rPr>
                      <m:t>×</m:t>
                    </m:r>
                    <m:sSup>
                      <m:sSupPr>
                        <m:ctrlPr>
                          <a:rPr lang="es-ES" sz="1100" b="0" i="1">
                            <a:solidFill>
                              <a:schemeClr val="tx1"/>
                            </a:solidFill>
                            <a:effectLst/>
                            <a:latin typeface="Cambria Math"/>
                            <a:ea typeface="+mn-ea"/>
                            <a:cs typeface="+mn-cs"/>
                          </a:rPr>
                        </m:ctrlPr>
                      </m:sSupPr>
                      <m:e>
                        <m:r>
                          <a:rPr lang="es-ES" sz="1100" b="0" i="1">
                            <a:solidFill>
                              <a:schemeClr val="tx1"/>
                            </a:solidFill>
                            <a:effectLst/>
                            <a:latin typeface="Cambria Math"/>
                            <a:ea typeface="+mn-ea"/>
                            <a:cs typeface="+mn-cs"/>
                          </a:rPr>
                          <m:t>10</m:t>
                        </m:r>
                      </m:e>
                      <m:sup>
                        <m:r>
                          <a:rPr lang="es-ES" sz="1100" b="0" i="1">
                            <a:solidFill>
                              <a:schemeClr val="tx1"/>
                            </a:solidFill>
                            <a:effectLst/>
                            <a:latin typeface="Cambria Math"/>
                            <a:ea typeface="+mn-ea"/>
                            <a:cs typeface="+mn-cs"/>
                          </a:rPr>
                          <m:t>−3</m:t>
                        </m:r>
                      </m:sup>
                    </m:sSup>
                  </m:oMath>
                </m:oMathPara>
              </a14:m>
              <a:endParaRPr lang="es-CL" sz="1100"/>
            </a:p>
          </xdr:txBody>
        </xdr:sp>
      </mc:Choice>
      <mc:Fallback xmlns="">
        <xdr:sp macro="" textlink="">
          <xdr:nvSpPr>
            <xdr:cNvPr id="50" name="49 CuadroTexto"/>
            <xdr:cNvSpPr txBox="1"/>
          </xdr:nvSpPr>
          <xdr:spPr>
            <a:xfrm>
              <a:off x="19050" y="9296400"/>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0" i="0">
                  <a:latin typeface="Cambria Math"/>
                </a:rPr>
                <a:t>〖𝐸𝑚𝑖𝑠𝑖𝑜𝑛𝑒𝑠 𝑑𝑒 𝐶𝐻〗_4=</a:t>
              </a:r>
              <a:r>
                <a:rPr lang="es-ES" sz="1100" b="0" i="0">
                  <a:solidFill>
                    <a:schemeClr val="tx1"/>
                  </a:solidFill>
                  <a:effectLst/>
                  <a:latin typeface="+mn-lt"/>
                  <a:ea typeface="+mn-ea"/>
                  <a:cs typeface="+mn-cs"/>
                </a:rPr>
                <a:t>[∑_(𝑖,𝑗)▒〖(</a:t>
              </a:r>
              <a:r>
                <a:rPr lang="es-ES" sz="1100" b="0" i="0">
                  <a:solidFill>
                    <a:schemeClr val="tx1"/>
                  </a:solidFill>
                  <a:effectLst/>
                  <a:latin typeface="Cambria Math"/>
                  <a:ea typeface="+mn-ea"/>
                  <a:cs typeface="+mn-cs"/>
                </a:rPr>
                <a:t>𝑃</a:t>
              </a:r>
              <a:r>
                <a:rPr lang="es-ES" sz="1100" b="0" i="0">
                  <a:solidFill>
                    <a:schemeClr val="tx1"/>
                  </a:solidFill>
                  <a:effectLst/>
                  <a:latin typeface="+mn-lt"/>
                  <a:ea typeface="+mn-ea"/>
                  <a:cs typeface="+mn-cs"/>
                </a:rPr>
                <a:t>_</a:t>
              </a:r>
              <a:r>
                <a:rPr lang="es-ES" sz="1100" b="0" i="0">
                  <a:solidFill>
                    <a:schemeClr val="tx1"/>
                  </a:solidFill>
                  <a:effectLst/>
                  <a:latin typeface="Cambria Math"/>
                  <a:ea typeface="+mn-ea"/>
                  <a:cs typeface="+mn-cs"/>
                </a:rPr>
                <a:t>𝑝𝑡</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𝐷𝐵𝑂</a:t>
              </a:r>
              <a:r>
                <a:rPr lang="es-ES" sz="1100" b="0" i="0">
                  <a:solidFill>
                    <a:schemeClr val="tx1"/>
                  </a:solidFill>
                  <a:effectLst/>
                  <a:latin typeface="+mn-lt"/>
                  <a:ea typeface="+mn-ea"/>
                  <a:cs typeface="+mn-cs"/>
                </a:rPr>
                <a:t>〗_</a:t>
              </a:r>
              <a:r>
                <a:rPr lang="es-ES" sz="1100" b="0" i="0">
                  <a:solidFill>
                    <a:schemeClr val="tx1"/>
                  </a:solidFill>
                  <a:effectLst/>
                  <a:latin typeface="Cambria Math"/>
                  <a:ea typeface="+mn-ea"/>
                  <a:cs typeface="+mn-cs"/>
                </a:rPr>
                <a:t>𝑝</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𝐹_𝐷𝐵𝑂</a:t>
              </a:r>
              <a:r>
                <a:rPr lang="es-ES" sz="1100" b="0" i="0">
                  <a:solidFill>
                    <a:schemeClr val="tx1"/>
                  </a:solidFill>
                  <a:effectLst/>
                  <a:latin typeface="Cambria Math"/>
                  <a:ea typeface="Cambria Math"/>
                  <a:cs typeface="+mn-cs"/>
                </a:rPr>
                <a:t>×</a:t>
              </a:r>
              <a:r>
                <a:rPr lang="es-ES" sz="1100" b="0" i="0">
                  <a:solidFill>
                    <a:schemeClr val="tx1"/>
                  </a:solidFill>
                  <a:effectLst/>
                  <a:latin typeface="+mn-lt"/>
                  <a:ea typeface="+mn-ea"/>
                  <a:cs typeface="+mn-cs"/>
                </a:rPr>
                <a:t>𝐸𝐹〗_𝑗 )</a:t>
              </a:r>
              <a:r>
                <a:rPr lang="es-ES" sz="1100" b="0" i="0">
                  <a:solidFill>
                    <a:schemeClr val="tx1"/>
                  </a:solidFill>
                  <a:effectLst/>
                  <a:latin typeface="Cambria Math"/>
                  <a:ea typeface="+mn-ea"/>
                  <a:cs typeface="+mn-cs"/>
                </a:rPr>
                <a:t>−𝑀𝑅</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〖10〗^(−3)</a:t>
              </a:r>
              <a:endParaRPr lang="es-CL" sz="1100"/>
            </a:p>
          </xdr:txBody>
        </xdr:sp>
      </mc:Fallback>
    </mc:AlternateContent>
    <xdr:clientData/>
  </xdr:oneCellAnchor>
  <xdr:oneCellAnchor>
    <xdr:from>
      <xdr:col>0</xdr:col>
      <xdr:colOff>28574</xdr:colOff>
      <xdr:row>78</xdr:row>
      <xdr:rowOff>38101</xdr:rowOff>
    </xdr:from>
    <xdr:ext cx="5553075" cy="361950"/>
    <mc:AlternateContent xmlns:mc="http://schemas.openxmlformats.org/markup-compatibility/2006" xmlns:a14="http://schemas.microsoft.com/office/drawing/2010/main">
      <mc:Choice Requires="a14">
        <xdr:sp macro="" textlink="">
          <xdr:nvSpPr>
            <xdr:cNvPr id="51" name="50 CuadroTexto"/>
            <xdr:cNvSpPr txBox="1"/>
          </xdr:nvSpPr>
          <xdr:spPr>
            <a:xfrm>
              <a:off x="28574" y="12411076"/>
              <a:ext cx="5553075" cy="361950"/>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s-ES" sz="1100" b="0" i="1">
                            <a:latin typeface="Cambria Math"/>
                          </a:rPr>
                        </m:ctrlPr>
                      </m:sSubPr>
                      <m:e>
                        <m:r>
                          <a:rPr lang="es-ES" sz="1100" b="0" i="1">
                            <a:latin typeface="Cambria Math"/>
                          </a:rPr>
                          <m:t>𝐸𝑚𝑖𝑠𝑖𝑜𝑛𝑒𝑠</m:t>
                        </m:r>
                        <m:r>
                          <a:rPr lang="es-ES" sz="1100" b="0" i="1">
                            <a:latin typeface="Cambria Math"/>
                          </a:rPr>
                          <m:t> </m:t>
                        </m:r>
                        <m:r>
                          <a:rPr lang="es-ES" sz="1100" b="0" i="1">
                            <a:latin typeface="Cambria Math"/>
                          </a:rPr>
                          <m:t>𝑑𝑒</m:t>
                        </m:r>
                        <m:r>
                          <a:rPr lang="es-ES" sz="1100" b="0" i="1">
                            <a:latin typeface="Cambria Math"/>
                          </a:rPr>
                          <m:t> </m:t>
                        </m:r>
                        <m:r>
                          <a:rPr lang="es-ES" sz="1100" b="0" i="1">
                            <a:latin typeface="Cambria Math"/>
                          </a:rPr>
                          <m:t>𝐶𝑂</m:t>
                        </m:r>
                      </m:e>
                      <m:sub>
                        <m:r>
                          <a:rPr lang="es-ES" sz="1100" b="0" i="1">
                            <a:latin typeface="Cambria Math"/>
                          </a:rPr>
                          <m:t>2</m:t>
                        </m:r>
                      </m:sub>
                    </m:sSub>
                    <m:r>
                      <a:rPr lang="es-ES" sz="1100" b="0" i="1">
                        <a:latin typeface="Cambria Math"/>
                      </a:rPr>
                      <m:t>=</m:t>
                    </m:r>
                    <m:nary>
                      <m:naryPr>
                        <m:chr m:val="∑"/>
                        <m:subHide m:val="on"/>
                        <m:supHide m:val="on"/>
                        <m:ctrlPr>
                          <a:rPr lang="es-ES" sz="1100" b="0" i="1">
                            <a:solidFill>
                              <a:schemeClr val="tx1"/>
                            </a:solidFill>
                            <a:effectLst/>
                            <a:latin typeface="Cambria Math"/>
                            <a:ea typeface="+mn-ea"/>
                            <a:cs typeface="+mn-cs"/>
                          </a:rPr>
                        </m:ctrlPr>
                      </m:naryPr>
                      <m:sub/>
                      <m:sup/>
                      <m:e>
                        <m:d>
                          <m:dPr>
                            <m:ctrlPr>
                              <a:rPr lang="es-ES" sz="1100" b="0" i="1">
                                <a:solidFill>
                                  <a:schemeClr val="tx1"/>
                                </a:solidFill>
                                <a:effectLst/>
                                <a:latin typeface="Cambria Math"/>
                                <a:ea typeface="+mn-ea"/>
                                <a:cs typeface="+mn-cs"/>
                              </a:rPr>
                            </m:ctrlPr>
                          </m:dPr>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𝑃</m:t>
                                </m:r>
                              </m:e>
                              <m:sub>
                                <m:r>
                                  <a:rPr lang="es-ES" sz="1100" b="0" i="1">
                                    <a:solidFill>
                                      <a:schemeClr val="tx1"/>
                                    </a:solidFill>
                                    <a:effectLst/>
                                    <a:latin typeface="Cambria Math"/>
                                    <a:ea typeface="+mn-ea"/>
                                    <a:cs typeface="+mn-cs"/>
                                  </a:rPr>
                                  <m:t>𝑝𝑡</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𝐹</m:t>
                                </m:r>
                              </m:e>
                              <m:sub>
                                <m:r>
                                  <a:rPr lang="es-ES" sz="1100" b="0" i="1">
                                    <a:solidFill>
                                      <a:schemeClr val="tx1"/>
                                    </a:solidFill>
                                    <a:effectLst/>
                                    <a:latin typeface="Cambria Math"/>
                                    <a:ea typeface="+mn-ea"/>
                                    <a:cs typeface="+mn-cs"/>
                                  </a:rPr>
                                  <m:t>𝑎𝑠</m:t>
                                </m:r>
                              </m:sub>
                            </m:sSub>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𝐷𝑄𝑂</m:t>
                            </m:r>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𝜂</m:t>
                                </m:r>
                              </m:e>
                              <m:sub>
                                <m:r>
                                  <a:rPr lang="es-ES" sz="1100" b="0" i="1">
                                    <a:solidFill>
                                      <a:schemeClr val="tx1"/>
                                    </a:solidFill>
                                    <a:effectLst/>
                                    <a:latin typeface="Cambria Math"/>
                                    <a:ea typeface="+mn-ea"/>
                                    <a:cs typeface="+mn-cs"/>
                                  </a:rPr>
                                  <m:t>𝑎𝑠</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𝐷𝑄𝑂</m:t>
                                </m:r>
                              </m:e>
                              <m:sub>
                                <m:r>
                                  <a:rPr lang="es-ES" sz="1100" b="0" i="1">
                                    <a:solidFill>
                                      <a:schemeClr val="tx1"/>
                                    </a:solidFill>
                                    <a:effectLst/>
                                    <a:latin typeface="Cambria Math"/>
                                    <a:ea typeface="+mn-ea"/>
                                    <a:cs typeface="+mn-cs"/>
                                  </a:rPr>
                                  <m:t>𝑏</m:t>
                                </m:r>
                              </m:sub>
                            </m:sSub>
                          </m:e>
                        </m:d>
                      </m:e>
                    </m:nary>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𝐹𝐸𝐶</m:t>
                        </m:r>
                      </m:e>
                      <m:sub>
                        <m:r>
                          <a:rPr lang="es-ES" sz="1100" b="0" i="1">
                            <a:solidFill>
                              <a:schemeClr val="tx1"/>
                            </a:solidFill>
                            <a:effectLst/>
                            <a:latin typeface="Cambria Math"/>
                            <a:ea typeface="+mn-ea"/>
                            <a:cs typeface="+mn-cs"/>
                          </a:rPr>
                          <m:t>𝑙</m:t>
                        </m:r>
                      </m:sub>
                    </m:sSub>
                    <m:r>
                      <a:rPr lang="es-ES" sz="1100" b="0" i="1">
                        <a:solidFill>
                          <a:schemeClr val="tx1"/>
                        </a:solidFill>
                        <a:effectLst/>
                        <a:latin typeface="Cambria Math"/>
                        <a:ea typeface="Cambria Math"/>
                        <a:cs typeface="+mn-cs"/>
                      </a:rPr>
                      <m:t>×</m:t>
                    </m:r>
                    <m:r>
                      <a:rPr lang="es-ES" sz="1100" b="0" i="1">
                        <a:solidFill>
                          <a:schemeClr val="tx1"/>
                        </a:solidFill>
                        <a:effectLst/>
                        <a:latin typeface="Cambria Math"/>
                        <a:ea typeface="Cambria Math"/>
                        <a:cs typeface="+mn-cs"/>
                      </a:rPr>
                      <m:t>𝐹𝑅𝐸</m:t>
                    </m:r>
                    <m:r>
                      <a:rPr lang="es-ES" sz="1100" b="0" i="1">
                        <a:solidFill>
                          <a:schemeClr val="tx1"/>
                        </a:solidFill>
                        <a:effectLst/>
                        <a:latin typeface="Cambria Math"/>
                        <a:ea typeface="Cambria Math"/>
                        <a:cs typeface="+mn-cs"/>
                      </a:rPr>
                      <m:t>×</m:t>
                    </m:r>
                    <m:sSub>
                      <m:sSubPr>
                        <m:ctrlPr>
                          <a:rPr lang="es-ES" sz="1100" b="0" i="1">
                            <a:solidFill>
                              <a:schemeClr val="tx1"/>
                            </a:solidFill>
                            <a:effectLst/>
                            <a:latin typeface="Cambria Math"/>
                            <a:ea typeface="Cambria Math"/>
                            <a:cs typeface="+mn-cs"/>
                          </a:rPr>
                        </m:ctrlPr>
                      </m:sSubPr>
                      <m:e>
                        <m:r>
                          <a:rPr lang="es-ES" sz="1100" b="0" i="1">
                            <a:solidFill>
                              <a:schemeClr val="tx1"/>
                            </a:solidFill>
                            <a:effectLst/>
                            <a:latin typeface="Cambria Math"/>
                            <a:ea typeface="Cambria Math"/>
                            <a:cs typeface="+mn-cs"/>
                          </a:rPr>
                          <m:t>𝐹</m:t>
                        </m:r>
                      </m:e>
                      <m:sub>
                        <m:r>
                          <a:rPr lang="es-ES" sz="1100" b="0" i="1">
                            <a:solidFill>
                              <a:schemeClr val="tx1"/>
                            </a:solidFill>
                            <a:effectLst/>
                            <a:latin typeface="Cambria Math"/>
                            <a:ea typeface="Cambria Math"/>
                            <a:cs typeface="+mn-cs"/>
                          </a:rPr>
                          <m:t>𝑐𝑜𝑛𝑣</m:t>
                        </m:r>
                      </m:sub>
                    </m:sSub>
                    <m:r>
                      <a:rPr lang="es-ES" sz="1100" b="0" i="1">
                        <a:solidFill>
                          <a:schemeClr val="tx1"/>
                        </a:solidFill>
                        <a:effectLst/>
                        <a:latin typeface="Cambria Math"/>
                        <a:ea typeface="Cambria Math"/>
                        <a:cs typeface="+mn-cs"/>
                      </a:rPr>
                      <m:t>×</m:t>
                    </m:r>
                    <m:sSup>
                      <m:sSupPr>
                        <m:ctrlPr>
                          <a:rPr lang="es-ES" sz="1100" b="0" i="1">
                            <a:solidFill>
                              <a:schemeClr val="tx1"/>
                            </a:solidFill>
                            <a:effectLst/>
                            <a:latin typeface="Cambria Math"/>
                            <a:ea typeface="+mn-ea"/>
                            <a:cs typeface="+mn-cs"/>
                          </a:rPr>
                        </m:ctrlPr>
                      </m:sSupPr>
                      <m:e>
                        <m:r>
                          <a:rPr lang="es-ES" sz="1100" b="0" i="1">
                            <a:solidFill>
                              <a:schemeClr val="tx1"/>
                            </a:solidFill>
                            <a:effectLst/>
                            <a:latin typeface="Cambria Math"/>
                            <a:ea typeface="+mn-ea"/>
                            <a:cs typeface="+mn-cs"/>
                          </a:rPr>
                          <m:t>10</m:t>
                        </m:r>
                      </m:e>
                      <m:sup>
                        <m:r>
                          <a:rPr lang="es-ES" sz="1100" b="0" i="1">
                            <a:solidFill>
                              <a:schemeClr val="tx1"/>
                            </a:solidFill>
                            <a:effectLst/>
                            <a:latin typeface="Cambria Math"/>
                            <a:ea typeface="+mn-ea"/>
                            <a:cs typeface="+mn-cs"/>
                          </a:rPr>
                          <m:t>−3</m:t>
                        </m:r>
                      </m:sup>
                    </m:sSup>
                  </m:oMath>
                </m:oMathPara>
              </a14:m>
              <a:endParaRPr lang="es-CL" sz="1100"/>
            </a:p>
          </xdr:txBody>
        </xdr:sp>
      </mc:Choice>
      <mc:Fallback xmlns="">
        <xdr:sp macro="" textlink="">
          <xdr:nvSpPr>
            <xdr:cNvPr id="51" name="50 CuadroTexto"/>
            <xdr:cNvSpPr txBox="1"/>
          </xdr:nvSpPr>
          <xdr:spPr>
            <a:xfrm>
              <a:off x="28574" y="12411076"/>
              <a:ext cx="5553075" cy="361950"/>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0" i="0">
                  <a:latin typeface="Cambria Math"/>
                </a:rPr>
                <a:t>〖𝐸𝑚𝑖𝑠𝑖𝑜𝑛𝑒𝑠 𝑑𝑒 𝐶𝑂〗_2=</a:t>
              </a:r>
              <a:r>
                <a:rPr lang="es-ES" sz="1100" b="0" i="0">
                  <a:solidFill>
                    <a:schemeClr val="tx1"/>
                  </a:solidFill>
                  <a:effectLst/>
                  <a:latin typeface="+mn-lt"/>
                  <a:ea typeface="+mn-ea"/>
                  <a:cs typeface="+mn-cs"/>
                </a:rPr>
                <a:t>∑▒(𝑃_𝑝𝑡×𝐹_𝑎𝑠×𝐷𝑄𝑂×𝜂_𝑎𝑠×〖𝐷𝑄𝑂〗_𝑏 ) ×</a:t>
              </a:r>
              <a:r>
                <a:rPr lang="es-ES" sz="1100" b="0" i="0">
                  <a:solidFill>
                    <a:schemeClr val="tx1"/>
                  </a:solidFill>
                  <a:effectLst/>
                  <a:latin typeface="Cambria Math"/>
                  <a:ea typeface="+mn-ea"/>
                  <a:cs typeface="+mn-cs"/>
                </a:rPr>
                <a:t>〖𝐹𝐸𝐶〗_𝑙</a:t>
              </a:r>
              <a:r>
                <a:rPr lang="es-ES" sz="1100" b="0" i="0">
                  <a:solidFill>
                    <a:schemeClr val="tx1"/>
                  </a:solidFill>
                  <a:effectLst/>
                  <a:latin typeface="Cambria Math"/>
                  <a:ea typeface="Cambria Math"/>
                  <a:cs typeface="+mn-cs"/>
                </a:rPr>
                <a:t>×𝐹𝑅𝐸×𝐹_𝑐𝑜𝑛𝑣×</a:t>
              </a:r>
              <a:r>
                <a:rPr lang="es-ES" sz="1100" b="0" i="0">
                  <a:solidFill>
                    <a:schemeClr val="tx1"/>
                  </a:solidFill>
                  <a:effectLst/>
                  <a:latin typeface="Cambria Math"/>
                  <a:ea typeface="+mn-ea"/>
                  <a:cs typeface="+mn-cs"/>
                </a:rPr>
                <a:t>〖10〗^(−3)</a:t>
              </a:r>
              <a:endParaRPr lang="es-CL" sz="1100"/>
            </a:p>
          </xdr:txBody>
        </xdr:sp>
      </mc:Fallback>
    </mc:AlternateContent>
    <xdr:clientData/>
  </xdr:oneCellAnchor>
  <xdr:oneCellAnchor>
    <xdr:from>
      <xdr:col>0</xdr:col>
      <xdr:colOff>19050</xdr:colOff>
      <xdr:row>105</xdr:row>
      <xdr:rowOff>9525</xdr:rowOff>
    </xdr:from>
    <xdr:ext cx="4686300" cy="523875"/>
    <mc:AlternateContent xmlns:mc="http://schemas.openxmlformats.org/markup-compatibility/2006" xmlns:a14="http://schemas.microsoft.com/office/drawing/2010/main">
      <mc:Choice Requires="a14">
        <xdr:sp macro="" textlink="">
          <xdr:nvSpPr>
            <xdr:cNvPr id="52" name="51 CuadroTexto"/>
            <xdr:cNvSpPr txBox="1"/>
          </xdr:nvSpPr>
          <xdr:spPr>
            <a:xfrm>
              <a:off x="19050" y="9610725"/>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s-ES" sz="1100" b="0" i="1">
                            <a:latin typeface="Cambria Math"/>
                          </a:rPr>
                        </m:ctrlPr>
                      </m:sSubPr>
                      <m:e>
                        <m:r>
                          <a:rPr lang="es-ES" sz="1100" b="0" i="1">
                            <a:latin typeface="Cambria Math"/>
                          </a:rPr>
                          <m:t>𝐸𝑚𝑖𝑠𝑖𝑜𝑛𝑒𝑠</m:t>
                        </m:r>
                        <m:r>
                          <a:rPr lang="es-ES" sz="1100" b="0" i="1">
                            <a:latin typeface="Cambria Math"/>
                          </a:rPr>
                          <m:t> </m:t>
                        </m:r>
                        <m:r>
                          <a:rPr lang="es-ES" sz="1100" b="0" i="1">
                            <a:latin typeface="Cambria Math"/>
                          </a:rPr>
                          <m:t>𝑑𝑒</m:t>
                        </m:r>
                        <m:r>
                          <a:rPr lang="es-ES" sz="1100" b="0" i="1">
                            <a:latin typeface="Cambria Math"/>
                          </a:rPr>
                          <m:t> </m:t>
                        </m:r>
                        <m:r>
                          <a:rPr lang="es-ES" sz="1100" b="0" i="1">
                            <a:latin typeface="Cambria Math"/>
                          </a:rPr>
                          <m:t>𝑁</m:t>
                        </m:r>
                      </m:e>
                      <m:sub>
                        <m:r>
                          <a:rPr lang="es-ES" sz="1100" b="0" i="1">
                            <a:latin typeface="Cambria Math"/>
                          </a:rPr>
                          <m:t>2</m:t>
                        </m:r>
                      </m:sub>
                    </m:sSub>
                    <m:r>
                      <a:rPr lang="es-ES" sz="1100" b="0" i="1">
                        <a:latin typeface="Cambria Math"/>
                      </a:rPr>
                      <m:t>𝑂</m:t>
                    </m:r>
                    <m:r>
                      <a:rPr lang="es-ES" sz="1100" b="0" i="1">
                        <a:latin typeface="Cambria Math"/>
                      </a:rPr>
                      <m:t>=</m:t>
                    </m:r>
                    <m:d>
                      <m:dPr>
                        <m:begChr m:val="["/>
                        <m:endChr m:val="]"/>
                        <m:ctrlPr>
                          <a:rPr lang="es-ES" sz="1100" b="0" i="1">
                            <a:solidFill>
                              <a:schemeClr val="tx1"/>
                            </a:solidFill>
                            <a:effectLst/>
                            <a:latin typeface="Cambria Math"/>
                            <a:ea typeface="+mn-ea"/>
                            <a:cs typeface="+mn-cs"/>
                          </a:rPr>
                        </m:ctrlPr>
                      </m:dPr>
                      <m:e>
                        <m:nary>
                          <m:naryPr>
                            <m:chr m:val="∑"/>
                            <m:subHide m:val="on"/>
                            <m:supHide m:val="on"/>
                            <m:ctrlPr>
                              <a:rPr lang="es-ES" sz="1100" b="0" i="1">
                                <a:solidFill>
                                  <a:schemeClr val="tx1"/>
                                </a:solidFill>
                                <a:effectLst/>
                                <a:latin typeface="Cambria Math"/>
                                <a:ea typeface="+mn-ea"/>
                                <a:cs typeface="+mn-cs"/>
                              </a:rPr>
                            </m:ctrlPr>
                          </m:naryPr>
                          <m:sub/>
                          <m:sup/>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𝑃</m:t>
                                </m:r>
                              </m:e>
                              <m:sub>
                                <m:r>
                                  <a:rPr lang="es-ES" sz="1100" b="0" i="1">
                                    <a:solidFill>
                                      <a:schemeClr val="tx1"/>
                                    </a:solidFill>
                                    <a:effectLst/>
                                    <a:latin typeface="Cambria Math"/>
                                    <a:ea typeface="+mn-ea"/>
                                    <a:cs typeface="+mn-cs"/>
                                  </a:rPr>
                                  <m:t>𝑝𝑡</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𝐷𝐵𝑂</m:t>
                                </m:r>
                              </m:e>
                              <m:sub>
                                <m:r>
                                  <a:rPr lang="es-ES" sz="1100" b="0" i="1">
                                    <a:solidFill>
                                      <a:schemeClr val="tx1"/>
                                    </a:solidFill>
                                    <a:effectLst/>
                                    <a:latin typeface="Cambria Math"/>
                                    <a:ea typeface="+mn-ea"/>
                                    <a:cs typeface="+mn-cs"/>
                                  </a:rPr>
                                  <m:t>𝑝</m:t>
                                </m:r>
                              </m:sub>
                            </m:sSub>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Cambria Math"/>
                                    <a:cs typeface="+mn-cs"/>
                                  </a:rPr>
                                  <m:t>×</m:t>
                                </m:r>
                                <m:r>
                                  <a:rPr lang="es-ES" sz="1100" b="0" i="1">
                                    <a:solidFill>
                                      <a:schemeClr val="tx1"/>
                                    </a:solidFill>
                                    <a:effectLst/>
                                    <a:latin typeface="Cambria Math"/>
                                    <a:ea typeface="+mn-ea"/>
                                    <a:cs typeface="+mn-cs"/>
                                  </a:rPr>
                                  <m:t>𝐹</m:t>
                                </m:r>
                              </m:e>
                              <m:sub>
                                <m:r>
                                  <a:rPr lang="es-ES" sz="1100" b="0" i="1">
                                    <a:solidFill>
                                      <a:schemeClr val="tx1"/>
                                    </a:solidFill>
                                    <a:effectLst/>
                                    <a:latin typeface="Cambria Math"/>
                                    <a:ea typeface="+mn-ea"/>
                                    <a:cs typeface="+mn-cs"/>
                                  </a:rPr>
                                  <m:t>𝐷𝐵𝑂</m:t>
                                </m:r>
                              </m:sub>
                            </m:sSub>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𝐹𝐸𝑁</m:t>
                            </m:r>
                          </m:e>
                        </m:nary>
                      </m:e>
                    </m:d>
                    <m:r>
                      <a:rPr lang="es-ES" sz="1100" b="0" i="1">
                        <a:solidFill>
                          <a:schemeClr val="tx1"/>
                        </a:solidFill>
                        <a:effectLst/>
                        <a:latin typeface="Cambria Math"/>
                        <a:ea typeface="+mn-ea"/>
                        <a:cs typeface="+mn-cs"/>
                      </a:rPr>
                      <m:t>×</m:t>
                    </m:r>
                    <m:sSup>
                      <m:sSupPr>
                        <m:ctrlPr>
                          <a:rPr lang="es-ES" sz="1100" b="0" i="1">
                            <a:solidFill>
                              <a:schemeClr val="tx1"/>
                            </a:solidFill>
                            <a:effectLst/>
                            <a:latin typeface="Cambria Math"/>
                            <a:ea typeface="+mn-ea"/>
                            <a:cs typeface="+mn-cs"/>
                          </a:rPr>
                        </m:ctrlPr>
                      </m:sSupPr>
                      <m:e>
                        <m:r>
                          <a:rPr lang="es-ES" sz="1100" b="0" i="1">
                            <a:solidFill>
                              <a:schemeClr val="tx1"/>
                            </a:solidFill>
                            <a:effectLst/>
                            <a:latin typeface="Cambria Math"/>
                            <a:ea typeface="+mn-ea"/>
                            <a:cs typeface="+mn-cs"/>
                          </a:rPr>
                          <m:t>10</m:t>
                        </m:r>
                      </m:e>
                      <m:sup>
                        <m:r>
                          <a:rPr lang="es-ES" sz="1100" b="0" i="1">
                            <a:solidFill>
                              <a:schemeClr val="tx1"/>
                            </a:solidFill>
                            <a:effectLst/>
                            <a:latin typeface="Cambria Math"/>
                            <a:ea typeface="+mn-ea"/>
                            <a:cs typeface="+mn-cs"/>
                          </a:rPr>
                          <m:t>−3</m:t>
                        </m:r>
                      </m:sup>
                    </m:sSup>
                  </m:oMath>
                </m:oMathPara>
              </a14:m>
              <a:endParaRPr lang="es-CL" sz="1100"/>
            </a:p>
          </xdr:txBody>
        </xdr:sp>
      </mc:Choice>
      <mc:Fallback xmlns="">
        <xdr:sp macro="" textlink="">
          <xdr:nvSpPr>
            <xdr:cNvPr id="52" name="51 CuadroTexto"/>
            <xdr:cNvSpPr txBox="1"/>
          </xdr:nvSpPr>
          <xdr:spPr>
            <a:xfrm>
              <a:off x="19050" y="9610725"/>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0" i="0">
                  <a:latin typeface="Cambria Math"/>
                </a:rPr>
                <a:t>〖𝐸𝑚𝑖𝑠𝑖𝑜𝑛𝑒𝑠 𝑑𝑒 𝑁〗_2 𝑂=</a:t>
              </a:r>
              <a:r>
                <a:rPr lang="es-ES" sz="1100" b="0" i="0">
                  <a:solidFill>
                    <a:schemeClr val="tx1"/>
                  </a:solidFill>
                  <a:effectLst/>
                  <a:latin typeface="+mn-lt"/>
                  <a:ea typeface="+mn-ea"/>
                  <a:cs typeface="+mn-cs"/>
                </a:rPr>
                <a:t>[∑▒〖𝑃_𝑝𝑡×〖𝐷𝐵𝑂〗_𝑝</a:t>
              </a:r>
              <a:r>
                <a:rPr lang="es-ES" sz="1100" b="0" i="0">
                  <a:solidFill>
                    <a:schemeClr val="tx1"/>
                  </a:solidFill>
                  <a:effectLst/>
                  <a:latin typeface="Cambria Math"/>
                  <a:ea typeface="+mn-ea"/>
                  <a:cs typeface="+mn-cs"/>
                </a:rPr>
                <a:t> 〖</a:t>
              </a:r>
              <a:r>
                <a:rPr lang="es-ES" sz="1100" b="0" i="0">
                  <a:solidFill>
                    <a:schemeClr val="tx1"/>
                  </a:solidFill>
                  <a:effectLst/>
                  <a:latin typeface="Cambria Math"/>
                  <a:ea typeface="Cambria Math"/>
                  <a:cs typeface="+mn-cs"/>
                </a:rPr>
                <a:t>×</a:t>
              </a:r>
              <a:r>
                <a:rPr lang="es-ES" sz="1100" b="0" i="0">
                  <a:solidFill>
                    <a:schemeClr val="tx1"/>
                  </a:solidFill>
                  <a:effectLst/>
                  <a:latin typeface="Cambria Math"/>
                  <a:ea typeface="+mn-ea"/>
                  <a:cs typeface="+mn-cs"/>
                </a:rPr>
                <a:t>𝐹〗_𝐷𝐵𝑂</a:t>
              </a:r>
              <a:r>
                <a:rPr lang="es-ES" sz="1100" b="0" i="0">
                  <a:solidFill>
                    <a:schemeClr val="tx1"/>
                  </a:solidFill>
                  <a:effectLst/>
                  <a:latin typeface="+mn-lt"/>
                  <a:ea typeface="+mn-ea"/>
                  <a:cs typeface="+mn-cs"/>
                </a:rPr>
                <a:t>×𝐹𝐸𝑁〗]×</a:t>
              </a:r>
              <a:r>
                <a:rPr lang="es-ES" sz="1100" b="0" i="0">
                  <a:solidFill>
                    <a:schemeClr val="tx1"/>
                  </a:solidFill>
                  <a:effectLst/>
                  <a:latin typeface="Cambria Math"/>
                  <a:ea typeface="+mn-ea"/>
                  <a:cs typeface="+mn-cs"/>
                </a:rPr>
                <a:t>〖10〗^(−3)</a:t>
              </a:r>
              <a:endParaRPr lang="es-CL" sz="1100"/>
            </a:p>
          </xdr:txBody>
        </xdr:sp>
      </mc:Fallback>
    </mc:AlternateContent>
    <xdr:clientData/>
  </xdr:oneCellAnchor>
  <xdr:oneCellAnchor>
    <xdr:from>
      <xdr:col>0</xdr:col>
      <xdr:colOff>19050</xdr:colOff>
      <xdr:row>121</xdr:row>
      <xdr:rowOff>28575</xdr:rowOff>
    </xdr:from>
    <xdr:ext cx="4686300" cy="371475"/>
    <mc:AlternateContent xmlns:mc="http://schemas.openxmlformats.org/markup-compatibility/2006" xmlns:a14="http://schemas.microsoft.com/office/drawing/2010/main">
      <mc:Choice Requires="a14">
        <xdr:sp macro="" textlink="">
          <xdr:nvSpPr>
            <xdr:cNvPr id="61" name="60 CuadroTexto"/>
            <xdr:cNvSpPr txBox="1"/>
          </xdr:nvSpPr>
          <xdr:spPr>
            <a:xfrm>
              <a:off x="19050" y="19288125"/>
              <a:ext cx="4686300" cy="3714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s-ES" sz="1100" b="0" i="1">
                            <a:latin typeface="Cambria Math"/>
                          </a:rPr>
                        </m:ctrlPr>
                      </m:sSubPr>
                      <m:e>
                        <m:r>
                          <a:rPr lang="es-ES" sz="1100" b="0" i="1">
                            <a:latin typeface="Cambria Math"/>
                          </a:rPr>
                          <m:t>𝐸𝑚𝑖𝑠𝑖𝑜𝑛𝑒𝑠</m:t>
                        </m:r>
                        <m:r>
                          <a:rPr lang="es-ES" sz="1100" b="0" i="1">
                            <a:latin typeface="Cambria Math"/>
                          </a:rPr>
                          <m:t> </m:t>
                        </m:r>
                        <m:r>
                          <a:rPr lang="es-ES" sz="1100" b="0" i="1">
                            <a:latin typeface="Cambria Math"/>
                          </a:rPr>
                          <m:t>𝑑𝑒</m:t>
                        </m:r>
                        <m:r>
                          <a:rPr lang="es-ES" sz="1100" b="0" i="1">
                            <a:latin typeface="Cambria Math"/>
                          </a:rPr>
                          <m:t> </m:t>
                        </m:r>
                        <m:r>
                          <a:rPr lang="es-ES" sz="1100" b="0" i="1">
                            <a:latin typeface="Cambria Math"/>
                          </a:rPr>
                          <m:t>𝑁</m:t>
                        </m:r>
                      </m:e>
                      <m:sub>
                        <m:r>
                          <a:rPr lang="es-ES" sz="1100" b="0" i="1">
                            <a:latin typeface="Cambria Math"/>
                          </a:rPr>
                          <m:t>2</m:t>
                        </m:r>
                      </m:sub>
                    </m:sSub>
                    <m:r>
                      <a:rPr lang="es-ES" sz="1100" b="0" i="1">
                        <a:latin typeface="Cambria Math"/>
                      </a:rPr>
                      <m:t>𝑂</m:t>
                    </m:r>
                    <m:r>
                      <a:rPr lang="es-ES" sz="1100" b="0" i="1">
                        <a:latin typeface="Cambria Math"/>
                      </a:rPr>
                      <m:t>=</m:t>
                    </m:r>
                    <m:d>
                      <m:dPr>
                        <m:ctrlPr>
                          <a:rPr lang="es-ES" sz="1100" b="0" i="1">
                            <a:latin typeface="Cambria Math"/>
                          </a:rPr>
                        </m:ctrlPr>
                      </m:dPr>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𝑃</m:t>
                            </m:r>
                          </m:e>
                          <m:sub>
                            <m:r>
                              <a:rPr lang="es-ES" sz="1100" b="0" i="1">
                                <a:solidFill>
                                  <a:schemeClr val="tx1"/>
                                </a:solidFill>
                                <a:effectLst/>
                                <a:latin typeface="Cambria Math"/>
                                <a:ea typeface="+mn-ea"/>
                                <a:cs typeface="+mn-cs"/>
                              </a:rPr>
                              <m:t>𝑝𝑡</m:t>
                            </m:r>
                          </m:sub>
                        </m:sSub>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𝑃𝑟𝑜𝑡𝑒𝑖𝑛𝑎𝑠</m:t>
                        </m:r>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𝐹</m:t>
                            </m:r>
                          </m:e>
                          <m:sub>
                            <m:r>
                              <a:rPr lang="es-ES" sz="1100" b="0" i="1">
                                <a:solidFill>
                                  <a:schemeClr val="tx1"/>
                                </a:solidFill>
                                <a:effectLst/>
                                <a:latin typeface="Cambria Math"/>
                                <a:ea typeface="+mn-ea"/>
                                <a:cs typeface="+mn-cs"/>
                              </a:rPr>
                              <m:t>𝑛𝑝</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𝑁</m:t>
                            </m:r>
                          </m:e>
                          <m:sub>
                            <m:r>
                              <a:rPr lang="es-ES" sz="1100" b="0" i="1">
                                <a:solidFill>
                                  <a:schemeClr val="tx1"/>
                                </a:solidFill>
                                <a:effectLst/>
                                <a:latin typeface="Cambria Math"/>
                                <a:ea typeface="+mn-ea"/>
                                <a:cs typeface="+mn-cs"/>
                              </a:rPr>
                              <m:t>𝑙</m:t>
                            </m:r>
                          </m:sub>
                        </m:sSub>
                      </m:e>
                    </m:d>
                    <m:r>
                      <a:rPr lang="es-ES" sz="1100" b="0" i="1">
                        <a:latin typeface="Cambria Math"/>
                        <a:ea typeface="Cambria Math"/>
                      </a:rPr>
                      <m:t>×</m:t>
                    </m:r>
                    <m:r>
                      <a:rPr lang="es-ES" sz="1100" b="0" i="1">
                        <a:latin typeface="Cambria Math"/>
                        <a:ea typeface="Cambria Math"/>
                      </a:rPr>
                      <m:t>𝐹𝐸𝑁</m:t>
                    </m:r>
                    <m:r>
                      <a:rPr lang="es-ES" sz="1100" b="0" i="1">
                        <a:latin typeface="Cambria Math"/>
                        <a:ea typeface="Cambria Math"/>
                      </a:rPr>
                      <m:t>×</m:t>
                    </m:r>
                    <m:sSub>
                      <m:sSubPr>
                        <m:ctrlPr>
                          <a:rPr lang="es-ES" sz="1100" b="0" i="1">
                            <a:latin typeface="Cambria Math"/>
                            <a:ea typeface="Cambria Math"/>
                          </a:rPr>
                        </m:ctrlPr>
                      </m:sSubPr>
                      <m:e>
                        <m:r>
                          <a:rPr lang="es-ES" sz="1100" b="0" i="1">
                            <a:latin typeface="Cambria Math"/>
                            <a:ea typeface="Cambria Math"/>
                          </a:rPr>
                          <m:t>𝐹</m:t>
                        </m:r>
                      </m:e>
                      <m:sub>
                        <m:r>
                          <a:rPr lang="es-ES" sz="1100" b="0" i="1">
                            <a:latin typeface="Cambria Math"/>
                            <a:ea typeface="Cambria Math"/>
                          </a:rPr>
                          <m:t>𝑐𝑜𝑛𝑣</m:t>
                        </m:r>
                      </m:sub>
                    </m:sSub>
                    <m:r>
                      <a:rPr lang="es-ES" sz="1100" b="0" i="1">
                        <a:solidFill>
                          <a:schemeClr val="tx1"/>
                        </a:solidFill>
                        <a:effectLst/>
                        <a:latin typeface="Cambria Math"/>
                        <a:ea typeface="+mn-ea"/>
                        <a:cs typeface="+mn-cs"/>
                      </a:rPr>
                      <m:t>×</m:t>
                    </m:r>
                    <m:sSup>
                      <m:sSupPr>
                        <m:ctrlPr>
                          <a:rPr lang="es-ES" sz="1100" b="0" i="1">
                            <a:solidFill>
                              <a:schemeClr val="tx1"/>
                            </a:solidFill>
                            <a:effectLst/>
                            <a:latin typeface="Cambria Math"/>
                            <a:ea typeface="+mn-ea"/>
                            <a:cs typeface="+mn-cs"/>
                          </a:rPr>
                        </m:ctrlPr>
                      </m:sSupPr>
                      <m:e>
                        <m:r>
                          <a:rPr lang="es-ES" sz="1100" b="0" i="1">
                            <a:solidFill>
                              <a:schemeClr val="tx1"/>
                            </a:solidFill>
                            <a:effectLst/>
                            <a:latin typeface="Cambria Math"/>
                            <a:ea typeface="+mn-ea"/>
                            <a:cs typeface="+mn-cs"/>
                          </a:rPr>
                          <m:t>10</m:t>
                        </m:r>
                      </m:e>
                      <m:sup>
                        <m:r>
                          <a:rPr lang="es-ES" sz="1100" b="0" i="1">
                            <a:solidFill>
                              <a:schemeClr val="tx1"/>
                            </a:solidFill>
                            <a:effectLst/>
                            <a:latin typeface="Cambria Math"/>
                            <a:ea typeface="+mn-ea"/>
                            <a:cs typeface="+mn-cs"/>
                          </a:rPr>
                          <m:t>−3</m:t>
                        </m:r>
                      </m:sup>
                    </m:sSup>
                  </m:oMath>
                </m:oMathPara>
              </a14:m>
              <a:endParaRPr lang="es-CL" sz="1100"/>
            </a:p>
          </xdr:txBody>
        </xdr:sp>
      </mc:Choice>
      <mc:Fallback xmlns="">
        <xdr:sp macro="" textlink="">
          <xdr:nvSpPr>
            <xdr:cNvPr id="61" name="60 CuadroTexto"/>
            <xdr:cNvSpPr txBox="1"/>
          </xdr:nvSpPr>
          <xdr:spPr>
            <a:xfrm>
              <a:off x="19050" y="19288125"/>
              <a:ext cx="4686300" cy="3714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0" i="0">
                  <a:latin typeface="Cambria Math"/>
                </a:rPr>
                <a:t>〖𝐸𝑚𝑖𝑠𝑖𝑜𝑛𝑒𝑠 𝑑𝑒 𝑁〗_2 𝑂=(</a:t>
              </a:r>
              <a:r>
                <a:rPr lang="es-ES" sz="1100" b="0" i="0">
                  <a:solidFill>
                    <a:schemeClr val="tx1"/>
                  </a:solidFill>
                  <a:effectLst/>
                  <a:latin typeface="+mn-lt"/>
                  <a:ea typeface="+mn-ea"/>
                  <a:cs typeface="+mn-cs"/>
                </a:rPr>
                <a:t>𝑃_𝑝𝑡×𝑃𝑟𝑜𝑡𝑒𝑖𝑛𝑎𝑠×𝐹_𝑛𝑝−𝑁_𝑙</a:t>
              </a:r>
              <a:r>
                <a:rPr lang="es-ES" sz="1100" b="0" i="0">
                  <a:solidFill>
                    <a:schemeClr val="tx1"/>
                  </a:solidFill>
                  <a:effectLst/>
                  <a:latin typeface="Cambria Math"/>
                  <a:ea typeface="+mn-ea"/>
                  <a:cs typeface="+mn-cs"/>
                </a:rPr>
                <a:t> )</a:t>
              </a:r>
              <a:r>
                <a:rPr lang="es-ES" sz="1100" b="0" i="0">
                  <a:latin typeface="Cambria Math"/>
                  <a:ea typeface="Cambria Math"/>
                </a:rPr>
                <a:t>×𝐹𝐸𝑁×𝐹_𝑐𝑜𝑛𝑣</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〖10〗^(−3)</a:t>
              </a:r>
              <a:endParaRPr lang="es-CL"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oneCellAnchor>
    <xdr:from>
      <xdr:col>0</xdr:col>
      <xdr:colOff>19050</xdr:colOff>
      <xdr:row>4</xdr:row>
      <xdr:rowOff>9525</xdr:rowOff>
    </xdr:from>
    <xdr:ext cx="4686300" cy="523875"/>
    <mc:AlternateContent xmlns:mc="http://schemas.openxmlformats.org/markup-compatibility/2006" xmlns:a14="http://schemas.microsoft.com/office/drawing/2010/main">
      <mc:Choice Requires="a14">
        <xdr:sp macro="" textlink="">
          <xdr:nvSpPr>
            <xdr:cNvPr id="5" name="4 CuadroTexto"/>
            <xdr:cNvSpPr txBox="1"/>
          </xdr:nvSpPr>
          <xdr:spPr>
            <a:xfrm>
              <a:off x="19050" y="9296400"/>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s-ES" sz="1100" b="0" i="1">
                            <a:latin typeface="Cambria Math"/>
                          </a:rPr>
                        </m:ctrlPr>
                      </m:sSubPr>
                      <m:e>
                        <m:r>
                          <a:rPr lang="es-ES" sz="1100" b="0" i="1">
                            <a:latin typeface="Cambria Math"/>
                          </a:rPr>
                          <m:t>𝐸𝑚𝑖𝑠𝑖𝑜𝑛𝑒𝑠</m:t>
                        </m:r>
                        <m:r>
                          <a:rPr lang="es-ES" sz="1100" b="0" i="1">
                            <a:latin typeface="Cambria Math"/>
                          </a:rPr>
                          <m:t> </m:t>
                        </m:r>
                        <m:r>
                          <a:rPr lang="es-ES" sz="1100" b="0" i="1">
                            <a:latin typeface="Cambria Math"/>
                          </a:rPr>
                          <m:t>𝑑𝑒</m:t>
                        </m:r>
                        <m:r>
                          <a:rPr lang="es-ES" sz="1100" b="0" i="1">
                            <a:latin typeface="Cambria Math"/>
                          </a:rPr>
                          <m:t> </m:t>
                        </m:r>
                        <m:r>
                          <a:rPr lang="es-ES" sz="1100" b="0" i="1">
                            <a:latin typeface="Cambria Math"/>
                          </a:rPr>
                          <m:t>𝐶𝐻</m:t>
                        </m:r>
                      </m:e>
                      <m:sub>
                        <m:r>
                          <a:rPr lang="es-ES" sz="1100" b="0" i="1">
                            <a:latin typeface="Cambria Math"/>
                          </a:rPr>
                          <m:t>4</m:t>
                        </m:r>
                      </m:sub>
                    </m:sSub>
                    <m:r>
                      <a:rPr lang="es-ES" sz="1100" b="0" i="1">
                        <a:latin typeface="Cambria Math"/>
                      </a:rPr>
                      <m:t>=</m:t>
                    </m:r>
                    <m:d>
                      <m:dPr>
                        <m:begChr m:val="["/>
                        <m:endChr m:val="]"/>
                        <m:ctrlPr>
                          <a:rPr lang="es-ES" sz="1100" b="0" i="1">
                            <a:solidFill>
                              <a:schemeClr val="tx1"/>
                            </a:solidFill>
                            <a:effectLst/>
                            <a:latin typeface="Cambria Math"/>
                            <a:ea typeface="+mn-ea"/>
                            <a:cs typeface="+mn-cs"/>
                          </a:rPr>
                        </m:ctrlPr>
                      </m:dPr>
                      <m:e>
                        <m:nary>
                          <m:naryPr>
                            <m:chr m:val="∑"/>
                            <m:subHide m:val="on"/>
                            <m:supHide m:val="on"/>
                            <m:ctrlPr>
                              <a:rPr lang="es-ES" sz="1100" b="0" i="1">
                                <a:solidFill>
                                  <a:schemeClr val="tx1"/>
                                </a:solidFill>
                                <a:effectLst/>
                                <a:latin typeface="Cambria Math"/>
                                <a:ea typeface="+mn-ea"/>
                                <a:cs typeface="+mn-cs"/>
                              </a:rPr>
                            </m:ctrlPr>
                          </m:naryPr>
                          <m:sub/>
                          <m:sup/>
                          <m:e>
                            <m:d>
                              <m:dPr>
                                <m:ctrlPr>
                                  <a:rPr lang="es-ES" sz="1100" b="0" i="1">
                                    <a:solidFill>
                                      <a:schemeClr val="tx1"/>
                                    </a:solidFill>
                                    <a:effectLst/>
                                    <a:latin typeface="Cambria Math"/>
                                    <a:ea typeface="+mn-ea"/>
                                    <a:cs typeface="+mn-cs"/>
                                  </a:rPr>
                                </m:ctrlPr>
                              </m:dPr>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𝑃</m:t>
                                    </m:r>
                                  </m:e>
                                  <m:sub>
                                    <m:r>
                                      <a:rPr lang="es-ES" sz="1100" b="0" i="1">
                                        <a:solidFill>
                                          <a:schemeClr val="tx1"/>
                                        </a:solidFill>
                                        <a:effectLst/>
                                        <a:latin typeface="Cambria Math"/>
                                        <a:ea typeface="+mn-ea"/>
                                        <a:cs typeface="+mn-cs"/>
                                      </a:rPr>
                                      <m:t>𝑝𝑡</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𝐷𝐵𝑂</m:t>
                                    </m:r>
                                  </m:e>
                                  <m:sub>
                                    <m:r>
                                      <a:rPr lang="es-ES" sz="1100" b="0" i="1">
                                        <a:solidFill>
                                          <a:schemeClr val="tx1"/>
                                        </a:solidFill>
                                        <a:effectLst/>
                                        <a:latin typeface="Cambria Math"/>
                                        <a:ea typeface="+mn-ea"/>
                                        <a:cs typeface="+mn-cs"/>
                                      </a:rPr>
                                      <m:t>𝑝</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𝐹</m:t>
                                        </m:r>
                                      </m:e>
                                      <m:sub>
                                        <m:r>
                                          <a:rPr lang="es-ES" sz="1100" b="0" i="1">
                                            <a:solidFill>
                                              <a:schemeClr val="tx1"/>
                                            </a:solidFill>
                                            <a:effectLst/>
                                            <a:latin typeface="Cambria Math"/>
                                            <a:ea typeface="+mn-ea"/>
                                            <a:cs typeface="+mn-cs"/>
                                          </a:rPr>
                                          <m:t>𝐷𝐵𝑂</m:t>
                                        </m:r>
                                      </m:sub>
                                    </m:sSub>
                                    <m:r>
                                      <a:rPr lang="es-ES" sz="1100" b="0" i="1">
                                        <a:solidFill>
                                          <a:schemeClr val="tx1"/>
                                        </a:solidFill>
                                        <a:effectLst/>
                                        <a:latin typeface="Cambria Math"/>
                                        <a:ea typeface="Cambria Math"/>
                                        <a:cs typeface="+mn-cs"/>
                                      </a:rPr>
                                      <m:t>×</m:t>
                                    </m:r>
                                    <m:r>
                                      <a:rPr lang="es-ES" sz="1100" b="0" i="1">
                                        <a:solidFill>
                                          <a:schemeClr val="tx1"/>
                                        </a:solidFill>
                                        <a:effectLst/>
                                        <a:latin typeface="Cambria Math"/>
                                        <a:ea typeface="+mn-ea"/>
                                        <a:cs typeface="+mn-cs"/>
                                      </a:rPr>
                                      <m:t>𝐸𝐹</m:t>
                                    </m:r>
                                  </m:e>
                                  <m:sub/>
                                </m:sSub>
                              </m:e>
                            </m:d>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𝑀𝑅</m:t>
                            </m:r>
                          </m:e>
                        </m:nary>
                      </m:e>
                    </m:d>
                    <m:r>
                      <a:rPr lang="es-ES" sz="1100" b="0" i="1">
                        <a:solidFill>
                          <a:schemeClr val="tx1"/>
                        </a:solidFill>
                        <a:effectLst/>
                        <a:latin typeface="Cambria Math"/>
                        <a:ea typeface="+mn-ea"/>
                        <a:cs typeface="+mn-cs"/>
                      </a:rPr>
                      <m:t>×</m:t>
                    </m:r>
                    <m:sSup>
                      <m:sSupPr>
                        <m:ctrlPr>
                          <a:rPr lang="es-ES" sz="1100" b="0" i="1">
                            <a:solidFill>
                              <a:schemeClr val="tx1"/>
                            </a:solidFill>
                            <a:effectLst/>
                            <a:latin typeface="Cambria Math"/>
                            <a:ea typeface="+mn-ea"/>
                            <a:cs typeface="+mn-cs"/>
                          </a:rPr>
                        </m:ctrlPr>
                      </m:sSupPr>
                      <m:e>
                        <m:r>
                          <a:rPr lang="es-ES" sz="1100" b="0" i="1">
                            <a:solidFill>
                              <a:schemeClr val="tx1"/>
                            </a:solidFill>
                            <a:effectLst/>
                            <a:latin typeface="Cambria Math"/>
                            <a:ea typeface="+mn-ea"/>
                            <a:cs typeface="+mn-cs"/>
                          </a:rPr>
                          <m:t>10</m:t>
                        </m:r>
                      </m:e>
                      <m:sup>
                        <m:r>
                          <a:rPr lang="es-ES" sz="1100" b="0" i="1">
                            <a:solidFill>
                              <a:schemeClr val="tx1"/>
                            </a:solidFill>
                            <a:effectLst/>
                            <a:latin typeface="Cambria Math"/>
                            <a:ea typeface="+mn-ea"/>
                            <a:cs typeface="+mn-cs"/>
                          </a:rPr>
                          <m:t>−3</m:t>
                        </m:r>
                      </m:sup>
                    </m:sSup>
                  </m:oMath>
                </m:oMathPara>
              </a14:m>
              <a:endParaRPr lang="es-CL" sz="1100"/>
            </a:p>
          </xdr:txBody>
        </xdr:sp>
      </mc:Choice>
      <mc:Fallback xmlns="">
        <xdr:sp macro="" textlink="">
          <xdr:nvSpPr>
            <xdr:cNvPr id="5" name="4 CuadroTexto"/>
            <xdr:cNvSpPr txBox="1"/>
          </xdr:nvSpPr>
          <xdr:spPr>
            <a:xfrm>
              <a:off x="19050" y="9296400"/>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0" i="0">
                  <a:latin typeface="Cambria Math"/>
                </a:rPr>
                <a:t>〖𝐸𝑚𝑖𝑠𝑖𝑜𝑛𝑒𝑠 𝑑𝑒 𝐶𝐻〗_4=</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𝑃</a:t>
              </a:r>
              <a:r>
                <a:rPr lang="es-ES" sz="1100" b="0" i="0">
                  <a:solidFill>
                    <a:schemeClr val="tx1"/>
                  </a:solidFill>
                  <a:effectLst/>
                  <a:latin typeface="+mn-lt"/>
                  <a:ea typeface="+mn-ea"/>
                  <a:cs typeface="+mn-cs"/>
                </a:rPr>
                <a:t>_</a:t>
              </a:r>
              <a:r>
                <a:rPr lang="es-ES" sz="1100" b="0" i="0">
                  <a:solidFill>
                    <a:schemeClr val="tx1"/>
                  </a:solidFill>
                  <a:effectLst/>
                  <a:latin typeface="Cambria Math"/>
                  <a:ea typeface="+mn-ea"/>
                  <a:cs typeface="+mn-cs"/>
                </a:rPr>
                <a:t>𝑝𝑡</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𝐷𝐵𝑂</a:t>
              </a:r>
              <a:r>
                <a:rPr lang="es-ES" sz="1100" b="0" i="0">
                  <a:solidFill>
                    <a:schemeClr val="tx1"/>
                  </a:solidFill>
                  <a:effectLst/>
                  <a:latin typeface="+mn-lt"/>
                  <a:ea typeface="+mn-ea"/>
                  <a:cs typeface="+mn-cs"/>
                </a:rPr>
                <a:t>〗_</a:t>
              </a:r>
              <a:r>
                <a:rPr lang="es-ES" sz="1100" b="0" i="0">
                  <a:solidFill>
                    <a:schemeClr val="tx1"/>
                  </a:solidFill>
                  <a:effectLst/>
                  <a:latin typeface="Cambria Math"/>
                  <a:ea typeface="+mn-ea"/>
                  <a:cs typeface="+mn-cs"/>
                </a:rPr>
                <a:t>𝑝</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𝐹_𝐷𝐵𝑂</a:t>
              </a:r>
              <a:r>
                <a:rPr lang="es-ES" sz="1100" b="0" i="0">
                  <a:solidFill>
                    <a:schemeClr val="tx1"/>
                  </a:solidFill>
                  <a:effectLst/>
                  <a:latin typeface="Cambria Math"/>
                  <a:ea typeface="Cambria Math"/>
                  <a:cs typeface="+mn-cs"/>
                </a:rPr>
                <a:t>×</a:t>
              </a:r>
              <a:r>
                <a:rPr lang="es-ES" sz="1100" b="0" i="0">
                  <a:solidFill>
                    <a:schemeClr val="tx1"/>
                  </a:solidFill>
                  <a:effectLst/>
                  <a:latin typeface="+mn-lt"/>
                  <a:ea typeface="+mn-ea"/>
                  <a:cs typeface="+mn-cs"/>
                </a:rPr>
                <a:t>𝐸𝐹〗_ )</a:t>
              </a:r>
              <a:r>
                <a:rPr lang="es-ES" sz="1100" b="0" i="0">
                  <a:solidFill>
                    <a:schemeClr val="tx1"/>
                  </a:solidFill>
                  <a:effectLst/>
                  <a:latin typeface="Cambria Math"/>
                  <a:ea typeface="+mn-ea"/>
                  <a:cs typeface="+mn-cs"/>
                </a:rPr>
                <a:t>−𝑀𝑅</a:t>
              </a:r>
              <a:r>
                <a:rPr lang="es-ES" sz="1100" b="0" i="0">
                  <a:solidFill>
                    <a:schemeClr val="tx1"/>
                  </a:solidFill>
                  <a:effectLst/>
                  <a:latin typeface="+mn-lt"/>
                  <a:ea typeface="+mn-ea"/>
                  <a:cs typeface="+mn-cs"/>
                </a:rPr>
                <a:t>〗]×</a:t>
              </a:r>
              <a:r>
                <a:rPr lang="es-ES" sz="1100" b="0" i="0">
                  <a:solidFill>
                    <a:schemeClr val="tx1"/>
                  </a:solidFill>
                  <a:effectLst/>
                  <a:latin typeface="Cambria Math"/>
                  <a:ea typeface="+mn-ea"/>
                  <a:cs typeface="+mn-cs"/>
                </a:rPr>
                <a:t>〖10〗^(−3)</a:t>
              </a:r>
              <a:endParaRPr lang="es-CL" sz="1100"/>
            </a:p>
          </xdr:txBody>
        </xdr:sp>
      </mc:Fallback>
    </mc:AlternateContent>
    <xdr:clientData/>
  </xdr:oneCellAnchor>
  <xdr:oneCellAnchor>
    <xdr:from>
      <xdr:col>0</xdr:col>
      <xdr:colOff>19050</xdr:colOff>
      <xdr:row>32</xdr:row>
      <xdr:rowOff>38100</xdr:rowOff>
    </xdr:from>
    <xdr:ext cx="4686300" cy="523875"/>
    <mc:AlternateContent xmlns:mc="http://schemas.openxmlformats.org/markup-compatibility/2006" xmlns:a14="http://schemas.microsoft.com/office/drawing/2010/main">
      <mc:Choice Requires="a14">
        <xdr:sp macro="" textlink="">
          <xdr:nvSpPr>
            <xdr:cNvPr id="7" name="6 CuadroTexto"/>
            <xdr:cNvSpPr txBox="1"/>
          </xdr:nvSpPr>
          <xdr:spPr>
            <a:xfrm>
              <a:off x="19050" y="5391150"/>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s-ES" sz="1100" b="0" i="1">
                            <a:latin typeface="Cambria Math"/>
                          </a:rPr>
                        </m:ctrlPr>
                      </m:sSubPr>
                      <m:e>
                        <m:r>
                          <a:rPr lang="es-ES" sz="1100" b="0" i="1">
                            <a:latin typeface="Cambria Math"/>
                          </a:rPr>
                          <m:t>𝐸𝑚𝑖𝑠𝑖𝑜𝑛𝑒𝑠</m:t>
                        </m:r>
                        <m:r>
                          <a:rPr lang="es-ES" sz="1100" b="0" i="1">
                            <a:latin typeface="Cambria Math"/>
                          </a:rPr>
                          <m:t> </m:t>
                        </m:r>
                        <m:r>
                          <a:rPr lang="es-ES" sz="1100" b="0" i="1">
                            <a:latin typeface="Cambria Math"/>
                          </a:rPr>
                          <m:t>𝑑𝑒</m:t>
                        </m:r>
                        <m:r>
                          <a:rPr lang="es-ES" sz="1100" b="0" i="1">
                            <a:latin typeface="Cambria Math"/>
                          </a:rPr>
                          <m:t> </m:t>
                        </m:r>
                        <m:r>
                          <a:rPr lang="es-ES" sz="1100" b="0" i="1">
                            <a:latin typeface="Cambria Math"/>
                          </a:rPr>
                          <m:t>𝑁</m:t>
                        </m:r>
                      </m:e>
                      <m:sub>
                        <m:r>
                          <a:rPr lang="es-ES" sz="1100" b="0" i="1">
                            <a:latin typeface="Cambria Math"/>
                          </a:rPr>
                          <m:t>2</m:t>
                        </m:r>
                      </m:sub>
                    </m:sSub>
                    <m:r>
                      <a:rPr lang="es-ES" sz="1100" b="0" i="1">
                        <a:latin typeface="Cambria Math"/>
                      </a:rPr>
                      <m:t>𝑂</m:t>
                    </m:r>
                    <m:r>
                      <a:rPr lang="es-ES" sz="1100" b="0" i="1">
                        <a:latin typeface="Cambria Math"/>
                      </a:rPr>
                      <m:t>=</m:t>
                    </m:r>
                    <m:d>
                      <m:dPr>
                        <m:begChr m:val="["/>
                        <m:endChr m:val="]"/>
                        <m:ctrlPr>
                          <a:rPr lang="es-ES" sz="1100" b="0" i="1">
                            <a:solidFill>
                              <a:schemeClr val="tx1"/>
                            </a:solidFill>
                            <a:effectLst/>
                            <a:latin typeface="Cambria Math"/>
                            <a:ea typeface="+mn-ea"/>
                            <a:cs typeface="+mn-cs"/>
                          </a:rPr>
                        </m:ctrlPr>
                      </m:dPr>
                      <m:e>
                        <m:nary>
                          <m:naryPr>
                            <m:chr m:val="∑"/>
                            <m:subHide m:val="on"/>
                            <m:supHide m:val="on"/>
                            <m:ctrlPr>
                              <a:rPr lang="es-ES" sz="1100" b="0" i="1">
                                <a:solidFill>
                                  <a:schemeClr val="tx1"/>
                                </a:solidFill>
                                <a:effectLst/>
                                <a:latin typeface="Cambria Math"/>
                                <a:ea typeface="+mn-ea"/>
                                <a:cs typeface="+mn-cs"/>
                              </a:rPr>
                            </m:ctrlPr>
                          </m:naryPr>
                          <m:sub/>
                          <m:sup/>
                          <m:e>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𝑃</m:t>
                                </m:r>
                              </m:e>
                              <m:sub>
                                <m:r>
                                  <a:rPr lang="es-ES" sz="1100" b="0" i="1">
                                    <a:solidFill>
                                      <a:schemeClr val="tx1"/>
                                    </a:solidFill>
                                    <a:effectLst/>
                                    <a:latin typeface="Cambria Math"/>
                                    <a:ea typeface="+mn-ea"/>
                                    <a:cs typeface="+mn-cs"/>
                                  </a:rPr>
                                  <m:t>𝑝𝑡</m:t>
                                </m:r>
                              </m:sub>
                            </m:sSub>
                            <m:r>
                              <a:rPr lang="es-ES" sz="1100" b="0" i="1">
                                <a:solidFill>
                                  <a:schemeClr val="tx1"/>
                                </a:solidFill>
                                <a:effectLst/>
                                <a:latin typeface="Cambria Math"/>
                                <a:ea typeface="+mn-ea"/>
                                <a:cs typeface="+mn-cs"/>
                              </a:rPr>
                              <m:t>×</m:t>
                            </m:r>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𝐷𝐵𝑂</m:t>
                                </m:r>
                              </m:e>
                              <m:sub>
                                <m:r>
                                  <a:rPr lang="es-ES" sz="1100" b="0" i="1">
                                    <a:solidFill>
                                      <a:schemeClr val="tx1"/>
                                    </a:solidFill>
                                    <a:effectLst/>
                                    <a:latin typeface="Cambria Math"/>
                                    <a:ea typeface="+mn-ea"/>
                                    <a:cs typeface="+mn-cs"/>
                                  </a:rPr>
                                  <m:t>𝑝</m:t>
                                </m:r>
                              </m:sub>
                            </m:sSub>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Cambria Math"/>
                                    <a:cs typeface="+mn-cs"/>
                                  </a:rPr>
                                  <m:t>×</m:t>
                                </m:r>
                                <m:r>
                                  <a:rPr lang="es-ES" sz="1100" b="0" i="1">
                                    <a:solidFill>
                                      <a:schemeClr val="tx1"/>
                                    </a:solidFill>
                                    <a:effectLst/>
                                    <a:latin typeface="Cambria Math"/>
                                    <a:ea typeface="+mn-ea"/>
                                    <a:cs typeface="+mn-cs"/>
                                  </a:rPr>
                                  <m:t>𝐹</m:t>
                                </m:r>
                              </m:e>
                              <m:sub>
                                <m:r>
                                  <a:rPr lang="es-ES" sz="1100" b="0" i="1">
                                    <a:solidFill>
                                      <a:schemeClr val="tx1"/>
                                    </a:solidFill>
                                    <a:effectLst/>
                                    <a:latin typeface="Cambria Math"/>
                                    <a:ea typeface="+mn-ea"/>
                                    <a:cs typeface="+mn-cs"/>
                                  </a:rPr>
                                  <m:t>𝐷𝐵𝑂</m:t>
                                </m:r>
                              </m:sub>
                            </m:sSub>
                            <m:r>
                              <a:rPr lang="es-ES" sz="1100" b="0" i="1">
                                <a:solidFill>
                                  <a:schemeClr val="tx1"/>
                                </a:solidFill>
                                <a:effectLst/>
                                <a:latin typeface="Cambria Math"/>
                                <a:ea typeface="+mn-ea"/>
                                <a:cs typeface="+mn-cs"/>
                              </a:rPr>
                              <m:t>×</m:t>
                            </m:r>
                            <m:r>
                              <a:rPr lang="es-ES" sz="1100" b="0" i="1">
                                <a:solidFill>
                                  <a:schemeClr val="tx1"/>
                                </a:solidFill>
                                <a:effectLst/>
                                <a:latin typeface="Cambria Math"/>
                                <a:ea typeface="+mn-ea"/>
                                <a:cs typeface="+mn-cs"/>
                              </a:rPr>
                              <m:t>𝐹𝐸𝑁</m:t>
                            </m:r>
                          </m:e>
                        </m:nary>
                      </m:e>
                    </m:d>
                    <m:r>
                      <a:rPr lang="es-ES" sz="1100" b="0" i="1">
                        <a:solidFill>
                          <a:schemeClr val="tx1"/>
                        </a:solidFill>
                        <a:effectLst/>
                        <a:latin typeface="Cambria Math"/>
                        <a:ea typeface="+mn-ea"/>
                        <a:cs typeface="+mn-cs"/>
                      </a:rPr>
                      <m:t>×</m:t>
                    </m:r>
                    <m:sSup>
                      <m:sSupPr>
                        <m:ctrlPr>
                          <a:rPr lang="es-ES" sz="1100" b="0" i="1">
                            <a:solidFill>
                              <a:schemeClr val="tx1"/>
                            </a:solidFill>
                            <a:effectLst/>
                            <a:latin typeface="Cambria Math"/>
                            <a:ea typeface="+mn-ea"/>
                            <a:cs typeface="+mn-cs"/>
                          </a:rPr>
                        </m:ctrlPr>
                      </m:sSupPr>
                      <m:e>
                        <m:r>
                          <a:rPr lang="es-ES" sz="1100" b="0" i="1">
                            <a:solidFill>
                              <a:schemeClr val="tx1"/>
                            </a:solidFill>
                            <a:effectLst/>
                            <a:latin typeface="Cambria Math"/>
                            <a:ea typeface="+mn-ea"/>
                            <a:cs typeface="+mn-cs"/>
                          </a:rPr>
                          <m:t>10</m:t>
                        </m:r>
                      </m:e>
                      <m:sup>
                        <m:r>
                          <a:rPr lang="es-ES" sz="1100" b="0" i="1">
                            <a:solidFill>
                              <a:schemeClr val="tx1"/>
                            </a:solidFill>
                            <a:effectLst/>
                            <a:latin typeface="Cambria Math"/>
                            <a:ea typeface="+mn-ea"/>
                            <a:cs typeface="+mn-cs"/>
                          </a:rPr>
                          <m:t>−3</m:t>
                        </m:r>
                      </m:sup>
                    </m:sSup>
                  </m:oMath>
                </m:oMathPara>
              </a14:m>
              <a:endParaRPr lang="es-CL" sz="1100"/>
            </a:p>
          </xdr:txBody>
        </xdr:sp>
      </mc:Choice>
      <mc:Fallback xmlns="">
        <xdr:sp macro="" textlink="">
          <xdr:nvSpPr>
            <xdr:cNvPr id="7" name="6 CuadroTexto"/>
            <xdr:cNvSpPr txBox="1"/>
          </xdr:nvSpPr>
          <xdr:spPr>
            <a:xfrm>
              <a:off x="19050" y="5391150"/>
              <a:ext cx="4686300" cy="523875"/>
            </a:xfrm>
            <a:prstGeom prst="rect">
              <a:avLst/>
            </a:prstGeom>
            <a:solidFill>
              <a:schemeClr val="bg1"/>
            </a:solidFill>
            <a:ln w="19050">
              <a:solidFill>
                <a:srgbClr val="00CC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0" i="0">
                  <a:latin typeface="Cambria Math"/>
                </a:rPr>
                <a:t>〖𝐸𝑚𝑖𝑠𝑖𝑜𝑛𝑒𝑠 𝑑𝑒 𝑁〗_2 𝑂=</a:t>
              </a:r>
              <a:r>
                <a:rPr lang="es-ES" sz="1100" b="0" i="0">
                  <a:solidFill>
                    <a:schemeClr val="tx1"/>
                  </a:solidFill>
                  <a:effectLst/>
                  <a:latin typeface="+mn-lt"/>
                  <a:ea typeface="+mn-ea"/>
                  <a:cs typeface="+mn-cs"/>
                </a:rPr>
                <a:t>[∑▒〖𝑃_𝑝𝑡×〖𝐷𝐵𝑂〗_𝑝</a:t>
              </a:r>
              <a:r>
                <a:rPr lang="es-ES" sz="1100" b="0" i="0">
                  <a:solidFill>
                    <a:schemeClr val="tx1"/>
                  </a:solidFill>
                  <a:effectLst/>
                  <a:latin typeface="Cambria Math"/>
                  <a:ea typeface="+mn-ea"/>
                  <a:cs typeface="+mn-cs"/>
                </a:rPr>
                <a:t> 〖</a:t>
              </a:r>
              <a:r>
                <a:rPr lang="es-ES" sz="1100" b="0" i="0">
                  <a:solidFill>
                    <a:schemeClr val="tx1"/>
                  </a:solidFill>
                  <a:effectLst/>
                  <a:latin typeface="Cambria Math"/>
                  <a:ea typeface="Cambria Math"/>
                  <a:cs typeface="+mn-cs"/>
                </a:rPr>
                <a:t>×</a:t>
              </a:r>
              <a:r>
                <a:rPr lang="es-ES" sz="1100" b="0" i="0">
                  <a:solidFill>
                    <a:schemeClr val="tx1"/>
                  </a:solidFill>
                  <a:effectLst/>
                  <a:latin typeface="Cambria Math"/>
                  <a:ea typeface="+mn-ea"/>
                  <a:cs typeface="+mn-cs"/>
                </a:rPr>
                <a:t>𝐹〗_𝐷𝐵𝑂</a:t>
              </a:r>
              <a:r>
                <a:rPr lang="es-ES" sz="1100" b="0" i="0">
                  <a:solidFill>
                    <a:schemeClr val="tx1"/>
                  </a:solidFill>
                  <a:effectLst/>
                  <a:latin typeface="+mn-lt"/>
                  <a:ea typeface="+mn-ea"/>
                  <a:cs typeface="+mn-cs"/>
                </a:rPr>
                <a:t>×𝐹𝐸𝑁〗]×</a:t>
              </a:r>
              <a:r>
                <a:rPr lang="es-ES" sz="1100" b="0" i="0">
                  <a:solidFill>
                    <a:schemeClr val="tx1"/>
                  </a:solidFill>
                  <a:effectLst/>
                  <a:latin typeface="Cambria Math"/>
                  <a:ea typeface="+mn-ea"/>
                  <a:cs typeface="+mn-cs"/>
                </a:rPr>
                <a:t>〖10〗^(−3)</a:t>
              </a:r>
              <a:endParaRPr lang="es-CL" sz="1100"/>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32</xdr:row>
      <xdr:rowOff>115887</xdr:rowOff>
    </xdr:from>
    <xdr:to>
      <xdr:col>5</xdr:col>
      <xdr:colOff>638175</xdr:colOff>
      <xdr:row>50</xdr:row>
      <xdr:rowOff>115887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393700</xdr:colOff>
      <xdr:row>32</xdr:row>
      <xdr:rowOff>120650</xdr:rowOff>
    </xdr:from>
    <xdr:to>
      <xdr:col>12</xdr:col>
      <xdr:colOff>454025</xdr:colOff>
      <xdr:row>50</xdr:row>
      <xdr:rowOff>120650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381000</xdr:colOff>
      <xdr:row>51</xdr:row>
      <xdr:rowOff>88900</xdr:rowOff>
    </xdr:from>
    <xdr:to>
      <xdr:col>12</xdr:col>
      <xdr:colOff>441325</xdr:colOff>
      <xdr:row>69</xdr:row>
      <xdr:rowOff>88900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444500</xdr:colOff>
      <xdr:row>56</xdr:row>
      <xdr:rowOff>88900</xdr:rowOff>
    </xdr:from>
    <xdr:to>
      <xdr:col>20</xdr:col>
      <xdr:colOff>1054100</xdr:colOff>
      <xdr:row>84</xdr:row>
      <xdr:rowOff>12700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393700</xdr:colOff>
      <xdr:row>32</xdr:row>
      <xdr:rowOff>114300</xdr:rowOff>
    </xdr:from>
    <xdr:to>
      <xdr:col>20</xdr:col>
      <xdr:colOff>1054100</xdr:colOff>
      <xdr:row>55</xdr:row>
      <xdr:rowOff>139700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Daniela\Documents\Emisiones\Emisiones%20GEI\Ejs%20Plan%20Compensacion\Plan%20Compensaci&#243;n%20MP%20Central\Estimaci&#243;n%20de%20emision%20y%20captura%20de%20GEI.%20Vegetacion_%20final.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Daniela" refreshedDate="41109.54597777778" createdVersion="4" refreshedVersion="4" minRefreshableVersion="3" recordCount="35">
  <cacheSource type="worksheet">
    <worksheetSource ref="A2:AF37" sheet="Combustion leña" r:id="rId2"/>
  </cacheSource>
  <cacheFields count="32">
    <cacheField name="Ha" numFmtId="0">
      <sharedItems containsString="0" containsBlank="1" containsNumber="1" minValue="0.1" maxValue="6"/>
    </cacheField>
    <cacheField name="Tipo" numFmtId="0">
      <sharedItems/>
    </cacheField>
    <cacheField name="Fisonomía" numFmtId="0">
      <sharedItems/>
    </cacheField>
    <cacheField name="Año corta" numFmtId="0">
      <sharedItems containsSemiMixedTypes="0" containsString="0" containsNumber="1" containsInteger="1" minValue="2011" maxValue="2015"/>
    </cacheField>
    <cacheField name="Año termino obra" numFmtId="0">
      <sharedItems containsSemiMixedTypes="0" containsString="0" containsNumber="1" containsInteger="1" minValue="2012" maxValue="2015"/>
    </cacheField>
    <cacheField name="Año de consumo de leña" numFmtId="0">
      <sharedItems containsSemiMixedTypes="0" containsString="0" containsNumber="1" containsInteger="1" minValue="2012" maxValue="2016" count="4">
        <n v="2016"/>
        <n v="2014"/>
        <n v="2013"/>
        <n v="2012"/>
      </sharedItems>
    </cacheField>
    <cacheField name="Quillay" numFmtId="175">
      <sharedItems containsSemiMixedTypes="0" containsString="0" containsNumber="1" minValue="0" maxValue="195.34381117902782"/>
    </cacheField>
    <cacheField name="Eucaliptus" numFmtId="175">
      <sharedItems containsSemiMixedTypes="0" containsString="0" containsNumber="1" minValue="0" maxValue="1363.3215307514188"/>
    </cacheField>
    <cacheField name="Litre" numFmtId="175">
      <sharedItems containsSemiMixedTypes="0" containsString="0" containsNumber="1" minValue="0" maxValue="1.5100799999999999"/>
    </cacheField>
    <cacheField name="Espino" numFmtId="175">
      <sharedItems containsSemiMixedTypes="0" containsString="0" containsNumber="1" minValue="0" maxValue="14.41572"/>
    </cacheField>
    <cacheField name="Total" numFmtId="175">
      <sharedItems containsSemiMixedTypes="0" containsString="0" containsNumber="1" minValue="0" maxValue="1364.5676107514187"/>
    </cacheField>
    <cacheField name="Fracción de biomasa oxidada fuera del bosque" numFmtId="0">
      <sharedItems containsSemiMixedTypes="0" containsString="0" containsNumber="1" minValue="0.9" maxValue="0.9"/>
    </cacheField>
    <cacheField name="Cantidad de biomasa oxidada fuera del bosque " numFmtId="175">
      <sharedItems containsSemiMixedTypes="0" containsString="0" containsNumber="1" minValue="0" maxValue="1228.1108496762768"/>
    </cacheField>
    <cacheField name="Fracción de carbono " numFmtId="0">
      <sharedItems containsSemiMixedTypes="0" containsString="0" containsNumber="1" minValue="0.5" maxValue="0.5"/>
    </cacheField>
    <cacheField name="Cantidad de carbono liberado " numFmtId="175">
      <sharedItems containsSemiMixedTypes="0" containsString="0" containsNumber="1" minValue="0" maxValue="614.05542483813838"/>
    </cacheField>
    <cacheField name="Cantidad de carbono liberado 2" numFmtId="175">
      <sharedItems containsSemiMixedTypes="0" containsString="0" containsNumber="1" minValue="0" maxValue="0.61405542483813835"/>
    </cacheField>
    <cacheField name="Emisiones de CO2 (Gg)" numFmtId="175">
      <sharedItems containsSemiMixedTypes="0" containsString="0" containsNumber="1" minValue="0" maxValue="2.2515365577398407"/>
    </cacheField>
    <cacheField name="Emisiones de N  (kt N)_x000a_" numFmtId="175">
      <sharedItems containsSemiMixedTypes="0" containsString="0" containsNumber="1" minValue="0" maxValue="6.1405542483813835E-3"/>
    </cacheField>
    <cacheField name="CH4" numFmtId="175">
      <sharedItems containsSemiMixedTypes="0" containsString="0" containsNumber="1" minValue="0" maxValue="7.36866509805766E-3"/>
    </cacheField>
    <cacheField name="CO" numFmtId="175">
      <sharedItems containsSemiMixedTypes="0" containsString="0" containsNumber="1" minValue="0" maxValue="3.6843325490288299E-2"/>
    </cacheField>
    <cacheField name="N2O" numFmtId="175">
      <sharedItems containsSemiMixedTypes="0" containsString="0" containsNumber="1" minValue="0" maxValue="4.2983879738669687E-5"/>
    </cacheField>
    <cacheField name="Nox" numFmtId="175">
      <sharedItems containsSemiMixedTypes="0" containsString="0" containsNumber="1" minValue="0" maxValue="7.4300706405414736E-4"/>
    </cacheField>
    <cacheField name="CH42" numFmtId="175">
      <sharedItems containsSemiMixedTypes="0" containsString="0" containsNumber="1" minValue="0" maxValue="9.8248867974102122E-3"/>
    </cacheField>
    <cacheField name="CO2" numFmtId="175">
      <sharedItems containsSemiMixedTypes="0" containsString="0" containsNumber="1" minValue="0" maxValue="8.5967759477339367E-2"/>
    </cacheField>
    <cacheField name="N2O2" numFmtId="175">
      <sharedItems containsSemiMixedTypes="0" containsString="0" containsNumber="1" minValue="0" maxValue="6.7546096732195218E-5"/>
    </cacheField>
    <cacheField name="Nox2" numFmtId="175">
      <sharedItems containsSemiMixedTypes="0" containsString="0" containsNumber="1" minValue="0" maxValue="2.441308924749341E-3"/>
    </cacheField>
    <cacheField name="CH4 (t)" numFmtId="175">
      <sharedItems containsSemiMixedTypes="0" containsString="0" containsNumber="1" minValue="0" maxValue="9.8248867974102119"/>
    </cacheField>
    <cacheField name="CO (t)" numFmtId="175">
      <sharedItems containsSemiMixedTypes="0" containsString="0" containsNumber="1" minValue="0" maxValue="85.967759477339371"/>
    </cacheField>
    <cacheField name="N2O (t)" numFmtId="175">
      <sharedItems containsSemiMixedTypes="0" containsString="0" containsNumber="1" minValue="0" maxValue="6.7546096732195221E-2"/>
    </cacheField>
    <cacheField name="Nox (t)" numFmtId="175">
      <sharedItems containsSemiMixedTypes="0" containsString="0" containsNumber="1" minValue="0" maxValue="2.4413089247493409"/>
    </cacheField>
    <cacheField name=" CO2 (t)" numFmtId="175">
      <sharedItems containsSemiMixedTypes="0" containsString="0" containsNumber="1" minValue="0" maxValue="2251.5365577398406"/>
    </cacheField>
    <cacheField name="CO2e (t)" numFmtId="175">
      <sharedItems containsSemiMixedTypes="0" containsString="0" containsNumber="1" minValue="0" maxValue="2478.79847047243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a" refreshedDate="41109.545978125003" createdVersion="4" refreshedVersion="4" minRefreshableVersion="3" recordCount="90">
  <cacheSource type="worksheet">
    <worksheetSource ref="A1:BE91" sheet="Base de Datos Obras"/>
  </cacheSource>
  <cacheFields count="57">
    <cacheField name="Sector" numFmtId="0">
      <sharedItems count="5">
        <s v="Área El Volcán"/>
        <s v="Área Yeso"/>
        <s v="Área Aucayes Alto"/>
        <s v="Área Alfalfal II"/>
        <s v="Área Las Lajas-Maipo"/>
      </sharedItems>
    </cacheField>
    <cacheField name="Tipo de obra" numFmtId="0">
      <sharedItems count="3">
        <s v="Obras Previas"/>
        <s v="Túneles, cavernas  y chimeneas"/>
        <s v="Obras Civiles"/>
      </sharedItems>
    </cacheField>
    <cacheField name="Obra/intervención" numFmtId="0">
      <sharedItems/>
    </cacheField>
    <cacheField name="Dimensión" numFmtId="0">
      <sharedItems containsBlank="1" containsMixedTypes="1" containsNumber="1" minValue="300" maxValue="620000"/>
    </cacheField>
    <cacheField name="Unidad" numFmtId="0">
      <sharedItems containsBlank="1"/>
    </cacheField>
    <cacheField name="2011" numFmtId="0">
      <sharedItems containsSemiMixedTypes="0" containsString="0" containsNumber="1" containsInteger="1" minValue="0" maxValue="2"/>
    </cacheField>
    <cacheField name="2012" numFmtId="0">
      <sharedItems containsSemiMixedTypes="0" containsString="0" containsNumber="1" containsInteger="1" minValue="0" maxValue="12"/>
    </cacheField>
    <cacheField name="2013" numFmtId="0">
      <sharedItems containsSemiMixedTypes="0" containsString="0" containsNumber="1" containsInteger="1" minValue="0" maxValue="12"/>
    </cacheField>
    <cacheField name="2014" numFmtId="0">
      <sharedItems containsSemiMixedTypes="0" containsString="0" containsNumber="1" containsInteger="1" minValue="0" maxValue="12"/>
    </cacheField>
    <cacheField name="2015" numFmtId="0">
      <sharedItems containsSemiMixedTypes="0" containsString="0" containsNumber="1" containsInteger="1" minValue="0" maxValue="12"/>
    </cacheField>
    <cacheField name="2016" numFmtId="0">
      <sharedItems containsSemiMixedTypes="0" containsString="0" containsNumber="1" containsInteger="1" minValue="0" maxValue="6"/>
    </cacheField>
    <cacheField name="Total" numFmtId="0">
      <sharedItems containsSemiMixedTypes="0" containsString="0" containsNumber="1" containsInteger="1" minValue="1" maxValue="44"/>
    </cacheField>
    <cacheField name="Escarpe" numFmtId="3">
      <sharedItems containsBlank="1" containsMixedTypes="1" containsNumber="1" minValue="0" maxValue="18450"/>
    </cacheField>
    <cacheField name="Excavación roca" numFmtId="3">
      <sharedItems containsString="0" containsBlank="1" containsNumber="1" containsInteger="1" minValue="0" maxValue="106000"/>
    </cacheField>
    <cacheField name="Excavación suelo" numFmtId="3">
      <sharedItems containsString="0" containsBlank="1" containsNumber="1" containsInteger="1" minValue="3015" maxValue="434810"/>
    </cacheField>
    <cacheField name="Relleno" numFmtId="3">
      <sharedItems containsBlank="1" containsMixedTypes="1" containsNumber="1" containsInteger="1" minValue="-620000" maxValue="-1206"/>
    </cacheField>
    <cacheField name="Excedente" numFmtId="3">
      <sharedItems containsBlank="1" containsMixedTypes="1" containsNumber="1" minValue="0" maxValue="235500" count="37">
        <n v="1910"/>
        <n v="91189"/>
        <n v="3680"/>
        <m/>
        <n v="31150"/>
        <n v="4339"/>
        <n v="8800"/>
        <n v="2190"/>
        <n v="52100"/>
        <n v="5960"/>
        <n v="3620"/>
        <n v="4580"/>
        <n v="37570"/>
        <n v="14000"/>
        <n v="21950"/>
        <n v="2111"/>
        <n v="152900"/>
        <n v="4880"/>
        <n v="4480.0000000000009"/>
        <n v="48186"/>
        <n v="235500"/>
        <n v="60691"/>
        <n v="11100"/>
        <e v="#REF!"/>
        <n v="8200"/>
        <n v="11700"/>
        <n v="4240"/>
        <n v="6180"/>
        <n v="2340"/>
        <n v="3260"/>
        <n v="2240"/>
        <n v="5940"/>
        <n v="4720"/>
        <n v="30136"/>
        <n v="31345"/>
        <n v="1000"/>
        <n v="0" u="1"/>
      </sharedItems>
    </cacheField>
    <cacheField name="Extracción Marina" numFmtId="3">
      <sharedItems containsString="0" containsBlank="1" containsNumber="1" minValue="5298.0633410966493" maxValue="273459" count="25">
        <m/>
        <n v="107765"/>
        <n v="53533.425321161507"/>
        <n v="65579.5746788385"/>
        <n v="150577"/>
        <n v="24000"/>
        <n v="273459"/>
        <n v="80030.117647058825"/>
        <n v="14160"/>
        <n v="33345.882352941175"/>
        <n v="113376"/>
        <n v="59360"/>
        <n v="5298.0633410966493"/>
        <n v="30198.961044250904"/>
        <n v="85902.975614652445"/>
        <n v="175643"/>
        <n v="12684.933847741362"/>
        <n v="83815.066152258645"/>
        <n v="20771.391128291674"/>
        <n v="63018.991047910866"/>
        <n v="52000"/>
        <n v="86728.891392986552"/>
        <n v="49751.835037824363"/>
        <n v="159800"/>
        <n v="210000"/>
      </sharedItems>
    </cacheField>
    <cacheField name="Destino" numFmtId="3">
      <sharedItems containsBlank="1"/>
    </cacheField>
    <cacheField name="monto1" numFmtId="3">
      <sharedItems containsBlank="1" containsMixedTypes="1" containsNumber="1" minValue="1910" maxValue="273459"/>
    </cacheField>
    <cacheField name="monto2" numFmtId="3">
      <sharedItems containsString="0" containsBlank="1" containsNumber="1" minValue="3040" maxValue="141119"/>
    </cacheField>
    <cacheField name="monto3" numFmtId="3">
      <sharedItems containsString="0" containsBlank="1" containsNumber="1" minValue="12530.493931464554" maxValue="52319.839368016648"/>
    </cacheField>
    <cacheField name="DMT1" numFmtId="0">
      <sharedItems containsString="0" containsBlank="1" containsNumber="1" minValue="0" maxValue="14.2"/>
    </cacheField>
    <cacheField name="DMT2" numFmtId="0">
      <sharedItems containsString="0" containsBlank="1" containsNumber="1" minValue="0.5" maxValue="6.7"/>
    </cacheField>
    <cacheField name="DMT3" numFmtId="0">
      <sharedItems containsString="0" containsBlank="1" containsNumber="1" containsInteger="1" minValue="0" maxValue="0"/>
    </cacheField>
    <cacheField name="VKTescarpe" numFmtId="0">
      <sharedItems containsBlank="1" containsMixedTypes="1" containsNumber="1" minValue="0" maxValue="94.55"/>
    </cacheField>
    <cacheField name="Hrs ExcSuelo" numFmtId="0">
      <sharedItems containsString="0" containsBlank="1" containsNumber="1" minValue="0" maxValue="4348.1000000000004"/>
    </cacheField>
    <cacheField name="Hrs ExcRoca" numFmtId="0">
      <sharedItems containsString="0" containsBlank="1" containsNumber="1" minValue="0" maxValue="1060"/>
    </cacheField>
    <cacheField name="Ton C&amp;D_Ex" numFmtId="0">
      <sharedItems containsBlank="1" containsMixedTypes="1" containsNumber="1" minValue="0" maxValue="405758.85044061102"/>
    </cacheField>
    <cacheField name="Ton C&amp;D_mm" numFmtId="0">
      <sharedItems containsString="0" containsBlank="1" containsNumber="1" minValue="0" maxValue="710993.4"/>
    </cacheField>
    <cacheField name="N° Tronadura" numFmtId="0">
      <sharedItems containsString="0" containsBlank="1" containsNumber="1" minValue="103.47779963079392" maxValue="4101.5625"/>
    </cacheField>
    <cacheField name="Ton Perforación" numFmtId="0">
      <sharedItems containsString="0" containsBlank="1" containsNumber="1" minValue="170506.8941649801" maxValue="710993.4"/>
    </cacheField>
    <cacheField name="VKTNivelación" numFmtId="0">
      <sharedItems containsBlank="1" containsMixedTypes="1" containsNumber="1" minValue="0" maxValue="3968"/>
    </cacheField>
    <cacheField name="VKTNOpav" numFmtId="0">
      <sharedItems containsBlank="1" containsMixedTypes="1" containsNumber="1" minValue="0" maxValue="131732.25" count="29">
        <n v="163.71428571428572"/>
        <n v="7816.2"/>
        <n v="0"/>
        <n v="4450"/>
        <n v="619.85714285714289"/>
        <n v="471.42857142857144"/>
        <m/>
        <n v="78.214285714285708"/>
        <n v="31852.9362725787"/>
        <n v="5717.2142857142853"/>
        <n v="2000"/>
        <n v="1881.4285714285713"/>
        <n v="271.41428571428571"/>
        <n v="63816.535714285717"/>
        <n v="10325.571428571429"/>
        <n v="25232.142857142859"/>
        <n v="32946.542857142857"/>
        <n v="17149.310924369747"/>
        <n v="14362.285714285714"/>
        <n v="85032"/>
        <n v="32224"/>
        <e v="#REF!"/>
        <n v="417.85714285714283"/>
        <n v="131732.25"/>
        <n v="133.79741475226825"/>
        <n v="884.05972810487481"/>
        <n v="690.12439579340412"/>
        <n v="3694.9245565550345"/>
        <n v="2583.0857142857139"/>
      </sharedItems>
    </cacheField>
    <cacheField name="VKTPav" numFmtId="0">
      <sharedItems containsString="0" containsBlank="1" containsNumber="1" minValue="4485.7680581334798" maxValue="54609.74878360048" count="8">
        <m/>
        <n v="4735.1428571428569"/>
        <n v="19197.910949559504"/>
        <n v="54609.74878360048"/>
        <n v="37142.857142857145"/>
        <n v="7819.7254519800254"/>
        <n v="4485.7680581334798"/>
        <n v="19926.464285714286"/>
      </sharedItems>
    </cacheField>
    <cacheField name="MT2011" numFmtId="0">
      <sharedItems containsString="0" containsBlank="1" containsNumber="1" containsInteger="1" minValue="0" maxValue="1"/>
    </cacheField>
    <cacheField name="MT2012" numFmtId="0">
      <sharedItems containsString="0" containsBlank="1" containsNumber="1" containsInteger="1" minValue="0" maxValue="1"/>
    </cacheField>
    <cacheField name="MT2013" numFmtId="0">
      <sharedItems containsString="0" containsBlank="1" containsNumber="1" containsInteger="1" minValue="0" maxValue="1"/>
    </cacheField>
    <cacheField name="MT2014" numFmtId="0">
      <sharedItems containsString="0" containsBlank="1" containsNumber="1" containsInteger="1" minValue="0" maxValue="0"/>
    </cacheField>
    <cacheField name="MT2015" numFmtId="0">
      <sharedItems containsString="0" containsBlank="1" containsNumber="1" containsInteger="1" minValue="0" maxValue="0"/>
    </cacheField>
    <cacheField name="MT2016" numFmtId="0">
      <sharedItems containsString="0" containsBlank="1" containsNumber="1" containsInteger="1" minValue="0" maxValue="0"/>
    </cacheField>
    <cacheField name="MM2011" numFmtId="0">
      <sharedItems containsString="0" containsBlank="1" containsNumber="1" containsInteger="1" minValue="-1" maxValue="1"/>
    </cacheField>
    <cacheField name="MM2012" numFmtId="0">
      <sharedItems containsString="0" containsBlank="1" containsNumber="1" containsInteger="1" minValue="-1" maxValue="10"/>
    </cacheField>
    <cacheField name="MM2013" numFmtId="0">
      <sharedItems containsString="0" containsBlank="1" containsNumber="1" containsInteger="1" minValue="0" maxValue="12"/>
    </cacheField>
    <cacheField name="MM2014" numFmtId="0">
      <sharedItems containsString="0" containsBlank="1" containsNumber="1" containsInteger="1" minValue="0" maxValue="12"/>
    </cacheField>
    <cacheField name="MM2015" numFmtId="0">
      <sharedItems containsString="0" containsBlank="1" containsNumber="1" containsInteger="1" minValue="0" maxValue="12"/>
    </cacheField>
    <cacheField name="MM2016" numFmtId="0">
      <sharedItems containsString="0" containsBlank="1" containsNumber="1" containsInteger="1" minValue="0" maxValue="6"/>
    </cacheField>
    <cacheField name="CO2011" numFmtId="0">
      <sharedItems containsString="0" containsBlank="1" containsNumber="1" containsInteger="1" minValue="0" maxValue="0"/>
    </cacheField>
    <cacheField name="CO2012" numFmtId="0">
      <sharedItems containsString="0" containsBlank="1" containsNumber="1" containsInteger="1" minValue="0" maxValue="5"/>
    </cacheField>
    <cacheField name="CO2013" numFmtId="0">
      <sharedItems containsString="0" containsBlank="1" containsNumber="1" containsInteger="1" minValue="0" maxValue="7"/>
    </cacheField>
    <cacheField name="CO2014" numFmtId="0">
      <sharedItems containsString="0" containsBlank="1" containsNumber="1" containsInteger="1" minValue="0" maxValue="12"/>
    </cacheField>
    <cacheField name="CO2015" numFmtId="0">
      <sharedItems containsString="0" containsBlank="1" containsNumber="1" containsInteger="1" minValue="0" maxValue="12"/>
    </cacheField>
    <cacheField name="CO2016" numFmtId="0">
      <sharedItems containsString="0" containsBlank="1" containsNumber="1" containsInteger="1" minValue="0" maxValue="4"/>
    </cacheField>
    <cacheField name="COTOT" numFmtId="0">
      <sharedItems containsString="0" containsBlank="1" containsNumber="1" containsInteger="1" minValue="0" maxValue="28"/>
    </cacheField>
    <cacheField name="Cemento" numFmtId="3">
      <sharedItems containsString="0" containsBlank="1" containsNumber="1" minValue="56.05979711692472" maxValue="13203.88349514563"/>
    </cacheField>
    <cacheField name="Aridos" numFmtId="3">
      <sharedItems containsString="0" containsBlank="1" containsNumber="1" minValue="0" maxValue="60000"/>
    </cacheField>
    <cacheField name="Misceláneos" numFmtId="3">
      <sharedItems containsString="0" containsBlank="1" containsNumber="1" minValue="8.6892685531233376" maxValue="5789.105058365758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niela" refreshedDate="41109.545980324074" createdVersion="4" refreshedVersion="4" minRefreshableVersion="3" recordCount="90">
  <cacheSource type="worksheet">
    <worksheetSource ref="A1:BB91" sheet="Base de Datos Obras"/>
  </cacheSource>
  <cacheFields count="54">
    <cacheField name="Sector" numFmtId="0">
      <sharedItems count="5">
        <s v="Área El Volcán"/>
        <s v="Área Yeso"/>
        <s v="Área Aucayes Alto"/>
        <s v="Área Alfalfal II"/>
        <s v="Área Las Lajas-Maipo"/>
      </sharedItems>
    </cacheField>
    <cacheField name="Tipo de obra" numFmtId="0">
      <sharedItems/>
    </cacheField>
    <cacheField name="Obra/intervención" numFmtId="0">
      <sharedItems/>
    </cacheField>
    <cacheField name="Dimensión" numFmtId="0">
      <sharedItems containsBlank="1" containsMixedTypes="1" containsNumber="1" minValue="300" maxValue="620000"/>
    </cacheField>
    <cacheField name="Unidad" numFmtId="0">
      <sharedItems containsBlank="1"/>
    </cacheField>
    <cacheField name="2011" numFmtId="0">
      <sharedItems containsSemiMixedTypes="0" containsString="0" containsNumber="1" containsInteger="1" minValue="0" maxValue="2"/>
    </cacheField>
    <cacheField name="2012" numFmtId="0">
      <sharedItems containsSemiMixedTypes="0" containsString="0" containsNumber="1" containsInteger="1" minValue="0" maxValue="12"/>
    </cacheField>
    <cacheField name="2013" numFmtId="0">
      <sharedItems containsSemiMixedTypes="0" containsString="0" containsNumber="1" containsInteger="1" minValue="0" maxValue="12"/>
    </cacheField>
    <cacheField name="2014" numFmtId="0">
      <sharedItems containsSemiMixedTypes="0" containsString="0" containsNumber="1" containsInteger="1" minValue="0" maxValue="12"/>
    </cacheField>
    <cacheField name="2015" numFmtId="0">
      <sharedItems containsSemiMixedTypes="0" containsString="0" containsNumber="1" containsInteger="1" minValue="0" maxValue="12"/>
    </cacheField>
    <cacheField name="2016" numFmtId="0">
      <sharedItems containsSemiMixedTypes="0" containsString="0" containsNumber="1" containsInteger="1" minValue="0" maxValue="6"/>
    </cacheField>
    <cacheField name="Total" numFmtId="0">
      <sharedItems containsSemiMixedTypes="0" containsString="0" containsNumber="1" containsInteger="1" minValue="1" maxValue="44"/>
    </cacheField>
    <cacheField name="Escarpe" numFmtId="3">
      <sharedItems containsBlank="1" containsMixedTypes="1" containsNumber="1" minValue="0" maxValue="18450"/>
    </cacheField>
    <cacheField name="Excavación roca" numFmtId="3">
      <sharedItems containsString="0" containsBlank="1" containsNumber="1" containsInteger="1" minValue="0" maxValue="106000"/>
    </cacheField>
    <cacheField name="Excavación suelo" numFmtId="3">
      <sharedItems containsString="0" containsBlank="1" containsNumber="1" containsInteger="1" minValue="3015" maxValue="434810"/>
    </cacheField>
    <cacheField name="Relleno" numFmtId="3">
      <sharedItems containsBlank="1" containsMixedTypes="1" containsNumber="1" containsInteger="1" minValue="-620000" maxValue="-1206"/>
    </cacheField>
    <cacheField name="Excedente" numFmtId="3">
      <sharedItems containsBlank="1" containsMixedTypes="1" containsNumber="1" minValue="1000" maxValue="235500"/>
    </cacheField>
    <cacheField name="Extracción Marina" numFmtId="3">
      <sharedItems containsString="0" containsBlank="1" containsNumber="1" minValue="5298.0633410966493" maxValue="273459"/>
    </cacheField>
    <cacheField name="Destino" numFmtId="3">
      <sharedItems containsBlank="1"/>
    </cacheField>
    <cacheField name="monto1" numFmtId="3">
      <sharedItems containsBlank="1" containsMixedTypes="1" containsNumber="1" minValue="1910" maxValue="273459"/>
    </cacheField>
    <cacheField name="monto2" numFmtId="3">
      <sharedItems containsString="0" containsBlank="1" containsNumber="1" minValue="3040" maxValue="141119"/>
    </cacheField>
    <cacheField name="monto3" numFmtId="3">
      <sharedItems containsString="0" containsBlank="1" containsNumber="1" minValue="12530.493931464554" maxValue="52319.839368016648"/>
    </cacheField>
    <cacheField name="DMT1" numFmtId="0">
      <sharedItems containsString="0" containsBlank="1" containsNumber="1" minValue="0" maxValue="14.2"/>
    </cacheField>
    <cacheField name="DMT2" numFmtId="0">
      <sharedItems containsString="0" containsBlank="1" containsNumber="1" minValue="0.5" maxValue="6.7"/>
    </cacheField>
    <cacheField name="DMT3" numFmtId="0">
      <sharedItems containsString="0" containsBlank="1" containsNumber="1" containsInteger="1" minValue="0" maxValue="0"/>
    </cacheField>
    <cacheField name="VKTescarpe" numFmtId="0">
      <sharedItems containsBlank="1" containsMixedTypes="1" containsNumber="1" minValue="0" maxValue="94.55"/>
    </cacheField>
    <cacheField name="Hrs ExcSuelo" numFmtId="0">
      <sharedItems containsString="0" containsBlank="1" containsNumber="1" minValue="0" maxValue="4348.1000000000004"/>
    </cacheField>
    <cacheField name="Hrs ExcRoca" numFmtId="0">
      <sharedItems containsString="0" containsBlank="1" containsNumber="1" minValue="0" maxValue="1060"/>
    </cacheField>
    <cacheField name="Ton C&amp;D_Ex" numFmtId="0">
      <sharedItems containsBlank="1" containsMixedTypes="1" containsNumber="1" minValue="0" maxValue="405758.85044061102"/>
    </cacheField>
    <cacheField name="Ton C&amp;D_mm" numFmtId="0">
      <sharedItems containsString="0" containsBlank="1" containsNumber="1" minValue="0" maxValue="710993.4"/>
    </cacheField>
    <cacheField name="N° Tronadura" numFmtId="0">
      <sharedItems containsString="0" containsBlank="1" containsNumber="1" minValue="103.47779963079392" maxValue="4101.5625"/>
    </cacheField>
    <cacheField name="Ton Perforación" numFmtId="0">
      <sharedItems containsString="0" containsBlank="1" containsNumber="1" minValue="170506.8941649801" maxValue="710993.4"/>
    </cacheField>
    <cacheField name="VKTNivelación" numFmtId="0">
      <sharedItems containsBlank="1" containsMixedTypes="1" containsNumber="1" minValue="0" maxValue="3968"/>
    </cacheField>
    <cacheField name="VKTNOpav" numFmtId="0">
      <sharedItems containsBlank="1" containsMixedTypes="1" containsNumber="1" minValue="0" maxValue="131732.25"/>
    </cacheField>
    <cacheField name="VKTPav" numFmtId="0">
      <sharedItems containsString="0" containsBlank="1" containsNumber="1" minValue="4485.7680581334798" maxValue="54609.74878360048"/>
    </cacheField>
    <cacheField name="MT2011" numFmtId="0">
      <sharedItems containsString="0" containsBlank="1" containsNumber="1" containsInteger="1" minValue="0" maxValue="1"/>
    </cacheField>
    <cacheField name="MT2012" numFmtId="0">
      <sharedItems containsString="0" containsBlank="1" containsNumber="1" containsInteger="1" minValue="0" maxValue="1"/>
    </cacheField>
    <cacheField name="MT2013" numFmtId="0">
      <sharedItems containsString="0" containsBlank="1" containsNumber="1" containsInteger="1" minValue="0" maxValue="1"/>
    </cacheField>
    <cacheField name="MT2014" numFmtId="0">
      <sharedItems containsString="0" containsBlank="1" containsNumber="1" containsInteger="1" minValue="0" maxValue="0"/>
    </cacheField>
    <cacheField name="MT2015" numFmtId="0">
      <sharedItems containsString="0" containsBlank="1" containsNumber="1" containsInteger="1" minValue="0" maxValue="0"/>
    </cacheField>
    <cacheField name="MT2016" numFmtId="0">
      <sharedItems containsString="0" containsBlank="1" containsNumber="1" containsInteger="1" minValue="0" maxValue="0"/>
    </cacheField>
    <cacheField name="MM2011" numFmtId="0">
      <sharedItems containsString="0" containsBlank="1" containsNumber="1" containsInteger="1" minValue="-1" maxValue="1"/>
    </cacheField>
    <cacheField name="MM2012" numFmtId="0">
      <sharedItems containsString="0" containsBlank="1" containsNumber="1" containsInteger="1" minValue="-1" maxValue="10"/>
    </cacheField>
    <cacheField name="MM2013" numFmtId="0">
      <sharedItems containsString="0" containsBlank="1" containsNumber="1" containsInteger="1" minValue="0" maxValue="12"/>
    </cacheField>
    <cacheField name="MM2014" numFmtId="0">
      <sharedItems containsString="0" containsBlank="1" containsNumber="1" containsInteger="1" minValue="0" maxValue="12"/>
    </cacheField>
    <cacheField name="MM2015" numFmtId="0">
      <sharedItems containsString="0" containsBlank="1" containsNumber="1" containsInteger="1" minValue="0" maxValue="12"/>
    </cacheField>
    <cacheField name="MM2016" numFmtId="0">
      <sharedItems containsString="0" containsBlank="1" containsNumber="1" containsInteger="1" minValue="0" maxValue="6"/>
    </cacheField>
    <cacheField name="CO2011" numFmtId="0">
      <sharedItems containsString="0" containsBlank="1" containsNumber="1" containsInteger="1" minValue="0" maxValue="0"/>
    </cacheField>
    <cacheField name="CO2012" numFmtId="0">
      <sharedItems containsString="0" containsBlank="1" containsNumber="1" containsInteger="1" minValue="0" maxValue="5"/>
    </cacheField>
    <cacheField name="CO2013" numFmtId="0">
      <sharedItems containsString="0" containsBlank="1" containsNumber="1" containsInteger="1" minValue="0" maxValue="7"/>
    </cacheField>
    <cacheField name="CO2014" numFmtId="0">
      <sharedItems containsString="0" containsBlank="1" containsNumber="1" containsInteger="1" minValue="0" maxValue="12"/>
    </cacheField>
    <cacheField name="CO2015" numFmtId="0">
      <sharedItems containsString="0" containsBlank="1" containsNumber="1" containsInteger="1" minValue="0" maxValue="12"/>
    </cacheField>
    <cacheField name="CO2016" numFmtId="0">
      <sharedItems containsString="0" containsBlank="1" containsNumber="1" containsInteger="1" minValue="0" maxValue="4"/>
    </cacheField>
    <cacheField name="COTOT" numFmtId="0">
      <sharedItems containsString="0" containsBlank="1" containsNumber="1" containsInteger="1" minValue="0" maxValue="2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aniela" refreshedDate="41109.545980671297" createdVersion="4" refreshedVersion="4" minRefreshableVersion="3" recordCount="90">
  <cacheSource type="worksheet">
    <worksheetSource ref="A1:AU91" sheet="Base de Datos Obras"/>
  </cacheSource>
  <cacheFields count="47">
    <cacheField name="Sector" numFmtId="0">
      <sharedItems count="5">
        <s v="Área El Volcán"/>
        <s v="Área Yeso"/>
        <s v="Área Aucayes Alto"/>
        <s v="Área Alfalfal II"/>
        <s v="Área Las Lajas-Maipo"/>
      </sharedItems>
    </cacheField>
    <cacheField name="Tipo de obra" numFmtId="0">
      <sharedItems count="3">
        <s v="Obras Previas"/>
        <s v="Túneles, cavernas  y chimeneas"/>
        <s v="Obras Civiles"/>
      </sharedItems>
    </cacheField>
    <cacheField name="Obra/intervención" numFmtId="0">
      <sharedItems/>
    </cacheField>
    <cacheField name="Dimensión" numFmtId="0">
      <sharedItems containsBlank="1" containsMixedTypes="1" containsNumber="1" minValue="300" maxValue="620000"/>
    </cacheField>
    <cacheField name="Unidad" numFmtId="0">
      <sharedItems containsBlank="1"/>
    </cacheField>
    <cacheField name="2011" numFmtId="0">
      <sharedItems containsSemiMixedTypes="0" containsString="0" containsNumber="1" containsInteger="1" minValue="0" maxValue="2"/>
    </cacheField>
    <cacheField name="2012" numFmtId="0">
      <sharedItems containsSemiMixedTypes="0" containsString="0" containsNumber="1" containsInteger="1" minValue="0" maxValue="12"/>
    </cacheField>
    <cacheField name="2013" numFmtId="0">
      <sharedItems containsSemiMixedTypes="0" containsString="0" containsNumber="1" containsInteger="1" minValue="0" maxValue="12"/>
    </cacheField>
    <cacheField name="2014" numFmtId="0">
      <sharedItems containsSemiMixedTypes="0" containsString="0" containsNumber="1" containsInteger="1" minValue="0" maxValue="12"/>
    </cacheField>
    <cacheField name="2015" numFmtId="0">
      <sharedItems containsSemiMixedTypes="0" containsString="0" containsNumber="1" containsInteger="1" minValue="0" maxValue="12"/>
    </cacheField>
    <cacheField name="2016" numFmtId="0">
      <sharedItems containsSemiMixedTypes="0" containsString="0" containsNumber="1" containsInteger="1" minValue="0" maxValue="6"/>
    </cacheField>
    <cacheField name="Total" numFmtId="0">
      <sharedItems containsSemiMixedTypes="0" containsString="0" containsNumber="1" containsInteger="1" minValue="1" maxValue="44"/>
    </cacheField>
    <cacheField name="Escarpe" numFmtId="3">
      <sharedItems containsBlank="1" containsMixedTypes="1" containsNumber="1" minValue="0" maxValue="18450" count="29">
        <n v="1910"/>
        <m/>
        <n v="3680"/>
        <n v="2640"/>
        <n v="220"/>
        <n v="510"/>
        <n v="2190"/>
        <n v="5960"/>
        <n v="3620"/>
        <n v="4580"/>
        <n v="1980"/>
        <n v="630"/>
        <n v="810"/>
        <n v="200"/>
        <n v="4880"/>
        <n v="4480.0000000000009"/>
        <n v="11100"/>
        <e v="#REF!"/>
        <n v="4240"/>
        <n v="6180"/>
        <n v="2340"/>
        <n v="3260"/>
        <n v="2240"/>
        <n v="5940"/>
        <n v="4720"/>
        <n v="18450"/>
        <n v="170"/>
        <n v="0"/>
        <n v="1000"/>
      </sharedItems>
    </cacheField>
    <cacheField name="Excavación roca" numFmtId="3">
      <sharedItems containsString="0" containsBlank="1" containsNumber="1" containsInteger="1" minValue="0" maxValue="106000"/>
    </cacheField>
    <cacheField name="Excavación suelo" numFmtId="3">
      <sharedItems containsString="0" containsBlank="1" containsNumber="1" containsInteger="1" minValue="3015" maxValue="434810"/>
    </cacheField>
    <cacheField name="Relleno" numFmtId="3">
      <sharedItems containsBlank="1" containsMixedTypes="1" containsNumber="1" containsInteger="1" minValue="-620000" maxValue="-1206" count="33">
        <m/>
        <n v="-42811"/>
        <n v="-248833"/>
        <n v="-17800"/>
        <n v="-1213"/>
        <n v="-3300"/>
        <n v="-47900"/>
        <n v="-67106"/>
        <n v="-165324"/>
        <n v="-65190"/>
        <n v="-207257"/>
        <n v="-8000"/>
        <n v="-26340"/>
        <n v="-1206"/>
        <n v="-12100"/>
        <n v="-474151"/>
        <n v="-176000"/>
        <n v="-1814"/>
        <n v="-25500"/>
        <n v="-34000"/>
        <n v="-620000"/>
        <n v="-3800"/>
        <n v="-1490"/>
        <n v="-162145"/>
        <e v="#REF!"/>
        <n v="-70340"/>
        <n v="-74260"/>
        <n v="-93240"/>
        <n v="-350940"/>
        <n v="-368685"/>
        <n v="-37100"/>
        <n v="-12000"/>
        <n v="-214720" u="1"/>
      </sharedItems>
    </cacheField>
    <cacheField name="Excedente" numFmtId="3">
      <sharedItems containsBlank="1" containsMixedTypes="1" containsNumber="1" minValue="1000" maxValue="235500"/>
    </cacheField>
    <cacheField name="Extracción Marina" numFmtId="3">
      <sharedItems containsString="0" containsBlank="1" containsNumber="1" minValue="5298.0633410966493" maxValue="273459"/>
    </cacheField>
    <cacheField name="Destino" numFmtId="3">
      <sharedItems containsBlank="1"/>
    </cacheField>
    <cacheField name="monto1" numFmtId="3">
      <sharedItems containsBlank="1" containsMixedTypes="1" containsNumber="1" minValue="1910" maxValue="273459"/>
    </cacheField>
    <cacheField name="monto2" numFmtId="3">
      <sharedItems containsString="0" containsBlank="1" containsNumber="1" minValue="3040" maxValue="141119"/>
    </cacheField>
    <cacheField name="monto3" numFmtId="3">
      <sharedItems containsString="0" containsBlank="1" containsNumber="1" minValue="12530.493931464554" maxValue="52319.839368016648"/>
    </cacheField>
    <cacheField name="DMT1" numFmtId="0">
      <sharedItems containsString="0" containsBlank="1" containsNumber="1" minValue="0" maxValue="14.2"/>
    </cacheField>
    <cacheField name="DMT2" numFmtId="0">
      <sharedItems containsString="0" containsBlank="1" containsNumber="1" minValue="0.5" maxValue="6.7"/>
    </cacheField>
    <cacheField name="DMT3" numFmtId="0">
      <sharedItems containsString="0" containsBlank="1" containsNumber="1" containsInteger="1" minValue="0" maxValue="0"/>
    </cacheField>
    <cacheField name="VKTescarpe" numFmtId="0">
      <sharedItems containsBlank="1" containsMixedTypes="1" containsNumber="1" minValue="0" maxValue="94.55"/>
    </cacheField>
    <cacheField name="Hrs ExcSuelo" numFmtId="0">
      <sharedItems containsString="0" containsBlank="1" containsNumber="1" minValue="0" maxValue="4348.1000000000004"/>
    </cacheField>
    <cacheField name="Hrs ExcRoca" numFmtId="0">
      <sharedItems containsString="0" containsBlank="1" containsNumber="1" minValue="0" maxValue="1060"/>
    </cacheField>
    <cacheField name="Ton C&amp;D_Ex" numFmtId="0">
      <sharedItems containsBlank="1" containsMixedTypes="1" containsNumber="1" minValue="0" maxValue="405758.85044061102"/>
    </cacheField>
    <cacheField name="Ton C&amp;D_mm" numFmtId="0">
      <sharedItems containsString="0" containsBlank="1" containsNumber="1" minValue="0" maxValue="710993.4"/>
    </cacheField>
    <cacheField name="N° Tronadura" numFmtId="0">
      <sharedItems containsString="0" containsBlank="1" containsNumber="1" minValue="103.47779963079392" maxValue="4101.5625"/>
    </cacheField>
    <cacheField name="Ton Perforación" numFmtId="0">
      <sharedItems containsString="0" containsBlank="1" containsNumber="1" minValue="170506.8941649801" maxValue="710993.4"/>
    </cacheField>
    <cacheField name="VKTNivelación" numFmtId="0">
      <sharedItems containsBlank="1" containsMixedTypes="1" containsNumber="1" minValue="0" maxValue="3968"/>
    </cacheField>
    <cacheField name="VKTNOpav" numFmtId="0">
      <sharedItems containsBlank="1" containsMixedTypes="1" containsNumber="1" minValue="0" maxValue="131732.25"/>
    </cacheField>
    <cacheField name="VKTPav" numFmtId="0">
      <sharedItems containsString="0" containsBlank="1" containsNumber="1" minValue="4485.7680581334798" maxValue="54609.74878360048"/>
    </cacheField>
    <cacheField name="MT2011" numFmtId="0">
      <sharedItems containsString="0" containsBlank="1" containsNumber="1" containsInteger="1" minValue="0" maxValue="1"/>
    </cacheField>
    <cacheField name="MT2012" numFmtId="0">
      <sharedItems containsString="0" containsBlank="1" containsNumber="1" containsInteger="1" minValue="0" maxValue="1"/>
    </cacheField>
    <cacheField name="MT2013" numFmtId="0">
      <sharedItems containsString="0" containsBlank="1" containsNumber="1" containsInteger="1" minValue="0" maxValue="1"/>
    </cacheField>
    <cacheField name="MT2014" numFmtId="0">
      <sharedItems containsString="0" containsBlank="1" containsNumber="1" containsInteger="1" minValue="0" maxValue="0"/>
    </cacheField>
    <cacheField name="MT2015" numFmtId="0">
      <sharedItems containsString="0" containsBlank="1" containsNumber="1" containsInteger="1" minValue="0" maxValue="0"/>
    </cacheField>
    <cacheField name="MT2016" numFmtId="0">
      <sharedItems containsString="0" containsBlank="1" containsNumber="1" containsInteger="1" minValue="0" maxValue="0"/>
    </cacheField>
    <cacheField name="MM2011" numFmtId="0">
      <sharedItems containsString="0" containsBlank="1" containsNumber="1" containsInteger="1" minValue="-1" maxValue="1"/>
    </cacheField>
    <cacheField name="MM2012" numFmtId="0">
      <sharedItems containsString="0" containsBlank="1" containsNumber="1" containsInteger="1" minValue="-1" maxValue="10"/>
    </cacheField>
    <cacheField name="MM2013" numFmtId="0">
      <sharedItems containsString="0" containsBlank="1" containsNumber="1" containsInteger="1" minValue="0" maxValue="12"/>
    </cacheField>
    <cacheField name="MM2014" numFmtId="0">
      <sharedItems containsString="0" containsBlank="1" containsNumber="1" containsInteger="1" minValue="0" maxValue="12"/>
    </cacheField>
    <cacheField name="MM2015" numFmtId="0">
      <sharedItems containsString="0" containsBlank="1" containsNumber="1" containsInteger="1" minValue="0" maxValue="12"/>
    </cacheField>
    <cacheField name="MM2016" numFmtId="0">
      <sharedItems containsString="0" containsBlank="1" containsNumber="1" containsInteg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n v="2"/>
    <s v="LL-1"/>
    <s v="Plantación forestal"/>
    <n v="2015"/>
    <n v="2015"/>
    <x v="0"/>
    <n v="0"/>
    <n v="1155.3572294503549"/>
    <n v="1.056"/>
    <n v="0"/>
    <n v="1156.4132294503549"/>
    <n v="0.9"/>
    <n v="1040.7719065053195"/>
    <n v="0.5"/>
    <n v="520.38595325265976"/>
    <n v="0.52038595325265979"/>
    <n v="1.9080818285930858"/>
    <n v="5.2038595325265983E-3"/>
    <n v="6.2446314390319181E-3"/>
    <n v="3.1223157195159588E-2"/>
    <n v="3.6427016727686187E-5"/>
    <n v="6.2966700343571839E-4"/>
    <n v="8.3261752520425569E-3"/>
    <n v="7.2854033455372377E-2"/>
    <n v="5.7242454857792577E-5"/>
    <n v="2.0689058684316458E-3"/>
    <n v="8.3261752520425567"/>
    <n v="72.854033455372374"/>
    <n v="5.7242454857792578E-2"/>
    <n v="2.0689058684316457"/>
    <n v="1908.0818285930859"/>
    <n v="2100.6766698918955"/>
  </r>
  <r>
    <n v="3.43"/>
    <s v="AU-8"/>
    <s v="Bosque esclerófilo"/>
    <n v="2013"/>
    <n v="2015"/>
    <x v="1"/>
    <n v="8.7117669664592494"/>
    <n v="0"/>
    <n v="0"/>
    <n v="0"/>
    <n v="8.7117669664592494"/>
    <n v="0.9"/>
    <n v="7.8405902698133243"/>
    <n v="0.5"/>
    <n v="3.9202951349066621"/>
    <n v="3.9202951349066621E-3"/>
    <n v="1.4374415494657761E-2"/>
    <n v="3.9202951349066624E-5"/>
    <n v="4.7043541618879944E-5"/>
    <n v="2.3521770809439971E-4"/>
    <n v="2.7442065944346638E-7"/>
    <n v="4.7435571132370612E-6"/>
    <n v="6.2724722158506583E-5"/>
    <n v="5.488413188869327E-4"/>
    <n v="4.3123246483973287E-7"/>
    <n v="1.5585973372064629E-5"/>
    <n v="6.272472215850658E-2"/>
    <n v="0.54884131888693266"/>
    <n v="4.3123246483973288E-4"/>
    <n v="1.5585973372064629E-2"/>
    <n v="14.374415494657761"/>
    <n v="15.825316724086717"/>
  </r>
  <r>
    <n v="2.2400000000000002"/>
    <s v="AU-8"/>
    <s v="Bosque esclerófilo"/>
    <n v="2012"/>
    <n v="2015"/>
    <x v="2"/>
    <n v="5.6893172025856336"/>
    <n v="0"/>
    <n v="0"/>
    <n v="0"/>
    <n v="5.6893172025856336"/>
    <n v="0.9"/>
    <n v="5.1203854823270705"/>
    <n v="0.5"/>
    <n v="2.5601927411635352"/>
    <n v="2.5601927411635353E-3"/>
    <n v="9.3873733842662951E-3"/>
    <n v="2.5601927411635353E-5"/>
    <n v="3.0722312893962423E-5"/>
    <n v="1.5361156446981212E-4"/>
    <n v="1.7921349188144748E-7"/>
    <n v="3.0978332168078776E-6"/>
    <n v="4.0963083858616564E-5"/>
    <n v="3.58426983762895E-4"/>
    <n v="2.816212015279889E-7"/>
    <n v="1.0178594855225883E-5"/>
    <n v="4.0963083858616564E-2"/>
    <n v="0.358426983762895"/>
    <n v="2.8162120152798892E-4"/>
    <n v="1.0178594855225884E-2"/>
    <n v="9.3873733842662954"/>
    <n v="10.334900717770919"/>
  </r>
  <r>
    <n v="2.12"/>
    <s v="CM-1"/>
    <s v="Bosque de quillay-frangel"/>
    <n v="2013"/>
    <n v="2013"/>
    <x v="1"/>
    <n v="195.34381117902782"/>
    <n v="0"/>
    <n v="0"/>
    <n v="0"/>
    <n v="195.34381117902782"/>
    <n v="0.9"/>
    <n v="175.80943006112506"/>
    <n v="0.5"/>
    <n v="87.904715030562528"/>
    <n v="8.7904715030562533E-2"/>
    <n v="0.32231728844539592"/>
    <n v="8.7904715030562536E-4"/>
    <n v="1.0548565803667504E-3"/>
    <n v="5.2742829018337517E-3"/>
    <n v="6.1533300521393778E-6"/>
    <n v="1.0636470518698067E-4"/>
    <n v="1.4064754404890004E-3"/>
    <n v="1.2306660104278755E-2"/>
    <n v="9.6695186533618797E-6"/>
    <n v="3.4948403132865078E-4"/>
    <n v="1.4064754404890005"/>
    <n v="12.306660104278755"/>
    <n v="9.6695186533618804E-3"/>
    <n v="0.3494840313286508"/>
    <n v="322.31728844539595"/>
    <n v="354.85082347820713"/>
  </r>
  <r>
    <n v="3.09"/>
    <s v="CA-4"/>
    <s v="Bosque de quillay-huingan"/>
    <n v="2012"/>
    <n v="2014"/>
    <x v="2"/>
    <n v="74.217932498571486"/>
    <n v="0"/>
    <n v="0"/>
    <n v="0"/>
    <n v="74.217932498571486"/>
    <n v="0.9"/>
    <n v="66.79613924871434"/>
    <n v="0.5"/>
    <n v="33.39806962435717"/>
    <n v="3.3398069624357173E-2"/>
    <n v="0.12245958862264296"/>
    <n v="3.3398069624357175E-4"/>
    <n v="4.0077683549228607E-4"/>
    <n v="2.0038841774614301E-3"/>
    <n v="2.3378648737050021E-6"/>
    <n v="4.0411664245472181E-5"/>
    <n v="5.3436911398971473E-4"/>
    <n v="4.6757297474100037E-3"/>
    <n v="3.6737876586792889E-6"/>
    <n v="1.3278118252083715E-4"/>
    <n v="0.53436911398971476"/>
    <n v="4.6757297474100037"/>
    <n v="3.673787658679289E-3"/>
    <n v="0.13278118252083715"/>
    <n v="122.45958862264295"/>
    <n v="134.82021419061755"/>
  </r>
  <r>
    <n v="1.18"/>
    <s v="CL-1"/>
    <s v="Bosque quillay espinoso"/>
    <n v="2013"/>
    <n v="2015"/>
    <x v="1"/>
    <n v="17.736583315727433"/>
    <n v="0"/>
    <n v="0.62304000000000004"/>
    <n v="10.435919999999999"/>
    <n v="28.795543315727432"/>
    <n v="0.9"/>
    <n v="25.915988984154691"/>
    <n v="0.5"/>
    <n v="12.957994492077345"/>
    <n v="1.2957994492077345E-2"/>
    <n v="4.7512646470950264E-2"/>
    <n v="1.2957994492077344E-4"/>
    <n v="1.5549593390492815E-4"/>
    <n v="7.7747966952464067E-4"/>
    <n v="9.0705961444541408E-7"/>
    <n v="1.5679173335413585E-5"/>
    <n v="2.0732791187323753E-4"/>
    <n v="1.8141192288908283E-3"/>
    <n v="1.4253793941285078E-6"/>
    <n v="5.1517283816358919E-5"/>
    <n v="0.20732791187323751"/>
    <n v="1.8141192288908283"/>
    <n v="1.4253793941285077E-3"/>
    <n v="5.1517283816358922E-2"/>
    <n v="47.512646470950266"/>
    <n v="52.308400232468088"/>
  </r>
  <r>
    <n v="1.63"/>
    <s v="CL-1"/>
    <s v="Bosque quillay espinoso"/>
    <n v="2011"/>
    <n v="2013"/>
    <x v="3"/>
    <n v="24.500534580199758"/>
    <n v="0"/>
    <n v="0.86064000000000007"/>
    <n v="14.41572"/>
    <n v="39.776894580199759"/>
    <n v="0.9"/>
    <n v="35.799205122179785"/>
    <n v="0.5"/>
    <n v="17.899602561089893"/>
    <n v="1.7899602561089894E-2"/>
    <n v="6.5631876057329605E-2"/>
    <n v="1.7899602561089893E-4"/>
    <n v="2.1479523073307874E-4"/>
    <n v="1.0739761536653935E-3"/>
    <n v="1.2529721792762925E-6"/>
    <n v="2.1658519098918769E-5"/>
    <n v="2.863936409774383E-4"/>
    <n v="2.5059443585525852E-3"/>
    <n v="1.968956281719888E-6"/>
    <n v="7.1163705610733101E-5"/>
    <n v="0.2863936409774383"/>
    <n v="2.5059443585525853"/>
    <n v="1.9689562817198879E-3"/>
    <n v="7.1163705610733097E-2"/>
    <n v="65.631876057329606"/>
    <n v="72.256518965188974"/>
  </r>
  <r>
    <n v="2.36"/>
    <s v="LL-1"/>
    <s v="Plantación forestal"/>
    <n v="2013"/>
    <n v="2015"/>
    <x v="1"/>
    <n v="0"/>
    <n v="1363.3215307514188"/>
    <n v="1.2460800000000001"/>
    <n v="0"/>
    <n v="1364.5676107514187"/>
    <n v="0.9"/>
    <n v="1228.1108496762768"/>
    <n v="0.5"/>
    <n v="614.05542483813838"/>
    <n v="0.61405542483813835"/>
    <n v="2.2515365577398407"/>
    <n v="6.1405542483813835E-3"/>
    <n v="7.36866509805766E-3"/>
    <n v="3.6843325490288299E-2"/>
    <n v="4.2983879738669687E-5"/>
    <n v="7.4300706405414736E-4"/>
    <n v="9.8248867974102122E-3"/>
    <n v="8.5967759477339367E-2"/>
    <n v="6.7546096732195218E-5"/>
    <n v="2.441308924749341E-3"/>
    <n v="9.8248867974102119"/>
    <n v="85.967759477339371"/>
    <n v="6.7546096732195221E-2"/>
    <n v="2.4413089247493409"/>
    <n v="2251.5365577398406"/>
    <n v="2478.7984704724358"/>
  </r>
  <r>
    <n v="1.1200000000000001"/>
    <s v="CL-5"/>
    <s v="Bosque…"/>
    <n v="2013"/>
    <n v="2014"/>
    <x v="1"/>
    <n v="0"/>
    <n v="0"/>
    <n v="0"/>
    <n v="0"/>
    <n v="0"/>
    <n v="0.9"/>
    <n v="0"/>
    <n v="0.5"/>
    <n v="0"/>
    <n v="0"/>
    <n v="0"/>
    <n v="0"/>
    <n v="0"/>
    <n v="0"/>
    <n v="0"/>
    <n v="0"/>
    <n v="0"/>
    <n v="0"/>
    <n v="0"/>
    <n v="0"/>
    <n v="0"/>
    <n v="0"/>
    <n v="0"/>
    <n v="0"/>
    <n v="0"/>
    <n v="0"/>
  </r>
  <r>
    <n v="2"/>
    <s v="CA-4"/>
    <s v="Bosque quillay huingán"/>
    <n v="2012"/>
    <n v="2014"/>
    <x v="2"/>
    <n v="48.037496762829441"/>
    <n v="0"/>
    <n v="0"/>
    <n v="0"/>
    <n v="48.037496762829441"/>
    <n v="0.9"/>
    <n v="43.233747086546501"/>
    <n v="0.5"/>
    <n v="21.61687354327325"/>
    <n v="2.1616873543273251E-2"/>
    <n v="7.9261869658668591E-2"/>
    <n v="2.1616873543273252E-4"/>
    <n v="2.5940248251927903E-4"/>
    <n v="1.2970124125963949E-3"/>
    <n v="1.5131811480291275E-6"/>
    <n v="2.6156416987360634E-5"/>
    <n v="3.45869976692372E-4"/>
    <n v="3.0263622960582551E-3"/>
    <n v="2.3778560897600575E-6"/>
    <n v="8.5942512958470647E-5"/>
    <n v="0.34586997669237202"/>
    <n v="3.026362296058255"/>
    <n v="2.3778560897600573E-3"/>
    <n v="8.5942512958470649E-2"/>
    <n v="79.261869658668587"/>
    <n v="87.262274557034019"/>
  </r>
  <r>
    <n v="0.97"/>
    <s v="CA-4"/>
    <s v="Bosque quillay huingán"/>
    <n v="2011"/>
    <n v="2014"/>
    <x v="3"/>
    <n v="23.298185929972281"/>
    <n v="0"/>
    <n v="0"/>
    <n v="0"/>
    <n v="23.298185929972281"/>
    <n v="0.9"/>
    <n v="20.968367336975053"/>
    <n v="0.5"/>
    <n v="10.484183668487526"/>
    <n v="1.0484183668487527E-2"/>
    <n v="3.8442006784454266E-2"/>
    <n v="1.0484183668487527E-4"/>
    <n v="1.2581020402185032E-4"/>
    <n v="6.2905102010925155E-4"/>
    <n v="7.3389285679412685E-7"/>
    <n v="1.2685862238869907E-5"/>
    <n v="1.6774693869580043E-4"/>
    <n v="1.4677857135882537E-3"/>
    <n v="1.1532602035336278E-6"/>
    <n v="4.1682118784858264E-5"/>
    <n v="0.16774693869580043"/>
    <n v="1.4677857135882537"/>
    <n v="1.1532602035336278E-3"/>
    <n v="4.1682118784858266E-2"/>
    <n v="38.442006784454264"/>
    <n v="42.3222031601615"/>
  </r>
  <r>
    <n v="0.2"/>
    <s v="AU-10"/>
    <s v="Bosque esclerófilo"/>
    <n v="2012"/>
    <n v="2012"/>
    <x v="2"/>
    <n v="0.70924459540999685"/>
    <n v="0"/>
    <n v="0.10560000000000003"/>
    <n v="0"/>
    <n v="0.81484459540999687"/>
    <n v="0.9"/>
    <n v="0.73336013586899718"/>
    <n v="0.5"/>
    <n v="0.36668006793449859"/>
    <n v="3.6668006793449861E-4"/>
    <n v="1.3444935824264948E-3"/>
    <n v="3.6668006793449862E-6"/>
    <n v="4.400160815213983E-6"/>
    <n v="2.2000804076069917E-5"/>
    <n v="2.5667604755414904E-8"/>
    <n v="4.436828822007433E-7"/>
    <n v="5.8668810869519768E-6"/>
    <n v="5.133520951082981E-5"/>
    <n v="4.033480747279485E-8"/>
    <n v="1.4578151843738709E-6"/>
    <n v="5.8668810869519769E-3"/>
    <n v="5.1335209510829809E-2"/>
    <n v="4.0334807472794849E-5"/>
    <n v="1.4578151843738709E-3"/>
    <n v="1.3444935824264947"/>
    <n v="1.4802018755690527"/>
  </r>
  <r>
    <n v="0.51"/>
    <s v="AU-10"/>
    <s v="Bosque esclerófilo"/>
    <n v="2012"/>
    <n v="2014"/>
    <x v="2"/>
    <n v="1.8085737182954922"/>
    <n v="0"/>
    <n v="0.26928000000000002"/>
    <n v="0"/>
    <n v="2.0778537182954921"/>
    <n v="0.9"/>
    <n v="1.8700683464659429"/>
    <n v="0.5"/>
    <n v="0.93503417323297144"/>
    <n v="9.3503417323297143E-4"/>
    <n v="3.4284586351875615E-3"/>
    <n v="9.3503417323297138E-6"/>
    <n v="1.1220410078795658E-5"/>
    <n v="5.6102050393978283E-5"/>
    <n v="6.5452392126307993E-8"/>
    <n v="1.1313913496118953E-6"/>
    <n v="1.4960546771727543E-5"/>
    <n v="1.3090478425261599E-4"/>
    <n v="1.0285375905562684E-7"/>
    <n v="3.7174287201533699E-6"/>
    <n v="1.4960546771727543E-2"/>
    <n v="0.13090478425261598"/>
    <n v="1.0285375905562684E-4"/>
    <n v="3.7174287201533697E-3"/>
    <n v="3.4284586351875617"/>
    <n v="3.7745147827010843"/>
  </r>
  <r>
    <n v="0.51"/>
    <s v="CL-8"/>
    <s v="Bosque esclerófilo"/>
    <n v="2012"/>
    <n v="2014"/>
    <x v="2"/>
    <n v="0.83881146944112539"/>
    <n v="0"/>
    <n v="0.26928000000000002"/>
    <n v="0"/>
    <n v="1.1080914694411255"/>
    <n v="0.9"/>
    <n v="0.99728232249701299"/>
    <n v="0.5"/>
    <n v="0.49864116124850649"/>
    <n v="4.9864116124850649E-4"/>
    <n v="1.8283509245778571E-3"/>
    <n v="4.9864116124850649E-6"/>
    <n v="5.9836939349820782E-6"/>
    <n v="2.9918469674910387E-5"/>
    <n v="3.4904881287395452E-8"/>
    <n v="6.0335580511069281E-7"/>
    <n v="7.9782585799761031E-6"/>
    <n v="6.9809762574790906E-5"/>
    <n v="5.4850527737335713E-8"/>
    <n v="1.9824547882208477E-6"/>
    <n v="7.9782585799761038E-3"/>
    <n v="6.9809762574790907E-2"/>
    <n v="5.4850527737335716E-5"/>
    <n v="1.9824547882208478E-3"/>
    <n v="1.8283509245778571"/>
    <n v="2.0128980183559295"/>
  </r>
  <r>
    <n v="0.51"/>
    <s v="CL-1"/>
    <s v="Bosque quillay espinoso"/>
    <n v="2013"/>
    <n v="2015"/>
    <x v="1"/>
    <n v="7.6658114330686367"/>
    <n v="0"/>
    <n v="0.26928000000000002"/>
    <n v="4.51044"/>
    <n v="12.445531433068638"/>
    <n v="0.9"/>
    <n v="11.200978289761775"/>
    <n v="0.5"/>
    <n v="5.6004891448808873"/>
    <n v="5.600489144880887E-3"/>
    <n v="2.0535126864563252E-2"/>
    <n v="5.6004891448808869E-5"/>
    <n v="6.7205869738570651E-5"/>
    <n v="3.3602934869285319E-4"/>
    <n v="3.920342401416621E-7"/>
    <n v="6.776591865305873E-6"/>
    <n v="8.9607826318094201E-5"/>
    <n v="7.8406848028332414E-4"/>
    <n v="6.1605380593689758E-7"/>
    <n v="2.2265944700290723E-5"/>
    <n v="8.9607826318094205E-2"/>
    <n v="0.7840684802833241"/>
    <n v="6.160538059368976E-4"/>
    <n v="2.2265944700290724E-2"/>
    <n v="20.535126864563253"/>
    <n v="22.607867897083668"/>
  </r>
  <r>
    <n v="0.51"/>
    <s v="CA-7"/>
    <s v="Bosque de quillay-huingan"/>
    <n v="2013"/>
    <n v="2015"/>
    <x v="1"/>
    <n v="0"/>
    <n v="0"/>
    <n v="0"/>
    <n v="0"/>
    <n v="0"/>
    <n v="0.9"/>
    <n v="0"/>
    <n v="0.5"/>
    <n v="0"/>
    <n v="0"/>
    <n v="0"/>
    <n v="0"/>
    <n v="0"/>
    <n v="0"/>
    <n v="0"/>
    <n v="0"/>
    <n v="0"/>
    <n v="0"/>
    <n v="0"/>
    <n v="0"/>
    <n v="0"/>
    <n v="0"/>
    <n v="0"/>
    <n v="0"/>
    <n v="0"/>
    <n v="0"/>
  </r>
  <r>
    <n v="1.5"/>
    <s v="AU-8"/>
    <s v="Bosque esclerófilo"/>
    <n v="2013"/>
    <n v="2015"/>
    <x v="1"/>
    <n v="3.8098106267314504"/>
    <n v="0"/>
    <n v="0"/>
    <n v="0"/>
    <n v="3.8098106267314504"/>
    <n v="0.9"/>
    <n v="3.4288295640583053"/>
    <n v="0.5"/>
    <n v="1.7144147820291527"/>
    <n v="1.7144147820291526E-3"/>
    <n v="6.2861875341068928E-3"/>
    <n v="1.7144147820291527E-5"/>
    <n v="2.0572977384349831E-5"/>
    <n v="1.0286488692174915E-4"/>
    <n v="1.2000903474204069E-7"/>
    <n v="2.0744418862552747E-6"/>
    <n v="2.7430636512466439E-5"/>
    <n v="2.4001806948408135E-4"/>
    <n v="1.8858562602320678E-7"/>
    <n v="6.8160233405530448E-6"/>
    <n v="2.7430636512466439E-2"/>
    <n v="0.24001806948408136"/>
    <n v="1.8858562602320678E-4"/>
    <n v="6.816023340553045E-3"/>
    <n v="6.2861875341068929"/>
    <n v="6.9206924449358826"/>
  </r>
  <r>
    <n v="1.35"/>
    <s v="AU-7"/>
    <s v="Bosque poco denso"/>
    <n v="2013"/>
    <n v="2015"/>
    <x v="1"/>
    <n v="0"/>
    <n v="0"/>
    <n v="0"/>
    <n v="0"/>
    <n v="0"/>
    <n v="0.9"/>
    <n v="0"/>
    <n v="0.5"/>
    <n v="0"/>
    <n v="0"/>
    <n v="0"/>
    <n v="0"/>
    <n v="0"/>
    <n v="0"/>
    <n v="0"/>
    <n v="0"/>
    <n v="0"/>
    <n v="0"/>
    <n v="0"/>
    <n v="0"/>
    <n v="0"/>
    <n v="0"/>
    <n v="0"/>
    <n v="0"/>
    <n v="0"/>
    <n v="0"/>
  </r>
  <r>
    <n v="2.5"/>
    <s v="AU-14"/>
    <s v="Bosque esclerófilo"/>
    <n v="2012"/>
    <n v="2015"/>
    <x v="2"/>
    <n v="7.2002460816867506"/>
    <n v="0"/>
    <n v="1.32"/>
    <n v="0"/>
    <n v="8.52024608168675"/>
    <n v="0.9"/>
    <n v="7.6682214735180754"/>
    <n v="0.5"/>
    <n v="3.8341107367590377"/>
    <n v="3.8341107367590378E-3"/>
    <n v="1.4058406034783139E-2"/>
    <n v="3.8341107367590382E-5"/>
    <n v="4.6009328841108457E-5"/>
    <n v="2.3004664420554226E-4"/>
    <n v="2.683877515731327E-7"/>
    <n v="4.6392739914784364E-6"/>
    <n v="6.13457717881446E-5"/>
    <n v="5.3677550314626529E-4"/>
    <n v="4.2175218104349424E-7"/>
    <n v="1.5243328829143434E-5"/>
    <n v="6.1345771788144599E-2"/>
    <n v="0.53677550314626532"/>
    <n v="4.2175218104349423E-4"/>
    <n v="1.5243328829143433E-2"/>
    <n v="14.05840603478314"/>
    <n v="15.477410418457659"/>
  </r>
  <r>
    <n v="0.84"/>
    <s v="CL-1"/>
    <s v="Bosque quillay espinoso"/>
    <n v="2012"/>
    <n v="2014"/>
    <x v="2"/>
    <n v="12.626042360348341"/>
    <n v="0"/>
    <n v="0.44352000000000003"/>
    <n v="7.42896"/>
    <n v="20.498522360348339"/>
    <n v="0.9"/>
    <n v="18.448670124313505"/>
    <n v="0.5"/>
    <n v="9.2243350621567526"/>
    <n v="9.2243350621567521E-3"/>
    <n v="3.3822561894574756E-2"/>
    <n v="9.2243350621567524E-5"/>
    <n v="1.1069202074588102E-4"/>
    <n v="5.5346010372940514E-4"/>
    <n v="6.4570345435097271E-7"/>
    <n v="1.116144542520967E-5"/>
    <n v="1.4758936099450802E-4"/>
    <n v="1.2914069087019454E-3"/>
    <n v="1.0146768568372428E-6"/>
    <n v="3.667332068283177E-5"/>
    <n v="0.14758936099450803"/>
    <n v="1.2914069087019455"/>
    <n v="1.0146768568372428E-3"/>
    <n v="3.6673320682831773E-2"/>
    <n v="33.822561894574754"/>
    <n v="37.236488301078971"/>
  </r>
  <r>
    <n v="1.99"/>
    <s v="CA-1"/>
    <s v="Bosque de quillay-frangel"/>
    <n v="2013"/>
    <n v="2014"/>
    <x v="1"/>
    <n v="8.1475939811178011E-2"/>
    <n v="0"/>
    <n v="0"/>
    <n v="0"/>
    <n v="8.1475939811178011E-2"/>
    <n v="0.9"/>
    <n v="7.3328345830060218E-2"/>
    <n v="0.5"/>
    <n v="3.6664172915030109E-2"/>
    <n v="3.6664172915030107E-5"/>
    <n v="1.3443530068844373E-4"/>
    <n v="3.6664172915030105E-7"/>
    <n v="4.3997007498036127E-7"/>
    <n v="2.1998503749018064E-6"/>
    <n v="2.5664921040521073E-9"/>
    <n v="4.4363649227186429E-8"/>
    <n v="5.8662676664048166E-7"/>
    <n v="5.1329842081042157E-6"/>
    <n v="4.0330590206533113E-9"/>
    <n v="1.4576627603218397E-7"/>
    <n v="5.8662676664048171E-4"/>
    <n v="5.1329842081042154E-3"/>
    <n v="4.033059020653311E-6"/>
    <n v="1.4576627603218398E-4"/>
    <n v="0.13443530068844373"/>
    <n v="0.14800471108429636"/>
  </r>
  <r>
    <n v="0.28000000000000003"/>
    <s v="LL-1"/>
    <s v="Plantación forestal"/>
    <n v="2013"/>
    <n v="2015"/>
    <x v="1"/>
    <n v="0"/>
    <n v="161.75001212304974"/>
    <n v="0.14784000000000003"/>
    <n v="0"/>
    <n v="161.89785212304974"/>
    <n v="0.9"/>
    <n v="145.70806691074478"/>
    <n v="0.5"/>
    <n v="72.854033455372388"/>
    <n v="7.2854033455372391E-2"/>
    <n v="0.26713145600303206"/>
    <n v="7.2854033455372388E-4"/>
    <n v="8.7424840146446876E-4"/>
    <n v="4.3712420073223433E-3"/>
    <n v="5.0997823418760676E-6"/>
    <n v="8.8153380481000582E-5"/>
    <n v="1.1656645352859582E-3"/>
    <n v="1.0199564683752134E-2"/>
    <n v="8.0139436800909634E-6"/>
    <n v="2.8964682158043049E-4"/>
    <n v="1.1656645352859583"/>
    <n v="10.199564683752135"/>
    <n v="8.0139436800909635E-3"/>
    <n v="0.28964682158043048"/>
    <n v="267.13145600303204"/>
    <n v="294.09473378486535"/>
  </r>
  <r>
    <m/>
    <s v="AU-7"/>
    <s v="Bosque poco denso"/>
    <n v="2013"/>
    <n v="2015"/>
    <x v="1"/>
    <n v="0"/>
    <n v="0"/>
    <n v="0"/>
    <n v="0"/>
    <n v="0"/>
    <n v="0.9"/>
    <n v="0"/>
    <n v="0.5"/>
    <n v="0"/>
    <n v="0"/>
    <n v="0"/>
    <n v="0"/>
    <n v="0"/>
    <n v="0"/>
    <n v="0"/>
    <n v="0"/>
    <n v="0"/>
    <n v="0"/>
    <n v="0"/>
    <n v="0"/>
    <n v="0"/>
    <n v="0"/>
    <n v="0"/>
    <n v="0"/>
    <n v="0"/>
    <n v="0"/>
  </r>
  <r>
    <m/>
    <s v="AU-8"/>
    <s v="Bosque esclerófilo"/>
    <n v="2012"/>
    <n v="2015"/>
    <x v="2"/>
    <n v="0"/>
    <n v="0"/>
    <n v="0"/>
    <n v="0"/>
    <n v="0"/>
    <n v="0.9"/>
    <n v="0"/>
    <n v="0.5"/>
    <n v="0"/>
    <n v="0"/>
    <n v="0"/>
    <n v="0"/>
    <n v="0"/>
    <n v="0"/>
    <n v="0"/>
    <n v="0"/>
    <n v="0"/>
    <n v="0"/>
    <n v="0"/>
    <n v="0"/>
    <n v="0"/>
    <n v="0"/>
    <n v="0"/>
    <n v="0"/>
    <n v="0"/>
    <n v="0"/>
  </r>
  <r>
    <m/>
    <s v="CL-1"/>
    <s v="Bosque quillay espinoso"/>
    <n v="2012"/>
    <n v="2014"/>
    <x v="2"/>
    <n v="0"/>
    <n v="0"/>
    <n v="0"/>
    <n v="0"/>
    <n v="0"/>
    <n v="0.9"/>
    <n v="0"/>
    <n v="0.5"/>
    <n v="0"/>
    <n v="0"/>
    <n v="0"/>
    <n v="0"/>
    <n v="0"/>
    <n v="0"/>
    <n v="0"/>
    <n v="0"/>
    <n v="0"/>
    <n v="0"/>
    <n v="0"/>
    <n v="0"/>
    <n v="0"/>
    <n v="0"/>
    <n v="0"/>
    <n v="0"/>
    <n v="0"/>
    <n v="0"/>
  </r>
  <r>
    <n v="6"/>
    <s v="CA-1"/>
    <s v="Bosque quillay-frangel"/>
    <n v="2013"/>
    <n v="2014"/>
    <x v="1"/>
    <n v="0.24565609993320001"/>
    <n v="0"/>
    <n v="0"/>
    <n v="0"/>
    <n v="0.24565609993320001"/>
    <n v="0.9"/>
    <n v="0.22109048993988001"/>
    <n v="0.5"/>
    <n v="0.11054524496994"/>
    <n v="1.1054524496994001E-4"/>
    <n v="4.0533256488978008E-4"/>
    <n v="1.1054524496994002E-6"/>
    <n v="1.3265429396392801E-6"/>
    <n v="6.6327146981964005E-6"/>
    <n v="7.7381671478958021E-9"/>
    <n v="1.3375974641362742E-7"/>
    <n v="1.7687239195190399E-6"/>
    <n v="1.5476334295791602E-5"/>
    <n v="1.2159976946693403E-8"/>
    <n v="4.3949630964477582E-7"/>
    <n v="1.7687239195190399E-3"/>
    <n v="1.5476334295791603E-2"/>
    <n v="1.2159976946693404E-5"/>
    <n v="4.394963096447758E-4"/>
    <n v="0.40533256488978009"/>
    <n v="0.4462453600531549"/>
  </r>
  <r>
    <m/>
    <s v="CL-1"/>
    <s v="Bosque quillay espinoso"/>
    <n v="2013"/>
    <n v="2014"/>
    <x v="1"/>
    <n v="0"/>
    <n v="0"/>
    <n v="0"/>
    <n v="0"/>
    <n v="0"/>
    <n v="0.9"/>
    <n v="0"/>
    <n v="0.5"/>
    <n v="0"/>
    <n v="0"/>
    <n v="0"/>
    <n v="0"/>
    <n v="0"/>
    <n v="0"/>
    <n v="0"/>
    <n v="0"/>
    <n v="0"/>
    <n v="0"/>
    <n v="0"/>
    <n v="0"/>
    <n v="0"/>
    <n v="0"/>
    <n v="0"/>
    <n v="0"/>
    <n v="0"/>
    <n v="0"/>
  </r>
  <r>
    <n v="0.1"/>
    <s v="CA-4"/>
    <s v="Bosque de quillay-huingan"/>
    <n v="2013"/>
    <n v="2013"/>
    <x v="1"/>
    <n v="2.4018748381414725"/>
    <n v="0"/>
    <n v="0"/>
    <n v="0"/>
    <n v="2.4018748381414725"/>
    <n v="0.9"/>
    <n v="2.1616873543273254"/>
    <n v="0.5"/>
    <n v="1.0808436771636627"/>
    <n v="1.0808436771636628E-3"/>
    <n v="3.9630934829334302E-3"/>
    <n v="1.0808436771636628E-5"/>
    <n v="1.2970124125963954E-5"/>
    <n v="6.4850620629819757E-5"/>
    <n v="7.5659057401456398E-8"/>
    <n v="1.3078208493680319E-6"/>
    <n v="1.7293498834618603E-5"/>
    <n v="1.5131811480291279E-4"/>
    <n v="1.1889280448800291E-7"/>
    <n v="4.297125647923533E-6"/>
    <n v="1.7293498834618604E-2"/>
    <n v="0.1513181148029128"/>
    <n v="1.1889280448800291E-4"/>
    <n v="4.2971256479235331E-3"/>
    <n v="3.9630934829334303"/>
    <n v="4.3631137278517018"/>
  </r>
  <r>
    <n v="0.1"/>
    <s v="CA-4"/>
    <s v="Bosque de quillay-huingan"/>
    <n v="2013"/>
    <n v="2014"/>
    <x v="1"/>
    <n v="2.4018748381414725"/>
    <n v="0"/>
    <n v="0"/>
    <n v="0"/>
    <n v="2.4018748381414725"/>
    <n v="0.9"/>
    <n v="2.1616873543273254"/>
    <n v="0.5"/>
    <n v="1.0808436771636627"/>
    <n v="1.0808436771636628E-3"/>
    <n v="3.9630934829334302E-3"/>
    <n v="1.0808436771636628E-5"/>
    <n v="1.2970124125963954E-5"/>
    <n v="6.4850620629819757E-5"/>
    <n v="7.5659057401456398E-8"/>
    <n v="1.3078208493680319E-6"/>
    <n v="1.7293498834618603E-5"/>
    <n v="1.5131811480291279E-4"/>
    <n v="1.1889280448800291E-7"/>
    <n v="4.297125647923533E-6"/>
    <n v="1.7293498834618604E-2"/>
    <n v="0.1513181148029128"/>
    <n v="1.1889280448800291E-4"/>
    <n v="4.2971256479235331E-3"/>
    <n v="3.9630934829334303"/>
    <n v="4.3631137278517018"/>
  </r>
  <r>
    <n v="2.86"/>
    <s v="AU-14"/>
    <s v="Bosque esclerófilo"/>
    <n v="2012"/>
    <n v="2013"/>
    <x v="2"/>
    <n v="8.2370815174496421"/>
    <n v="0"/>
    <n v="1.5100799999999999"/>
    <n v="0"/>
    <n v="9.7471615174496424"/>
    <n v="0.9"/>
    <n v="8.7724453657046784"/>
    <n v="0.5"/>
    <n v="4.3862226828523392"/>
    <n v="4.3862226828523393E-3"/>
    <n v="1.6082816503791911E-2"/>
    <n v="4.3862226828523393E-5"/>
    <n v="5.2634672194228073E-5"/>
    <n v="2.6317336097114036E-4"/>
    <n v="3.0703558779966375E-7"/>
    <n v="5.3073294462513302E-6"/>
    <n v="7.0179562925637426E-5"/>
    <n v="6.140711755993275E-4"/>
    <n v="4.8248449511375728E-7"/>
    <n v="1.7438368180540083E-5"/>
    <n v="7.0179562925637429E-2"/>
    <n v="0.61407117559932756"/>
    <n v="4.8248449511375727E-4"/>
    <n v="1.7438368180540082E-2"/>
    <n v="16.082816503791911"/>
    <n v="17.70615751871556"/>
  </r>
  <r>
    <n v="0.63999999999999968"/>
    <s v="AU-11"/>
    <s v="Bosque esclerófilo"/>
    <n v="2012"/>
    <n v="2013"/>
    <x v="2"/>
    <n v="1.0325640228104167"/>
    <n v="0"/>
    <n v="0.33791999999999989"/>
    <n v="0"/>
    <n v="1.3704840228104165"/>
    <n v="0.9"/>
    <n v="1.2334356205293748"/>
    <n v="0.5"/>
    <n v="0.61671781026468742"/>
    <n v="6.167178102646874E-4"/>
    <n v="2.2612986376371871E-3"/>
    <n v="6.1671781026468744E-6"/>
    <n v="7.4006137231762488E-6"/>
    <n v="3.7003068615881245E-5"/>
    <n v="4.3170246718528124E-8"/>
    <n v="7.4622855042027177E-7"/>
    <n v="9.8674849642349983E-6"/>
    <n v="8.6340493437056246E-5"/>
    <n v="6.7838959129115627E-8"/>
    <n v="2.4518938085237499E-6"/>
    <n v="9.8674849642349984E-3"/>
    <n v="8.6340493437056243E-2"/>
    <n v="6.7838959129115631E-5"/>
    <n v="2.4518938085237498E-3"/>
    <n v="2.2612986376371871"/>
    <n v="2.4895458992161479"/>
  </r>
  <r>
    <n v="0.75"/>
    <s v="AU-10"/>
    <s v="Bosque esclerófilo"/>
    <n v="2012"/>
    <n v="2013"/>
    <x v="2"/>
    <n v="2.6596672327874882"/>
    <n v="0"/>
    <n v="0.39600000000000007"/>
    <n v="0"/>
    <n v="3.0556672327874881"/>
    <n v="0.9"/>
    <n v="2.7501005095087394"/>
    <n v="0.5"/>
    <n v="1.3750502547543697"/>
    <n v="1.3750502547543698E-3"/>
    <n v="5.0418509340993557E-3"/>
    <n v="1.3750502547543699E-5"/>
    <n v="1.6500603057052437E-5"/>
    <n v="8.2503015285262184E-5"/>
    <n v="9.6253517832805895E-8"/>
    <n v="1.6638108082527875E-6"/>
    <n v="2.2000804076069914E-5"/>
    <n v="1.9250703566561179E-4"/>
    <n v="1.5125552802298069E-7"/>
    <n v="5.4668069414020158E-6"/>
    <n v="2.2000804076069913E-2"/>
    <n v="0.19250703566561178"/>
    <n v="1.5125552802298069E-4"/>
    <n v="5.4668069414020156E-3"/>
    <n v="5.0418509340993554"/>
    <n v="5.5507570333839471"/>
  </r>
  <r>
    <n v="4.1219999999999999"/>
    <s v="AU-8"/>
    <s v="Bosque esclerófilo"/>
    <n v="2013"/>
    <n v="2014"/>
    <x v="1"/>
    <n v="10.469359602258026"/>
    <n v="0"/>
    <n v="0"/>
    <n v="0"/>
    <n v="10.469359602258026"/>
    <n v="0.9"/>
    <n v="9.4224236420322232"/>
    <n v="0.5"/>
    <n v="4.7112118210161116"/>
    <n v="4.7112118210161117E-3"/>
    <n v="1.7274443343725743E-2"/>
    <n v="4.7112118210161121E-5"/>
    <n v="5.6534541852193341E-5"/>
    <n v="2.8267270926096667E-4"/>
    <n v="3.2978482747112784E-7"/>
    <n v="5.7005663034294952E-6"/>
    <n v="7.5379389136257788E-5"/>
    <n v="6.5956965494225563E-4"/>
    <n v="5.1823330031177235E-7"/>
    <n v="1.873043213983977E-5"/>
    <n v="7.5379389136257788E-2"/>
    <n v="0.65956965494225561"/>
    <n v="5.182333003117723E-4"/>
    <n v="1.873043213983977E-2"/>
    <n v="17.274443343725743"/>
    <n v="19.018062838683807"/>
  </r>
  <r>
    <n v="0.1"/>
    <s v="CL-6"/>
    <s v="Bosque esclerófilo"/>
    <n v="2013"/>
    <n v="2014"/>
    <x v="1"/>
    <n v="1.4640960252352666"/>
    <n v="0"/>
    <n v="5.2800000000000014E-2"/>
    <n v="0.88440000000000007"/>
    <n v="2.4012960252352666"/>
    <n v="0.9"/>
    <n v="2.16116642271174"/>
    <n v="0.5"/>
    <n v="1.08058321135587"/>
    <n v="1.0805832113558701E-3"/>
    <n v="3.96213844163819E-3"/>
    <n v="1.08058321135587E-5"/>
    <n v="1.2966998536270441E-5"/>
    <n v="6.4834992681352208E-5"/>
    <n v="7.56408247949109E-8"/>
    <n v="1.3075056857406028E-6"/>
    <n v="1.7289331381693919E-5"/>
    <n v="1.5128164958982184E-4"/>
    <n v="1.188641532491457E-7"/>
    <n v="4.2960901102905519E-6"/>
    <n v="1.7289331381693918E-2"/>
    <n v="0.15128164958982185"/>
    <n v="1.1886415324914569E-4"/>
    <n v="4.2960901102905517E-3"/>
    <n v="3.96213844163819"/>
    <n v="4.3620622881609972"/>
  </r>
  <r>
    <n v="0.45"/>
    <s v="CL-8"/>
    <s v="Bosque esclarófilo"/>
    <n v="2011"/>
    <n v="2012"/>
    <x v="3"/>
    <n v="0.74012776715393425"/>
    <n v="0"/>
    <n v="0.23760000000000003"/>
    <n v="0"/>
    <n v="0.97772776715393428"/>
    <n v="0.9"/>
    <n v="0.87995499043854086"/>
    <n v="0.5"/>
    <n v="0.43997749521927043"/>
    <n v="4.3997749521927041E-4"/>
    <n v="1.6132508158039915E-3"/>
    <n v="4.3997749521927038E-6"/>
    <n v="5.2797299426312454E-6"/>
    <n v="2.6398649713156224E-5"/>
    <n v="3.0798424665348925E-8"/>
    <n v="5.3237276921531713E-7"/>
    <n v="7.0396399235083269E-6"/>
    <n v="6.1596849330697865E-5"/>
    <n v="4.8397524474119739E-8"/>
    <n v="1.749224813136042E-6"/>
    <n v="7.0396399235083265E-3"/>
    <n v="6.1596849330697867E-2"/>
    <n v="4.8397524474119737E-5"/>
    <n v="1.749224813136042E-3"/>
    <n v="1.6132508158039915"/>
    <n v="1.7760864867846435"/>
  </r>
</pivotCacheRecords>
</file>

<file path=xl/pivotCache/pivotCacheRecords2.xml><?xml version="1.0" encoding="utf-8"?>
<pivotCacheRecords xmlns="http://schemas.openxmlformats.org/spreadsheetml/2006/main" xmlns:r="http://schemas.openxmlformats.org/officeDocument/2006/relationships" count="90">
  <r>
    <x v="0"/>
    <x v="0"/>
    <s v="Instalación AAFF 1"/>
    <n v="19100"/>
    <s v="m2"/>
    <n v="0"/>
    <n v="1"/>
    <n v="0"/>
    <n v="0"/>
    <n v="0"/>
    <n v="0"/>
    <n v="1"/>
    <n v="1910"/>
    <m/>
    <m/>
    <m/>
    <x v="0"/>
    <x v="0"/>
    <s v="sam1"/>
    <n v="1910"/>
    <m/>
    <m/>
    <n v="1.2"/>
    <m/>
    <m/>
    <n v="9.5500000000000007"/>
    <n v="0"/>
    <n v="0"/>
    <n v="3290.8679589875455"/>
    <n v="0"/>
    <m/>
    <m/>
    <n v="0"/>
    <x v="0"/>
    <x v="0"/>
    <n v="0"/>
    <n v="1"/>
    <n v="0"/>
    <n v="0"/>
    <n v="0"/>
    <n v="0"/>
    <m/>
    <m/>
    <m/>
    <m/>
    <m/>
    <m/>
    <m/>
    <m/>
    <m/>
    <m/>
    <m/>
    <m/>
    <m/>
    <m/>
    <m/>
    <m/>
  </r>
  <r>
    <x v="0"/>
    <x v="0"/>
    <s v="Camino a Obras Sector Túnel Volcán  "/>
    <n v="7100"/>
    <s v="m"/>
    <n v="0"/>
    <n v="5"/>
    <n v="0"/>
    <n v="0"/>
    <n v="0"/>
    <n v="0"/>
    <n v="5"/>
    <m/>
    <n v="14000"/>
    <n v="120000"/>
    <n v="-42811"/>
    <x v="1"/>
    <x v="0"/>
    <s v="sam1"/>
    <n v="91189"/>
    <m/>
    <m/>
    <n v="1.2"/>
    <m/>
    <m/>
    <m/>
    <n v="1200"/>
    <n v="140"/>
    <n v="157115.68498016507"/>
    <n v="0"/>
    <m/>
    <m/>
    <n v="113.6"/>
    <x v="1"/>
    <x v="0"/>
    <n v="0"/>
    <n v="1"/>
    <n v="0"/>
    <n v="0"/>
    <n v="0"/>
    <n v="0"/>
    <n v="0"/>
    <n v="4"/>
    <n v="0"/>
    <n v="0"/>
    <n v="0"/>
    <n v="0"/>
    <m/>
    <m/>
    <m/>
    <m/>
    <m/>
    <m/>
    <m/>
    <m/>
    <m/>
    <m/>
  </r>
  <r>
    <x v="0"/>
    <x v="0"/>
    <s v="Habilitación SAM Nº1"/>
    <n v="18400"/>
    <s v="m2"/>
    <n v="0"/>
    <n v="1"/>
    <n v="0"/>
    <n v="0"/>
    <n v="0"/>
    <n v="0"/>
    <n v="1"/>
    <n v="3680"/>
    <m/>
    <m/>
    <m/>
    <x v="2"/>
    <x v="0"/>
    <s v="sam1"/>
    <n v="3680"/>
    <m/>
    <m/>
    <n v="0"/>
    <m/>
    <m/>
    <n v="9.1999999999999993"/>
    <n v="0"/>
    <n v="0"/>
    <n v="6340.5204654838572"/>
    <n v="0"/>
    <m/>
    <m/>
    <m/>
    <x v="2"/>
    <x v="0"/>
    <n v="0"/>
    <n v="1"/>
    <n v="0"/>
    <n v="0"/>
    <n v="0"/>
    <n v="0"/>
    <m/>
    <m/>
    <m/>
    <m/>
    <m/>
    <m/>
    <m/>
    <m/>
    <m/>
    <m/>
    <m/>
    <m/>
    <m/>
    <m/>
    <m/>
    <m/>
  </r>
  <r>
    <x v="0"/>
    <x v="1"/>
    <s v="Túnel (V1 aguas abajo)"/>
    <n v="4654.9114502067187"/>
    <s v="m"/>
    <n v="0"/>
    <n v="1"/>
    <n v="12"/>
    <n v="12"/>
    <n v="12"/>
    <n v="6"/>
    <n v="43"/>
    <m/>
    <m/>
    <m/>
    <m/>
    <x v="3"/>
    <x v="1"/>
    <s v="sam1"/>
    <n v="107765"/>
    <m/>
    <m/>
    <n v="0"/>
    <m/>
    <m/>
    <m/>
    <n v="0"/>
    <n v="0"/>
    <n v="0"/>
    <n v="280189"/>
    <n v="2104.78515625"/>
    <m/>
    <m/>
    <x v="2"/>
    <x v="0"/>
    <n v="0"/>
    <n v="1"/>
    <n v="0"/>
    <n v="0"/>
    <n v="0"/>
    <n v="0"/>
    <n v="0"/>
    <n v="0"/>
    <n v="12"/>
    <n v="12"/>
    <n v="12"/>
    <n v="6"/>
    <m/>
    <m/>
    <m/>
    <m/>
    <m/>
    <m/>
    <m/>
    <m/>
    <m/>
    <m/>
  </r>
  <r>
    <x v="0"/>
    <x v="1"/>
    <s v="Operación SAM Nº1"/>
    <n v="230000"/>
    <s v="m3"/>
    <n v="0"/>
    <n v="2"/>
    <n v="12"/>
    <n v="12"/>
    <n v="12"/>
    <n v="6"/>
    <n v="44"/>
    <m/>
    <m/>
    <m/>
    <n v="-248833"/>
    <x v="3"/>
    <x v="0"/>
    <m/>
    <m/>
    <m/>
    <m/>
    <m/>
    <m/>
    <m/>
    <m/>
    <n v="0"/>
    <n v="0"/>
    <n v="0"/>
    <n v="0"/>
    <m/>
    <m/>
    <n v="1592.5311999999999"/>
    <x v="2"/>
    <x v="0"/>
    <n v="0"/>
    <n v="1"/>
    <n v="0"/>
    <n v="0"/>
    <n v="0"/>
    <n v="0"/>
    <n v="0"/>
    <n v="1"/>
    <n v="12"/>
    <n v="12"/>
    <n v="12"/>
    <n v="6"/>
    <m/>
    <m/>
    <m/>
    <m/>
    <m/>
    <m/>
    <m/>
    <m/>
    <m/>
    <m/>
  </r>
  <r>
    <x v="0"/>
    <x v="2"/>
    <s v="Acueducto El Volcan (Incluye Tramo La Engorda -Colina Y Sifón Morado) "/>
    <n v="17200"/>
    <s v="m2"/>
    <n v="0"/>
    <n v="0"/>
    <n v="3"/>
    <n v="7"/>
    <n v="7"/>
    <n v="4"/>
    <n v="21"/>
    <n v="2640"/>
    <m/>
    <n v="44500"/>
    <n v="-17800"/>
    <x v="4"/>
    <x v="0"/>
    <s v="sam1"/>
    <n v="31150"/>
    <m/>
    <m/>
    <n v="2"/>
    <m/>
    <m/>
    <n v="8.6"/>
    <n v="445"/>
    <n v="0"/>
    <n v="53670.438179299497"/>
    <n v="0"/>
    <m/>
    <m/>
    <n v="20.64"/>
    <x v="3"/>
    <x v="0"/>
    <n v="0"/>
    <n v="0"/>
    <n v="1"/>
    <n v="0"/>
    <n v="0"/>
    <n v="0"/>
    <n v="0"/>
    <n v="0"/>
    <n v="2"/>
    <n v="7"/>
    <n v="7"/>
    <n v="4"/>
    <n v="0"/>
    <n v="0"/>
    <n v="0"/>
    <n v="0"/>
    <n v="0"/>
    <n v="0"/>
    <n v="0"/>
    <n v="8031.1284046692608"/>
    <n v="0"/>
    <n v="5789.1050583657589"/>
  </r>
  <r>
    <x v="0"/>
    <x v="2"/>
    <s v="Bocatomas (El morado, Colina, La Engorda, Las Placas)"/>
    <n v="4000"/>
    <s v="m2"/>
    <n v="0"/>
    <n v="0"/>
    <n v="3"/>
    <n v="7"/>
    <n v="7"/>
    <n v="4"/>
    <n v="21"/>
    <n v="220"/>
    <m/>
    <n v="5046"/>
    <n v="-1213"/>
    <x v="5"/>
    <x v="0"/>
    <s v="sam1"/>
    <n v="4339"/>
    <m/>
    <m/>
    <n v="2"/>
    <m/>
    <m/>
    <n v="2"/>
    <n v="50.46"/>
    <n v="0"/>
    <n v="7475.9560597104501"/>
    <n v="0"/>
    <m/>
    <m/>
    <n v="4.8"/>
    <x v="4"/>
    <x v="0"/>
    <n v="0"/>
    <n v="0"/>
    <n v="1"/>
    <n v="0"/>
    <n v="0"/>
    <n v="0"/>
    <n v="0"/>
    <n v="0"/>
    <n v="1"/>
    <n v="0"/>
    <n v="0"/>
    <n v="0"/>
    <n v="0"/>
    <n v="0"/>
    <n v="1"/>
    <n v="7"/>
    <n v="7"/>
    <n v="4"/>
    <n v="19"/>
    <n v="1867.704280155642"/>
    <n v="0"/>
    <n v="1346.3035019455253"/>
  </r>
  <r>
    <x v="0"/>
    <x v="2"/>
    <s v="Desarenador El Volcan "/>
    <n v="4500"/>
    <s v="m2"/>
    <n v="0"/>
    <n v="0"/>
    <n v="3"/>
    <n v="7"/>
    <n v="7"/>
    <n v="4"/>
    <n v="21"/>
    <n v="510"/>
    <m/>
    <n v="11000"/>
    <n v="-3300"/>
    <x v="6"/>
    <x v="0"/>
    <s v="sam1"/>
    <n v="8800"/>
    <m/>
    <m/>
    <n v="0.75"/>
    <m/>
    <m/>
    <n v="2.25"/>
    <n v="110"/>
    <n v="0"/>
    <n v="15162.114156591833"/>
    <n v="0"/>
    <m/>
    <m/>
    <n v="5.4"/>
    <x v="5"/>
    <x v="0"/>
    <n v="0"/>
    <n v="0"/>
    <n v="1"/>
    <n v="0"/>
    <n v="0"/>
    <n v="0"/>
    <n v="0"/>
    <n v="0"/>
    <n v="1"/>
    <n v="0"/>
    <n v="0"/>
    <n v="0"/>
    <n v="0"/>
    <n v="0"/>
    <n v="1"/>
    <n v="7"/>
    <n v="7"/>
    <n v="4"/>
    <n v="19"/>
    <n v="2101.1673151750974"/>
    <n v="0"/>
    <n v="1514.591439688716"/>
  </r>
  <r>
    <x v="0"/>
    <x v="2"/>
    <s v="Operación Planta de Hormigón"/>
    <n v="3000"/>
    <s v="m2"/>
    <n v="0"/>
    <n v="0"/>
    <n v="3"/>
    <n v="7"/>
    <n v="7"/>
    <n v="4"/>
    <n v="21"/>
    <m/>
    <m/>
    <m/>
    <m/>
    <x v="3"/>
    <x v="0"/>
    <m/>
    <m/>
    <m/>
    <m/>
    <m/>
    <m/>
    <m/>
    <m/>
    <m/>
    <m/>
    <m/>
    <m/>
    <m/>
    <m/>
    <m/>
    <x v="6"/>
    <x v="0"/>
    <m/>
    <m/>
    <m/>
    <m/>
    <m/>
    <m/>
    <m/>
    <m/>
    <m/>
    <m/>
    <m/>
    <m/>
    <m/>
    <m/>
    <m/>
    <m/>
    <m/>
    <m/>
    <m/>
    <m/>
    <m/>
    <m/>
  </r>
  <r>
    <x v="1"/>
    <x v="0"/>
    <s v="Instalación AAFF 2"/>
    <n v="21900"/>
    <s v="m2"/>
    <n v="0"/>
    <n v="3"/>
    <n v="1"/>
    <n v="0"/>
    <n v="0"/>
    <n v="0"/>
    <n v="4"/>
    <n v="2190"/>
    <m/>
    <m/>
    <m/>
    <x v="7"/>
    <x v="0"/>
    <s v="sam2"/>
    <n v="2190"/>
    <m/>
    <m/>
    <n v="0.5"/>
    <m/>
    <m/>
    <n v="10.95"/>
    <n v="0"/>
    <n v="0"/>
    <n v="3773.2988639700129"/>
    <n v="0"/>
    <m/>
    <m/>
    <m/>
    <x v="7"/>
    <x v="0"/>
    <n v="0"/>
    <n v="1"/>
    <n v="0"/>
    <n v="0"/>
    <n v="0"/>
    <n v="0"/>
    <m/>
    <m/>
    <m/>
    <m/>
    <m/>
    <m/>
    <m/>
    <m/>
    <m/>
    <m/>
    <m/>
    <m/>
    <m/>
    <m/>
    <m/>
    <m/>
  </r>
  <r>
    <x v="1"/>
    <x v="0"/>
    <s v=" Camino Acceso a VA4 (Entrada Túnel Alfalfal II)  "/>
    <n v="4200"/>
    <s v="m"/>
    <n v="0"/>
    <n v="3"/>
    <n v="0"/>
    <n v="0"/>
    <n v="0"/>
    <n v="0"/>
    <n v="3"/>
    <m/>
    <n v="10000"/>
    <n v="90000"/>
    <n v="-47900"/>
    <x v="8"/>
    <x v="0"/>
    <s v="sam4"/>
    <n v="52100"/>
    <m/>
    <m/>
    <n v="0"/>
    <m/>
    <m/>
    <m/>
    <n v="900"/>
    <n v="100"/>
    <n v="89766.607677094828"/>
    <n v="0"/>
    <m/>
    <m/>
    <n v="67.2"/>
    <x v="2"/>
    <x v="0"/>
    <n v="0"/>
    <n v="1"/>
    <n v="0"/>
    <n v="0"/>
    <n v="0"/>
    <n v="0"/>
    <n v="0"/>
    <n v="2"/>
    <n v="0"/>
    <n v="0"/>
    <n v="0"/>
    <n v="0"/>
    <m/>
    <m/>
    <m/>
    <m/>
    <m/>
    <m/>
    <m/>
    <m/>
    <m/>
    <m/>
  </r>
  <r>
    <x v="1"/>
    <x v="0"/>
    <s v="Habilitación SAM Nº2"/>
    <n v="29800"/>
    <s v="m2"/>
    <n v="0"/>
    <n v="1"/>
    <n v="0"/>
    <n v="0"/>
    <n v="0"/>
    <n v="0"/>
    <n v="1"/>
    <n v="5960"/>
    <m/>
    <m/>
    <m/>
    <x v="9"/>
    <x v="0"/>
    <s v="sam2"/>
    <n v="5960"/>
    <m/>
    <m/>
    <n v="0"/>
    <m/>
    <m/>
    <n v="14.9"/>
    <n v="0"/>
    <n v="0"/>
    <n v="10268.886406055379"/>
    <n v="0"/>
    <m/>
    <m/>
    <m/>
    <x v="2"/>
    <x v="0"/>
    <n v="0"/>
    <n v="1"/>
    <n v="0"/>
    <n v="0"/>
    <n v="0"/>
    <n v="0"/>
    <m/>
    <m/>
    <m/>
    <m/>
    <m/>
    <m/>
    <m/>
    <m/>
    <m/>
    <m/>
    <m/>
    <m/>
    <m/>
    <m/>
    <m/>
    <m/>
  </r>
  <r>
    <x v="1"/>
    <x v="0"/>
    <s v="Habilitación SAM Nº3"/>
    <n v="18100"/>
    <s v="m2"/>
    <n v="0"/>
    <n v="0"/>
    <n v="1"/>
    <n v="0"/>
    <n v="0"/>
    <n v="0"/>
    <n v="1"/>
    <n v="3620"/>
    <m/>
    <m/>
    <m/>
    <x v="10"/>
    <x v="0"/>
    <s v="sam3"/>
    <n v="3620"/>
    <m/>
    <m/>
    <n v="0"/>
    <m/>
    <m/>
    <n v="9.0500000000000007"/>
    <n v="0"/>
    <n v="0"/>
    <n v="6237.1424144161856"/>
    <n v="0"/>
    <m/>
    <m/>
    <m/>
    <x v="2"/>
    <x v="0"/>
    <n v="0"/>
    <n v="0"/>
    <n v="1"/>
    <n v="0"/>
    <n v="0"/>
    <n v="0"/>
    <m/>
    <m/>
    <m/>
    <m/>
    <m/>
    <m/>
    <m/>
    <m/>
    <m/>
    <m/>
    <m/>
    <m/>
    <m/>
    <m/>
    <m/>
    <m/>
  </r>
  <r>
    <x v="1"/>
    <x v="0"/>
    <s v="Habilitación SAM Nº4"/>
    <n v="22900"/>
    <s v="m2"/>
    <n v="0"/>
    <n v="1"/>
    <n v="0"/>
    <n v="0"/>
    <n v="0"/>
    <n v="0"/>
    <n v="1"/>
    <n v="4580"/>
    <m/>
    <m/>
    <m/>
    <x v="11"/>
    <x v="0"/>
    <s v="sam4"/>
    <n v="4580"/>
    <m/>
    <m/>
    <n v="0"/>
    <m/>
    <m/>
    <n v="11.45"/>
    <n v="0"/>
    <n v="0"/>
    <n v="7891.1912314989313"/>
    <n v="0"/>
    <m/>
    <m/>
    <m/>
    <x v="2"/>
    <x v="0"/>
    <n v="0"/>
    <n v="1"/>
    <n v="0"/>
    <n v="0"/>
    <n v="0"/>
    <n v="0"/>
    <m/>
    <m/>
    <m/>
    <m/>
    <m/>
    <m/>
    <m/>
    <m/>
    <m/>
    <m/>
    <m/>
    <m/>
    <m/>
    <m/>
    <m/>
    <m/>
  </r>
  <r>
    <x v="1"/>
    <x v="1"/>
    <s v="Túnel Volcán Minería (Desde V6 aguas arriba)"/>
    <n v="4200"/>
    <s v="m"/>
    <n v="0"/>
    <n v="0"/>
    <n v="0"/>
    <n v="0"/>
    <n v="10"/>
    <n v="3"/>
    <n v="13"/>
    <m/>
    <m/>
    <m/>
    <m/>
    <x v="3"/>
    <x v="2"/>
    <s v="sam2"/>
    <n v="53533.425321161507"/>
    <m/>
    <m/>
    <n v="0"/>
    <m/>
    <m/>
    <m/>
    <n v="0"/>
    <n v="0"/>
    <n v="0"/>
    <n v="139186.90583501992"/>
    <n v="1045.5747133039356"/>
    <m/>
    <m/>
    <x v="2"/>
    <x v="0"/>
    <m/>
    <m/>
    <m/>
    <m/>
    <m/>
    <m/>
    <n v="0"/>
    <n v="0"/>
    <n v="0"/>
    <n v="0"/>
    <n v="10"/>
    <n v="3"/>
    <m/>
    <m/>
    <m/>
    <m/>
    <m/>
    <m/>
    <m/>
    <m/>
    <m/>
    <m/>
  </r>
  <r>
    <x v="1"/>
    <x v="1"/>
    <s v="Túnel Volcán TBM "/>
    <n v="5145.0885497932804"/>
    <s v="m"/>
    <n v="0"/>
    <n v="0"/>
    <n v="7"/>
    <n v="12"/>
    <n v="2"/>
    <n v="0"/>
    <n v="21"/>
    <m/>
    <m/>
    <m/>
    <m/>
    <x v="3"/>
    <x v="3"/>
    <s v="sam2"/>
    <n v="65579.5746788385"/>
    <m/>
    <m/>
    <n v="6.8"/>
    <m/>
    <m/>
    <m/>
    <n v="0"/>
    <n v="0"/>
    <n v="0"/>
    <n v="170506.8941649801"/>
    <m/>
    <n v="170506.8941649801"/>
    <m/>
    <x v="8"/>
    <x v="0"/>
    <m/>
    <m/>
    <m/>
    <m/>
    <m/>
    <m/>
    <n v="0"/>
    <n v="0"/>
    <n v="7"/>
    <n v="12"/>
    <n v="2"/>
    <n v="0"/>
    <m/>
    <m/>
    <m/>
    <m/>
    <m/>
    <m/>
    <m/>
    <m/>
    <m/>
    <m/>
  </r>
  <r>
    <x v="1"/>
    <x v="1"/>
    <s v="Túnel Alfalfal TBM (VA4 a A10')"/>
    <n v="8400"/>
    <s v="m"/>
    <n v="0"/>
    <n v="2"/>
    <n v="12"/>
    <n v="12"/>
    <n v="12"/>
    <n v="4"/>
    <n v="42"/>
    <m/>
    <m/>
    <m/>
    <m/>
    <x v="3"/>
    <x v="4"/>
    <s v="sam4"/>
    <n v="150577"/>
    <m/>
    <m/>
    <n v="0"/>
    <m/>
    <m/>
    <m/>
    <n v="0"/>
    <n v="0"/>
    <n v="0"/>
    <n v="391500.2"/>
    <m/>
    <n v="391500.2"/>
    <m/>
    <x v="2"/>
    <x v="0"/>
    <m/>
    <m/>
    <m/>
    <m/>
    <m/>
    <m/>
    <n v="0"/>
    <n v="2"/>
    <n v="12"/>
    <n v="12"/>
    <n v="12"/>
    <n v="4"/>
    <m/>
    <m/>
    <m/>
    <m/>
    <m/>
    <m/>
    <m/>
    <m/>
    <m/>
    <m/>
  </r>
  <r>
    <x v="1"/>
    <x v="1"/>
    <s v="Sifón río Yeso"/>
    <n v="34000"/>
    <s v="m2"/>
    <n v="0"/>
    <n v="0"/>
    <n v="3"/>
    <n v="7"/>
    <n v="7"/>
    <n v="2"/>
    <n v="19"/>
    <n v="1980"/>
    <m/>
    <n v="95160"/>
    <n v="-67106"/>
    <x v="12"/>
    <x v="5"/>
    <s v="sam3"/>
    <n v="61570"/>
    <m/>
    <m/>
    <n v="1.3"/>
    <m/>
    <m/>
    <n v="17"/>
    <n v="951.6"/>
    <n v="0"/>
    <n v="64731.889643540359"/>
    <n v="62400"/>
    <n v="468.75"/>
    <m/>
    <n v="40.799999999999997"/>
    <x v="9"/>
    <x v="0"/>
    <n v="0"/>
    <n v="0"/>
    <n v="1"/>
    <n v="0"/>
    <n v="0"/>
    <n v="0"/>
    <n v="0"/>
    <n v="0"/>
    <n v="2"/>
    <n v="7"/>
    <n v="7"/>
    <n v="2"/>
    <m/>
    <m/>
    <m/>
    <m/>
    <m/>
    <m/>
    <m/>
    <n v="8282.5822168087707"/>
    <n v="0"/>
    <n v="3589.1189606171338"/>
  </r>
  <r>
    <x v="1"/>
    <x v="1"/>
    <s v="Operación SAM Nº2"/>
    <n v="240000"/>
    <s v="m3"/>
    <n v="0"/>
    <n v="0"/>
    <n v="7"/>
    <n v="12"/>
    <n v="12"/>
    <n v="3"/>
    <n v="34"/>
    <m/>
    <m/>
    <m/>
    <n v="-165324"/>
    <x v="3"/>
    <x v="0"/>
    <m/>
    <m/>
    <m/>
    <m/>
    <m/>
    <m/>
    <m/>
    <m/>
    <n v="0"/>
    <n v="0"/>
    <n v="0"/>
    <n v="0"/>
    <m/>
    <m/>
    <n v="1058.0736000000002"/>
    <x v="2"/>
    <x v="0"/>
    <m/>
    <m/>
    <m/>
    <m/>
    <m/>
    <m/>
    <n v="0"/>
    <n v="-1"/>
    <n v="7"/>
    <n v="12"/>
    <n v="12"/>
    <n v="3"/>
    <m/>
    <m/>
    <m/>
    <m/>
    <m/>
    <m/>
    <m/>
    <m/>
    <m/>
    <m/>
  </r>
  <r>
    <x v="1"/>
    <x v="1"/>
    <s v="Operación SAM Nº3"/>
    <n v="70000"/>
    <s v="m3"/>
    <n v="0"/>
    <n v="0"/>
    <n v="3"/>
    <n v="7"/>
    <n v="7"/>
    <n v="2"/>
    <n v="19"/>
    <m/>
    <m/>
    <m/>
    <n v="-65190"/>
    <x v="3"/>
    <x v="0"/>
    <m/>
    <m/>
    <m/>
    <m/>
    <m/>
    <m/>
    <m/>
    <m/>
    <n v="0"/>
    <n v="0"/>
    <n v="0"/>
    <n v="0"/>
    <m/>
    <m/>
    <n v="417.21600000000001"/>
    <x v="2"/>
    <x v="0"/>
    <m/>
    <m/>
    <m/>
    <m/>
    <m/>
    <m/>
    <n v="0"/>
    <n v="0"/>
    <n v="2"/>
    <n v="7"/>
    <n v="7"/>
    <n v="2"/>
    <m/>
    <m/>
    <m/>
    <m/>
    <m/>
    <m/>
    <m/>
    <m/>
    <m/>
    <m/>
  </r>
  <r>
    <x v="1"/>
    <x v="1"/>
    <s v="Operación SAM Nº4"/>
    <n v="275000"/>
    <s v="m3"/>
    <n v="0"/>
    <n v="2"/>
    <n v="12"/>
    <n v="12"/>
    <n v="12"/>
    <n v="4"/>
    <n v="42"/>
    <m/>
    <m/>
    <m/>
    <n v="-207257"/>
    <x v="3"/>
    <x v="0"/>
    <m/>
    <m/>
    <m/>
    <m/>
    <m/>
    <m/>
    <m/>
    <m/>
    <n v="0"/>
    <n v="0"/>
    <n v="0"/>
    <n v="0"/>
    <m/>
    <m/>
    <n v="1326.4448"/>
    <x v="2"/>
    <x v="0"/>
    <m/>
    <m/>
    <m/>
    <m/>
    <m/>
    <m/>
    <n v="0"/>
    <n v="1"/>
    <n v="12"/>
    <n v="12"/>
    <n v="12"/>
    <n v="4"/>
    <m/>
    <m/>
    <m/>
    <m/>
    <m/>
    <m/>
    <m/>
    <m/>
    <m/>
    <m/>
  </r>
  <r>
    <x v="1"/>
    <x v="2"/>
    <s v="Bocatoma El Yeso"/>
    <n v="6300"/>
    <s v="m2"/>
    <n v="0"/>
    <n v="0"/>
    <n v="3"/>
    <n v="7"/>
    <n v="7"/>
    <n v="0"/>
    <n v="17"/>
    <n v="630"/>
    <m/>
    <n v="20000"/>
    <n v="-8000"/>
    <x v="13"/>
    <x v="0"/>
    <s v="sam2"/>
    <n v="14000"/>
    <m/>
    <m/>
    <n v="2"/>
    <m/>
    <m/>
    <n v="3.15"/>
    <n v="200"/>
    <n v="0"/>
    <n v="24121.54524912337"/>
    <n v="0"/>
    <m/>
    <m/>
    <n v="7.56"/>
    <x v="10"/>
    <x v="0"/>
    <n v="0"/>
    <n v="0"/>
    <n v="1"/>
    <n v="0"/>
    <n v="0"/>
    <n v="0"/>
    <n v="0"/>
    <n v="0"/>
    <n v="1"/>
    <n v="0"/>
    <n v="0"/>
    <n v="0"/>
    <n v="0"/>
    <n v="0"/>
    <n v="1"/>
    <n v="7"/>
    <n v="7"/>
    <n v="0"/>
    <n v="15"/>
    <n v="1534.7137637028013"/>
    <n v="0"/>
    <n v="665.0426309378804"/>
  </r>
  <r>
    <x v="1"/>
    <x v="2"/>
    <s v="Puente Río Yeso"/>
    <n v="360"/>
    <s v="m2"/>
    <n v="0"/>
    <n v="5"/>
    <n v="0"/>
    <n v="0"/>
    <n v="0"/>
    <n v="0"/>
    <n v="5"/>
    <m/>
    <m/>
    <m/>
    <m/>
    <x v="3"/>
    <x v="0"/>
    <m/>
    <m/>
    <m/>
    <m/>
    <m/>
    <m/>
    <m/>
    <m/>
    <n v="0"/>
    <n v="0"/>
    <n v="0"/>
    <n v="0"/>
    <m/>
    <m/>
    <m/>
    <x v="2"/>
    <x v="0"/>
    <m/>
    <m/>
    <m/>
    <m/>
    <m/>
    <m/>
    <m/>
    <m/>
    <m/>
    <m/>
    <m/>
    <m/>
    <n v="0"/>
    <n v="5"/>
    <n v="0"/>
    <n v="0"/>
    <n v="0"/>
    <n v="0"/>
    <n v="5"/>
    <n v="87.69792935444579"/>
    <n v="0"/>
    <n v="38.002436053593186"/>
  </r>
  <r>
    <x v="1"/>
    <x v="2"/>
    <s v="Conducción Captación Río Yeso A Conducción El Volcán "/>
    <n v="8100.0000000000009"/>
    <s v="m2"/>
    <n v="0"/>
    <n v="0"/>
    <n v="3"/>
    <n v="7"/>
    <n v="7"/>
    <n v="0"/>
    <n v="17"/>
    <n v="810"/>
    <m/>
    <n v="43900"/>
    <n v="-26340"/>
    <x v="14"/>
    <x v="0"/>
    <s v="sam2"/>
    <n v="21950"/>
    <m/>
    <m/>
    <n v="1.2"/>
    <m/>
    <m/>
    <n v="4.0500000000000007"/>
    <n v="439"/>
    <n v="0"/>
    <n v="37819.137015589855"/>
    <n v="0"/>
    <m/>
    <m/>
    <n v="9.7200000000000024"/>
    <x v="11"/>
    <x v="0"/>
    <n v="0"/>
    <n v="0"/>
    <n v="1"/>
    <n v="0"/>
    <n v="0"/>
    <n v="0"/>
    <n v="0"/>
    <n v="0"/>
    <n v="2"/>
    <n v="7"/>
    <n v="7"/>
    <n v="0"/>
    <n v="0"/>
    <n v="0"/>
    <n v="0"/>
    <n v="0"/>
    <n v="0"/>
    <n v="0"/>
    <n v="0"/>
    <m/>
    <m/>
    <m/>
  </r>
  <r>
    <x v="1"/>
    <x v="2"/>
    <s v="Obras de descarga al Rio Yeso"/>
    <n v="8300"/>
    <s v="m2"/>
    <n v="0"/>
    <n v="0"/>
    <n v="3"/>
    <n v="7"/>
    <n v="7"/>
    <n v="0"/>
    <n v="17"/>
    <n v="200"/>
    <m/>
    <n v="3015"/>
    <n v="-1206"/>
    <x v="15"/>
    <x v="0"/>
    <s v="sam2"/>
    <n v="2111"/>
    <m/>
    <m/>
    <n v="1.8"/>
    <m/>
    <m/>
    <n v="4.1500000000000004"/>
    <n v="30.15"/>
    <n v="0"/>
    <n v="3637.1844300642456"/>
    <n v="0"/>
    <m/>
    <m/>
    <n v="9.9600000000000009"/>
    <x v="12"/>
    <x v="0"/>
    <n v="0"/>
    <n v="0"/>
    <n v="1"/>
    <n v="0"/>
    <n v="0"/>
    <n v="0"/>
    <n v="0"/>
    <n v="0"/>
    <n v="1"/>
    <n v="0"/>
    <n v="0"/>
    <n v="0"/>
    <n v="0"/>
    <n v="0"/>
    <n v="1"/>
    <n v="7"/>
    <n v="7"/>
    <n v="0"/>
    <n v="15"/>
    <n v="2021.9244823386116"/>
    <n v="0"/>
    <n v="876.1672756800649"/>
  </r>
  <r>
    <x v="1"/>
    <x v="2"/>
    <s v="Puente Manzanito"/>
    <n v="300"/>
    <s v="m2"/>
    <n v="0"/>
    <n v="3"/>
    <n v="0"/>
    <n v="0"/>
    <n v="0"/>
    <n v="0"/>
    <n v="3"/>
    <m/>
    <m/>
    <m/>
    <m/>
    <x v="3"/>
    <x v="0"/>
    <m/>
    <m/>
    <m/>
    <m/>
    <m/>
    <m/>
    <m/>
    <m/>
    <n v="0"/>
    <n v="0"/>
    <n v="0"/>
    <n v="0"/>
    <m/>
    <m/>
    <m/>
    <x v="2"/>
    <x v="0"/>
    <m/>
    <m/>
    <m/>
    <m/>
    <m/>
    <m/>
    <m/>
    <m/>
    <m/>
    <m/>
    <m/>
    <m/>
    <n v="0"/>
    <n v="3"/>
    <n v="0"/>
    <n v="0"/>
    <n v="0"/>
    <n v="0"/>
    <n v="3"/>
    <n v="73.081607795371497"/>
    <n v="0"/>
    <n v="31.668696711327641"/>
  </r>
  <r>
    <x v="1"/>
    <x v="2"/>
    <s v="Operación Planta de Hormigón"/>
    <n v="3000"/>
    <s v="m2"/>
    <n v="0"/>
    <n v="0"/>
    <n v="3"/>
    <n v="7"/>
    <n v="7"/>
    <n v="2"/>
    <n v="19"/>
    <m/>
    <m/>
    <m/>
    <m/>
    <x v="3"/>
    <x v="0"/>
    <m/>
    <m/>
    <m/>
    <m/>
    <m/>
    <m/>
    <m/>
    <m/>
    <m/>
    <m/>
    <m/>
    <m/>
    <m/>
    <m/>
    <m/>
    <x v="6"/>
    <x v="0"/>
    <m/>
    <m/>
    <m/>
    <m/>
    <m/>
    <m/>
    <m/>
    <m/>
    <m/>
    <m/>
    <m/>
    <m/>
    <m/>
    <m/>
    <m/>
    <m/>
    <m/>
    <m/>
    <m/>
    <m/>
    <m/>
    <m/>
  </r>
  <r>
    <x v="2"/>
    <x v="0"/>
    <s v=" Camino Acceso a VA2   (Aucayes Alto)  "/>
    <n v="6600"/>
    <s v="m"/>
    <n v="0"/>
    <n v="0"/>
    <n v="4"/>
    <n v="0"/>
    <n v="0"/>
    <n v="0"/>
    <n v="4"/>
    <m/>
    <n v="20000"/>
    <n v="145000"/>
    <n v="-12100"/>
    <x v="16"/>
    <x v="0"/>
    <s v="sam5,6"/>
    <n v="75761"/>
    <n v="77139"/>
    <m/>
    <n v="6.6"/>
    <n v="5.0999999999999996"/>
    <m/>
    <m/>
    <n v="1450"/>
    <n v="200"/>
    <n v="263441.7334707831"/>
    <n v="0"/>
    <m/>
    <m/>
    <n v="105.6"/>
    <x v="13"/>
    <x v="0"/>
    <n v="0"/>
    <n v="0"/>
    <n v="1"/>
    <n v="0"/>
    <n v="0"/>
    <n v="0"/>
    <n v="0"/>
    <n v="0"/>
    <n v="3"/>
    <n v="0"/>
    <n v="0"/>
    <n v="0"/>
    <m/>
    <m/>
    <m/>
    <m/>
    <m/>
    <m/>
    <m/>
    <m/>
    <m/>
    <m/>
  </r>
  <r>
    <x v="2"/>
    <x v="0"/>
    <s v="Habilitación SAM Nº5"/>
    <n v="24400"/>
    <s v="m2"/>
    <n v="0"/>
    <n v="0"/>
    <n v="1"/>
    <n v="0"/>
    <n v="0"/>
    <n v="0"/>
    <n v="1"/>
    <n v="4880"/>
    <m/>
    <m/>
    <m/>
    <x v="17"/>
    <x v="0"/>
    <s v="sam5"/>
    <n v="4880"/>
    <m/>
    <m/>
    <n v="0"/>
    <m/>
    <m/>
    <n v="12.2"/>
    <n v="0"/>
    <n v="0"/>
    <n v="8408.081486837289"/>
    <n v="0"/>
    <m/>
    <m/>
    <m/>
    <x v="2"/>
    <x v="0"/>
    <n v="0"/>
    <n v="0"/>
    <n v="1"/>
    <n v="0"/>
    <n v="0"/>
    <n v="0"/>
    <m/>
    <m/>
    <m/>
    <m/>
    <m/>
    <m/>
    <m/>
    <m/>
    <m/>
    <m/>
    <m/>
    <m/>
    <m/>
    <m/>
    <m/>
    <m/>
  </r>
  <r>
    <x v="2"/>
    <x v="0"/>
    <s v="Habilitación SAM Nº6"/>
    <n v="22400.000000000004"/>
    <s v="m2"/>
    <n v="0"/>
    <n v="1"/>
    <n v="0"/>
    <n v="0"/>
    <n v="0"/>
    <n v="0"/>
    <n v="1"/>
    <n v="4480.0000000000009"/>
    <m/>
    <m/>
    <m/>
    <x v="18"/>
    <x v="0"/>
    <s v="sam6"/>
    <n v="4480.0000000000009"/>
    <m/>
    <m/>
    <n v="0"/>
    <m/>
    <m/>
    <n v="11.200000000000001"/>
    <n v="0"/>
    <n v="0"/>
    <n v="7718.8944797194799"/>
    <n v="0"/>
    <m/>
    <m/>
    <m/>
    <x v="2"/>
    <x v="0"/>
    <n v="0"/>
    <n v="1"/>
    <n v="0"/>
    <n v="0"/>
    <n v="0"/>
    <n v="0"/>
    <m/>
    <m/>
    <m/>
    <m/>
    <m/>
    <m/>
    <m/>
    <m/>
    <m/>
    <m/>
    <m/>
    <m/>
    <m/>
    <m/>
    <m/>
    <m/>
  </r>
  <r>
    <x v="2"/>
    <x v="1"/>
    <s v="Túnel Alfalfal II Aducción TBM (VA2 a A10')"/>
    <n v="6600"/>
    <s v="m"/>
    <n v="0"/>
    <n v="0"/>
    <n v="7"/>
    <n v="12"/>
    <n v="10"/>
    <n v="0"/>
    <n v="29"/>
    <m/>
    <m/>
    <m/>
    <m/>
    <x v="3"/>
    <x v="6"/>
    <s v="sam5"/>
    <n v="273459"/>
    <m/>
    <m/>
    <n v="0"/>
    <m/>
    <m/>
    <m/>
    <n v="0"/>
    <n v="0"/>
    <n v="0"/>
    <n v="710993.4"/>
    <m/>
    <n v="710993.4"/>
    <m/>
    <x v="2"/>
    <x v="0"/>
    <m/>
    <m/>
    <m/>
    <m/>
    <m/>
    <m/>
    <n v="0"/>
    <n v="0"/>
    <n v="7"/>
    <n v="12"/>
    <n v="10"/>
    <n v="0"/>
    <m/>
    <m/>
    <m/>
    <m/>
    <m/>
    <m/>
    <m/>
    <m/>
    <m/>
    <m/>
  </r>
  <r>
    <x v="2"/>
    <x v="1"/>
    <s v="Operación SAM Nº5"/>
    <n v="620000"/>
    <s v="m3"/>
    <n v="0"/>
    <n v="0"/>
    <n v="7"/>
    <n v="12"/>
    <n v="10"/>
    <n v="0"/>
    <n v="29"/>
    <m/>
    <m/>
    <m/>
    <n v="-474151"/>
    <x v="3"/>
    <x v="0"/>
    <m/>
    <m/>
    <m/>
    <m/>
    <m/>
    <m/>
    <m/>
    <m/>
    <n v="0"/>
    <n v="0"/>
    <n v="0"/>
    <n v="0"/>
    <m/>
    <m/>
    <n v="3034.5663999999997"/>
    <x v="2"/>
    <x v="0"/>
    <m/>
    <m/>
    <m/>
    <m/>
    <m/>
    <m/>
    <n v="0"/>
    <n v="0"/>
    <n v="6"/>
    <n v="12"/>
    <n v="10"/>
    <n v="0"/>
    <m/>
    <m/>
    <m/>
    <m/>
    <m/>
    <m/>
    <m/>
    <m/>
    <m/>
    <m/>
  </r>
  <r>
    <x v="2"/>
    <x v="1"/>
    <s v="Operación SAM Nº6"/>
    <n v="176000"/>
    <s v="m3"/>
    <n v="0"/>
    <n v="0"/>
    <n v="4"/>
    <n v="0"/>
    <n v="0"/>
    <n v="0"/>
    <n v="4"/>
    <m/>
    <m/>
    <m/>
    <n v="-176000"/>
    <x v="3"/>
    <x v="0"/>
    <m/>
    <m/>
    <m/>
    <m/>
    <m/>
    <m/>
    <m/>
    <m/>
    <n v="0"/>
    <n v="0"/>
    <n v="0"/>
    <n v="0"/>
    <m/>
    <m/>
    <n v="1126.4000000000001"/>
    <x v="2"/>
    <x v="0"/>
    <m/>
    <m/>
    <m/>
    <m/>
    <m/>
    <m/>
    <n v="0"/>
    <n v="-1"/>
    <n v="4"/>
    <n v="0"/>
    <n v="0"/>
    <n v="0"/>
    <m/>
    <m/>
    <m/>
    <m/>
    <m/>
    <m/>
    <m/>
    <m/>
    <m/>
    <m/>
  </r>
  <r>
    <x v="2"/>
    <x v="2"/>
    <s v="Puente Aucayes"/>
    <n v="420"/>
    <s v="m2"/>
    <n v="0"/>
    <n v="3"/>
    <n v="0"/>
    <n v="0"/>
    <n v="0"/>
    <n v="0"/>
    <n v="3"/>
    <m/>
    <m/>
    <m/>
    <m/>
    <x v="3"/>
    <x v="0"/>
    <m/>
    <m/>
    <m/>
    <m/>
    <m/>
    <m/>
    <m/>
    <m/>
    <n v="0"/>
    <n v="0"/>
    <n v="0"/>
    <n v="0"/>
    <m/>
    <m/>
    <m/>
    <x v="2"/>
    <x v="0"/>
    <m/>
    <m/>
    <m/>
    <m/>
    <m/>
    <m/>
    <m/>
    <m/>
    <m/>
    <m/>
    <m/>
    <m/>
    <n v="0"/>
    <n v="3"/>
    <n v="0"/>
    <n v="0"/>
    <n v="0"/>
    <n v="0"/>
    <n v="3"/>
    <n v="56.05979711692472"/>
    <n v="28.02989855846236"/>
    <n v="8.6892685531233376"/>
  </r>
  <r>
    <x v="2"/>
    <x v="2"/>
    <s v="Operación Planta de Hormigón"/>
    <n v="3000"/>
    <s v="m2"/>
    <n v="0"/>
    <n v="0"/>
    <n v="7"/>
    <n v="12"/>
    <n v="10"/>
    <n v="0"/>
    <n v="29"/>
    <m/>
    <m/>
    <m/>
    <m/>
    <x v="3"/>
    <x v="0"/>
    <m/>
    <m/>
    <m/>
    <m/>
    <m/>
    <m/>
    <m/>
    <m/>
    <m/>
    <m/>
    <m/>
    <m/>
    <m/>
    <m/>
    <m/>
    <x v="6"/>
    <x v="0"/>
    <m/>
    <m/>
    <m/>
    <m/>
    <m/>
    <m/>
    <m/>
    <m/>
    <m/>
    <m/>
    <m/>
    <m/>
    <m/>
    <m/>
    <m/>
    <m/>
    <m/>
    <m/>
    <m/>
    <m/>
    <m/>
    <m/>
  </r>
  <r>
    <x v="3"/>
    <x v="0"/>
    <s v=" Camino Acceso a Deposito de Marina desde VA1  "/>
    <n v="3000"/>
    <s v="m"/>
    <n v="0"/>
    <n v="3"/>
    <n v="0"/>
    <n v="0"/>
    <n v="0"/>
    <n v="0"/>
    <n v="3"/>
    <m/>
    <n v="15000"/>
    <n v="35000"/>
    <n v="-1814"/>
    <x v="19"/>
    <x v="0"/>
    <s v="sam9"/>
    <n v="48186"/>
    <m/>
    <m/>
    <n v="3"/>
    <m/>
    <m/>
    <m/>
    <n v="350"/>
    <n v="150"/>
    <n v="83022.912812447059"/>
    <n v="0"/>
    <m/>
    <m/>
    <n v="48"/>
    <x v="14"/>
    <x v="0"/>
    <n v="0"/>
    <n v="1"/>
    <n v="0"/>
    <n v="0"/>
    <n v="0"/>
    <n v="0"/>
    <n v="0"/>
    <n v="2"/>
    <n v="0"/>
    <n v="0"/>
    <n v="0"/>
    <n v="0"/>
    <m/>
    <m/>
    <m/>
    <m/>
    <m/>
    <m/>
    <m/>
    <m/>
    <m/>
    <m/>
  </r>
  <r>
    <x v="3"/>
    <x v="0"/>
    <s v=" Camino Acceso Central Alfalfal II (VA1)  "/>
    <n v="1500"/>
    <s v="m"/>
    <n v="0"/>
    <n v="5"/>
    <n v="0"/>
    <n v="0"/>
    <n v="0"/>
    <n v="0"/>
    <n v="5"/>
    <m/>
    <n v="106000"/>
    <n v="155000"/>
    <n v="-25500"/>
    <x v="20"/>
    <x v="0"/>
    <s v="sam6,9"/>
    <n v="94381"/>
    <n v="141119"/>
    <m/>
    <n v="1.5"/>
    <n v="1.5"/>
    <m/>
    <m/>
    <n v="1550"/>
    <n v="1060"/>
    <n v="405758.85044061102"/>
    <n v="0"/>
    <m/>
    <m/>
    <n v="24"/>
    <x v="15"/>
    <x v="0"/>
    <n v="0"/>
    <n v="1"/>
    <n v="0"/>
    <n v="0"/>
    <n v="0"/>
    <n v="0"/>
    <n v="0"/>
    <n v="4"/>
    <n v="0"/>
    <n v="0"/>
    <n v="0"/>
    <n v="0"/>
    <m/>
    <m/>
    <m/>
    <m/>
    <m/>
    <m/>
    <m/>
    <m/>
    <m/>
    <m/>
  </r>
  <r>
    <x v="3"/>
    <x v="0"/>
    <s v=" Camino a Cámara de Carga Alfalfal II  "/>
    <n v="7600"/>
    <s v="m"/>
    <n v="0"/>
    <n v="0"/>
    <n v="7"/>
    <n v="0"/>
    <n v="0"/>
    <n v="0"/>
    <n v="7"/>
    <m/>
    <n v="25000"/>
    <n v="69691"/>
    <n v="-34000"/>
    <x v="21"/>
    <x v="0"/>
    <s v="sam5"/>
    <n v="60691"/>
    <m/>
    <m/>
    <n v="7.6"/>
    <m/>
    <m/>
    <m/>
    <n v="696.91"/>
    <n v="250"/>
    <n v="104568.6216224676"/>
    <n v="0"/>
    <m/>
    <m/>
    <n v="121.6"/>
    <x v="16"/>
    <x v="0"/>
    <n v="0"/>
    <n v="0"/>
    <n v="1"/>
    <n v="0"/>
    <n v="0"/>
    <n v="0"/>
    <n v="0"/>
    <n v="0"/>
    <n v="6"/>
    <n v="0"/>
    <n v="0"/>
    <n v="0"/>
    <m/>
    <m/>
    <m/>
    <m/>
    <m/>
    <m/>
    <m/>
    <m/>
    <m/>
    <m/>
  </r>
  <r>
    <x v="3"/>
    <x v="0"/>
    <s v="Habilitación SAM Nº9"/>
    <n v="55500"/>
    <s v="m2"/>
    <n v="0"/>
    <n v="1"/>
    <n v="0"/>
    <n v="0"/>
    <n v="0"/>
    <n v="0"/>
    <n v="1"/>
    <n v="11100"/>
    <m/>
    <m/>
    <m/>
    <x v="22"/>
    <x v="0"/>
    <s v="sam9"/>
    <n v="11100"/>
    <m/>
    <m/>
    <n v="0"/>
    <m/>
    <m/>
    <n v="27.75"/>
    <n v="0"/>
    <n v="0"/>
    <n v="19124.939447519246"/>
    <n v="0"/>
    <m/>
    <m/>
    <m/>
    <x v="2"/>
    <x v="0"/>
    <n v="0"/>
    <n v="1"/>
    <n v="0"/>
    <n v="0"/>
    <n v="0"/>
    <n v="0"/>
    <m/>
    <m/>
    <m/>
    <m/>
    <m/>
    <m/>
    <m/>
    <m/>
    <m/>
    <m/>
    <m/>
    <m/>
    <m/>
    <m/>
    <m/>
    <m/>
  </r>
  <r>
    <x v="3"/>
    <x v="1"/>
    <s v="Túnel Acceso Alfalfal II (VA1)"/>
    <n v="2400"/>
    <s v="m"/>
    <n v="0"/>
    <n v="2"/>
    <n v="12"/>
    <n v="6"/>
    <n v="0"/>
    <n v="0"/>
    <n v="20"/>
    <m/>
    <m/>
    <m/>
    <m/>
    <x v="3"/>
    <x v="7"/>
    <s v="sam9"/>
    <n v="80030.117647058825"/>
    <m/>
    <m/>
    <n v="3"/>
    <m/>
    <m/>
    <m/>
    <n v="0"/>
    <n v="0"/>
    <n v="0"/>
    <n v="208078.30588235296"/>
    <n v="1563.0882352941176"/>
    <m/>
    <m/>
    <x v="17"/>
    <x v="0"/>
    <m/>
    <m/>
    <m/>
    <m/>
    <m/>
    <m/>
    <n v="0"/>
    <n v="2"/>
    <n v="12"/>
    <n v="6"/>
    <n v="0"/>
    <n v="0"/>
    <m/>
    <m/>
    <m/>
    <m/>
    <m/>
    <m/>
    <m/>
    <m/>
    <m/>
    <m/>
  </r>
  <r>
    <x v="3"/>
    <x v="1"/>
    <s v="Caverna y Otros Alfalfal II "/>
    <n v="1500"/>
    <s v="m2"/>
    <n v="0"/>
    <n v="0"/>
    <n v="0"/>
    <n v="6"/>
    <n v="3"/>
    <n v="0"/>
    <n v="9"/>
    <m/>
    <m/>
    <m/>
    <m/>
    <x v="3"/>
    <x v="8"/>
    <s v="sam9"/>
    <n v="14160"/>
    <m/>
    <m/>
    <n v="14.2"/>
    <m/>
    <m/>
    <m/>
    <n v="0"/>
    <n v="0"/>
    <n v="0"/>
    <n v="36816"/>
    <n v="276.5625"/>
    <m/>
    <m/>
    <x v="18"/>
    <x v="0"/>
    <m/>
    <m/>
    <m/>
    <m/>
    <m/>
    <m/>
    <n v="0"/>
    <n v="0"/>
    <n v="0"/>
    <n v="6"/>
    <n v="3"/>
    <n v="0"/>
    <m/>
    <m/>
    <m/>
    <m/>
    <m/>
    <m/>
    <m/>
    <m/>
    <m/>
    <m/>
  </r>
  <r>
    <x v="3"/>
    <x v="1"/>
    <s v="Excavación Pique - Chimenea TBM"/>
    <n v="1000"/>
    <s v="m"/>
    <n v="0"/>
    <n v="0"/>
    <n v="0"/>
    <n v="5"/>
    <n v="10"/>
    <n v="0"/>
    <n v="15"/>
    <m/>
    <m/>
    <m/>
    <m/>
    <x v="3"/>
    <x v="9"/>
    <s v="sam9"/>
    <n v="33345.882352941175"/>
    <m/>
    <m/>
    <n v="0"/>
    <m/>
    <m/>
    <m/>
    <n v="0"/>
    <n v="0"/>
    <n v="0"/>
    <n v="86699.294117647063"/>
    <n v="651.28676470588232"/>
    <m/>
    <m/>
    <x v="2"/>
    <x v="0"/>
    <m/>
    <m/>
    <m/>
    <m/>
    <m/>
    <m/>
    <n v="0"/>
    <n v="0"/>
    <n v="0"/>
    <n v="5"/>
    <n v="10"/>
    <n v="0"/>
    <m/>
    <m/>
    <m/>
    <m/>
    <m/>
    <m/>
    <m/>
    <m/>
    <m/>
    <m/>
  </r>
  <r>
    <x v="3"/>
    <x v="1"/>
    <s v="Túnel Descarga Alfalfal II (Hasta L10')"/>
    <n v="3400"/>
    <s v="m"/>
    <n v="0"/>
    <n v="0"/>
    <n v="0"/>
    <n v="7"/>
    <n v="3"/>
    <n v="0"/>
    <n v="10"/>
    <m/>
    <m/>
    <m/>
    <m/>
    <x v="3"/>
    <x v="10"/>
    <s v="sam9"/>
    <n v="113376"/>
    <m/>
    <m/>
    <n v="10.5"/>
    <m/>
    <m/>
    <m/>
    <n v="0"/>
    <n v="0"/>
    <n v="0"/>
    <n v="294777.60000000003"/>
    <n v="2214.375"/>
    <m/>
    <m/>
    <x v="19"/>
    <x v="0"/>
    <m/>
    <m/>
    <m/>
    <m/>
    <m/>
    <m/>
    <n v="0"/>
    <n v="0"/>
    <n v="0"/>
    <n v="7"/>
    <n v="3"/>
    <n v="0"/>
    <m/>
    <m/>
    <m/>
    <m/>
    <m/>
    <m/>
    <m/>
    <m/>
    <m/>
    <m/>
  </r>
  <r>
    <x v="3"/>
    <x v="1"/>
    <s v="Cámara de Carga"/>
    <n v="73000"/>
    <s v="m2"/>
    <n v="0"/>
    <n v="0"/>
    <n v="0"/>
    <n v="3"/>
    <n v="2"/>
    <n v="0"/>
    <n v="5"/>
    <m/>
    <m/>
    <m/>
    <m/>
    <x v="3"/>
    <x v="11"/>
    <s v="sam5"/>
    <n v="59360"/>
    <m/>
    <m/>
    <n v="7.6"/>
    <m/>
    <m/>
    <m/>
    <n v="0"/>
    <n v="0"/>
    <n v="0"/>
    <n v="154336"/>
    <n v="1159.375"/>
    <m/>
    <m/>
    <x v="20"/>
    <x v="0"/>
    <m/>
    <m/>
    <m/>
    <m/>
    <m/>
    <m/>
    <n v="0"/>
    <n v="0"/>
    <n v="0"/>
    <n v="3"/>
    <n v="2"/>
    <n v="0"/>
    <m/>
    <m/>
    <m/>
    <m/>
    <m/>
    <m/>
    <m/>
    <n v="9743.7266417512019"/>
    <n v="4871.8633208756009"/>
    <n v="1510.2776294714358"/>
  </r>
  <r>
    <x v="3"/>
    <x v="1"/>
    <s v="Operación SAM Nº9"/>
    <n v="620000"/>
    <s v="m3"/>
    <n v="0"/>
    <n v="5"/>
    <n v="0"/>
    <n v="0"/>
    <n v="0"/>
    <n v="0"/>
    <n v="5"/>
    <m/>
    <m/>
    <m/>
    <n v="-620000"/>
    <x v="3"/>
    <x v="0"/>
    <m/>
    <m/>
    <m/>
    <m/>
    <m/>
    <m/>
    <m/>
    <m/>
    <n v="0"/>
    <n v="0"/>
    <n v="0"/>
    <n v="0"/>
    <m/>
    <m/>
    <n v="3968"/>
    <x v="2"/>
    <x v="0"/>
    <m/>
    <m/>
    <m/>
    <m/>
    <m/>
    <m/>
    <n v="0"/>
    <n v="4"/>
    <n v="0"/>
    <n v="0"/>
    <n v="0"/>
    <n v="0"/>
    <m/>
    <m/>
    <m/>
    <m/>
    <m/>
    <m/>
    <m/>
    <m/>
    <m/>
    <m/>
  </r>
  <r>
    <x v="3"/>
    <x v="1"/>
    <s v="Obras Civiles Caverna Alfalfal II"/>
    <n v="1500"/>
    <s v="m2"/>
    <n v="0"/>
    <n v="0"/>
    <n v="9"/>
    <n v="11"/>
    <n v="0"/>
    <n v="0"/>
    <n v="20"/>
    <m/>
    <m/>
    <m/>
    <m/>
    <x v="3"/>
    <x v="0"/>
    <m/>
    <m/>
    <m/>
    <m/>
    <m/>
    <m/>
    <m/>
    <m/>
    <n v="0"/>
    <n v="0"/>
    <n v="0"/>
    <n v="0"/>
    <m/>
    <m/>
    <m/>
    <x v="2"/>
    <x v="0"/>
    <m/>
    <m/>
    <m/>
    <m/>
    <m/>
    <m/>
    <m/>
    <m/>
    <m/>
    <m/>
    <m/>
    <m/>
    <m/>
    <m/>
    <m/>
    <m/>
    <m/>
    <m/>
    <m/>
    <n v="200.213561131874"/>
    <n v="100.106780565937"/>
    <n v="31.033101975440488"/>
  </r>
  <r>
    <x v="4"/>
    <x v="0"/>
    <s v="Instalación AAFF 7"/>
    <e v="#REF!"/>
    <s v="m2"/>
    <n v="0"/>
    <n v="0"/>
    <n v="1"/>
    <n v="0"/>
    <n v="0"/>
    <n v="0"/>
    <n v="1"/>
    <e v="#REF!"/>
    <m/>
    <m/>
    <m/>
    <x v="23"/>
    <x v="0"/>
    <s v="sam12"/>
    <e v="#REF!"/>
    <m/>
    <m/>
    <m/>
    <m/>
    <m/>
    <e v="#REF!"/>
    <n v="0"/>
    <n v="0"/>
    <e v="#REF!"/>
    <n v="0"/>
    <m/>
    <m/>
    <m/>
    <x v="21"/>
    <x v="0"/>
    <n v="0"/>
    <n v="0"/>
    <n v="1"/>
    <n v="0"/>
    <n v="0"/>
    <n v="0"/>
    <m/>
    <m/>
    <m/>
    <m/>
    <m/>
    <m/>
    <m/>
    <m/>
    <m/>
    <m/>
    <m/>
    <m/>
    <m/>
    <m/>
    <m/>
    <m/>
  </r>
  <r>
    <x v="4"/>
    <x v="0"/>
    <s v=" Camino Acceso a Central Las Lajas  "/>
    <n v="500"/>
    <s v="m"/>
    <n v="2"/>
    <n v="1"/>
    <n v="0"/>
    <n v="0"/>
    <n v="0"/>
    <n v="0"/>
    <n v="3"/>
    <m/>
    <n v="0"/>
    <n v="12000"/>
    <n v="-3800"/>
    <x v="24"/>
    <x v="0"/>
    <s v="sam7,9"/>
    <n v="5160"/>
    <n v="3040"/>
    <m/>
    <n v="8.9"/>
    <n v="6.7"/>
    <m/>
    <m/>
    <n v="120"/>
    <n v="0"/>
    <n v="14128.333645915118"/>
    <n v="0"/>
    <m/>
    <m/>
    <n v="8"/>
    <x v="6"/>
    <x v="1"/>
    <n v="1"/>
    <n v="0"/>
    <n v="0"/>
    <n v="0"/>
    <n v="0"/>
    <n v="0"/>
    <n v="1"/>
    <n v="1"/>
    <n v="0"/>
    <n v="0"/>
    <n v="0"/>
    <n v="0"/>
    <m/>
    <m/>
    <m/>
    <m/>
    <m/>
    <m/>
    <m/>
    <m/>
    <m/>
    <m/>
  </r>
  <r>
    <x v="4"/>
    <x v="0"/>
    <s v=" Camino Acceso a VL5  "/>
    <n v="300"/>
    <s v="m"/>
    <n v="0"/>
    <n v="0"/>
    <n v="1"/>
    <n v="0"/>
    <n v="0"/>
    <n v="0"/>
    <n v="1"/>
    <m/>
    <n v="140"/>
    <n v="13050"/>
    <n v="-1490"/>
    <x v="25"/>
    <x v="0"/>
    <s v="sam11"/>
    <n v="11700"/>
    <m/>
    <m/>
    <n v="0.5"/>
    <m/>
    <m/>
    <m/>
    <n v="130.5"/>
    <n v="1.4"/>
    <n v="20158.719958195961"/>
    <n v="0"/>
    <m/>
    <m/>
    <n v="4.8"/>
    <x v="22"/>
    <x v="0"/>
    <n v="0"/>
    <n v="0"/>
    <n v="1"/>
    <n v="0"/>
    <n v="0"/>
    <n v="0"/>
    <n v="0"/>
    <n v="0"/>
    <n v="0"/>
    <n v="0"/>
    <n v="0"/>
    <n v="0"/>
    <m/>
    <m/>
    <m/>
    <m/>
    <m/>
    <m/>
    <m/>
    <m/>
    <m/>
    <m/>
  </r>
  <r>
    <x v="4"/>
    <x v="0"/>
    <s v="Habilitación SAM Nº7"/>
    <n v="21200"/>
    <s v="m2"/>
    <n v="0"/>
    <n v="0"/>
    <n v="1"/>
    <n v="0"/>
    <n v="0"/>
    <n v="0"/>
    <n v="1"/>
    <n v="4240"/>
    <m/>
    <m/>
    <m/>
    <x v="26"/>
    <x v="0"/>
    <s v="sam7"/>
    <n v="4240"/>
    <m/>
    <m/>
    <n v="0"/>
    <m/>
    <m/>
    <n v="10.6"/>
    <n v="0"/>
    <n v="0"/>
    <n v="7305.3822754487928"/>
    <n v="0"/>
    <m/>
    <m/>
    <m/>
    <x v="2"/>
    <x v="0"/>
    <n v="0"/>
    <n v="0"/>
    <n v="1"/>
    <n v="0"/>
    <n v="0"/>
    <n v="0"/>
    <m/>
    <m/>
    <m/>
    <m/>
    <m/>
    <m/>
    <m/>
    <m/>
    <m/>
    <m/>
    <m/>
    <m/>
    <m/>
    <m/>
    <m/>
    <m/>
  </r>
  <r>
    <x v="4"/>
    <x v="0"/>
    <s v="Habilitación SAM Nº8"/>
    <n v="30900"/>
    <s v="m2"/>
    <n v="0"/>
    <n v="1"/>
    <n v="0"/>
    <n v="0"/>
    <n v="0"/>
    <n v="0"/>
    <n v="1"/>
    <n v="6180"/>
    <m/>
    <m/>
    <m/>
    <x v="27"/>
    <x v="0"/>
    <s v="sam8"/>
    <n v="6180"/>
    <m/>
    <m/>
    <n v="0"/>
    <m/>
    <m/>
    <n v="15.45"/>
    <n v="0"/>
    <n v="0"/>
    <n v="10647.939259970173"/>
    <n v="0"/>
    <m/>
    <m/>
    <m/>
    <x v="2"/>
    <x v="0"/>
    <n v="0"/>
    <n v="1"/>
    <n v="0"/>
    <n v="0"/>
    <n v="0"/>
    <n v="0"/>
    <m/>
    <m/>
    <m/>
    <m/>
    <m/>
    <m/>
    <m/>
    <m/>
    <m/>
    <m/>
    <m/>
    <m/>
    <m/>
    <m/>
    <m/>
    <m/>
  </r>
  <r>
    <x v="4"/>
    <x v="0"/>
    <s v="Habilitación SAM Nº10"/>
    <n v="11700"/>
    <s v="m2"/>
    <n v="0"/>
    <n v="0"/>
    <n v="1"/>
    <n v="0"/>
    <n v="0"/>
    <n v="0"/>
    <n v="1"/>
    <n v="2340"/>
    <m/>
    <m/>
    <m/>
    <x v="28"/>
    <x v="0"/>
    <s v="sam10"/>
    <n v="2340"/>
    <m/>
    <m/>
    <n v="0"/>
    <m/>
    <m/>
    <n v="5.85"/>
    <n v="0"/>
    <n v="0"/>
    <n v="4031.7439916391922"/>
    <n v="0"/>
    <m/>
    <m/>
    <m/>
    <x v="2"/>
    <x v="0"/>
    <n v="0"/>
    <n v="0"/>
    <n v="1"/>
    <n v="0"/>
    <n v="0"/>
    <n v="0"/>
    <m/>
    <m/>
    <m/>
    <m/>
    <m/>
    <m/>
    <m/>
    <m/>
    <m/>
    <m/>
    <m/>
    <m/>
    <m/>
    <m/>
    <m/>
    <m/>
  </r>
  <r>
    <x v="4"/>
    <x v="0"/>
    <s v="Habilitación SAM Nº11"/>
    <n v="16300"/>
    <s v="m2"/>
    <n v="1"/>
    <n v="0"/>
    <n v="0"/>
    <n v="0"/>
    <n v="0"/>
    <n v="0"/>
    <n v="1"/>
    <n v="3260"/>
    <m/>
    <m/>
    <m/>
    <x v="29"/>
    <x v="0"/>
    <s v="sam11"/>
    <n v="3260"/>
    <m/>
    <m/>
    <n v="0"/>
    <m/>
    <m/>
    <n v="8.15"/>
    <n v="0"/>
    <n v="0"/>
    <n v="5616.8741080101563"/>
    <n v="0"/>
    <m/>
    <m/>
    <m/>
    <x v="2"/>
    <x v="0"/>
    <n v="1"/>
    <n v="0"/>
    <n v="0"/>
    <n v="0"/>
    <n v="0"/>
    <n v="0"/>
    <m/>
    <m/>
    <m/>
    <m/>
    <m/>
    <m/>
    <m/>
    <m/>
    <m/>
    <m/>
    <m/>
    <m/>
    <m/>
    <m/>
    <m/>
    <m/>
  </r>
  <r>
    <x v="4"/>
    <x v="0"/>
    <s v="Habilitación SAM Nº13"/>
    <n v="11200"/>
    <s v="m2"/>
    <n v="0"/>
    <n v="0"/>
    <n v="1"/>
    <n v="0"/>
    <n v="0"/>
    <n v="0"/>
    <n v="1"/>
    <n v="2240"/>
    <m/>
    <m/>
    <m/>
    <x v="30"/>
    <x v="0"/>
    <s v="sam13"/>
    <n v="2240"/>
    <m/>
    <m/>
    <n v="0"/>
    <m/>
    <m/>
    <n v="5.6"/>
    <n v="0"/>
    <n v="0"/>
    <n v="3859.4472398597395"/>
    <n v="0"/>
    <m/>
    <m/>
    <m/>
    <x v="2"/>
    <x v="0"/>
    <n v="0"/>
    <n v="0"/>
    <n v="1"/>
    <n v="0"/>
    <n v="0"/>
    <n v="0"/>
    <m/>
    <m/>
    <m/>
    <m/>
    <m/>
    <m/>
    <m/>
    <m/>
    <m/>
    <m/>
    <m/>
    <m/>
    <m/>
    <m/>
    <m/>
    <m/>
  </r>
  <r>
    <x v="4"/>
    <x v="0"/>
    <s v="Habilitación SAM Nº14"/>
    <n v="29700"/>
    <s v="m2"/>
    <n v="1"/>
    <n v="0"/>
    <n v="1"/>
    <n v="0"/>
    <n v="0"/>
    <n v="0"/>
    <n v="2"/>
    <n v="5940"/>
    <m/>
    <m/>
    <m/>
    <x v="31"/>
    <x v="0"/>
    <s v="sam14"/>
    <n v="5940"/>
    <m/>
    <m/>
    <n v="0"/>
    <m/>
    <m/>
    <n v="14.85"/>
    <n v="0"/>
    <n v="0"/>
    <n v="10234.427055699487"/>
    <n v="0"/>
    <m/>
    <m/>
    <m/>
    <x v="2"/>
    <x v="0"/>
    <n v="1"/>
    <n v="0"/>
    <n v="0"/>
    <n v="0"/>
    <n v="0"/>
    <n v="0"/>
    <m/>
    <m/>
    <m/>
    <m/>
    <m/>
    <m/>
    <m/>
    <m/>
    <m/>
    <m/>
    <m/>
    <m/>
    <m/>
    <m/>
    <m/>
    <m/>
  </r>
  <r>
    <x v="4"/>
    <x v="0"/>
    <s v="Habilitación SAM Nº12"/>
    <n v="23600"/>
    <s v="m2"/>
    <n v="0"/>
    <n v="0"/>
    <n v="1"/>
    <n v="0"/>
    <n v="0"/>
    <n v="0"/>
    <n v="1"/>
    <n v="4720"/>
    <m/>
    <m/>
    <m/>
    <x v="32"/>
    <x v="0"/>
    <s v="sam12"/>
    <n v="4720"/>
    <m/>
    <m/>
    <n v="0"/>
    <m/>
    <m/>
    <n v="11.8"/>
    <n v="0"/>
    <n v="0"/>
    <n v="8132.4066839901652"/>
    <n v="0"/>
    <m/>
    <m/>
    <m/>
    <x v="2"/>
    <x v="0"/>
    <n v="0"/>
    <n v="0"/>
    <n v="1"/>
    <n v="0"/>
    <n v="0"/>
    <n v="0"/>
    <m/>
    <m/>
    <m/>
    <m/>
    <m/>
    <m/>
    <m/>
    <m/>
    <m/>
    <m/>
    <m/>
    <m/>
    <m/>
    <m/>
    <m/>
    <m/>
  </r>
  <r>
    <x v="4"/>
    <x v="1"/>
    <s v="Ventana El 300 (VL7 - L12)"/>
    <n v="300"/>
    <s v="m"/>
    <n v="0"/>
    <n v="1"/>
    <n v="1"/>
    <n v="0"/>
    <n v="0"/>
    <n v="0"/>
    <n v="2"/>
    <m/>
    <m/>
    <m/>
    <m/>
    <x v="3"/>
    <x v="12"/>
    <s v="sam7"/>
    <n v="5298.0633410966493"/>
    <m/>
    <m/>
    <n v="0"/>
    <m/>
    <m/>
    <m/>
    <n v="0"/>
    <n v="0"/>
    <n v="0"/>
    <n v="13774.964686851288"/>
    <n v="103.47779963079392"/>
    <m/>
    <m/>
    <x v="2"/>
    <x v="0"/>
    <m/>
    <m/>
    <m/>
    <m/>
    <m/>
    <m/>
    <n v="0"/>
    <n v="1"/>
    <n v="1"/>
    <n v="0"/>
    <n v="0"/>
    <n v="0"/>
    <m/>
    <m/>
    <m/>
    <m/>
    <m/>
    <m/>
    <m/>
    <m/>
    <m/>
    <m/>
  </r>
  <r>
    <x v="4"/>
    <x v="1"/>
    <s v="Ventana El 300, Frentes Auxiliares (L12 a VL8)"/>
    <n v="1710"/>
    <s v="m"/>
    <n v="0"/>
    <n v="0"/>
    <n v="10"/>
    <n v="1"/>
    <n v="0"/>
    <n v="0"/>
    <n v="11"/>
    <m/>
    <m/>
    <m/>
    <m/>
    <x v="3"/>
    <x v="13"/>
    <s v="sam7"/>
    <n v="30198.961044250904"/>
    <m/>
    <m/>
    <n v="8.9"/>
    <m/>
    <m/>
    <m/>
    <n v="0"/>
    <n v="0"/>
    <n v="0"/>
    <n v="78517.298715052355"/>
    <n v="589.82345789552539"/>
    <m/>
    <m/>
    <x v="6"/>
    <x v="2"/>
    <m/>
    <m/>
    <m/>
    <m/>
    <m/>
    <m/>
    <n v="0"/>
    <n v="0"/>
    <n v="10"/>
    <n v="1"/>
    <n v="0"/>
    <n v="0"/>
    <m/>
    <m/>
    <m/>
    <m/>
    <m/>
    <m/>
    <m/>
    <m/>
    <m/>
    <m/>
  </r>
  <r>
    <x v="4"/>
    <x v="1"/>
    <s v="Ventana El 300, Frente Principal (L12 a L10 + 601m.)"/>
    <n v="4864.21"/>
    <s v="m"/>
    <n v="0"/>
    <n v="0"/>
    <n v="11"/>
    <n v="12"/>
    <n v="1"/>
    <n v="0"/>
    <n v="24"/>
    <m/>
    <m/>
    <m/>
    <m/>
    <x v="3"/>
    <x v="14"/>
    <s v="sam7"/>
    <n v="85902.975614652445"/>
    <m/>
    <m/>
    <n v="8.9"/>
    <m/>
    <m/>
    <m/>
    <n v="0"/>
    <n v="0"/>
    <n v="0"/>
    <n v="223347.73659809635"/>
    <n v="1677.7924924736806"/>
    <m/>
    <m/>
    <x v="6"/>
    <x v="3"/>
    <m/>
    <m/>
    <m/>
    <m/>
    <m/>
    <m/>
    <n v="0"/>
    <n v="0"/>
    <n v="11"/>
    <n v="12"/>
    <n v="1"/>
    <n v="0"/>
    <m/>
    <m/>
    <m/>
    <m/>
    <m/>
    <m/>
    <m/>
    <m/>
    <m/>
    <m/>
  </r>
  <r>
    <x v="4"/>
    <x v="1"/>
    <s v="L10 a Alfalfal II"/>
    <n v="3391.817"/>
    <s v="m"/>
    <n v="0"/>
    <n v="0"/>
    <n v="9"/>
    <n v="10"/>
    <n v="0"/>
    <n v="0"/>
    <n v="19"/>
    <m/>
    <m/>
    <m/>
    <m/>
    <x v="3"/>
    <x v="15"/>
    <s v="sam9"/>
    <n v="175643"/>
    <m/>
    <m/>
    <n v="10.5"/>
    <m/>
    <m/>
    <m/>
    <n v="0"/>
    <n v="0"/>
    <n v="0"/>
    <n v="456671.8"/>
    <n v="3430.52734375"/>
    <m/>
    <m/>
    <x v="23"/>
    <x v="0"/>
    <m/>
    <m/>
    <m/>
    <m/>
    <m/>
    <m/>
    <n v="0"/>
    <n v="0"/>
    <n v="9"/>
    <n v="10"/>
    <n v="0"/>
    <n v="0"/>
    <m/>
    <m/>
    <m/>
    <m/>
    <m/>
    <m/>
    <m/>
    <m/>
    <m/>
    <m/>
  </r>
  <r>
    <x v="4"/>
    <x v="1"/>
    <s v="Ventana y Túnel VL5 a L9"/>
    <n v="600"/>
    <s v="m"/>
    <n v="0"/>
    <n v="2"/>
    <n v="8"/>
    <n v="0"/>
    <n v="0"/>
    <n v="0"/>
    <n v="10"/>
    <m/>
    <m/>
    <m/>
    <m/>
    <x v="3"/>
    <x v="16"/>
    <s v="sam10,11"/>
    <n v="8938.6062346778508"/>
    <n v="3746.3276130635113"/>
    <m/>
    <n v="0"/>
    <n v="0.5"/>
    <m/>
    <m/>
    <n v="0"/>
    <n v="0"/>
    <n v="0"/>
    <n v="32980.828004127543"/>
    <n v="247.75261421369848"/>
    <m/>
    <m/>
    <x v="24"/>
    <x v="0"/>
    <m/>
    <m/>
    <m/>
    <m/>
    <m/>
    <m/>
    <n v="0"/>
    <n v="2"/>
    <n v="8"/>
    <n v="0"/>
    <n v="0"/>
    <n v="0"/>
    <m/>
    <m/>
    <m/>
    <m/>
    <m/>
    <m/>
    <m/>
    <m/>
    <m/>
    <m/>
  </r>
  <r>
    <x v="4"/>
    <x v="1"/>
    <s v="Aducción Las Lajas A Arriba (L9 a L10 - 601m.)"/>
    <n v="3964.47"/>
    <s v="m"/>
    <n v="0"/>
    <n v="0"/>
    <n v="5"/>
    <n v="12"/>
    <n v="10"/>
    <n v="0"/>
    <n v="27"/>
    <m/>
    <m/>
    <m/>
    <m/>
    <x v="3"/>
    <x v="17"/>
    <s v="sam10,11"/>
    <n v="59061.393765322151"/>
    <n v="24753.672386936494"/>
    <m/>
    <n v="0"/>
    <n v="0.5"/>
    <m/>
    <m/>
    <n v="0"/>
    <n v="0"/>
    <n v="0"/>
    <n v="217919.17199587249"/>
    <n v="1637.0130107863015"/>
    <m/>
    <m/>
    <x v="25"/>
    <x v="0"/>
    <m/>
    <m/>
    <m/>
    <m/>
    <m/>
    <m/>
    <n v="0"/>
    <n v="0"/>
    <n v="5"/>
    <n v="12"/>
    <n v="10"/>
    <n v="0"/>
    <m/>
    <m/>
    <m/>
    <m/>
    <m/>
    <m/>
    <m/>
    <m/>
    <m/>
    <m/>
  </r>
  <r>
    <x v="4"/>
    <x v="1"/>
    <s v="Excavación Pique - Chimenea"/>
    <n v="626.25"/>
    <s v="m"/>
    <n v="0"/>
    <n v="0"/>
    <n v="1"/>
    <n v="8"/>
    <n v="0"/>
    <n v="0"/>
    <n v="9"/>
    <m/>
    <m/>
    <m/>
    <m/>
    <x v="3"/>
    <x v="18"/>
    <s v="sam11,13,14"/>
    <n v="2083.9050382781224"/>
    <n v="6156.9921585489983"/>
    <n v="12530.493931464554"/>
    <n v="0.5"/>
    <n v="1.4"/>
    <n v="0"/>
    <m/>
    <n v="0"/>
    <n v="0"/>
    <n v="0"/>
    <n v="54005.616933558355"/>
    <n v="405.69123297444673"/>
    <m/>
    <m/>
    <x v="26"/>
    <x v="0"/>
    <m/>
    <m/>
    <m/>
    <m/>
    <m/>
    <m/>
    <n v="0"/>
    <n v="0"/>
    <n v="1"/>
    <n v="8"/>
    <n v="0"/>
    <n v="0"/>
    <m/>
    <m/>
    <m/>
    <m/>
    <m/>
    <m/>
    <m/>
    <m/>
    <m/>
    <m/>
  </r>
  <r>
    <x v="4"/>
    <x v="1"/>
    <s v="Túnel Acceso Las Lajas (VL4)"/>
    <n v="1900"/>
    <s v="m"/>
    <n v="0"/>
    <n v="2"/>
    <n v="12"/>
    <n v="2"/>
    <n v="0"/>
    <n v="0"/>
    <n v="16"/>
    <m/>
    <m/>
    <m/>
    <m/>
    <x v="3"/>
    <x v="19"/>
    <s v="sam11,13,14"/>
    <n v="6322.4264634386145"/>
    <n v="18679.896369250451"/>
    <n v="38016.668215221805"/>
    <n v="0.5"/>
    <n v="2.6"/>
    <n v="0"/>
    <m/>
    <n v="0"/>
    <n v="0"/>
    <n v="0"/>
    <n v="163849.37672456825"/>
    <n v="1230.8396689045089"/>
    <m/>
    <m/>
    <x v="27"/>
    <x v="0"/>
    <m/>
    <m/>
    <m/>
    <m/>
    <m/>
    <m/>
    <n v="0"/>
    <n v="2"/>
    <n v="12"/>
    <n v="2"/>
    <n v="0"/>
    <n v="0"/>
    <m/>
    <m/>
    <m/>
    <m/>
    <m/>
    <m/>
    <m/>
    <m/>
    <m/>
    <m/>
  </r>
  <r>
    <x v="4"/>
    <x v="1"/>
    <s v="Caverna y Otros Las Lajas"/>
    <n v="1700"/>
    <s v="m2"/>
    <n v="0"/>
    <n v="0"/>
    <n v="0"/>
    <n v="0"/>
    <n v="10"/>
    <n v="0"/>
    <n v="10"/>
    <m/>
    <m/>
    <m/>
    <m/>
    <x v="3"/>
    <x v="20"/>
    <s v="sam8"/>
    <n v="52000"/>
    <m/>
    <m/>
    <n v="10"/>
    <m/>
    <m/>
    <m/>
    <n v="0"/>
    <n v="0"/>
    <n v="0"/>
    <n v="135200"/>
    <n v="1015.625"/>
    <m/>
    <m/>
    <x v="6"/>
    <x v="4"/>
    <m/>
    <m/>
    <m/>
    <m/>
    <m/>
    <m/>
    <n v="0"/>
    <n v="0"/>
    <n v="0"/>
    <n v="0"/>
    <n v="10"/>
    <n v="0"/>
    <m/>
    <m/>
    <m/>
    <m/>
    <m/>
    <m/>
    <m/>
    <m/>
    <m/>
    <m/>
  </r>
  <r>
    <x v="4"/>
    <x v="1"/>
    <s v="Túnel Descarga Las Lajas (L7 a L4)"/>
    <n v="2614.8449999999998"/>
    <s v="m"/>
    <n v="0"/>
    <n v="0"/>
    <n v="7"/>
    <n v="12"/>
    <n v="6"/>
    <n v="0"/>
    <n v="25"/>
    <m/>
    <m/>
    <m/>
    <m/>
    <x v="3"/>
    <x v="21"/>
    <s v="sam11,13,14"/>
    <n v="8701.1395925211273"/>
    <n v="25707.912432448782"/>
    <n v="52319.839368016648"/>
    <n v="4.9000000000000004"/>
    <n v="2.6"/>
    <n v="0"/>
    <m/>
    <n v="0"/>
    <n v="0"/>
    <n v="0"/>
    <n v="225495.11762176504"/>
    <n v="1693.9236600192685"/>
    <m/>
    <m/>
    <x v="6"/>
    <x v="5"/>
    <m/>
    <m/>
    <m/>
    <m/>
    <m/>
    <m/>
    <n v="0"/>
    <n v="0"/>
    <n v="7"/>
    <n v="12"/>
    <n v="6"/>
    <n v="0"/>
    <m/>
    <m/>
    <m/>
    <m/>
    <m/>
    <m/>
    <m/>
    <m/>
    <m/>
    <m/>
  </r>
  <r>
    <x v="4"/>
    <x v="1"/>
    <s v="Ventana Las Puertas (VL2 a L4)"/>
    <n v="1500"/>
    <s v="m"/>
    <n v="0"/>
    <n v="0"/>
    <n v="8"/>
    <n v="5"/>
    <n v="0"/>
    <n v="0"/>
    <n v="13"/>
    <m/>
    <m/>
    <m/>
    <m/>
    <x v="3"/>
    <x v="22"/>
    <s v="sam11,13,14"/>
    <n v="4991.3893132410112"/>
    <n v="14747.286607302985"/>
    <n v="30013.159117280364"/>
    <n v="4.9000000000000004"/>
    <n v="2.6"/>
    <n v="0"/>
    <m/>
    <n v="0"/>
    <n v="0"/>
    <n v="0"/>
    <n v="129354.77109834335"/>
    <n v="971.71552808250703"/>
    <m/>
    <m/>
    <x v="6"/>
    <x v="6"/>
    <m/>
    <m/>
    <m/>
    <m/>
    <m/>
    <m/>
    <n v="0"/>
    <n v="0"/>
    <n v="8"/>
    <n v="5"/>
    <n v="0"/>
    <n v="0"/>
    <m/>
    <m/>
    <m/>
    <m/>
    <m/>
    <m/>
    <m/>
    <m/>
    <m/>
    <m/>
  </r>
  <r>
    <x v="4"/>
    <x v="1"/>
    <s v="Las Puertas hacia arriba (L4 a L7)"/>
    <n v="2614.8449999999998"/>
    <s v="m"/>
    <n v="0"/>
    <n v="0"/>
    <n v="7"/>
    <n v="12"/>
    <n v="6"/>
    <n v="0"/>
    <n v="25"/>
    <m/>
    <m/>
    <m/>
    <m/>
    <x v="3"/>
    <x v="21"/>
    <s v="sam11,13,14"/>
    <n v="8701.1395925211273"/>
    <n v="25707.912432448782"/>
    <n v="52319.839368016648"/>
    <n v="4.9000000000000004"/>
    <n v="2.6"/>
    <n v="0"/>
    <m/>
    <n v="0"/>
    <n v="0"/>
    <n v="0"/>
    <n v="225495.11762176504"/>
    <n v="1693.9236600192685"/>
    <m/>
    <m/>
    <x v="6"/>
    <x v="5"/>
    <m/>
    <m/>
    <m/>
    <m/>
    <m/>
    <m/>
    <n v="0"/>
    <n v="0"/>
    <n v="7"/>
    <n v="12"/>
    <n v="6"/>
    <n v="0"/>
    <m/>
    <m/>
    <m/>
    <m/>
    <m/>
    <m/>
    <m/>
    <m/>
    <m/>
    <m/>
  </r>
  <r>
    <x v="4"/>
    <x v="1"/>
    <s v="Las Puertas hacia abajo (L4 hacia L1)"/>
    <n v="3872.375"/>
    <s v="m"/>
    <n v="0"/>
    <n v="0"/>
    <n v="6"/>
    <n v="12"/>
    <n v="12"/>
    <n v="0"/>
    <n v="30"/>
    <m/>
    <m/>
    <m/>
    <m/>
    <x v="3"/>
    <x v="23"/>
    <s v="sam14"/>
    <n v="159800"/>
    <m/>
    <m/>
    <n v="0"/>
    <m/>
    <m/>
    <m/>
    <n v="0"/>
    <n v="0"/>
    <n v="0"/>
    <n v="415480"/>
    <n v="3121.09375"/>
    <m/>
    <m/>
    <x v="2"/>
    <x v="0"/>
    <m/>
    <m/>
    <m/>
    <m/>
    <m/>
    <m/>
    <n v="0"/>
    <n v="0"/>
    <n v="6"/>
    <n v="12"/>
    <n v="12"/>
    <n v="0"/>
    <m/>
    <m/>
    <m/>
    <m/>
    <m/>
    <m/>
    <m/>
    <m/>
    <m/>
    <m/>
  </r>
  <r>
    <x v="4"/>
    <x v="1"/>
    <s v="Las Lajas hacia arriba (L1 hacia L4)"/>
    <n v="3872.375"/>
    <s v="m"/>
    <n v="0"/>
    <n v="0"/>
    <n v="6"/>
    <n v="12"/>
    <n v="12"/>
    <n v="0"/>
    <n v="30"/>
    <m/>
    <m/>
    <m/>
    <m/>
    <x v="3"/>
    <x v="24"/>
    <s v="sam12"/>
    <n v="210000"/>
    <m/>
    <m/>
    <n v="0"/>
    <m/>
    <m/>
    <m/>
    <n v="0"/>
    <n v="0"/>
    <n v="0"/>
    <n v="546000"/>
    <n v="4101.5625"/>
    <m/>
    <m/>
    <x v="2"/>
    <x v="0"/>
    <m/>
    <m/>
    <m/>
    <m/>
    <m/>
    <m/>
    <n v="0"/>
    <n v="0"/>
    <n v="6"/>
    <n v="12"/>
    <n v="12"/>
    <n v="0"/>
    <m/>
    <m/>
    <m/>
    <m/>
    <m/>
    <m/>
    <m/>
    <m/>
    <m/>
    <m/>
  </r>
  <r>
    <x v="4"/>
    <x v="1"/>
    <s v="Operación SAM Nº7"/>
    <n v="200000"/>
    <s v="m3"/>
    <n v="0"/>
    <n v="0"/>
    <n v="4"/>
    <n v="0"/>
    <n v="0"/>
    <n v="0"/>
    <n v="4"/>
    <m/>
    <m/>
    <m/>
    <n v="-162145"/>
    <x v="3"/>
    <x v="0"/>
    <m/>
    <m/>
    <m/>
    <m/>
    <m/>
    <m/>
    <m/>
    <m/>
    <n v="0"/>
    <n v="0"/>
    <n v="0"/>
    <n v="0"/>
    <m/>
    <m/>
    <n v="1037.7280000000001"/>
    <x v="2"/>
    <x v="0"/>
    <m/>
    <m/>
    <m/>
    <m/>
    <m/>
    <m/>
    <n v="0"/>
    <n v="0"/>
    <n v="3"/>
    <n v="0"/>
    <n v="0"/>
    <n v="0"/>
    <m/>
    <m/>
    <m/>
    <m/>
    <m/>
    <m/>
    <m/>
    <m/>
    <m/>
    <m/>
  </r>
  <r>
    <x v="4"/>
    <x v="1"/>
    <s v="Operación SAM Nº8"/>
    <n v="200000"/>
    <s v="m3"/>
    <n v="0"/>
    <n v="11"/>
    <n v="12"/>
    <n v="7"/>
    <n v="0"/>
    <n v="0"/>
    <n v="30"/>
    <m/>
    <m/>
    <m/>
    <e v="#REF!"/>
    <x v="3"/>
    <x v="0"/>
    <m/>
    <m/>
    <m/>
    <m/>
    <m/>
    <m/>
    <m/>
    <m/>
    <n v="0"/>
    <n v="0"/>
    <n v="0"/>
    <n v="0"/>
    <m/>
    <m/>
    <e v="#REF!"/>
    <x v="2"/>
    <x v="0"/>
    <m/>
    <m/>
    <m/>
    <m/>
    <m/>
    <m/>
    <n v="0"/>
    <n v="10"/>
    <n v="12"/>
    <n v="7"/>
    <n v="0"/>
    <n v="0"/>
    <m/>
    <m/>
    <m/>
    <m/>
    <m/>
    <m/>
    <m/>
    <m/>
    <m/>
    <m/>
  </r>
  <r>
    <x v="4"/>
    <x v="1"/>
    <s v="Operación SAM Nº10"/>
    <n v="68000"/>
    <s v="m3"/>
    <n v="0"/>
    <n v="0"/>
    <n v="12"/>
    <n v="12"/>
    <n v="9"/>
    <n v="0"/>
    <n v="33"/>
    <m/>
    <m/>
    <m/>
    <n v="-70340"/>
    <x v="3"/>
    <x v="0"/>
    <m/>
    <m/>
    <m/>
    <m/>
    <m/>
    <m/>
    <m/>
    <m/>
    <n v="0"/>
    <n v="0"/>
    <n v="0"/>
    <n v="0"/>
    <m/>
    <m/>
    <n v="450.17599999999999"/>
    <x v="2"/>
    <x v="0"/>
    <m/>
    <m/>
    <m/>
    <m/>
    <m/>
    <m/>
    <n v="0"/>
    <n v="0"/>
    <n v="11"/>
    <n v="12"/>
    <n v="9"/>
    <n v="0"/>
    <m/>
    <m/>
    <m/>
    <m/>
    <m/>
    <m/>
    <m/>
    <m/>
    <m/>
    <m/>
  </r>
  <r>
    <x v="4"/>
    <x v="1"/>
    <s v="Operación SAM Nº11"/>
    <n v="71000"/>
    <s v="m3"/>
    <n v="0"/>
    <n v="8"/>
    <n v="7"/>
    <n v="0"/>
    <n v="0"/>
    <n v="0"/>
    <n v="15"/>
    <m/>
    <m/>
    <m/>
    <n v="-74260"/>
    <x v="3"/>
    <x v="0"/>
    <m/>
    <m/>
    <m/>
    <m/>
    <m/>
    <m/>
    <m/>
    <m/>
    <n v="0"/>
    <n v="0"/>
    <n v="0"/>
    <n v="0"/>
    <m/>
    <m/>
    <n v="475.26400000000001"/>
    <x v="2"/>
    <x v="0"/>
    <m/>
    <m/>
    <m/>
    <m/>
    <m/>
    <m/>
    <n v="-1"/>
    <n v="8"/>
    <n v="7"/>
    <n v="0"/>
    <n v="0"/>
    <n v="0"/>
    <m/>
    <m/>
    <m/>
    <m/>
    <m/>
    <m/>
    <m/>
    <m/>
    <m/>
    <m/>
  </r>
  <r>
    <x v="4"/>
    <x v="1"/>
    <s v="Operación SAM Nº13"/>
    <n v="91000"/>
    <s v="m3"/>
    <n v="0"/>
    <n v="0"/>
    <n v="11"/>
    <n v="7"/>
    <n v="0"/>
    <n v="0"/>
    <n v="18"/>
    <m/>
    <m/>
    <m/>
    <n v="-93240"/>
    <x v="3"/>
    <x v="0"/>
    <m/>
    <m/>
    <m/>
    <m/>
    <m/>
    <m/>
    <m/>
    <m/>
    <n v="0"/>
    <n v="0"/>
    <n v="0"/>
    <n v="0"/>
    <m/>
    <m/>
    <n v="596.73599999999999"/>
    <x v="2"/>
    <x v="0"/>
    <m/>
    <m/>
    <m/>
    <m/>
    <m/>
    <m/>
    <n v="0"/>
    <n v="0"/>
    <n v="10"/>
    <n v="7"/>
    <n v="0"/>
    <n v="0"/>
    <m/>
    <m/>
    <m/>
    <m/>
    <m/>
    <m/>
    <m/>
    <m/>
    <m/>
    <m/>
  </r>
  <r>
    <x v="4"/>
    <x v="1"/>
    <s v="Operación SAM Nº14"/>
    <n v="345000"/>
    <s v="m3"/>
    <n v="0"/>
    <n v="1"/>
    <n v="12"/>
    <n v="2"/>
    <n v="0"/>
    <n v="0"/>
    <n v="15"/>
    <m/>
    <m/>
    <m/>
    <n v="-350940"/>
    <x v="3"/>
    <x v="0"/>
    <m/>
    <m/>
    <m/>
    <m/>
    <m/>
    <m/>
    <m/>
    <m/>
    <n v="0"/>
    <n v="0"/>
    <n v="0"/>
    <n v="0"/>
    <m/>
    <m/>
    <n v="2246.0160000000001"/>
    <x v="2"/>
    <x v="0"/>
    <m/>
    <m/>
    <m/>
    <m/>
    <m/>
    <m/>
    <n v="-1"/>
    <n v="1"/>
    <n v="12"/>
    <n v="2"/>
    <n v="0"/>
    <n v="0"/>
    <m/>
    <m/>
    <m/>
    <m/>
    <m/>
    <m/>
    <m/>
    <m/>
    <m/>
    <m/>
  </r>
  <r>
    <x v="4"/>
    <x v="1"/>
    <s v="Operación SAM Nº12"/>
    <n v="210000"/>
    <s v="m3"/>
    <n v="0"/>
    <n v="0"/>
    <n v="6"/>
    <n v="12"/>
    <n v="12"/>
    <n v="0"/>
    <n v="30"/>
    <m/>
    <m/>
    <m/>
    <e v="#REF!"/>
    <x v="3"/>
    <x v="0"/>
    <m/>
    <m/>
    <m/>
    <m/>
    <m/>
    <m/>
    <m/>
    <m/>
    <n v="0"/>
    <n v="0"/>
    <n v="0"/>
    <n v="0"/>
    <m/>
    <m/>
    <e v="#REF!"/>
    <x v="2"/>
    <x v="0"/>
    <m/>
    <m/>
    <m/>
    <m/>
    <m/>
    <m/>
    <n v="0"/>
    <n v="0"/>
    <n v="5"/>
    <n v="12"/>
    <n v="12"/>
    <n v="0"/>
    <m/>
    <m/>
    <m/>
    <m/>
    <m/>
    <m/>
    <m/>
    <m/>
    <m/>
    <m/>
  </r>
  <r>
    <x v="4"/>
    <x v="2"/>
    <s v="Planta Hormigon Portal Ventana Túnel Las Lajas VL5 "/>
    <n v="3000"/>
    <s v="m2"/>
    <n v="0"/>
    <n v="0"/>
    <n v="12"/>
    <n v="12"/>
    <n v="12"/>
    <n v="0"/>
    <n v="36"/>
    <m/>
    <m/>
    <m/>
    <m/>
    <x v="3"/>
    <x v="0"/>
    <m/>
    <m/>
    <m/>
    <m/>
    <m/>
    <m/>
    <m/>
    <m/>
    <m/>
    <m/>
    <m/>
    <m/>
    <m/>
    <m/>
    <m/>
    <x v="6"/>
    <x v="0"/>
    <m/>
    <m/>
    <m/>
    <m/>
    <m/>
    <m/>
    <m/>
    <m/>
    <m/>
    <m/>
    <m/>
    <m/>
    <m/>
    <m/>
    <m/>
    <m/>
    <m/>
    <m/>
    <m/>
    <m/>
    <m/>
    <m/>
  </r>
  <r>
    <x v="4"/>
    <x v="2"/>
    <s v="Planta Hormigon Portal Túnel Las Lajas VL8 "/>
    <n v="3000"/>
    <s v="m2"/>
    <n v="0"/>
    <n v="0"/>
    <n v="12"/>
    <n v="12"/>
    <n v="12"/>
    <n v="0"/>
    <n v="36"/>
    <m/>
    <m/>
    <m/>
    <m/>
    <x v="3"/>
    <x v="0"/>
    <m/>
    <m/>
    <m/>
    <m/>
    <m/>
    <m/>
    <m/>
    <m/>
    <m/>
    <m/>
    <m/>
    <m/>
    <m/>
    <m/>
    <m/>
    <x v="6"/>
    <x v="0"/>
    <m/>
    <m/>
    <m/>
    <m/>
    <m/>
    <m/>
    <m/>
    <m/>
    <m/>
    <m/>
    <m/>
    <m/>
    <m/>
    <m/>
    <m/>
    <m/>
    <m/>
    <m/>
    <m/>
    <m/>
    <m/>
    <m/>
  </r>
  <r>
    <x v="4"/>
    <x v="2"/>
    <s v="Planta Hormigon Portal Túnel Las Lajas VL7 "/>
    <n v="3000"/>
    <s v="m2"/>
    <n v="0"/>
    <n v="0"/>
    <n v="12"/>
    <n v="12"/>
    <n v="12"/>
    <n v="0"/>
    <n v="36"/>
    <m/>
    <m/>
    <m/>
    <m/>
    <x v="3"/>
    <x v="0"/>
    <m/>
    <m/>
    <m/>
    <m/>
    <m/>
    <m/>
    <m/>
    <m/>
    <m/>
    <m/>
    <m/>
    <m/>
    <m/>
    <m/>
    <m/>
    <x v="6"/>
    <x v="0"/>
    <m/>
    <m/>
    <m/>
    <m/>
    <m/>
    <m/>
    <m/>
    <m/>
    <m/>
    <m/>
    <m/>
    <m/>
    <m/>
    <m/>
    <m/>
    <m/>
    <m/>
    <m/>
    <m/>
    <m/>
    <m/>
    <m/>
  </r>
  <r>
    <x v="4"/>
    <x v="2"/>
    <s v="Planta Hormigon Portal acceso a Central Las Lajas VL4 "/>
    <n v="3000"/>
    <s v="m2"/>
    <n v="0"/>
    <n v="0"/>
    <n v="12"/>
    <n v="12"/>
    <n v="6"/>
    <n v="0"/>
    <n v="30"/>
    <m/>
    <m/>
    <m/>
    <m/>
    <x v="3"/>
    <x v="0"/>
    <m/>
    <m/>
    <m/>
    <m/>
    <m/>
    <m/>
    <m/>
    <m/>
    <m/>
    <m/>
    <m/>
    <m/>
    <m/>
    <m/>
    <m/>
    <x v="6"/>
    <x v="0"/>
    <m/>
    <m/>
    <m/>
    <m/>
    <m/>
    <m/>
    <m/>
    <m/>
    <m/>
    <m/>
    <m/>
    <m/>
    <m/>
    <m/>
    <m/>
    <m/>
    <m/>
    <m/>
    <m/>
    <m/>
    <m/>
    <m/>
  </r>
  <r>
    <x v="4"/>
    <x v="2"/>
    <s v="Planta Hormigon Portal Ventana Las Puertas VL2 "/>
    <n v="3000"/>
    <s v="m2"/>
    <n v="0"/>
    <n v="0"/>
    <n v="12"/>
    <n v="12"/>
    <n v="12"/>
    <n v="0"/>
    <n v="36"/>
    <m/>
    <m/>
    <m/>
    <m/>
    <x v="3"/>
    <x v="0"/>
    <m/>
    <m/>
    <m/>
    <m/>
    <m/>
    <m/>
    <m/>
    <m/>
    <m/>
    <m/>
    <m/>
    <m/>
    <m/>
    <m/>
    <m/>
    <x v="6"/>
    <x v="0"/>
    <m/>
    <m/>
    <m/>
    <m/>
    <m/>
    <m/>
    <m/>
    <m/>
    <m/>
    <m/>
    <m/>
    <m/>
    <m/>
    <m/>
    <m/>
    <m/>
    <m/>
    <m/>
    <m/>
    <m/>
    <m/>
    <m/>
  </r>
  <r>
    <x v="4"/>
    <x v="2"/>
    <s v="Planta Hormigon Portal Túnel Las Lajas L1 (Descarga río Maipo) "/>
    <n v="3000"/>
    <s v="m2"/>
    <n v="0"/>
    <n v="0"/>
    <n v="6"/>
    <n v="12"/>
    <n v="12"/>
    <n v="0"/>
    <n v="30"/>
    <m/>
    <m/>
    <m/>
    <m/>
    <x v="3"/>
    <x v="0"/>
    <m/>
    <m/>
    <m/>
    <m/>
    <m/>
    <m/>
    <m/>
    <m/>
    <m/>
    <m/>
    <m/>
    <m/>
    <m/>
    <m/>
    <m/>
    <x v="6"/>
    <x v="0"/>
    <m/>
    <m/>
    <m/>
    <m/>
    <m/>
    <m/>
    <m/>
    <m/>
    <m/>
    <m/>
    <m/>
    <m/>
    <m/>
    <m/>
    <m/>
    <m/>
    <m/>
    <m/>
    <m/>
    <m/>
    <m/>
    <m/>
  </r>
  <r>
    <x v="4"/>
    <x v="2"/>
    <s v="Obras Civiles Cámara Carga Las Lajas"/>
    <n v="189100"/>
    <s v="m2"/>
    <n v="0"/>
    <n v="0"/>
    <n v="9"/>
    <n v="10"/>
    <n v="0"/>
    <n v="0"/>
    <n v="19"/>
    <n v="18450"/>
    <m/>
    <n v="434810"/>
    <n v="-368685"/>
    <x v="33"/>
    <x v="0"/>
    <s v="sam8"/>
    <n v="30136"/>
    <m/>
    <m/>
    <n v="1.2"/>
    <m/>
    <m/>
    <n v="94.55"/>
    <n v="4348.1000000000004"/>
    <n v="0"/>
    <n v="51923.349116255849"/>
    <n v="0"/>
    <m/>
    <m/>
    <n v="226.92"/>
    <x v="28"/>
    <x v="0"/>
    <n v="0"/>
    <n v="0"/>
    <n v="1"/>
    <n v="0"/>
    <n v="0"/>
    <n v="0"/>
    <n v="0"/>
    <n v="0"/>
    <n v="8"/>
    <n v="10"/>
    <n v="0"/>
    <n v="0"/>
    <n v="0"/>
    <n v="0"/>
    <n v="0"/>
    <n v="0"/>
    <n v="0"/>
    <n v="0"/>
    <n v="0"/>
    <n v="8000"/>
    <n v="0"/>
    <n v="3100"/>
  </r>
  <r>
    <x v="4"/>
    <x v="2"/>
    <s v="Obras Civiles Caverna Las Lajas"/>
    <n v="1700"/>
    <s v="m2"/>
    <n v="0"/>
    <n v="0"/>
    <n v="0"/>
    <n v="0"/>
    <n v="11"/>
    <n v="0"/>
    <n v="11"/>
    <m/>
    <m/>
    <m/>
    <m/>
    <x v="3"/>
    <x v="0"/>
    <m/>
    <m/>
    <m/>
    <m/>
    <m/>
    <m/>
    <m/>
    <m/>
    <n v="0"/>
    <n v="0"/>
    <n v="0"/>
    <n v="0"/>
    <m/>
    <m/>
    <m/>
    <x v="2"/>
    <x v="0"/>
    <m/>
    <m/>
    <m/>
    <m/>
    <m/>
    <m/>
    <m/>
    <m/>
    <m/>
    <m/>
    <m/>
    <m/>
    <n v="0"/>
    <n v="0"/>
    <n v="0"/>
    <n v="0"/>
    <n v="11"/>
    <n v="0"/>
    <n v="11"/>
    <n v="13203.88349514563"/>
    <n v="16504.85436893204"/>
    <n v="5446.6019417475727"/>
  </r>
  <r>
    <x v="4"/>
    <x v="2"/>
    <s v="Puente Rio Colorado"/>
    <n v="360"/>
    <s v="m2"/>
    <n v="0"/>
    <n v="0"/>
    <n v="3"/>
    <n v="0"/>
    <n v="0"/>
    <n v="0"/>
    <n v="3"/>
    <m/>
    <m/>
    <m/>
    <m/>
    <x v="3"/>
    <x v="0"/>
    <m/>
    <m/>
    <m/>
    <m/>
    <m/>
    <m/>
    <m/>
    <m/>
    <n v="0"/>
    <n v="0"/>
    <n v="0"/>
    <n v="0"/>
    <m/>
    <m/>
    <m/>
    <x v="2"/>
    <x v="0"/>
    <m/>
    <m/>
    <m/>
    <m/>
    <m/>
    <m/>
    <m/>
    <m/>
    <m/>
    <m/>
    <m/>
    <m/>
    <n v="0"/>
    <n v="0"/>
    <n v="3"/>
    <n v="0"/>
    <n v="0"/>
    <n v="0"/>
    <n v="3"/>
    <n v="2796.1165048543689"/>
    <n v="3495.1456310679614"/>
    <n v="1153.3980582524273"/>
  </r>
  <r>
    <x v="4"/>
    <x v="2"/>
    <s v="Obras civiles sector Rio Colorado"/>
    <n v="20300.000000000004"/>
    <s v="m2"/>
    <n v="0"/>
    <n v="0"/>
    <n v="6"/>
    <n v="12"/>
    <n v="12"/>
    <n v="0"/>
    <n v="30"/>
    <n v="170"/>
    <m/>
    <n v="58950"/>
    <n v="-37100"/>
    <x v="34"/>
    <x v="0"/>
    <s v="sam7"/>
    <n v="31345"/>
    <m/>
    <m/>
    <n v="8.9"/>
    <m/>
    <m/>
    <n v="10.150000000000002"/>
    <n v="589.5"/>
    <n v="0"/>
    <n v="54006.416845269436"/>
    <n v="0"/>
    <m/>
    <m/>
    <n v="24.360000000000007"/>
    <x v="6"/>
    <x v="7"/>
    <n v="0"/>
    <n v="0"/>
    <n v="1"/>
    <n v="0"/>
    <n v="0"/>
    <n v="0"/>
    <n v="0"/>
    <n v="0"/>
    <n v="1"/>
    <n v="0"/>
    <n v="0"/>
    <n v="0"/>
    <n v="0"/>
    <n v="0"/>
    <n v="4"/>
    <n v="12"/>
    <n v="12"/>
    <n v="0"/>
    <n v="28"/>
    <n v="12837.944664031622"/>
    <n v="16047.430830039526"/>
    <n v="3490.3162055335961"/>
  </r>
  <r>
    <x v="4"/>
    <x v="2"/>
    <s v="Obra De Descarga Y Defensas Fluviales En Río Maipo "/>
    <n v="20000"/>
    <s v="m2"/>
    <n v="0"/>
    <n v="0"/>
    <n v="0"/>
    <n v="0"/>
    <n v="6"/>
    <n v="0"/>
    <n v="6"/>
    <n v="0"/>
    <n v="0"/>
    <m/>
    <n v="-12000"/>
    <x v="3"/>
    <x v="0"/>
    <m/>
    <m/>
    <m/>
    <m/>
    <m/>
    <m/>
    <m/>
    <n v="0"/>
    <n v="0"/>
    <n v="0"/>
    <n v="0"/>
    <n v="0"/>
    <m/>
    <m/>
    <n v="24"/>
    <x v="2"/>
    <x v="0"/>
    <m/>
    <m/>
    <m/>
    <m/>
    <m/>
    <m/>
    <m/>
    <m/>
    <m/>
    <m/>
    <m/>
    <m/>
    <n v="0"/>
    <n v="0"/>
    <n v="0"/>
    <n v="0"/>
    <n v="6"/>
    <n v="0"/>
    <n v="6"/>
    <n v="12000"/>
    <n v="60000"/>
    <n v="1550"/>
  </r>
  <r>
    <x v="4"/>
    <x v="2"/>
    <s v="Obras Civiles SSEE"/>
    <n v="5000"/>
    <s v="m2"/>
    <n v="0"/>
    <n v="0"/>
    <n v="8"/>
    <n v="4"/>
    <n v="0"/>
    <n v="0"/>
    <n v="12"/>
    <n v="1000"/>
    <m/>
    <m/>
    <m/>
    <x v="35"/>
    <x v="0"/>
    <m/>
    <m/>
    <m/>
    <m/>
    <m/>
    <m/>
    <m/>
    <n v="2.5"/>
    <n v="0"/>
    <n v="0"/>
    <n v="1722.9675177945264"/>
    <n v="0"/>
    <m/>
    <m/>
    <m/>
    <x v="2"/>
    <x v="0"/>
    <n v="0"/>
    <n v="0"/>
    <n v="1"/>
    <n v="0"/>
    <n v="0"/>
    <n v="0"/>
    <m/>
    <m/>
    <m/>
    <m/>
    <m/>
    <m/>
    <n v="0"/>
    <n v="0"/>
    <n v="7"/>
    <n v="4"/>
    <n v="0"/>
    <n v="0"/>
    <n v="11"/>
    <n v="3162.055335968379"/>
    <n v="3952.5691699604736"/>
    <n v="859.68379446640347"/>
  </r>
  <r>
    <x v="4"/>
    <x v="2"/>
    <s v="Montaje Torres y Líneas"/>
    <m/>
    <m/>
    <n v="0"/>
    <n v="12"/>
    <n v="12"/>
    <n v="0"/>
    <n v="0"/>
    <n v="0"/>
    <n v="24"/>
    <m/>
    <m/>
    <m/>
    <m/>
    <x v="3"/>
    <x v="0"/>
    <m/>
    <m/>
    <m/>
    <m/>
    <m/>
    <m/>
    <m/>
    <m/>
    <m/>
    <m/>
    <m/>
    <m/>
    <m/>
    <m/>
    <m/>
    <x v="6"/>
    <x v="0"/>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90">
  <r>
    <x v="0"/>
    <s v="Obras Previas"/>
    <s v="Instalación AAFF 1"/>
    <n v="19100"/>
    <s v="m2"/>
    <n v="0"/>
    <n v="1"/>
    <n v="0"/>
    <n v="0"/>
    <n v="0"/>
    <n v="0"/>
    <n v="1"/>
    <n v="1910"/>
    <m/>
    <m/>
    <m/>
    <n v="1910"/>
    <m/>
    <s v="sam1"/>
    <n v="1910"/>
    <m/>
    <m/>
    <n v="1.2"/>
    <m/>
    <m/>
    <n v="9.5500000000000007"/>
    <n v="0"/>
    <n v="0"/>
    <n v="3290.8679589875455"/>
    <n v="0"/>
    <m/>
    <m/>
    <n v="0"/>
    <n v="163.71428571428572"/>
    <m/>
    <n v="0"/>
    <n v="1"/>
    <n v="0"/>
    <n v="0"/>
    <n v="0"/>
    <n v="0"/>
    <m/>
    <m/>
    <m/>
    <m/>
    <m/>
    <m/>
    <m/>
    <m/>
    <m/>
    <m/>
    <m/>
    <m/>
    <m/>
  </r>
  <r>
    <x v="0"/>
    <s v="Obras Previas"/>
    <s v="Camino a Obras Sector Túnel Volcán  "/>
    <n v="7100"/>
    <s v="m"/>
    <n v="0"/>
    <n v="5"/>
    <n v="0"/>
    <n v="0"/>
    <n v="0"/>
    <n v="0"/>
    <n v="5"/>
    <m/>
    <n v="14000"/>
    <n v="120000"/>
    <n v="-42811"/>
    <n v="91189"/>
    <m/>
    <s v="sam1"/>
    <n v="91189"/>
    <m/>
    <m/>
    <n v="1.2"/>
    <m/>
    <m/>
    <m/>
    <n v="1200"/>
    <n v="140"/>
    <n v="157115.68498016507"/>
    <n v="0"/>
    <m/>
    <m/>
    <n v="113.6"/>
    <n v="7816.2"/>
    <m/>
    <n v="0"/>
    <n v="1"/>
    <n v="0"/>
    <n v="0"/>
    <n v="0"/>
    <n v="0"/>
    <n v="0"/>
    <n v="4"/>
    <n v="0"/>
    <n v="0"/>
    <n v="0"/>
    <n v="0"/>
    <m/>
    <m/>
    <m/>
    <m/>
    <m/>
    <m/>
    <m/>
  </r>
  <r>
    <x v="0"/>
    <s v="Obras Previas"/>
    <s v="Habilitación SAM Nº1"/>
    <n v="18400"/>
    <s v="m2"/>
    <n v="0"/>
    <n v="1"/>
    <n v="0"/>
    <n v="0"/>
    <n v="0"/>
    <n v="0"/>
    <n v="1"/>
    <n v="3680"/>
    <m/>
    <m/>
    <m/>
    <n v="3680"/>
    <m/>
    <s v="sam1"/>
    <n v="3680"/>
    <m/>
    <m/>
    <n v="0"/>
    <m/>
    <m/>
    <n v="9.1999999999999993"/>
    <n v="0"/>
    <n v="0"/>
    <n v="6340.5204654838572"/>
    <n v="0"/>
    <m/>
    <m/>
    <m/>
    <n v="0"/>
    <m/>
    <n v="0"/>
    <n v="1"/>
    <n v="0"/>
    <n v="0"/>
    <n v="0"/>
    <n v="0"/>
    <m/>
    <m/>
    <m/>
    <m/>
    <m/>
    <m/>
    <m/>
    <m/>
    <m/>
    <m/>
    <m/>
    <m/>
    <m/>
  </r>
  <r>
    <x v="0"/>
    <s v="Túneles, cavernas  y chimeneas"/>
    <s v="Túnel (V1 aguas abajo)"/>
    <n v="4654.9114502067187"/>
    <s v="m"/>
    <n v="0"/>
    <n v="1"/>
    <n v="12"/>
    <n v="12"/>
    <n v="12"/>
    <n v="6"/>
    <n v="43"/>
    <m/>
    <m/>
    <m/>
    <m/>
    <m/>
    <n v="107765"/>
    <s v="sam1"/>
    <n v="107765"/>
    <m/>
    <m/>
    <n v="0"/>
    <m/>
    <m/>
    <m/>
    <n v="0"/>
    <n v="0"/>
    <n v="0"/>
    <n v="280189"/>
    <n v="2104.78515625"/>
    <m/>
    <m/>
    <n v="0"/>
    <m/>
    <n v="0"/>
    <n v="1"/>
    <n v="0"/>
    <n v="0"/>
    <n v="0"/>
    <n v="0"/>
    <n v="0"/>
    <n v="0"/>
    <n v="12"/>
    <n v="12"/>
    <n v="12"/>
    <n v="6"/>
    <m/>
    <m/>
    <m/>
    <m/>
    <m/>
    <m/>
    <m/>
  </r>
  <r>
    <x v="0"/>
    <s v="Túneles, cavernas  y chimeneas"/>
    <s v="Operación SAM Nº1"/>
    <n v="230000"/>
    <s v="m3"/>
    <n v="0"/>
    <n v="2"/>
    <n v="12"/>
    <n v="12"/>
    <n v="12"/>
    <n v="6"/>
    <n v="44"/>
    <m/>
    <m/>
    <m/>
    <n v="-248833"/>
    <m/>
    <m/>
    <m/>
    <m/>
    <m/>
    <m/>
    <m/>
    <m/>
    <m/>
    <m/>
    <n v="0"/>
    <n v="0"/>
    <n v="0"/>
    <n v="0"/>
    <m/>
    <m/>
    <n v="1592.5311999999999"/>
    <n v="0"/>
    <m/>
    <n v="0"/>
    <n v="1"/>
    <n v="0"/>
    <n v="0"/>
    <n v="0"/>
    <n v="0"/>
    <n v="0"/>
    <n v="1"/>
    <n v="12"/>
    <n v="12"/>
    <n v="12"/>
    <n v="6"/>
    <m/>
    <m/>
    <m/>
    <m/>
    <m/>
    <m/>
    <m/>
  </r>
  <r>
    <x v="0"/>
    <s v="Obras Civiles"/>
    <s v="Acueducto El Volcan (Incluye Tramo La Engorda -Colina Y Sifón Morado) "/>
    <n v="17200"/>
    <s v="m2"/>
    <n v="0"/>
    <n v="0"/>
    <n v="3"/>
    <n v="7"/>
    <n v="7"/>
    <n v="4"/>
    <n v="21"/>
    <n v="2640"/>
    <m/>
    <n v="44500"/>
    <n v="-17800"/>
    <n v="31150"/>
    <m/>
    <s v="sam1"/>
    <n v="31150"/>
    <m/>
    <m/>
    <n v="2"/>
    <m/>
    <m/>
    <n v="8.6"/>
    <n v="445"/>
    <n v="0"/>
    <n v="53670.438179299497"/>
    <n v="0"/>
    <m/>
    <m/>
    <n v="20.64"/>
    <n v="4450"/>
    <m/>
    <n v="0"/>
    <n v="0"/>
    <n v="1"/>
    <n v="0"/>
    <n v="0"/>
    <n v="0"/>
    <n v="0"/>
    <n v="0"/>
    <n v="2"/>
    <n v="7"/>
    <n v="7"/>
    <n v="4"/>
    <n v="0"/>
    <n v="0"/>
    <n v="0"/>
    <n v="0"/>
    <n v="0"/>
    <n v="0"/>
    <n v="0"/>
  </r>
  <r>
    <x v="0"/>
    <s v="Obras Civiles"/>
    <s v="Bocatomas (El morado, Colina, La Engorda, Las Placas)"/>
    <n v="4000"/>
    <s v="m2"/>
    <n v="0"/>
    <n v="0"/>
    <n v="3"/>
    <n v="7"/>
    <n v="7"/>
    <n v="4"/>
    <n v="21"/>
    <n v="220"/>
    <m/>
    <n v="5046"/>
    <n v="-1213"/>
    <n v="4339"/>
    <m/>
    <s v="sam1"/>
    <n v="4339"/>
    <m/>
    <m/>
    <n v="2"/>
    <m/>
    <m/>
    <n v="2"/>
    <n v="50.46"/>
    <n v="0"/>
    <n v="7475.9560597104501"/>
    <n v="0"/>
    <m/>
    <m/>
    <n v="4.8"/>
    <n v="619.85714285714289"/>
    <m/>
    <n v="0"/>
    <n v="0"/>
    <n v="1"/>
    <n v="0"/>
    <n v="0"/>
    <n v="0"/>
    <n v="0"/>
    <n v="0"/>
    <n v="1"/>
    <n v="0"/>
    <n v="0"/>
    <n v="0"/>
    <n v="0"/>
    <n v="0"/>
    <n v="1"/>
    <n v="7"/>
    <n v="7"/>
    <n v="4"/>
    <n v="19"/>
  </r>
  <r>
    <x v="0"/>
    <s v="Obras Civiles"/>
    <s v="Desarenador El Volcan "/>
    <n v="4500"/>
    <s v="m2"/>
    <n v="0"/>
    <n v="0"/>
    <n v="3"/>
    <n v="7"/>
    <n v="7"/>
    <n v="4"/>
    <n v="21"/>
    <n v="510"/>
    <m/>
    <n v="11000"/>
    <n v="-3300"/>
    <n v="8800"/>
    <m/>
    <s v="sam1"/>
    <n v="8800"/>
    <m/>
    <m/>
    <n v="0.75"/>
    <m/>
    <m/>
    <n v="2.25"/>
    <n v="110"/>
    <n v="0"/>
    <n v="15162.114156591833"/>
    <n v="0"/>
    <m/>
    <m/>
    <n v="5.4"/>
    <n v="471.42857142857144"/>
    <m/>
    <n v="0"/>
    <n v="0"/>
    <n v="1"/>
    <n v="0"/>
    <n v="0"/>
    <n v="0"/>
    <n v="0"/>
    <n v="0"/>
    <n v="1"/>
    <n v="0"/>
    <n v="0"/>
    <n v="0"/>
    <n v="0"/>
    <n v="0"/>
    <n v="1"/>
    <n v="7"/>
    <n v="7"/>
    <n v="4"/>
    <n v="19"/>
  </r>
  <r>
    <x v="0"/>
    <s v="Obras Civiles"/>
    <s v="Operación Planta de Hormigón"/>
    <n v="3000"/>
    <s v="m2"/>
    <n v="0"/>
    <n v="0"/>
    <n v="3"/>
    <n v="7"/>
    <n v="7"/>
    <n v="4"/>
    <n v="21"/>
    <m/>
    <m/>
    <m/>
    <m/>
    <m/>
    <m/>
    <m/>
    <m/>
    <m/>
    <m/>
    <m/>
    <m/>
    <m/>
    <m/>
    <m/>
    <m/>
    <m/>
    <m/>
    <m/>
    <m/>
    <m/>
    <m/>
    <m/>
    <m/>
    <m/>
    <m/>
    <m/>
    <m/>
    <m/>
    <m/>
    <m/>
    <m/>
    <m/>
    <m/>
    <m/>
    <m/>
    <m/>
    <m/>
    <m/>
    <m/>
    <m/>
    <m/>
  </r>
  <r>
    <x v="1"/>
    <s v="Obras Previas"/>
    <s v="Instalación AAFF 2"/>
    <n v="21900"/>
    <s v="m2"/>
    <n v="0"/>
    <n v="3"/>
    <n v="1"/>
    <n v="0"/>
    <n v="0"/>
    <n v="0"/>
    <n v="4"/>
    <n v="2190"/>
    <m/>
    <m/>
    <m/>
    <n v="2190"/>
    <m/>
    <s v="sam2"/>
    <n v="2190"/>
    <m/>
    <m/>
    <n v="0.5"/>
    <m/>
    <m/>
    <n v="10.95"/>
    <n v="0"/>
    <n v="0"/>
    <n v="3773.2988639700129"/>
    <n v="0"/>
    <m/>
    <m/>
    <m/>
    <n v="78.214285714285708"/>
    <m/>
    <n v="0"/>
    <n v="1"/>
    <n v="0"/>
    <n v="0"/>
    <n v="0"/>
    <n v="0"/>
    <m/>
    <m/>
    <m/>
    <m/>
    <m/>
    <m/>
    <m/>
    <m/>
    <m/>
    <m/>
    <m/>
    <m/>
    <m/>
  </r>
  <r>
    <x v="1"/>
    <s v="Obras Previas"/>
    <s v=" Camino Acceso a VA4 (Entrada Túnel Alfalfal II)  "/>
    <n v="4200"/>
    <s v="m"/>
    <n v="0"/>
    <n v="3"/>
    <n v="0"/>
    <n v="0"/>
    <n v="0"/>
    <n v="0"/>
    <n v="3"/>
    <m/>
    <n v="10000"/>
    <n v="90000"/>
    <n v="-47900"/>
    <n v="52100"/>
    <m/>
    <s v="sam4"/>
    <n v="52100"/>
    <m/>
    <m/>
    <n v="0"/>
    <m/>
    <m/>
    <m/>
    <n v="900"/>
    <n v="100"/>
    <n v="89766.607677094828"/>
    <n v="0"/>
    <m/>
    <m/>
    <n v="67.2"/>
    <n v="0"/>
    <m/>
    <n v="0"/>
    <n v="1"/>
    <n v="0"/>
    <n v="0"/>
    <n v="0"/>
    <n v="0"/>
    <n v="0"/>
    <n v="2"/>
    <n v="0"/>
    <n v="0"/>
    <n v="0"/>
    <n v="0"/>
    <m/>
    <m/>
    <m/>
    <m/>
    <m/>
    <m/>
    <m/>
  </r>
  <r>
    <x v="1"/>
    <s v="Obras Previas"/>
    <s v="Habilitación SAM Nº2"/>
    <n v="29800"/>
    <s v="m2"/>
    <n v="0"/>
    <n v="1"/>
    <n v="0"/>
    <n v="0"/>
    <n v="0"/>
    <n v="0"/>
    <n v="1"/>
    <n v="5960"/>
    <m/>
    <m/>
    <m/>
    <n v="5960"/>
    <m/>
    <s v="sam2"/>
    <n v="5960"/>
    <m/>
    <m/>
    <n v="0"/>
    <m/>
    <m/>
    <n v="14.9"/>
    <n v="0"/>
    <n v="0"/>
    <n v="10268.886406055379"/>
    <n v="0"/>
    <m/>
    <m/>
    <m/>
    <n v="0"/>
    <m/>
    <n v="0"/>
    <n v="1"/>
    <n v="0"/>
    <n v="0"/>
    <n v="0"/>
    <n v="0"/>
    <m/>
    <m/>
    <m/>
    <m/>
    <m/>
    <m/>
    <m/>
    <m/>
    <m/>
    <m/>
    <m/>
    <m/>
    <m/>
  </r>
  <r>
    <x v="1"/>
    <s v="Obras Previas"/>
    <s v="Habilitación SAM Nº3"/>
    <n v="18100"/>
    <s v="m2"/>
    <n v="0"/>
    <n v="0"/>
    <n v="1"/>
    <n v="0"/>
    <n v="0"/>
    <n v="0"/>
    <n v="1"/>
    <n v="3620"/>
    <m/>
    <m/>
    <m/>
    <n v="3620"/>
    <m/>
    <s v="sam3"/>
    <n v="3620"/>
    <m/>
    <m/>
    <n v="0"/>
    <m/>
    <m/>
    <n v="9.0500000000000007"/>
    <n v="0"/>
    <n v="0"/>
    <n v="6237.1424144161856"/>
    <n v="0"/>
    <m/>
    <m/>
    <m/>
    <n v="0"/>
    <m/>
    <n v="0"/>
    <n v="0"/>
    <n v="1"/>
    <n v="0"/>
    <n v="0"/>
    <n v="0"/>
    <m/>
    <m/>
    <m/>
    <m/>
    <m/>
    <m/>
    <m/>
    <m/>
    <m/>
    <m/>
    <m/>
    <m/>
    <m/>
  </r>
  <r>
    <x v="1"/>
    <s v="Obras Previas"/>
    <s v="Habilitación SAM Nº4"/>
    <n v="22900"/>
    <s v="m2"/>
    <n v="0"/>
    <n v="1"/>
    <n v="0"/>
    <n v="0"/>
    <n v="0"/>
    <n v="0"/>
    <n v="1"/>
    <n v="4580"/>
    <m/>
    <m/>
    <m/>
    <n v="4580"/>
    <m/>
    <s v="sam4"/>
    <n v="4580"/>
    <m/>
    <m/>
    <n v="0"/>
    <m/>
    <m/>
    <n v="11.45"/>
    <n v="0"/>
    <n v="0"/>
    <n v="7891.1912314989313"/>
    <n v="0"/>
    <m/>
    <m/>
    <m/>
    <n v="0"/>
    <m/>
    <n v="0"/>
    <n v="1"/>
    <n v="0"/>
    <n v="0"/>
    <n v="0"/>
    <n v="0"/>
    <m/>
    <m/>
    <m/>
    <m/>
    <m/>
    <m/>
    <m/>
    <m/>
    <m/>
    <m/>
    <m/>
    <m/>
    <m/>
  </r>
  <r>
    <x v="1"/>
    <s v="Túneles, cavernas  y chimeneas"/>
    <s v="Túnel Volcán Minería (Desde V6 aguas arriba)"/>
    <n v="4200"/>
    <s v="m"/>
    <n v="0"/>
    <n v="0"/>
    <n v="0"/>
    <n v="0"/>
    <n v="10"/>
    <n v="3"/>
    <n v="13"/>
    <m/>
    <m/>
    <m/>
    <m/>
    <m/>
    <n v="53533.425321161507"/>
    <s v="sam2"/>
    <n v="53533.425321161507"/>
    <m/>
    <m/>
    <n v="0"/>
    <m/>
    <m/>
    <m/>
    <n v="0"/>
    <n v="0"/>
    <n v="0"/>
    <n v="139186.90583501992"/>
    <n v="1045.5747133039356"/>
    <m/>
    <m/>
    <n v="0"/>
    <m/>
    <m/>
    <m/>
    <m/>
    <m/>
    <m/>
    <m/>
    <n v="0"/>
    <n v="0"/>
    <n v="0"/>
    <n v="0"/>
    <n v="10"/>
    <n v="3"/>
    <m/>
    <m/>
    <m/>
    <m/>
    <m/>
    <m/>
    <m/>
  </r>
  <r>
    <x v="1"/>
    <s v="Túneles, cavernas  y chimeneas"/>
    <s v="Túnel Volcán TBM "/>
    <n v="5145.0885497932804"/>
    <s v="m"/>
    <n v="0"/>
    <n v="0"/>
    <n v="7"/>
    <n v="12"/>
    <n v="2"/>
    <n v="0"/>
    <n v="21"/>
    <m/>
    <m/>
    <m/>
    <m/>
    <m/>
    <n v="65579.5746788385"/>
    <s v="sam2"/>
    <n v="65579.5746788385"/>
    <m/>
    <m/>
    <n v="6.8"/>
    <m/>
    <m/>
    <m/>
    <n v="0"/>
    <n v="0"/>
    <n v="0"/>
    <n v="170506.8941649801"/>
    <m/>
    <n v="170506.8941649801"/>
    <m/>
    <n v="31852.9362725787"/>
    <m/>
    <m/>
    <m/>
    <m/>
    <m/>
    <m/>
    <m/>
    <n v="0"/>
    <n v="0"/>
    <n v="7"/>
    <n v="12"/>
    <n v="2"/>
    <n v="0"/>
    <m/>
    <m/>
    <m/>
    <m/>
    <m/>
    <m/>
    <m/>
  </r>
  <r>
    <x v="1"/>
    <s v="Túneles, cavernas  y chimeneas"/>
    <s v="Túnel Alfalfal TBM (VA4 a A10')"/>
    <n v="8400"/>
    <s v="m"/>
    <n v="0"/>
    <n v="2"/>
    <n v="12"/>
    <n v="12"/>
    <n v="12"/>
    <n v="4"/>
    <n v="42"/>
    <m/>
    <m/>
    <m/>
    <m/>
    <m/>
    <n v="150577"/>
    <s v="sam4"/>
    <n v="150577"/>
    <m/>
    <m/>
    <n v="0"/>
    <m/>
    <m/>
    <m/>
    <n v="0"/>
    <n v="0"/>
    <n v="0"/>
    <n v="391500.2"/>
    <m/>
    <n v="391500.2"/>
    <m/>
    <n v="0"/>
    <m/>
    <m/>
    <m/>
    <m/>
    <m/>
    <m/>
    <m/>
    <n v="0"/>
    <n v="2"/>
    <n v="12"/>
    <n v="12"/>
    <n v="12"/>
    <n v="4"/>
    <m/>
    <m/>
    <m/>
    <m/>
    <m/>
    <m/>
    <m/>
  </r>
  <r>
    <x v="1"/>
    <s v="Túneles, cavernas  y chimeneas"/>
    <s v="Sifón río Yeso"/>
    <n v="34000"/>
    <s v="m2"/>
    <n v="0"/>
    <n v="0"/>
    <n v="3"/>
    <n v="7"/>
    <n v="7"/>
    <n v="2"/>
    <n v="19"/>
    <n v="1980"/>
    <m/>
    <n v="95160"/>
    <n v="-67106"/>
    <n v="37570"/>
    <n v="24000"/>
    <s v="sam3"/>
    <n v="61570"/>
    <m/>
    <m/>
    <n v="1.3"/>
    <m/>
    <m/>
    <n v="17"/>
    <n v="951.6"/>
    <n v="0"/>
    <n v="64731.889643540359"/>
    <n v="62400"/>
    <n v="468.75"/>
    <m/>
    <n v="40.799999999999997"/>
    <n v="5717.2142857142853"/>
    <m/>
    <n v="0"/>
    <n v="0"/>
    <n v="1"/>
    <n v="0"/>
    <n v="0"/>
    <n v="0"/>
    <n v="0"/>
    <n v="0"/>
    <n v="2"/>
    <n v="7"/>
    <n v="7"/>
    <n v="2"/>
    <m/>
    <m/>
    <m/>
    <m/>
    <m/>
    <m/>
    <m/>
  </r>
  <r>
    <x v="1"/>
    <s v="Túneles, cavernas  y chimeneas"/>
    <s v="Operación SAM Nº2"/>
    <n v="240000"/>
    <s v="m3"/>
    <n v="0"/>
    <n v="0"/>
    <n v="7"/>
    <n v="12"/>
    <n v="12"/>
    <n v="3"/>
    <n v="34"/>
    <m/>
    <m/>
    <m/>
    <n v="-165324"/>
    <m/>
    <m/>
    <m/>
    <m/>
    <m/>
    <m/>
    <m/>
    <m/>
    <m/>
    <m/>
    <n v="0"/>
    <n v="0"/>
    <n v="0"/>
    <n v="0"/>
    <m/>
    <m/>
    <n v="1058.0736000000002"/>
    <n v="0"/>
    <m/>
    <m/>
    <m/>
    <m/>
    <m/>
    <m/>
    <m/>
    <n v="0"/>
    <n v="-1"/>
    <n v="7"/>
    <n v="12"/>
    <n v="12"/>
    <n v="3"/>
    <m/>
    <m/>
    <m/>
    <m/>
    <m/>
    <m/>
    <m/>
  </r>
  <r>
    <x v="1"/>
    <s v="Túneles, cavernas  y chimeneas"/>
    <s v="Operación SAM Nº3"/>
    <n v="70000"/>
    <s v="m3"/>
    <n v="0"/>
    <n v="0"/>
    <n v="3"/>
    <n v="7"/>
    <n v="7"/>
    <n v="2"/>
    <n v="19"/>
    <m/>
    <m/>
    <m/>
    <n v="-65190"/>
    <m/>
    <m/>
    <m/>
    <m/>
    <m/>
    <m/>
    <m/>
    <m/>
    <m/>
    <m/>
    <n v="0"/>
    <n v="0"/>
    <n v="0"/>
    <n v="0"/>
    <m/>
    <m/>
    <n v="417.21600000000001"/>
    <n v="0"/>
    <m/>
    <m/>
    <m/>
    <m/>
    <m/>
    <m/>
    <m/>
    <n v="0"/>
    <n v="0"/>
    <n v="2"/>
    <n v="7"/>
    <n v="7"/>
    <n v="2"/>
    <m/>
    <m/>
    <m/>
    <m/>
    <m/>
    <m/>
    <m/>
  </r>
  <r>
    <x v="1"/>
    <s v="Túneles, cavernas  y chimeneas"/>
    <s v="Operación SAM Nº4"/>
    <n v="275000"/>
    <s v="m3"/>
    <n v="0"/>
    <n v="2"/>
    <n v="12"/>
    <n v="12"/>
    <n v="12"/>
    <n v="4"/>
    <n v="42"/>
    <m/>
    <m/>
    <m/>
    <n v="-207257"/>
    <m/>
    <m/>
    <m/>
    <m/>
    <m/>
    <m/>
    <m/>
    <m/>
    <m/>
    <m/>
    <n v="0"/>
    <n v="0"/>
    <n v="0"/>
    <n v="0"/>
    <m/>
    <m/>
    <n v="1326.4448"/>
    <n v="0"/>
    <m/>
    <m/>
    <m/>
    <m/>
    <m/>
    <m/>
    <m/>
    <n v="0"/>
    <n v="1"/>
    <n v="12"/>
    <n v="12"/>
    <n v="12"/>
    <n v="4"/>
    <m/>
    <m/>
    <m/>
    <m/>
    <m/>
    <m/>
    <m/>
  </r>
  <r>
    <x v="1"/>
    <s v="Obras Civiles"/>
    <s v="Bocatoma El Yeso"/>
    <n v="6300"/>
    <s v="m2"/>
    <n v="0"/>
    <n v="0"/>
    <n v="3"/>
    <n v="7"/>
    <n v="7"/>
    <n v="0"/>
    <n v="17"/>
    <n v="630"/>
    <m/>
    <n v="20000"/>
    <n v="-8000"/>
    <n v="14000"/>
    <m/>
    <s v="sam2"/>
    <n v="14000"/>
    <m/>
    <m/>
    <n v="2"/>
    <m/>
    <m/>
    <n v="3.15"/>
    <n v="200"/>
    <n v="0"/>
    <n v="24121.54524912337"/>
    <n v="0"/>
    <m/>
    <m/>
    <n v="7.56"/>
    <n v="2000"/>
    <m/>
    <n v="0"/>
    <n v="0"/>
    <n v="1"/>
    <n v="0"/>
    <n v="0"/>
    <n v="0"/>
    <n v="0"/>
    <n v="0"/>
    <n v="1"/>
    <n v="0"/>
    <n v="0"/>
    <n v="0"/>
    <n v="0"/>
    <n v="0"/>
    <n v="1"/>
    <n v="7"/>
    <n v="7"/>
    <n v="0"/>
    <n v="15"/>
  </r>
  <r>
    <x v="1"/>
    <s v="Obras Civiles"/>
    <s v="Puente Río Yeso"/>
    <n v="360"/>
    <s v="m2"/>
    <n v="0"/>
    <n v="5"/>
    <n v="0"/>
    <n v="0"/>
    <n v="0"/>
    <n v="0"/>
    <n v="5"/>
    <m/>
    <m/>
    <m/>
    <m/>
    <m/>
    <m/>
    <m/>
    <m/>
    <m/>
    <m/>
    <m/>
    <m/>
    <m/>
    <m/>
    <n v="0"/>
    <n v="0"/>
    <n v="0"/>
    <n v="0"/>
    <m/>
    <m/>
    <m/>
    <n v="0"/>
    <m/>
    <m/>
    <m/>
    <m/>
    <m/>
    <m/>
    <m/>
    <m/>
    <m/>
    <m/>
    <m/>
    <m/>
    <m/>
    <n v="0"/>
    <n v="5"/>
    <n v="0"/>
    <n v="0"/>
    <n v="0"/>
    <n v="0"/>
    <n v="5"/>
  </r>
  <r>
    <x v="1"/>
    <s v="Obras Civiles"/>
    <s v="Conducción Captación Río Yeso A Conducción El Volcán "/>
    <n v="8100.0000000000009"/>
    <s v="m2"/>
    <n v="0"/>
    <n v="0"/>
    <n v="3"/>
    <n v="7"/>
    <n v="7"/>
    <n v="0"/>
    <n v="17"/>
    <n v="810"/>
    <m/>
    <n v="43900"/>
    <n v="-26340"/>
    <n v="21950"/>
    <m/>
    <s v="sam2"/>
    <n v="21950"/>
    <m/>
    <m/>
    <n v="1.2"/>
    <m/>
    <m/>
    <n v="4.0500000000000007"/>
    <n v="439"/>
    <n v="0"/>
    <n v="37819.137015589855"/>
    <n v="0"/>
    <m/>
    <m/>
    <n v="9.7200000000000024"/>
    <n v="1881.4285714285713"/>
    <m/>
    <n v="0"/>
    <n v="0"/>
    <n v="1"/>
    <n v="0"/>
    <n v="0"/>
    <n v="0"/>
    <n v="0"/>
    <n v="0"/>
    <n v="2"/>
    <n v="7"/>
    <n v="7"/>
    <n v="0"/>
    <n v="0"/>
    <n v="0"/>
    <n v="0"/>
    <n v="0"/>
    <n v="0"/>
    <n v="0"/>
    <n v="0"/>
  </r>
  <r>
    <x v="1"/>
    <s v="Obras Civiles"/>
    <s v="Obras de descarga al Rio Yeso"/>
    <n v="8300"/>
    <s v="m2"/>
    <n v="0"/>
    <n v="0"/>
    <n v="3"/>
    <n v="7"/>
    <n v="7"/>
    <n v="0"/>
    <n v="17"/>
    <n v="200"/>
    <m/>
    <n v="3015"/>
    <n v="-1206"/>
    <n v="2111"/>
    <m/>
    <s v="sam2"/>
    <n v="2111"/>
    <m/>
    <m/>
    <n v="1.8"/>
    <m/>
    <m/>
    <n v="4.1500000000000004"/>
    <n v="30.15"/>
    <n v="0"/>
    <n v="3637.1844300642456"/>
    <n v="0"/>
    <m/>
    <m/>
    <n v="9.9600000000000009"/>
    <n v="271.41428571428571"/>
    <m/>
    <n v="0"/>
    <n v="0"/>
    <n v="1"/>
    <n v="0"/>
    <n v="0"/>
    <n v="0"/>
    <n v="0"/>
    <n v="0"/>
    <n v="1"/>
    <n v="0"/>
    <n v="0"/>
    <n v="0"/>
    <n v="0"/>
    <n v="0"/>
    <n v="1"/>
    <n v="7"/>
    <n v="7"/>
    <n v="0"/>
    <n v="15"/>
  </r>
  <r>
    <x v="1"/>
    <s v="Obras Civiles"/>
    <s v="Puente Manzanito"/>
    <n v="300"/>
    <s v="m2"/>
    <n v="0"/>
    <n v="3"/>
    <n v="0"/>
    <n v="0"/>
    <n v="0"/>
    <n v="0"/>
    <n v="3"/>
    <m/>
    <m/>
    <m/>
    <m/>
    <m/>
    <m/>
    <m/>
    <m/>
    <m/>
    <m/>
    <m/>
    <m/>
    <m/>
    <m/>
    <n v="0"/>
    <n v="0"/>
    <n v="0"/>
    <n v="0"/>
    <m/>
    <m/>
    <m/>
    <n v="0"/>
    <m/>
    <m/>
    <m/>
    <m/>
    <m/>
    <m/>
    <m/>
    <m/>
    <m/>
    <m/>
    <m/>
    <m/>
    <m/>
    <n v="0"/>
    <n v="3"/>
    <n v="0"/>
    <n v="0"/>
    <n v="0"/>
    <n v="0"/>
    <n v="3"/>
  </r>
  <r>
    <x v="1"/>
    <s v="Obras Civiles"/>
    <s v="Operación Planta de Hormigón"/>
    <n v="3000"/>
    <s v="m2"/>
    <n v="0"/>
    <n v="0"/>
    <n v="3"/>
    <n v="7"/>
    <n v="7"/>
    <n v="2"/>
    <n v="19"/>
    <m/>
    <m/>
    <m/>
    <m/>
    <m/>
    <m/>
    <m/>
    <m/>
    <m/>
    <m/>
    <m/>
    <m/>
    <m/>
    <m/>
    <m/>
    <m/>
    <m/>
    <m/>
    <m/>
    <m/>
    <m/>
    <m/>
    <m/>
    <m/>
    <m/>
    <m/>
    <m/>
    <m/>
    <m/>
    <m/>
    <m/>
    <m/>
    <m/>
    <m/>
    <m/>
    <m/>
    <m/>
    <m/>
    <m/>
    <m/>
    <m/>
    <m/>
  </r>
  <r>
    <x v="2"/>
    <s v="Obras Previas"/>
    <s v=" Camino Acceso a VA2   (Aucayes Alto)  "/>
    <n v="6600"/>
    <s v="m"/>
    <n v="0"/>
    <n v="0"/>
    <n v="4"/>
    <n v="0"/>
    <n v="0"/>
    <n v="0"/>
    <n v="4"/>
    <m/>
    <n v="20000"/>
    <n v="145000"/>
    <n v="-12100"/>
    <n v="152900"/>
    <m/>
    <s v="sam5,6"/>
    <n v="75761"/>
    <n v="77139"/>
    <m/>
    <n v="6.6"/>
    <n v="5.0999999999999996"/>
    <m/>
    <m/>
    <n v="1450"/>
    <n v="200"/>
    <n v="263441.7334707831"/>
    <n v="0"/>
    <m/>
    <m/>
    <n v="105.6"/>
    <n v="63816.535714285717"/>
    <m/>
    <n v="0"/>
    <n v="0"/>
    <n v="1"/>
    <n v="0"/>
    <n v="0"/>
    <n v="0"/>
    <n v="0"/>
    <n v="0"/>
    <n v="3"/>
    <n v="0"/>
    <n v="0"/>
    <n v="0"/>
    <m/>
    <m/>
    <m/>
    <m/>
    <m/>
    <m/>
    <m/>
  </r>
  <r>
    <x v="2"/>
    <s v="Obras Previas"/>
    <s v="Habilitación SAM Nº5"/>
    <n v="24400"/>
    <s v="m2"/>
    <n v="0"/>
    <n v="0"/>
    <n v="1"/>
    <n v="0"/>
    <n v="0"/>
    <n v="0"/>
    <n v="1"/>
    <n v="4880"/>
    <m/>
    <m/>
    <m/>
    <n v="4880"/>
    <m/>
    <s v="sam5"/>
    <n v="4880"/>
    <m/>
    <m/>
    <n v="0"/>
    <m/>
    <m/>
    <n v="12.2"/>
    <n v="0"/>
    <n v="0"/>
    <n v="8408.081486837289"/>
    <n v="0"/>
    <m/>
    <m/>
    <m/>
    <n v="0"/>
    <m/>
    <n v="0"/>
    <n v="0"/>
    <n v="1"/>
    <n v="0"/>
    <n v="0"/>
    <n v="0"/>
    <m/>
    <m/>
    <m/>
    <m/>
    <m/>
    <m/>
    <m/>
    <m/>
    <m/>
    <m/>
    <m/>
    <m/>
    <m/>
  </r>
  <r>
    <x v="2"/>
    <s v="Obras Previas"/>
    <s v="Habilitación SAM Nº6"/>
    <n v="22400.000000000004"/>
    <s v="m2"/>
    <n v="0"/>
    <n v="1"/>
    <n v="0"/>
    <n v="0"/>
    <n v="0"/>
    <n v="0"/>
    <n v="1"/>
    <n v="4480.0000000000009"/>
    <m/>
    <m/>
    <m/>
    <n v="4480.0000000000009"/>
    <m/>
    <s v="sam6"/>
    <n v="4480.0000000000009"/>
    <m/>
    <m/>
    <n v="0"/>
    <m/>
    <m/>
    <n v="11.200000000000001"/>
    <n v="0"/>
    <n v="0"/>
    <n v="7718.8944797194799"/>
    <n v="0"/>
    <m/>
    <m/>
    <m/>
    <n v="0"/>
    <m/>
    <n v="0"/>
    <n v="1"/>
    <n v="0"/>
    <n v="0"/>
    <n v="0"/>
    <n v="0"/>
    <m/>
    <m/>
    <m/>
    <m/>
    <m/>
    <m/>
    <m/>
    <m/>
    <m/>
    <m/>
    <m/>
    <m/>
    <m/>
  </r>
  <r>
    <x v="2"/>
    <s v="Túneles, cavernas  y chimeneas"/>
    <s v="Túnel Alfalfal II Aducción TBM (VA2 a A10')"/>
    <n v="6600"/>
    <s v="m"/>
    <n v="0"/>
    <n v="0"/>
    <n v="7"/>
    <n v="12"/>
    <n v="10"/>
    <n v="0"/>
    <n v="29"/>
    <m/>
    <m/>
    <m/>
    <m/>
    <m/>
    <n v="273459"/>
    <s v="sam5"/>
    <n v="273459"/>
    <m/>
    <m/>
    <n v="0"/>
    <m/>
    <m/>
    <m/>
    <n v="0"/>
    <n v="0"/>
    <n v="0"/>
    <n v="710993.4"/>
    <m/>
    <n v="710993.4"/>
    <m/>
    <n v="0"/>
    <m/>
    <m/>
    <m/>
    <m/>
    <m/>
    <m/>
    <m/>
    <n v="0"/>
    <n v="0"/>
    <n v="7"/>
    <n v="12"/>
    <n v="10"/>
    <n v="0"/>
    <m/>
    <m/>
    <m/>
    <m/>
    <m/>
    <m/>
    <m/>
  </r>
  <r>
    <x v="2"/>
    <s v="Túneles, cavernas  y chimeneas"/>
    <s v="Operación SAM Nº5"/>
    <n v="620000"/>
    <s v="m3"/>
    <n v="0"/>
    <n v="0"/>
    <n v="7"/>
    <n v="12"/>
    <n v="10"/>
    <n v="0"/>
    <n v="29"/>
    <m/>
    <m/>
    <m/>
    <n v="-474151"/>
    <m/>
    <m/>
    <m/>
    <m/>
    <m/>
    <m/>
    <m/>
    <m/>
    <m/>
    <m/>
    <n v="0"/>
    <n v="0"/>
    <n v="0"/>
    <n v="0"/>
    <m/>
    <m/>
    <n v="3034.5663999999997"/>
    <n v="0"/>
    <m/>
    <m/>
    <m/>
    <m/>
    <m/>
    <m/>
    <m/>
    <n v="0"/>
    <n v="0"/>
    <n v="6"/>
    <n v="12"/>
    <n v="10"/>
    <n v="0"/>
    <m/>
    <m/>
    <m/>
    <m/>
    <m/>
    <m/>
    <m/>
  </r>
  <r>
    <x v="2"/>
    <s v="Túneles, cavernas  y chimeneas"/>
    <s v="Operación SAM Nº6"/>
    <n v="176000"/>
    <s v="m3"/>
    <n v="0"/>
    <n v="0"/>
    <n v="4"/>
    <n v="0"/>
    <n v="0"/>
    <n v="0"/>
    <n v="4"/>
    <m/>
    <m/>
    <m/>
    <n v="-176000"/>
    <m/>
    <m/>
    <m/>
    <m/>
    <m/>
    <m/>
    <m/>
    <m/>
    <m/>
    <m/>
    <n v="0"/>
    <n v="0"/>
    <n v="0"/>
    <n v="0"/>
    <m/>
    <m/>
    <n v="1126.4000000000001"/>
    <n v="0"/>
    <m/>
    <m/>
    <m/>
    <m/>
    <m/>
    <m/>
    <m/>
    <n v="0"/>
    <n v="-1"/>
    <n v="4"/>
    <n v="0"/>
    <n v="0"/>
    <n v="0"/>
    <m/>
    <m/>
    <m/>
    <m/>
    <m/>
    <m/>
    <m/>
  </r>
  <r>
    <x v="2"/>
    <s v="Obras Civiles"/>
    <s v="Puente Aucayes"/>
    <n v="420"/>
    <s v="m2"/>
    <n v="0"/>
    <n v="3"/>
    <n v="0"/>
    <n v="0"/>
    <n v="0"/>
    <n v="0"/>
    <n v="3"/>
    <m/>
    <m/>
    <m/>
    <m/>
    <m/>
    <m/>
    <m/>
    <m/>
    <m/>
    <m/>
    <m/>
    <m/>
    <m/>
    <m/>
    <n v="0"/>
    <n v="0"/>
    <n v="0"/>
    <n v="0"/>
    <m/>
    <m/>
    <m/>
    <n v="0"/>
    <m/>
    <m/>
    <m/>
    <m/>
    <m/>
    <m/>
    <m/>
    <m/>
    <m/>
    <m/>
    <m/>
    <m/>
    <m/>
    <n v="0"/>
    <n v="3"/>
    <n v="0"/>
    <n v="0"/>
    <n v="0"/>
    <n v="0"/>
    <n v="3"/>
  </r>
  <r>
    <x v="2"/>
    <s v="Obras Civiles"/>
    <s v="Operación Planta de Hormigón"/>
    <n v="3000"/>
    <s v="m2"/>
    <n v="0"/>
    <n v="0"/>
    <n v="7"/>
    <n v="12"/>
    <n v="10"/>
    <n v="0"/>
    <n v="29"/>
    <m/>
    <m/>
    <m/>
    <m/>
    <m/>
    <m/>
    <m/>
    <m/>
    <m/>
    <m/>
    <m/>
    <m/>
    <m/>
    <m/>
    <m/>
    <m/>
    <m/>
    <m/>
    <m/>
    <m/>
    <m/>
    <m/>
    <m/>
    <m/>
    <m/>
    <m/>
    <m/>
    <m/>
    <m/>
    <m/>
    <m/>
    <m/>
    <m/>
    <m/>
    <m/>
    <m/>
    <m/>
    <m/>
    <m/>
    <m/>
    <m/>
    <m/>
  </r>
  <r>
    <x v="3"/>
    <s v="Obras Previas"/>
    <s v=" Camino Acceso a Deposito de Marina desde VA1  "/>
    <n v="3000"/>
    <s v="m"/>
    <n v="0"/>
    <n v="3"/>
    <n v="0"/>
    <n v="0"/>
    <n v="0"/>
    <n v="0"/>
    <n v="3"/>
    <m/>
    <n v="15000"/>
    <n v="35000"/>
    <n v="-1814"/>
    <n v="48186"/>
    <m/>
    <s v="sam9"/>
    <n v="48186"/>
    <m/>
    <m/>
    <n v="3"/>
    <m/>
    <m/>
    <m/>
    <n v="350"/>
    <n v="150"/>
    <n v="83022.912812447059"/>
    <n v="0"/>
    <m/>
    <m/>
    <n v="48"/>
    <n v="10325.571428571429"/>
    <m/>
    <n v="0"/>
    <n v="1"/>
    <n v="0"/>
    <n v="0"/>
    <n v="0"/>
    <n v="0"/>
    <n v="0"/>
    <n v="2"/>
    <n v="0"/>
    <n v="0"/>
    <n v="0"/>
    <n v="0"/>
    <m/>
    <m/>
    <m/>
    <m/>
    <m/>
    <m/>
    <m/>
  </r>
  <r>
    <x v="3"/>
    <s v="Obras Previas"/>
    <s v=" Camino Acceso Central Alfalfal II (VA1)  "/>
    <n v="1500"/>
    <s v="m"/>
    <n v="0"/>
    <n v="5"/>
    <n v="0"/>
    <n v="0"/>
    <n v="0"/>
    <n v="0"/>
    <n v="5"/>
    <m/>
    <n v="106000"/>
    <n v="155000"/>
    <n v="-25500"/>
    <n v="235500"/>
    <m/>
    <s v="sam6,9"/>
    <n v="94381"/>
    <n v="141119"/>
    <m/>
    <n v="1.5"/>
    <n v="1.5"/>
    <m/>
    <m/>
    <n v="1550"/>
    <n v="1060"/>
    <n v="405758.85044061102"/>
    <n v="0"/>
    <m/>
    <m/>
    <n v="24"/>
    <n v="25232.142857142859"/>
    <m/>
    <n v="0"/>
    <n v="1"/>
    <n v="0"/>
    <n v="0"/>
    <n v="0"/>
    <n v="0"/>
    <n v="0"/>
    <n v="4"/>
    <n v="0"/>
    <n v="0"/>
    <n v="0"/>
    <n v="0"/>
    <m/>
    <m/>
    <m/>
    <m/>
    <m/>
    <m/>
    <m/>
  </r>
  <r>
    <x v="3"/>
    <s v="Obras Previas"/>
    <s v=" Camino a Cámara de Carga Alfalfal II  "/>
    <n v="7600"/>
    <s v="m"/>
    <n v="0"/>
    <n v="0"/>
    <n v="7"/>
    <n v="0"/>
    <n v="0"/>
    <n v="0"/>
    <n v="7"/>
    <m/>
    <n v="25000"/>
    <n v="69691"/>
    <n v="-34000"/>
    <n v="60691"/>
    <m/>
    <s v="sam5"/>
    <n v="60691"/>
    <m/>
    <m/>
    <n v="7.6"/>
    <m/>
    <m/>
    <m/>
    <n v="696.91"/>
    <n v="250"/>
    <n v="104568.6216224676"/>
    <n v="0"/>
    <m/>
    <m/>
    <n v="121.6"/>
    <n v="32946.542857142857"/>
    <m/>
    <n v="0"/>
    <n v="0"/>
    <n v="1"/>
    <n v="0"/>
    <n v="0"/>
    <n v="0"/>
    <n v="0"/>
    <n v="0"/>
    <n v="6"/>
    <n v="0"/>
    <n v="0"/>
    <n v="0"/>
    <m/>
    <m/>
    <m/>
    <m/>
    <m/>
    <m/>
    <m/>
  </r>
  <r>
    <x v="3"/>
    <s v="Obras Previas"/>
    <s v="Habilitación SAM Nº9"/>
    <n v="55500"/>
    <s v="m2"/>
    <n v="0"/>
    <n v="1"/>
    <n v="0"/>
    <n v="0"/>
    <n v="0"/>
    <n v="0"/>
    <n v="1"/>
    <n v="11100"/>
    <m/>
    <m/>
    <m/>
    <n v="11100"/>
    <m/>
    <s v="sam9"/>
    <n v="11100"/>
    <m/>
    <m/>
    <n v="0"/>
    <m/>
    <m/>
    <n v="27.75"/>
    <n v="0"/>
    <n v="0"/>
    <n v="19124.939447519246"/>
    <n v="0"/>
    <m/>
    <m/>
    <m/>
    <n v="0"/>
    <m/>
    <n v="0"/>
    <n v="1"/>
    <n v="0"/>
    <n v="0"/>
    <n v="0"/>
    <n v="0"/>
    <m/>
    <m/>
    <m/>
    <m/>
    <m/>
    <m/>
    <m/>
    <m/>
    <m/>
    <m/>
    <m/>
    <m/>
    <m/>
  </r>
  <r>
    <x v="3"/>
    <s v="Túneles, cavernas  y chimeneas"/>
    <s v="Túnel Acceso Alfalfal II (VA1)"/>
    <n v="2400"/>
    <s v="m"/>
    <n v="0"/>
    <n v="2"/>
    <n v="12"/>
    <n v="6"/>
    <n v="0"/>
    <n v="0"/>
    <n v="20"/>
    <m/>
    <m/>
    <m/>
    <m/>
    <m/>
    <n v="80030.117647058825"/>
    <s v="sam9"/>
    <n v="80030.117647058825"/>
    <m/>
    <m/>
    <n v="3"/>
    <m/>
    <m/>
    <m/>
    <n v="0"/>
    <n v="0"/>
    <n v="0"/>
    <n v="208078.30588235296"/>
    <n v="1563.0882352941176"/>
    <m/>
    <m/>
    <n v="17149.310924369747"/>
    <m/>
    <m/>
    <m/>
    <m/>
    <m/>
    <m/>
    <m/>
    <n v="0"/>
    <n v="2"/>
    <n v="12"/>
    <n v="6"/>
    <n v="0"/>
    <n v="0"/>
    <m/>
    <m/>
    <m/>
    <m/>
    <m/>
    <m/>
    <m/>
  </r>
  <r>
    <x v="3"/>
    <s v="Túneles, cavernas  y chimeneas"/>
    <s v="Caverna y Otros Alfalfal II "/>
    <n v="1500"/>
    <s v="m2"/>
    <n v="0"/>
    <n v="0"/>
    <n v="0"/>
    <n v="6"/>
    <n v="3"/>
    <n v="0"/>
    <n v="9"/>
    <m/>
    <m/>
    <m/>
    <m/>
    <m/>
    <n v="14160"/>
    <s v="sam9"/>
    <n v="14160"/>
    <m/>
    <m/>
    <n v="14.2"/>
    <m/>
    <m/>
    <m/>
    <n v="0"/>
    <n v="0"/>
    <n v="0"/>
    <n v="36816"/>
    <n v="276.5625"/>
    <m/>
    <m/>
    <n v="14362.285714285714"/>
    <m/>
    <m/>
    <m/>
    <m/>
    <m/>
    <m/>
    <m/>
    <n v="0"/>
    <n v="0"/>
    <n v="0"/>
    <n v="6"/>
    <n v="3"/>
    <n v="0"/>
    <m/>
    <m/>
    <m/>
    <m/>
    <m/>
    <m/>
    <m/>
  </r>
  <r>
    <x v="3"/>
    <s v="Túneles, cavernas  y chimeneas"/>
    <s v="Excavación Pique - Chimenea TBM"/>
    <n v="1000"/>
    <s v="m"/>
    <n v="0"/>
    <n v="0"/>
    <n v="0"/>
    <n v="5"/>
    <n v="10"/>
    <n v="0"/>
    <n v="15"/>
    <m/>
    <m/>
    <m/>
    <m/>
    <m/>
    <n v="33345.882352941175"/>
    <s v="sam9"/>
    <n v="33345.882352941175"/>
    <m/>
    <m/>
    <n v="0"/>
    <m/>
    <m/>
    <m/>
    <n v="0"/>
    <n v="0"/>
    <n v="0"/>
    <n v="86699.294117647063"/>
    <n v="651.28676470588232"/>
    <m/>
    <m/>
    <n v="0"/>
    <m/>
    <m/>
    <m/>
    <m/>
    <m/>
    <m/>
    <m/>
    <n v="0"/>
    <n v="0"/>
    <n v="0"/>
    <n v="5"/>
    <n v="10"/>
    <n v="0"/>
    <m/>
    <m/>
    <m/>
    <m/>
    <m/>
    <m/>
    <m/>
  </r>
  <r>
    <x v="3"/>
    <s v="Túneles, cavernas  y chimeneas"/>
    <s v="Túnel Descarga Alfalfal II (Hasta L10')"/>
    <n v="3400"/>
    <s v="m"/>
    <n v="0"/>
    <n v="0"/>
    <n v="0"/>
    <n v="7"/>
    <n v="3"/>
    <n v="0"/>
    <n v="10"/>
    <m/>
    <m/>
    <m/>
    <m/>
    <m/>
    <n v="113376"/>
    <s v="sam9"/>
    <n v="113376"/>
    <m/>
    <m/>
    <n v="10.5"/>
    <m/>
    <m/>
    <m/>
    <n v="0"/>
    <n v="0"/>
    <n v="0"/>
    <n v="294777.60000000003"/>
    <n v="2214.375"/>
    <m/>
    <m/>
    <n v="85032"/>
    <m/>
    <m/>
    <m/>
    <m/>
    <m/>
    <m/>
    <m/>
    <n v="0"/>
    <n v="0"/>
    <n v="0"/>
    <n v="7"/>
    <n v="3"/>
    <n v="0"/>
    <m/>
    <m/>
    <m/>
    <m/>
    <m/>
    <m/>
    <m/>
  </r>
  <r>
    <x v="3"/>
    <s v="Túneles, cavernas  y chimeneas"/>
    <s v="Cámara de Carga"/>
    <n v="73000"/>
    <s v="m2"/>
    <n v="0"/>
    <n v="0"/>
    <n v="0"/>
    <n v="3"/>
    <n v="2"/>
    <n v="0"/>
    <n v="5"/>
    <m/>
    <m/>
    <m/>
    <m/>
    <m/>
    <n v="59360"/>
    <s v="sam5"/>
    <n v="59360"/>
    <m/>
    <m/>
    <n v="7.6"/>
    <m/>
    <m/>
    <m/>
    <n v="0"/>
    <n v="0"/>
    <n v="0"/>
    <n v="154336"/>
    <n v="1159.375"/>
    <m/>
    <m/>
    <n v="32224"/>
    <m/>
    <m/>
    <m/>
    <m/>
    <m/>
    <m/>
    <m/>
    <n v="0"/>
    <n v="0"/>
    <n v="0"/>
    <n v="3"/>
    <n v="2"/>
    <n v="0"/>
    <m/>
    <m/>
    <m/>
    <m/>
    <m/>
    <m/>
    <m/>
  </r>
  <r>
    <x v="3"/>
    <s v="Túneles, cavernas  y chimeneas"/>
    <s v="Operación SAM Nº9"/>
    <n v="620000"/>
    <s v="m3"/>
    <n v="0"/>
    <n v="5"/>
    <n v="0"/>
    <n v="0"/>
    <n v="0"/>
    <n v="0"/>
    <n v="5"/>
    <m/>
    <m/>
    <m/>
    <n v="-620000"/>
    <m/>
    <m/>
    <m/>
    <m/>
    <m/>
    <m/>
    <m/>
    <m/>
    <m/>
    <m/>
    <n v="0"/>
    <n v="0"/>
    <n v="0"/>
    <n v="0"/>
    <m/>
    <m/>
    <n v="3968"/>
    <n v="0"/>
    <m/>
    <m/>
    <m/>
    <m/>
    <m/>
    <m/>
    <m/>
    <n v="0"/>
    <n v="4"/>
    <n v="0"/>
    <n v="0"/>
    <n v="0"/>
    <n v="0"/>
    <m/>
    <m/>
    <m/>
    <m/>
    <m/>
    <m/>
    <m/>
  </r>
  <r>
    <x v="3"/>
    <s v="Túneles, cavernas  y chimeneas"/>
    <s v="Obras Civiles Caverna Alfalfal II"/>
    <n v="1500"/>
    <s v="m2"/>
    <n v="0"/>
    <n v="0"/>
    <n v="9"/>
    <n v="11"/>
    <n v="0"/>
    <n v="0"/>
    <n v="20"/>
    <m/>
    <m/>
    <m/>
    <m/>
    <m/>
    <m/>
    <m/>
    <m/>
    <m/>
    <m/>
    <m/>
    <m/>
    <m/>
    <m/>
    <n v="0"/>
    <n v="0"/>
    <n v="0"/>
    <n v="0"/>
    <m/>
    <m/>
    <m/>
    <n v="0"/>
    <m/>
    <m/>
    <m/>
    <m/>
    <m/>
    <m/>
    <m/>
    <m/>
    <m/>
    <m/>
    <m/>
    <m/>
    <m/>
    <m/>
    <m/>
    <m/>
    <m/>
    <m/>
    <m/>
    <m/>
  </r>
  <r>
    <x v="4"/>
    <s v="Obras Previas"/>
    <s v="Instalación AAFF 7"/>
    <e v="#REF!"/>
    <s v="m2"/>
    <n v="0"/>
    <n v="0"/>
    <n v="1"/>
    <n v="0"/>
    <n v="0"/>
    <n v="0"/>
    <n v="1"/>
    <e v="#REF!"/>
    <m/>
    <m/>
    <m/>
    <e v="#REF!"/>
    <m/>
    <s v="sam12"/>
    <e v="#REF!"/>
    <m/>
    <m/>
    <m/>
    <m/>
    <m/>
    <e v="#REF!"/>
    <n v="0"/>
    <n v="0"/>
    <e v="#REF!"/>
    <n v="0"/>
    <m/>
    <m/>
    <m/>
    <e v="#REF!"/>
    <m/>
    <n v="0"/>
    <n v="0"/>
    <n v="1"/>
    <n v="0"/>
    <n v="0"/>
    <n v="0"/>
    <m/>
    <m/>
    <m/>
    <m/>
    <m/>
    <m/>
    <m/>
    <m/>
    <m/>
    <m/>
    <m/>
    <m/>
    <m/>
  </r>
  <r>
    <x v="4"/>
    <s v="Obras Previas"/>
    <s v=" Camino Acceso a Central Las Lajas  "/>
    <n v="500"/>
    <s v="m"/>
    <n v="2"/>
    <n v="1"/>
    <n v="0"/>
    <n v="0"/>
    <n v="0"/>
    <n v="0"/>
    <n v="3"/>
    <m/>
    <n v="0"/>
    <n v="12000"/>
    <n v="-3800"/>
    <n v="8200"/>
    <m/>
    <s v="sam7,9"/>
    <n v="5160"/>
    <n v="3040"/>
    <m/>
    <n v="8.9"/>
    <n v="6.7"/>
    <m/>
    <m/>
    <n v="120"/>
    <n v="0"/>
    <n v="14128.333645915118"/>
    <n v="0"/>
    <m/>
    <m/>
    <n v="8"/>
    <m/>
    <n v="4735.1428571428569"/>
    <n v="1"/>
    <n v="0"/>
    <n v="0"/>
    <n v="0"/>
    <n v="0"/>
    <n v="0"/>
    <n v="1"/>
    <n v="1"/>
    <n v="0"/>
    <n v="0"/>
    <n v="0"/>
    <n v="0"/>
    <m/>
    <m/>
    <m/>
    <m/>
    <m/>
    <m/>
    <m/>
  </r>
  <r>
    <x v="4"/>
    <s v="Obras Previas"/>
    <s v=" Camino Acceso a VL5  "/>
    <n v="300"/>
    <s v="m"/>
    <n v="0"/>
    <n v="0"/>
    <n v="1"/>
    <n v="0"/>
    <n v="0"/>
    <n v="0"/>
    <n v="1"/>
    <m/>
    <n v="140"/>
    <n v="13050"/>
    <n v="-1490"/>
    <n v="11700"/>
    <m/>
    <s v="sam11"/>
    <n v="11700"/>
    <m/>
    <m/>
    <n v="0.5"/>
    <m/>
    <m/>
    <m/>
    <n v="130.5"/>
    <n v="1.4"/>
    <n v="20158.719958195961"/>
    <n v="0"/>
    <m/>
    <m/>
    <n v="4.8"/>
    <n v="417.85714285714283"/>
    <m/>
    <n v="0"/>
    <n v="0"/>
    <n v="1"/>
    <n v="0"/>
    <n v="0"/>
    <n v="0"/>
    <n v="0"/>
    <n v="0"/>
    <n v="0"/>
    <n v="0"/>
    <n v="0"/>
    <n v="0"/>
    <m/>
    <m/>
    <m/>
    <m/>
    <m/>
    <m/>
    <m/>
  </r>
  <r>
    <x v="4"/>
    <s v="Obras Previas"/>
    <s v="Habilitación SAM Nº7"/>
    <n v="21200"/>
    <s v="m2"/>
    <n v="0"/>
    <n v="0"/>
    <n v="1"/>
    <n v="0"/>
    <n v="0"/>
    <n v="0"/>
    <n v="1"/>
    <n v="4240"/>
    <m/>
    <m/>
    <m/>
    <n v="4240"/>
    <m/>
    <s v="sam7"/>
    <n v="4240"/>
    <m/>
    <m/>
    <n v="0"/>
    <m/>
    <m/>
    <n v="10.6"/>
    <n v="0"/>
    <n v="0"/>
    <n v="7305.3822754487928"/>
    <n v="0"/>
    <m/>
    <m/>
    <m/>
    <n v="0"/>
    <m/>
    <n v="0"/>
    <n v="0"/>
    <n v="1"/>
    <n v="0"/>
    <n v="0"/>
    <n v="0"/>
    <m/>
    <m/>
    <m/>
    <m/>
    <m/>
    <m/>
    <m/>
    <m/>
    <m/>
    <m/>
    <m/>
    <m/>
    <m/>
  </r>
  <r>
    <x v="4"/>
    <s v="Obras Previas"/>
    <s v="Habilitación SAM Nº8"/>
    <n v="30900"/>
    <s v="m2"/>
    <n v="0"/>
    <n v="1"/>
    <n v="0"/>
    <n v="0"/>
    <n v="0"/>
    <n v="0"/>
    <n v="1"/>
    <n v="6180"/>
    <m/>
    <m/>
    <m/>
    <n v="6180"/>
    <m/>
    <s v="sam8"/>
    <n v="6180"/>
    <m/>
    <m/>
    <n v="0"/>
    <m/>
    <m/>
    <n v="15.45"/>
    <n v="0"/>
    <n v="0"/>
    <n v="10647.939259970173"/>
    <n v="0"/>
    <m/>
    <m/>
    <m/>
    <n v="0"/>
    <m/>
    <n v="0"/>
    <n v="1"/>
    <n v="0"/>
    <n v="0"/>
    <n v="0"/>
    <n v="0"/>
    <m/>
    <m/>
    <m/>
    <m/>
    <m/>
    <m/>
    <m/>
    <m/>
    <m/>
    <m/>
    <m/>
    <m/>
    <m/>
  </r>
  <r>
    <x v="4"/>
    <s v="Obras Previas"/>
    <s v="Habilitación SAM Nº10"/>
    <n v="11700"/>
    <s v="m2"/>
    <n v="0"/>
    <n v="0"/>
    <n v="1"/>
    <n v="0"/>
    <n v="0"/>
    <n v="0"/>
    <n v="1"/>
    <n v="2340"/>
    <m/>
    <m/>
    <m/>
    <n v="2340"/>
    <m/>
    <s v="sam10"/>
    <n v="2340"/>
    <m/>
    <m/>
    <n v="0"/>
    <m/>
    <m/>
    <n v="5.85"/>
    <n v="0"/>
    <n v="0"/>
    <n v="4031.7439916391922"/>
    <n v="0"/>
    <m/>
    <m/>
    <m/>
    <n v="0"/>
    <m/>
    <n v="0"/>
    <n v="0"/>
    <n v="1"/>
    <n v="0"/>
    <n v="0"/>
    <n v="0"/>
    <m/>
    <m/>
    <m/>
    <m/>
    <m/>
    <m/>
    <m/>
    <m/>
    <m/>
    <m/>
    <m/>
    <m/>
    <m/>
  </r>
  <r>
    <x v="4"/>
    <s v="Obras Previas"/>
    <s v="Habilitación SAM Nº11"/>
    <n v="16300"/>
    <s v="m2"/>
    <n v="1"/>
    <n v="0"/>
    <n v="0"/>
    <n v="0"/>
    <n v="0"/>
    <n v="0"/>
    <n v="1"/>
    <n v="3260"/>
    <m/>
    <m/>
    <m/>
    <n v="3260"/>
    <m/>
    <s v="sam11"/>
    <n v="3260"/>
    <m/>
    <m/>
    <n v="0"/>
    <m/>
    <m/>
    <n v="8.15"/>
    <n v="0"/>
    <n v="0"/>
    <n v="5616.8741080101563"/>
    <n v="0"/>
    <m/>
    <m/>
    <m/>
    <n v="0"/>
    <m/>
    <n v="1"/>
    <n v="0"/>
    <n v="0"/>
    <n v="0"/>
    <n v="0"/>
    <n v="0"/>
    <m/>
    <m/>
    <m/>
    <m/>
    <m/>
    <m/>
    <m/>
    <m/>
    <m/>
    <m/>
    <m/>
    <m/>
    <m/>
  </r>
  <r>
    <x v="4"/>
    <s v="Obras Previas"/>
    <s v="Habilitación SAM Nº13"/>
    <n v="11200"/>
    <s v="m2"/>
    <n v="0"/>
    <n v="0"/>
    <n v="1"/>
    <n v="0"/>
    <n v="0"/>
    <n v="0"/>
    <n v="1"/>
    <n v="2240"/>
    <m/>
    <m/>
    <m/>
    <n v="2240"/>
    <m/>
    <s v="sam13"/>
    <n v="2240"/>
    <m/>
    <m/>
    <n v="0"/>
    <m/>
    <m/>
    <n v="5.6"/>
    <n v="0"/>
    <n v="0"/>
    <n v="3859.4472398597395"/>
    <n v="0"/>
    <m/>
    <m/>
    <m/>
    <n v="0"/>
    <m/>
    <n v="0"/>
    <n v="0"/>
    <n v="1"/>
    <n v="0"/>
    <n v="0"/>
    <n v="0"/>
    <m/>
    <m/>
    <m/>
    <m/>
    <m/>
    <m/>
    <m/>
    <m/>
    <m/>
    <m/>
    <m/>
    <m/>
    <m/>
  </r>
  <r>
    <x v="4"/>
    <s v="Obras Previas"/>
    <s v="Habilitación SAM Nº14"/>
    <n v="29700"/>
    <s v="m2"/>
    <n v="1"/>
    <n v="0"/>
    <n v="1"/>
    <n v="0"/>
    <n v="0"/>
    <n v="0"/>
    <n v="2"/>
    <n v="5940"/>
    <m/>
    <m/>
    <m/>
    <n v="5940"/>
    <m/>
    <s v="sam14"/>
    <n v="5940"/>
    <m/>
    <m/>
    <n v="0"/>
    <m/>
    <m/>
    <n v="14.85"/>
    <n v="0"/>
    <n v="0"/>
    <n v="10234.427055699487"/>
    <n v="0"/>
    <m/>
    <m/>
    <m/>
    <n v="0"/>
    <m/>
    <n v="1"/>
    <n v="0"/>
    <n v="0"/>
    <n v="0"/>
    <n v="0"/>
    <n v="0"/>
    <m/>
    <m/>
    <m/>
    <m/>
    <m/>
    <m/>
    <m/>
    <m/>
    <m/>
    <m/>
    <m/>
    <m/>
    <m/>
  </r>
  <r>
    <x v="4"/>
    <s v="Obras Previas"/>
    <s v="Habilitación SAM Nº12"/>
    <n v="23600"/>
    <s v="m2"/>
    <n v="0"/>
    <n v="0"/>
    <n v="1"/>
    <n v="0"/>
    <n v="0"/>
    <n v="0"/>
    <n v="1"/>
    <n v="4720"/>
    <m/>
    <m/>
    <m/>
    <n v="4720"/>
    <m/>
    <s v="sam12"/>
    <n v="4720"/>
    <m/>
    <m/>
    <n v="0"/>
    <m/>
    <m/>
    <n v="11.8"/>
    <n v="0"/>
    <n v="0"/>
    <n v="8132.4066839901652"/>
    <n v="0"/>
    <m/>
    <m/>
    <m/>
    <n v="0"/>
    <m/>
    <n v="0"/>
    <n v="0"/>
    <n v="1"/>
    <n v="0"/>
    <n v="0"/>
    <n v="0"/>
    <m/>
    <m/>
    <m/>
    <m/>
    <m/>
    <m/>
    <m/>
    <m/>
    <m/>
    <m/>
    <m/>
    <m/>
    <m/>
  </r>
  <r>
    <x v="4"/>
    <s v="Túneles, cavernas  y chimeneas"/>
    <s v="Ventana El 300 (VL7 - L12)"/>
    <n v="300"/>
    <s v="m"/>
    <n v="0"/>
    <n v="1"/>
    <n v="1"/>
    <n v="0"/>
    <n v="0"/>
    <n v="0"/>
    <n v="2"/>
    <m/>
    <m/>
    <m/>
    <m/>
    <m/>
    <n v="5298.0633410966493"/>
    <s v="sam7"/>
    <n v="5298.0633410966493"/>
    <m/>
    <m/>
    <n v="0"/>
    <m/>
    <m/>
    <m/>
    <n v="0"/>
    <n v="0"/>
    <n v="0"/>
    <n v="13774.964686851288"/>
    <n v="103.47779963079392"/>
    <m/>
    <m/>
    <n v="0"/>
    <m/>
    <m/>
    <m/>
    <m/>
    <m/>
    <m/>
    <m/>
    <n v="0"/>
    <n v="1"/>
    <n v="1"/>
    <n v="0"/>
    <n v="0"/>
    <n v="0"/>
    <m/>
    <m/>
    <m/>
    <m/>
    <m/>
    <m/>
    <m/>
  </r>
  <r>
    <x v="4"/>
    <s v="Túneles, cavernas  y chimeneas"/>
    <s v="Ventana El 300, Frentes Auxiliares (L12 a VL8)"/>
    <n v="1710"/>
    <s v="m"/>
    <n v="0"/>
    <n v="0"/>
    <n v="10"/>
    <n v="1"/>
    <n v="0"/>
    <n v="0"/>
    <n v="11"/>
    <m/>
    <m/>
    <m/>
    <m/>
    <m/>
    <n v="30198.961044250904"/>
    <s v="sam7"/>
    <n v="30198.961044250904"/>
    <m/>
    <m/>
    <n v="8.9"/>
    <m/>
    <m/>
    <m/>
    <n v="0"/>
    <n v="0"/>
    <n v="0"/>
    <n v="78517.298715052355"/>
    <n v="589.82345789552539"/>
    <m/>
    <m/>
    <m/>
    <n v="19197.910949559504"/>
    <m/>
    <m/>
    <m/>
    <m/>
    <m/>
    <m/>
    <n v="0"/>
    <n v="0"/>
    <n v="10"/>
    <n v="1"/>
    <n v="0"/>
    <n v="0"/>
    <m/>
    <m/>
    <m/>
    <m/>
    <m/>
    <m/>
    <m/>
  </r>
  <r>
    <x v="4"/>
    <s v="Túneles, cavernas  y chimeneas"/>
    <s v="Ventana El 300, Frente Principal (L12 a L10 + 601m.)"/>
    <n v="4864.21"/>
    <s v="m"/>
    <n v="0"/>
    <n v="0"/>
    <n v="11"/>
    <n v="12"/>
    <n v="1"/>
    <n v="0"/>
    <n v="24"/>
    <m/>
    <m/>
    <m/>
    <m/>
    <m/>
    <n v="85902.975614652445"/>
    <s v="sam7"/>
    <n v="85902.975614652445"/>
    <m/>
    <m/>
    <n v="8.9"/>
    <m/>
    <m/>
    <m/>
    <n v="0"/>
    <n v="0"/>
    <n v="0"/>
    <n v="223347.73659809635"/>
    <n v="1677.7924924736806"/>
    <m/>
    <m/>
    <m/>
    <n v="54609.74878360048"/>
    <m/>
    <m/>
    <m/>
    <m/>
    <m/>
    <m/>
    <n v="0"/>
    <n v="0"/>
    <n v="11"/>
    <n v="12"/>
    <n v="1"/>
    <n v="0"/>
    <m/>
    <m/>
    <m/>
    <m/>
    <m/>
    <m/>
    <m/>
  </r>
  <r>
    <x v="4"/>
    <s v="Túneles, cavernas  y chimeneas"/>
    <s v="L10 a Alfalfal II"/>
    <n v="3391.817"/>
    <s v="m"/>
    <n v="0"/>
    <n v="0"/>
    <n v="9"/>
    <n v="10"/>
    <n v="0"/>
    <n v="0"/>
    <n v="19"/>
    <m/>
    <m/>
    <m/>
    <m/>
    <m/>
    <n v="175643"/>
    <s v="sam9"/>
    <n v="175643"/>
    <m/>
    <m/>
    <n v="10.5"/>
    <m/>
    <m/>
    <m/>
    <n v="0"/>
    <n v="0"/>
    <n v="0"/>
    <n v="456671.8"/>
    <n v="3430.52734375"/>
    <m/>
    <m/>
    <n v="131732.25"/>
    <m/>
    <m/>
    <m/>
    <m/>
    <m/>
    <m/>
    <m/>
    <n v="0"/>
    <n v="0"/>
    <n v="9"/>
    <n v="10"/>
    <n v="0"/>
    <n v="0"/>
    <m/>
    <m/>
    <m/>
    <m/>
    <m/>
    <m/>
    <m/>
  </r>
  <r>
    <x v="4"/>
    <s v="Túneles, cavernas  y chimeneas"/>
    <s v="Ventana y Túnel VL5 a L9"/>
    <n v="600"/>
    <s v="m"/>
    <n v="0"/>
    <n v="2"/>
    <n v="8"/>
    <n v="0"/>
    <n v="0"/>
    <n v="0"/>
    <n v="10"/>
    <m/>
    <m/>
    <m/>
    <m/>
    <m/>
    <n v="12684.933847741362"/>
    <s v="sam10,11"/>
    <n v="8938.6062346778508"/>
    <n v="3746.3276130635113"/>
    <m/>
    <n v="0"/>
    <n v="0.5"/>
    <m/>
    <m/>
    <n v="0"/>
    <n v="0"/>
    <n v="0"/>
    <n v="32980.828004127543"/>
    <n v="247.75261421369848"/>
    <m/>
    <m/>
    <n v="133.79741475226825"/>
    <m/>
    <m/>
    <m/>
    <m/>
    <m/>
    <m/>
    <m/>
    <n v="0"/>
    <n v="2"/>
    <n v="8"/>
    <n v="0"/>
    <n v="0"/>
    <n v="0"/>
    <m/>
    <m/>
    <m/>
    <m/>
    <m/>
    <m/>
    <m/>
  </r>
  <r>
    <x v="4"/>
    <s v="Túneles, cavernas  y chimeneas"/>
    <s v="Aducción Las Lajas A Arriba (L9 a L10 - 601m.)"/>
    <n v="3964.47"/>
    <s v="m"/>
    <n v="0"/>
    <n v="0"/>
    <n v="5"/>
    <n v="12"/>
    <n v="10"/>
    <n v="0"/>
    <n v="27"/>
    <m/>
    <m/>
    <m/>
    <m/>
    <m/>
    <n v="83815.066152258645"/>
    <s v="sam10,11"/>
    <n v="59061.393765322151"/>
    <n v="24753.672386936494"/>
    <m/>
    <n v="0"/>
    <n v="0.5"/>
    <m/>
    <m/>
    <n v="0"/>
    <n v="0"/>
    <n v="0"/>
    <n v="217919.17199587249"/>
    <n v="1637.0130107863015"/>
    <m/>
    <m/>
    <n v="884.05972810487481"/>
    <m/>
    <m/>
    <m/>
    <m/>
    <m/>
    <m/>
    <m/>
    <n v="0"/>
    <n v="0"/>
    <n v="5"/>
    <n v="12"/>
    <n v="10"/>
    <n v="0"/>
    <m/>
    <m/>
    <m/>
    <m/>
    <m/>
    <m/>
    <m/>
  </r>
  <r>
    <x v="4"/>
    <s v="Túneles, cavernas  y chimeneas"/>
    <s v="Excavación Pique - Chimenea"/>
    <n v="626.25"/>
    <s v="m"/>
    <n v="0"/>
    <n v="0"/>
    <n v="1"/>
    <n v="8"/>
    <n v="0"/>
    <n v="0"/>
    <n v="9"/>
    <m/>
    <m/>
    <m/>
    <m/>
    <m/>
    <n v="20771.391128291674"/>
    <s v="sam11,13,14"/>
    <n v="2083.9050382781224"/>
    <n v="6156.9921585489983"/>
    <n v="12530.493931464554"/>
    <n v="0.5"/>
    <n v="1.4"/>
    <n v="0"/>
    <m/>
    <n v="0"/>
    <n v="0"/>
    <n v="0"/>
    <n v="54005.616933558355"/>
    <n v="405.69123297444673"/>
    <m/>
    <m/>
    <n v="690.12439579340412"/>
    <m/>
    <m/>
    <m/>
    <m/>
    <m/>
    <m/>
    <m/>
    <n v="0"/>
    <n v="0"/>
    <n v="1"/>
    <n v="8"/>
    <n v="0"/>
    <n v="0"/>
    <m/>
    <m/>
    <m/>
    <m/>
    <m/>
    <m/>
    <m/>
  </r>
  <r>
    <x v="4"/>
    <s v="Túneles, cavernas  y chimeneas"/>
    <s v="Túnel Acceso Las Lajas (VL4)"/>
    <n v="1900"/>
    <s v="m"/>
    <n v="0"/>
    <n v="2"/>
    <n v="12"/>
    <n v="2"/>
    <n v="0"/>
    <n v="0"/>
    <n v="16"/>
    <m/>
    <m/>
    <m/>
    <m/>
    <m/>
    <n v="63018.991047910866"/>
    <s v="sam11,13,14"/>
    <n v="6322.4264634386145"/>
    <n v="18679.896369250451"/>
    <n v="38016.668215221805"/>
    <n v="0.5"/>
    <n v="2.6"/>
    <n v="0"/>
    <m/>
    <n v="0"/>
    <n v="0"/>
    <n v="0"/>
    <n v="163849.37672456825"/>
    <n v="1230.8396689045089"/>
    <m/>
    <m/>
    <n v="3694.9245565550345"/>
    <m/>
    <m/>
    <m/>
    <m/>
    <m/>
    <m/>
    <m/>
    <n v="0"/>
    <n v="2"/>
    <n v="12"/>
    <n v="2"/>
    <n v="0"/>
    <n v="0"/>
    <m/>
    <m/>
    <m/>
    <m/>
    <m/>
    <m/>
    <m/>
  </r>
  <r>
    <x v="4"/>
    <s v="Túneles, cavernas  y chimeneas"/>
    <s v="Caverna y Otros Las Lajas"/>
    <n v="1700"/>
    <s v="m2"/>
    <n v="0"/>
    <n v="0"/>
    <n v="0"/>
    <n v="0"/>
    <n v="10"/>
    <n v="0"/>
    <n v="10"/>
    <m/>
    <m/>
    <m/>
    <m/>
    <m/>
    <n v="52000"/>
    <s v="sam8"/>
    <n v="52000"/>
    <m/>
    <m/>
    <n v="10"/>
    <m/>
    <m/>
    <m/>
    <n v="0"/>
    <n v="0"/>
    <n v="0"/>
    <n v="135200"/>
    <n v="1015.625"/>
    <m/>
    <m/>
    <m/>
    <n v="37142.857142857145"/>
    <m/>
    <m/>
    <m/>
    <m/>
    <m/>
    <m/>
    <n v="0"/>
    <n v="0"/>
    <n v="0"/>
    <n v="0"/>
    <n v="10"/>
    <n v="0"/>
    <m/>
    <m/>
    <m/>
    <m/>
    <m/>
    <m/>
    <m/>
  </r>
  <r>
    <x v="4"/>
    <s v="Túneles, cavernas  y chimeneas"/>
    <s v="Túnel Descarga Las Lajas (L7 a L4)"/>
    <n v="2614.8449999999998"/>
    <s v="m"/>
    <n v="0"/>
    <n v="0"/>
    <n v="7"/>
    <n v="12"/>
    <n v="6"/>
    <n v="0"/>
    <n v="25"/>
    <m/>
    <m/>
    <m/>
    <m/>
    <m/>
    <n v="86728.891392986552"/>
    <s v="sam11,13,14"/>
    <n v="8701.1395925211273"/>
    <n v="25707.912432448782"/>
    <n v="52319.839368016648"/>
    <n v="4.9000000000000004"/>
    <n v="2.6"/>
    <n v="0"/>
    <m/>
    <n v="0"/>
    <n v="0"/>
    <n v="0"/>
    <n v="225495.11762176504"/>
    <n v="1693.9236600192685"/>
    <m/>
    <m/>
    <m/>
    <n v="7819.7254519800254"/>
    <m/>
    <m/>
    <m/>
    <m/>
    <m/>
    <m/>
    <n v="0"/>
    <n v="0"/>
    <n v="7"/>
    <n v="12"/>
    <n v="6"/>
    <n v="0"/>
    <m/>
    <m/>
    <m/>
    <m/>
    <m/>
    <m/>
    <m/>
  </r>
  <r>
    <x v="4"/>
    <s v="Túneles, cavernas  y chimeneas"/>
    <s v="Ventana Las Puertas (VL2 a L4)"/>
    <n v="1500"/>
    <s v="m"/>
    <n v="0"/>
    <n v="0"/>
    <n v="8"/>
    <n v="5"/>
    <n v="0"/>
    <n v="0"/>
    <n v="13"/>
    <m/>
    <m/>
    <m/>
    <m/>
    <m/>
    <n v="49751.835037824363"/>
    <s v="sam11,13,14"/>
    <n v="4991.3893132410112"/>
    <n v="14747.286607302985"/>
    <n v="30013.159117280364"/>
    <n v="4.9000000000000004"/>
    <n v="2.6"/>
    <n v="0"/>
    <m/>
    <n v="0"/>
    <n v="0"/>
    <n v="0"/>
    <n v="129354.77109834335"/>
    <n v="971.71552808250703"/>
    <m/>
    <m/>
    <m/>
    <n v="4485.7680581334798"/>
    <m/>
    <m/>
    <m/>
    <m/>
    <m/>
    <m/>
    <n v="0"/>
    <n v="0"/>
    <n v="8"/>
    <n v="5"/>
    <n v="0"/>
    <n v="0"/>
    <m/>
    <m/>
    <m/>
    <m/>
    <m/>
    <m/>
    <m/>
  </r>
  <r>
    <x v="4"/>
    <s v="Túneles, cavernas  y chimeneas"/>
    <s v="Las Puertas hacia arriba (L4 a L7)"/>
    <n v="2614.8449999999998"/>
    <s v="m"/>
    <n v="0"/>
    <n v="0"/>
    <n v="7"/>
    <n v="12"/>
    <n v="6"/>
    <n v="0"/>
    <n v="25"/>
    <m/>
    <m/>
    <m/>
    <m/>
    <m/>
    <n v="86728.891392986552"/>
    <s v="sam11,13,14"/>
    <n v="8701.1395925211273"/>
    <n v="25707.912432448782"/>
    <n v="52319.839368016648"/>
    <n v="4.9000000000000004"/>
    <n v="2.6"/>
    <n v="0"/>
    <m/>
    <n v="0"/>
    <n v="0"/>
    <n v="0"/>
    <n v="225495.11762176504"/>
    <n v="1693.9236600192685"/>
    <m/>
    <m/>
    <m/>
    <n v="7819.7254519800254"/>
    <m/>
    <m/>
    <m/>
    <m/>
    <m/>
    <m/>
    <n v="0"/>
    <n v="0"/>
    <n v="7"/>
    <n v="12"/>
    <n v="6"/>
    <n v="0"/>
    <m/>
    <m/>
    <m/>
    <m/>
    <m/>
    <m/>
    <m/>
  </r>
  <r>
    <x v="4"/>
    <s v="Túneles, cavernas  y chimeneas"/>
    <s v="Las Puertas hacia abajo (L4 hacia L1)"/>
    <n v="3872.375"/>
    <s v="m"/>
    <n v="0"/>
    <n v="0"/>
    <n v="6"/>
    <n v="12"/>
    <n v="12"/>
    <n v="0"/>
    <n v="30"/>
    <m/>
    <m/>
    <m/>
    <m/>
    <m/>
    <n v="159800"/>
    <s v="sam14"/>
    <n v="159800"/>
    <m/>
    <m/>
    <n v="0"/>
    <m/>
    <m/>
    <m/>
    <n v="0"/>
    <n v="0"/>
    <n v="0"/>
    <n v="415480"/>
    <n v="3121.09375"/>
    <m/>
    <m/>
    <n v="0"/>
    <m/>
    <m/>
    <m/>
    <m/>
    <m/>
    <m/>
    <m/>
    <n v="0"/>
    <n v="0"/>
    <n v="6"/>
    <n v="12"/>
    <n v="12"/>
    <n v="0"/>
    <m/>
    <m/>
    <m/>
    <m/>
    <m/>
    <m/>
    <m/>
  </r>
  <r>
    <x v="4"/>
    <s v="Túneles, cavernas  y chimeneas"/>
    <s v="Las Lajas hacia arriba (L1 hacia L4)"/>
    <n v="3872.375"/>
    <s v="m"/>
    <n v="0"/>
    <n v="0"/>
    <n v="6"/>
    <n v="12"/>
    <n v="12"/>
    <n v="0"/>
    <n v="30"/>
    <m/>
    <m/>
    <m/>
    <m/>
    <m/>
    <n v="210000"/>
    <s v="sam12"/>
    <n v="210000"/>
    <m/>
    <m/>
    <n v="0"/>
    <m/>
    <m/>
    <m/>
    <n v="0"/>
    <n v="0"/>
    <n v="0"/>
    <n v="546000"/>
    <n v="4101.5625"/>
    <m/>
    <m/>
    <n v="0"/>
    <m/>
    <m/>
    <m/>
    <m/>
    <m/>
    <m/>
    <m/>
    <n v="0"/>
    <n v="0"/>
    <n v="6"/>
    <n v="12"/>
    <n v="12"/>
    <n v="0"/>
    <m/>
    <m/>
    <m/>
    <m/>
    <m/>
    <m/>
    <m/>
  </r>
  <r>
    <x v="4"/>
    <s v="Túneles, cavernas  y chimeneas"/>
    <s v="Operación SAM Nº7"/>
    <n v="200000"/>
    <s v="m3"/>
    <n v="0"/>
    <n v="0"/>
    <n v="4"/>
    <n v="0"/>
    <n v="0"/>
    <n v="0"/>
    <n v="4"/>
    <m/>
    <m/>
    <m/>
    <n v="-162145"/>
    <m/>
    <m/>
    <m/>
    <m/>
    <m/>
    <m/>
    <m/>
    <m/>
    <m/>
    <m/>
    <n v="0"/>
    <n v="0"/>
    <n v="0"/>
    <n v="0"/>
    <m/>
    <m/>
    <n v="1037.7280000000001"/>
    <n v="0"/>
    <m/>
    <m/>
    <m/>
    <m/>
    <m/>
    <m/>
    <m/>
    <n v="0"/>
    <n v="0"/>
    <n v="3"/>
    <n v="0"/>
    <n v="0"/>
    <n v="0"/>
    <m/>
    <m/>
    <m/>
    <m/>
    <m/>
    <m/>
    <m/>
  </r>
  <r>
    <x v="4"/>
    <s v="Túneles, cavernas  y chimeneas"/>
    <s v="Operación SAM Nº8"/>
    <n v="200000"/>
    <s v="m3"/>
    <n v="0"/>
    <n v="11"/>
    <n v="12"/>
    <n v="7"/>
    <n v="0"/>
    <n v="0"/>
    <n v="30"/>
    <m/>
    <m/>
    <m/>
    <e v="#REF!"/>
    <m/>
    <m/>
    <m/>
    <m/>
    <m/>
    <m/>
    <m/>
    <m/>
    <m/>
    <m/>
    <n v="0"/>
    <n v="0"/>
    <n v="0"/>
    <n v="0"/>
    <m/>
    <m/>
    <e v="#REF!"/>
    <n v="0"/>
    <m/>
    <m/>
    <m/>
    <m/>
    <m/>
    <m/>
    <m/>
    <n v="0"/>
    <n v="10"/>
    <n v="12"/>
    <n v="7"/>
    <n v="0"/>
    <n v="0"/>
    <m/>
    <m/>
    <m/>
    <m/>
    <m/>
    <m/>
    <m/>
  </r>
  <r>
    <x v="4"/>
    <s v="Túneles, cavernas  y chimeneas"/>
    <s v="Operación SAM Nº10"/>
    <n v="68000"/>
    <s v="m3"/>
    <n v="0"/>
    <n v="0"/>
    <n v="12"/>
    <n v="12"/>
    <n v="9"/>
    <n v="0"/>
    <n v="33"/>
    <m/>
    <m/>
    <m/>
    <n v="-70340"/>
    <m/>
    <m/>
    <m/>
    <m/>
    <m/>
    <m/>
    <m/>
    <m/>
    <m/>
    <m/>
    <n v="0"/>
    <n v="0"/>
    <n v="0"/>
    <n v="0"/>
    <m/>
    <m/>
    <n v="450.17599999999999"/>
    <n v="0"/>
    <m/>
    <m/>
    <m/>
    <m/>
    <m/>
    <m/>
    <m/>
    <n v="0"/>
    <n v="0"/>
    <n v="11"/>
    <n v="12"/>
    <n v="9"/>
    <n v="0"/>
    <m/>
    <m/>
    <m/>
    <m/>
    <m/>
    <m/>
    <m/>
  </r>
  <r>
    <x v="4"/>
    <s v="Túneles, cavernas  y chimeneas"/>
    <s v="Operación SAM Nº11"/>
    <n v="71000"/>
    <s v="m3"/>
    <n v="0"/>
    <n v="8"/>
    <n v="7"/>
    <n v="0"/>
    <n v="0"/>
    <n v="0"/>
    <n v="15"/>
    <m/>
    <m/>
    <m/>
    <n v="-74260"/>
    <m/>
    <m/>
    <m/>
    <m/>
    <m/>
    <m/>
    <m/>
    <m/>
    <m/>
    <m/>
    <n v="0"/>
    <n v="0"/>
    <n v="0"/>
    <n v="0"/>
    <m/>
    <m/>
    <n v="475.26400000000001"/>
    <n v="0"/>
    <m/>
    <m/>
    <m/>
    <m/>
    <m/>
    <m/>
    <m/>
    <n v="-1"/>
    <n v="8"/>
    <n v="7"/>
    <n v="0"/>
    <n v="0"/>
    <n v="0"/>
    <m/>
    <m/>
    <m/>
    <m/>
    <m/>
    <m/>
    <m/>
  </r>
  <r>
    <x v="4"/>
    <s v="Túneles, cavernas  y chimeneas"/>
    <s v="Operación SAM Nº13"/>
    <n v="91000"/>
    <s v="m3"/>
    <n v="0"/>
    <n v="0"/>
    <n v="11"/>
    <n v="7"/>
    <n v="0"/>
    <n v="0"/>
    <n v="18"/>
    <m/>
    <m/>
    <m/>
    <n v="-93240"/>
    <m/>
    <m/>
    <m/>
    <m/>
    <m/>
    <m/>
    <m/>
    <m/>
    <m/>
    <m/>
    <n v="0"/>
    <n v="0"/>
    <n v="0"/>
    <n v="0"/>
    <m/>
    <m/>
    <n v="596.73599999999999"/>
    <n v="0"/>
    <m/>
    <m/>
    <m/>
    <m/>
    <m/>
    <m/>
    <m/>
    <n v="0"/>
    <n v="0"/>
    <n v="10"/>
    <n v="7"/>
    <n v="0"/>
    <n v="0"/>
    <m/>
    <m/>
    <m/>
    <m/>
    <m/>
    <m/>
    <m/>
  </r>
  <r>
    <x v="4"/>
    <s v="Túneles, cavernas  y chimeneas"/>
    <s v="Operación SAM Nº14"/>
    <n v="345000"/>
    <s v="m3"/>
    <n v="0"/>
    <n v="1"/>
    <n v="12"/>
    <n v="2"/>
    <n v="0"/>
    <n v="0"/>
    <n v="15"/>
    <m/>
    <m/>
    <m/>
    <n v="-350940"/>
    <m/>
    <m/>
    <m/>
    <m/>
    <m/>
    <m/>
    <m/>
    <m/>
    <m/>
    <m/>
    <n v="0"/>
    <n v="0"/>
    <n v="0"/>
    <n v="0"/>
    <m/>
    <m/>
    <n v="2246.0160000000001"/>
    <n v="0"/>
    <m/>
    <m/>
    <m/>
    <m/>
    <m/>
    <m/>
    <m/>
    <n v="-1"/>
    <n v="1"/>
    <n v="12"/>
    <n v="2"/>
    <n v="0"/>
    <n v="0"/>
    <m/>
    <m/>
    <m/>
    <m/>
    <m/>
    <m/>
    <m/>
  </r>
  <r>
    <x v="4"/>
    <s v="Túneles, cavernas  y chimeneas"/>
    <s v="Operación SAM Nº12"/>
    <n v="210000"/>
    <s v="m3"/>
    <n v="0"/>
    <n v="0"/>
    <n v="6"/>
    <n v="12"/>
    <n v="12"/>
    <n v="0"/>
    <n v="30"/>
    <m/>
    <m/>
    <m/>
    <e v="#REF!"/>
    <m/>
    <m/>
    <m/>
    <m/>
    <m/>
    <m/>
    <m/>
    <m/>
    <m/>
    <m/>
    <n v="0"/>
    <n v="0"/>
    <n v="0"/>
    <n v="0"/>
    <m/>
    <m/>
    <e v="#REF!"/>
    <n v="0"/>
    <m/>
    <m/>
    <m/>
    <m/>
    <m/>
    <m/>
    <m/>
    <n v="0"/>
    <n v="0"/>
    <n v="5"/>
    <n v="12"/>
    <n v="12"/>
    <n v="0"/>
    <m/>
    <m/>
    <m/>
    <m/>
    <m/>
    <m/>
    <m/>
  </r>
  <r>
    <x v="4"/>
    <s v="Obras Civiles"/>
    <s v="Planta Hormigon Portal Ventana Túnel Las Lajas VL5 "/>
    <n v="3000"/>
    <s v="m2"/>
    <n v="0"/>
    <n v="0"/>
    <n v="12"/>
    <n v="12"/>
    <n v="12"/>
    <n v="0"/>
    <n v="36"/>
    <m/>
    <m/>
    <m/>
    <m/>
    <m/>
    <m/>
    <m/>
    <m/>
    <m/>
    <m/>
    <m/>
    <m/>
    <m/>
    <m/>
    <m/>
    <m/>
    <m/>
    <m/>
    <m/>
    <m/>
    <m/>
    <m/>
    <m/>
    <m/>
    <m/>
    <m/>
    <m/>
    <m/>
    <m/>
    <m/>
    <m/>
    <m/>
    <m/>
    <m/>
    <m/>
    <m/>
    <m/>
    <m/>
    <m/>
    <m/>
    <m/>
    <m/>
  </r>
  <r>
    <x v="4"/>
    <s v="Obras Civiles"/>
    <s v="Planta Hormigon Portal Túnel Las Lajas VL8 "/>
    <n v="3000"/>
    <s v="m2"/>
    <n v="0"/>
    <n v="0"/>
    <n v="12"/>
    <n v="12"/>
    <n v="12"/>
    <n v="0"/>
    <n v="36"/>
    <m/>
    <m/>
    <m/>
    <m/>
    <m/>
    <m/>
    <m/>
    <m/>
    <m/>
    <m/>
    <m/>
    <m/>
    <m/>
    <m/>
    <m/>
    <m/>
    <m/>
    <m/>
    <m/>
    <m/>
    <m/>
    <m/>
    <m/>
    <m/>
    <m/>
    <m/>
    <m/>
    <m/>
    <m/>
    <m/>
    <m/>
    <m/>
    <m/>
    <m/>
    <m/>
    <m/>
    <m/>
    <m/>
    <m/>
    <m/>
    <m/>
    <m/>
  </r>
  <r>
    <x v="4"/>
    <s v="Obras Civiles"/>
    <s v="Planta Hormigon Portal Túnel Las Lajas VL7 "/>
    <n v="3000"/>
    <s v="m2"/>
    <n v="0"/>
    <n v="0"/>
    <n v="12"/>
    <n v="12"/>
    <n v="12"/>
    <n v="0"/>
    <n v="36"/>
    <m/>
    <m/>
    <m/>
    <m/>
    <m/>
    <m/>
    <m/>
    <m/>
    <m/>
    <m/>
    <m/>
    <m/>
    <m/>
    <m/>
    <m/>
    <m/>
    <m/>
    <m/>
    <m/>
    <m/>
    <m/>
    <m/>
    <m/>
    <m/>
    <m/>
    <m/>
    <m/>
    <m/>
    <m/>
    <m/>
    <m/>
    <m/>
    <m/>
    <m/>
    <m/>
    <m/>
    <m/>
    <m/>
    <m/>
    <m/>
    <m/>
    <m/>
  </r>
  <r>
    <x v="4"/>
    <s v="Obras Civiles"/>
    <s v="Planta Hormigon Portal acceso a Central Las Lajas VL4 "/>
    <n v="3000"/>
    <s v="m2"/>
    <n v="0"/>
    <n v="0"/>
    <n v="12"/>
    <n v="12"/>
    <n v="6"/>
    <n v="0"/>
    <n v="30"/>
    <m/>
    <m/>
    <m/>
    <m/>
    <m/>
    <m/>
    <m/>
    <m/>
    <m/>
    <m/>
    <m/>
    <m/>
    <m/>
    <m/>
    <m/>
    <m/>
    <m/>
    <m/>
    <m/>
    <m/>
    <m/>
    <m/>
    <m/>
    <m/>
    <m/>
    <m/>
    <m/>
    <m/>
    <m/>
    <m/>
    <m/>
    <m/>
    <m/>
    <m/>
    <m/>
    <m/>
    <m/>
    <m/>
    <m/>
    <m/>
    <m/>
    <m/>
  </r>
  <r>
    <x v="4"/>
    <s v="Obras Civiles"/>
    <s v="Planta Hormigon Portal Ventana Las Puertas VL2 "/>
    <n v="3000"/>
    <s v="m2"/>
    <n v="0"/>
    <n v="0"/>
    <n v="12"/>
    <n v="12"/>
    <n v="12"/>
    <n v="0"/>
    <n v="36"/>
    <m/>
    <m/>
    <m/>
    <m/>
    <m/>
    <m/>
    <m/>
    <m/>
    <m/>
    <m/>
    <m/>
    <m/>
    <m/>
    <m/>
    <m/>
    <m/>
    <m/>
    <m/>
    <m/>
    <m/>
    <m/>
    <m/>
    <m/>
    <m/>
    <m/>
    <m/>
    <m/>
    <m/>
    <m/>
    <m/>
    <m/>
    <m/>
    <m/>
    <m/>
    <m/>
    <m/>
    <m/>
    <m/>
    <m/>
    <m/>
    <m/>
    <m/>
  </r>
  <r>
    <x v="4"/>
    <s v="Obras Civiles"/>
    <s v="Planta Hormigon Portal Túnel Las Lajas L1 (Descarga río Maipo) "/>
    <n v="3000"/>
    <s v="m2"/>
    <n v="0"/>
    <n v="0"/>
    <n v="6"/>
    <n v="12"/>
    <n v="12"/>
    <n v="0"/>
    <n v="30"/>
    <m/>
    <m/>
    <m/>
    <m/>
    <m/>
    <m/>
    <m/>
    <m/>
    <m/>
    <m/>
    <m/>
    <m/>
    <m/>
    <m/>
    <m/>
    <m/>
    <m/>
    <m/>
    <m/>
    <m/>
    <m/>
    <m/>
    <m/>
    <m/>
    <m/>
    <m/>
    <m/>
    <m/>
    <m/>
    <m/>
    <m/>
    <m/>
    <m/>
    <m/>
    <m/>
    <m/>
    <m/>
    <m/>
    <m/>
    <m/>
    <m/>
    <m/>
  </r>
  <r>
    <x v="4"/>
    <s v="Obras Civiles"/>
    <s v="Obras Civiles Cámara Carga Las Lajas"/>
    <n v="189100"/>
    <s v="m2"/>
    <n v="0"/>
    <n v="0"/>
    <n v="9"/>
    <n v="10"/>
    <n v="0"/>
    <n v="0"/>
    <n v="19"/>
    <n v="18450"/>
    <m/>
    <n v="434810"/>
    <n v="-368685"/>
    <n v="30136"/>
    <m/>
    <s v="sam8"/>
    <n v="30136"/>
    <m/>
    <m/>
    <n v="1.2"/>
    <m/>
    <m/>
    <n v="94.55"/>
    <n v="4348.1000000000004"/>
    <n v="0"/>
    <n v="51923.349116255849"/>
    <n v="0"/>
    <m/>
    <m/>
    <n v="226.92"/>
    <n v="2583.0857142857139"/>
    <m/>
    <n v="0"/>
    <n v="0"/>
    <n v="1"/>
    <n v="0"/>
    <n v="0"/>
    <n v="0"/>
    <n v="0"/>
    <n v="0"/>
    <n v="8"/>
    <n v="10"/>
    <n v="0"/>
    <n v="0"/>
    <n v="0"/>
    <n v="0"/>
    <n v="0"/>
    <n v="0"/>
    <n v="0"/>
    <n v="0"/>
    <n v="0"/>
  </r>
  <r>
    <x v="4"/>
    <s v="Obras Civiles"/>
    <s v="Obras Civiles Caverna Las Lajas"/>
    <n v="1700"/>
    <s v="m2"/>
    <n v="0"/>
    <n v="0"/>
    <n v="0"/>
    <n v="0"/>
    <n v="11"/>
    <n v="0"/>
    <n v="11"/>
    <m/>
    <m/>
    <m/>
    <m/>
    <m/>
    <m/>
    <m/>
    <m/>
    <m/>
    <m/>
    <m/>
    <m/>
    <m/>
    <m/>
    <n v="0"/>
    <n v="0"/>
    <n v="0"/>
    <n v="0"/>
    <m/>
    <m/>
    <m/>
    <n v="0"/>
    <m/>
    <m/>
    <m/>
    <m/>
    <m/>
    <m/>
    <m/>
    <m/>
    <m/>
    <m/>
    <m/>
    <m/>
    <m/>
    <n v="0"/>
    <n v="0"/>
    <n v="0"/>
    <n v="0"/>
    <n v="11"/>
    <n v="0"/>
    <n v="11"/>
  </r>
  <r>
    <x v="4"/>
    <s v="Obras Civiles"/>
    <s v="Puente Rio Colorado"/>
    <n v="360"/>
    <s v="m2"/>
    <n v="0"/>
    <n v="0"/>
    <n v="3"/>
    <n v="0"/>
    <n v="0"/>
    <n v="0"/>
    <n v="3"/>
    <m/>
    <m/>
    <m/>
    <m/>
    <m/>
    <m/>
    <m/>
    <m/>
    <m/>
    <m/>
    <m/>
    <m/>
    <m/>
    <m/>
    <n v="0"/>
    <n v="0"/>
    <n v="0"/>
    <n v="0"/>
    <m/>
    <m/>
    <m/>
    <n v="0"/>
    <m/>
    <m/>
    <m/>
    <m/>
    <m/>
    <m/>
    <m/>
    <m/>
    <m/>
    <m/>
    <m/>
    <m/>
    <m/>
    <n v="0"/>
    <n v="0"/>
    <n v="3"/>
    <n v="0"/>
    <n v="0"/>
    <n v="0"/>
    <n v="3"/>
  </r>
  <r>
    <x v="4"/>
    <s v="Obras Civiles"/>
    <s v="Obras civiles sector Rio Colorado"/>
    <n v="20300.000000000004"/>
    <s v="m2"/>
    <n v="0"/>
    <n v="0"/>
    <n v="6"/>
    <n v="12"/>
    <n v="12"/>
    <n v="0"/>
    <n v="30"/>
    <n v="170"/>
    <m/>
    <n v="58950"/>
    <n v="-37100"/>
    <n v="31345"/>
    <m/>
    <s v="sam7"/>
    <n v="31345"/>
    <m/>
    <m/>
    <n v="8.9"/>
    <m/>
    <m/>
    <n v="10.150000000000002"/>
    <n v="589.5"/>
    <n v="0"/>
    <n v="54006.416845269436"/>
    <n v="0"/>
    <m/>
    <m/>
    <n v="24.360000000000007"/>
    <m/>
    <n v="19926.464285714286"/>
    <n v="0"/>
    <n v="0"/>
    <n v="1"/>
    <n v="0"/>
    <n v="0"/>
    <n v="0"/>
    <n v="0"/>
    <n v="0"/>
    <n v="1"/>
    <n v="0"/>
    <n v="0"/>
    <n v="0"/>
    <n v="0"/>
    <n v="0"/>
    <n v="4"/>
    <n v="12"/>
    <n v="12"/>
    <n v="0"/>
    <n v="28"/>
  </r>
  <r>
    <x v="4"/>
    <s v="Obras Civiles"/>
    <s v="Obra De Descarga Y Defensas Fluviales En Río Maipo "/>
    <n v="20000"/>
    <s v="m2"/>
    <n v="0"/>
    <n v="0"/>
    <n v="0"/>
    <n v="0"/>
    <n v="6"/>
    <n v="0"/>
    <n v="6"/>
    <n v="0"/>
    <n v="0"/>
    <m/>
    <n v="-12000"/>
    <m/>
    <m/>
    <m/>
    <m/>
    <m/>
    <m/>
    <m/>
    <m/>
    <m/>
    <n v="0"/>
    <n v="0"/>
    <n v="0"/>
    <n v="0"/>
    <n v="0"/>
    <m/>
    <m/>
    <n v="24"/>
    <n v="0"/>
    <m/>
    <m/>
    <m/>
    <m/>
    <m/>
    <m/>
    <m/>
    <m/>
    <m/>
    <m/>
    <m/>
    <m/>
    <m/>
    <n v="0"/>
    <n v="0"/>
    <n v="0"/>
    <n v="0"/>
    <n v="6"/>
    <n v="0"/>
    <n v="6"/>
  </r>
  <r>
    <x v="4"/>
    <s v="Obras Civiles"/>
    <s v="Obras Civiles SSEE"/>
    <n v="5000"/>
    <s v="m2"/>
    <n v="0"/>
    <n v="0"/>
    <n v="8"/>
    <n v="4"/>
    <n v="0"/>
    <n v="0"/>
    <n v="12"/>
    <n v="1000"/>
    <m/>
    <m/>
    <m/>
    <n v="1000"/>
    <m/>
    <m/>
    <m/>
    <m/>
    <m/>
    <m/>
    <m/>
    <m/>
    <n v="2.5"/>
    <n v="0"/>
    <n v="0"/>
    <n v="1722.9675177945264"/>
    <n v="0"/>
    <m/>
    <m/>
    <m/>
    <n v="0"/>
    <m/>
    <n v="0"/>
    <n v="0"/>
    <n v="1"/>
    <n v="0"/>
    <n v="0"/>
    <n v="0"/>
    <m/>
    <m/>
    <m/>
    <m/>
    <m/>
    <m/>
    <n v="0"/>
    <n v="0"/>
    <n v="7"/>
    <n v="4"/>
    <n v="0"/>
    <n v="0"/>
    <n v="11"/>
  </r>
  <r>
    <x v="4"/>
    <s v="Obras Civiles"/>
    <s v="Montaje Torres y Líneas"/>
    <m/>
    <m/>
    <n v="0"/>
    <n v="12"/>
    <n v="12"/>
    <n v="0"/>
    <n v="0"/>
    <n v="0"/>
    <n v="24"/>
    <m/>
    <m/>
    <m/>
    <m/>
    <m/>
    <m/>
    <m/>
    <m/>
    <m/>
    <m/>
    <m/>
    <m/>
    <m/>
    <m/>
    <m/>
    <m/>
    <m/>
    <m/>
    <m/>
    <m/>
    <m/>
    <m/>
    <m/>
    <m/>
    <m/>
    <m/>
    <m/>
    <m/>
    <m/>
    <m/>
    <m/>
    <m/>
    <m/>
    <m/>
    <m/>
    <m/>
    <m/>
    <m/>
    <m/>
    <m/>
    <m/>
    <m/>
  </r>
</pivotCacheRecords>
</file>

<file path=xl/pivotCache/pivotCacheRecords4.xml><?xml version="1.0" encoding="utf-8"?>
<pivotCacheRecords xmlns="http://schemas.openxmlformats.org/spreadsheetml/2006/main" xmlns:r="http://schemas.openxmlformats.org/officeDocument/2006/relationships" count="90">
  <r>
    <x v="0"/>
    <x v="0"/>
    <s v="Instalación AAFF 1"/>
    <n v="19100"/>
    <s v="m2"/>
    <n v="0"/>
    <n v="1"/>
    <n v="0"/>
    <n v="0"/>
    <n v="0"/>
    <n v="0"/>
    <n v="1"/>
    <x v="0"/>
    <m/>
    <m/>
    <x v="0"/>
    <n v="1910"/>
    <m/>
    <s v="sam1"/>
    <n v="1910"/>
    <m/>
    <m/>
    <n v="1.2"/>
    <m/>
    <m/>
    <n v="9.5500000000000007"/>
    <n v="0"/>
    <n v="0"/>
    <n v="3290.8679589875455"/>
    <n v="0"/>
    <m/>
    <m/>
    <n v="0"/>
    <n v="163.71428571428572"/>
    <m/>
    <n v="0"/>
    <n v="1"/>
    <n v="0"/>
    <n v="0"/>
    <n v="0"/>
    <n v="0"/>
    <m/>
    <m/>
    <m/>
    <m/>
    <m/>
    <m/>
  </r>
  <r>
    <x v="0"/>
    <x v="0"/>
    <s v="Camino a Obras Sector Túnel Volcán  "/>
    <n v="7100"/>
    <s v="m"/>
    <n v="0"/>
    <n v="5"/>
    <n v="0"/>
    <n v="0"/>
    <n v="0"/>
    <n v="0"/>
    <n v="5"/>
    <x v="1"/>
    <n v="14000"/>
    <n v="120000"/>
    <x v="1"/>
    <n v="91189"/>
    <m/>
    <s v="sam1"/>
    <n v="91189"/>
    <m/>
    <m/>
    <n v="1.2"/>
    <m/>
    <m/>
    <m/>
    <n v="1200"/>
    <n v="140"/>
    <n v="157115.68498016507"/>
    <n v="0"/>
    <m/>
    <m/>
    <n v="113.6"/>
    <n v="7816.2"/>
    <m/>
    <n v="0"/>
    <n v="1"/>
    <n v="0"/>
    <n v="0"/>
    <n v="0"/>
    <n v="0"/>
    <n v="0"/>
    <n v="4"/>
    <n v="0"/>
    <n v="0"/>
    <n v="0"/>
    <n v="0"/>
  </r>
  <r>
    <x v="0"/>
    <x v="0"/>
    <s v="Habilitación SAM Nº1"/>
    <n v="18400"/>
    <s v="m2"/>
    <n v="0"/>
    <n v="1"/>
    <n v="0"/>
    <n v="0"/>
    <n v="0"/>
    <n v="0"/>
    <n v="1"/>
    <x v="2"/>
    <m/>
    <m/>
    <x v="0"/>
    <n v="3680"/>
    <m/>
    <s v="sam1"/>
    <n v="3680"/>
    <m/>
    <m/>
    <n v="0"/>
    <m/>
    <m/>
    <n v="9.1999999999999993"/>
    <n v="0"/>
    <n v="0"/>
    <n v="6340.5204654838572"/>
    <n v="0"/>
    <m/>
    <m/>
    <m/>
    <n v="0"/>
    <m/>
    <n v="0"/>
    <n v="1"/>
    <n v="0"/>
    <n v="0"/>
    <n v="0"/>
    <n v="0"/>
    <m/>
    <m/>
    <m/>
    <m/>
    <m/>
    <m/>
  </r>
  <r>
    <x v="0"/>
    <x v="1"/>
    <s v="Túnel (V1 aguas abajo)"/>
    <n v="4654.9114502067187"/>
    <s v="m"/>
    <n v="0"/>
    <n v="1"/>
    <n v="12"/>
    <n v="12"/>
    <n v="12"/>
    <n v="6"/>
    <n v="43"/>
    <x v="1"/>
    <m/>
    <m/>
    <x v="0"/>
    <m/>
    <n v="107765"/>
    <s v="sam1"/>
    <n v="107765"/>
    <m/>
    <m/>
    <n v="0"/>
    <m/>
    <m/>
    <m/>
    <n v="0"/>
    <n v="0"/>
    <n v="0"/>
    <n v="280189"/>
    <n v="2104.78515625"/>
    <m/>
    <m/>
    <n v="0"/>
    <m/>
    <n v="0"/>
    <n v="1"/>
    <n v="0"/>
    <n v="0"/>
    <n v="0"/>
    <n v="0"/>
    <n v="0"/>
    <n v="0"/>
    <n v="12"/>
    <n v="12"/>
    <n v="12"/>
    <n v="6"/>
  </r>
  <r>
    <x v="0"/>
    <x v="1"/>
    <s v="Operación SAM Nº1"/>
    <n v="230000"/>
    <s v="m3"/>
    <n v="0"/>
    <n v="2"/>
    <n v="12"/>
    <n v="12"/>
    <n v="12"/>
    <n v="6"/>
    <n v="44"/>
    <x v="1"/>
    <m/>
    <m/>
    <x v="2"/>
    <m/>
    <m/>
    <m/>
    <m/>
    <m/>
    <m/>
    <m/>
    <m/>
    <m/>
    <m/>
    <n v="0"/>
    <n v="0"/>
    <n v="0"/>
    <n v="0"/>
    <m/>
    <m/>
    <n v="1592.5311999999999"/>
    <n v="0"/>
    <m/>
    <n v="0"/>
    <n v="1"/>
    <n v="0"/>
    <n v="0"/>
    <n v="0"/>
    <n v="0"/>
    <n v="0"/>
    <n v="1"/>
    <n v="12"/>
    <n v="12"/>
    <n v="12"/>
    <n v="6"/>
  </r>
  <r>
    <x v="0"/>
    <x v="2"/>
    <s v="Acueducto El Volcan (Incluye Tramo La Engorda -Colina Y Sifón Morado) "/>
    <n v="17200"/>
    <s v="m2"/>
    <n v="0"/>
    <n v="0"/>
    <n v="3"/>
    <n v="7"/>
    <n v="7"/>
    <n v="4"/>
    <n v="21"/>
    <x v="3"/>
    <m/>
    <n v="44500"/>
    <x v="3"/>
    <n v="31150"/>
    <m/>
    <s v="sam1"/>
    <n v="31150"/>
    <m/>
    <m/>
    <n v="2"/>
    <m/>
    <m/>
    <n v="8.6"/>
    <n v="445"/>
    <n v="0"/>
    <n v="53670.438179299497"/>
    <n v="0"/>
    <m/>
    <m/>
    <n v="20.64"/>
    <n v="4450"/>
    <m/>
    <n v="0"/>
    <n v="0"/>
    <n v="1"/>
    <n v="0"/>
    <n v="0"/>
    <n v="0"/>
    <n v="0"/>
    <n v="0"/>
    <n v="2"/>
    <n v="7"/>
    <n v="7"/>
    <n v="4"/>
  </r>
  <r>
    <x v="0"/>
    <x v="2"/>
    <s v="Bocatomas (El morado, Colina, La Engorda, Las Placas)"/>
    <n v="4000"/>
    <s v="m2"/>
    <n v="0"/>
    <n v="0"/>
    <n v="3"/>
    <n v="7"/>
    <n v="7"/>
    <n v="4"/>
    <n v="21"/>
    <x v="4"/>
    <m/>
    <n v="5046"/>
    <x v="4"/>
    <n v="4339"/>
    <m/>
    <s v="sam1"/>
    <n v="4339"/>
    <m/>
    <m/>
    <n v="2"/>
    <m/>
    <m/>
    <n v="2"/>
    <n v="50.46"/>
    <n v="0"/>
    <n v="7475.9560597104501"/>
    <n v="0"/>
    <m/>
    <m/>
    <n v="4.8"/>
    <n v="619.85714285714289"/>
    <m/>
    <n v="0"/>
    <n v="0"/>
    <n v="1"/>
    <n v="0"/>
    <n v="0"/>
    <n v="0"/>
    <n v="0"/>
    <n v="0"/>
    <n v="1"/>
    <n v="0"/>
    <n v="0"/>
    <n v="0"/>
  </r>
  <r>
    <x v="0"/>
    <x v="2"/>
    <s v="Desarenador El Volcan "/>
    <n v="4500"/>
    <s v="m2"/>
    <n v="0"/>
    <n v="0"/>
    <n v="3"/>
    <n v="7"/>
    <n v="7"/>
    <n v="4"/>
    <n v="21"/>
    <x v="5"/>
    <m/>
    <n v="11000"/>
    <x v="5"/>
    <n v="8800"/>
    <m/>
    <s v="sam1"/>
    <n v="8800"/>
    <m/>
    <m/>
    <n v="0.75"/>
    <m/>
    <m/>
    <n v="2.25"/>
    <n v="110"/>
    <n v="0"/>
    <n v="15162.114156591833"/>
    <n v="0"/>
    <m/>
    <m/>
    <n v="5.4"/>
    <n v="471.42857142857144"/>
    <m/>
    <n v="0"/>
    <n v="0"/>
    <n v="1"/>
    <n v="0"/>
    <n v="0"/>
    <n v="0"/>
    <n v="0"/>
    <n v="0"/>
    <n v="1"/>
    <n v="0"/>
    <n v="0"/>
    <n v="0"/>
  </r>
  <r>
    <x v="0"/>
    <x v="2"/>
    <s v="Operación Planta de Hormigón"/>
    <n v="3000"/>
    <s v="m2"/>
    <n v="0"/>
    <n v="0"/>
    <n v="3"/>
    <n v="7"/>
    <n v="7"/>
    <n v="4"/>
    <n v="21"/>
    <x v="1"/>
    <m/>
    <m/>
    <x v="0"/>
    <m/>
    <m/>
    <m/>
    <m/>
    <m/>
    <m/>
    <m/>
    <m/>
    <m/>
    <m/>
    <m/>
    <m/>
    <m/>
    <m/>
    <m/>
    <m/>
    <m/>
    <m/>
    <m/>
    <m/>
    <m/>
    <m/>
    <m/>
    <m/>
    <m/>
    <m/>
    <m/>
    <m/>
    <m/>
    <m/>
    <m/>
  </r>
  <r>
    <x v="1"/>
    <x v="0"/>
    <s v="Instalación AAFF 2"/>
    <n v="21900"/>
    <s v="m2"/>
    <n v="0"/>
    <n v="3"/>
    <n v="1"/>
    <n v="0"/>
    <n v="0"/>
    <n v="0"/>
    <n v="4"/>
    <x v="6"/>
    <m/>
    <m/>
    <x v="0"/>
    <n v="2190"/>
    <m/>
    <s v="sam2"/>
    <n v="2190"/>
    <m/>
    <m/>
    <n v="0.5"/>
    <m/>
    <m/>
    <n v="10.95"/>
    <n v="0"/>
    <n v="0"/>
    <n v="3773.2988639700129"/>
    <n v="0"/>
    <m/>
    <m/>
    <m/>
    <n v="78.214285714285708"/>
    <m/>
    <n v="0"/>
    <n v="1"/>
    <n v="0"/>
    <n v="0"/>
    <n v="0"/>
    <n v="0"/>
    <m/>
    <m/>
    <m/>
    <m/>
    <m/>
    <m/>
  </r>
  <r>
    <x v="1"/>
    <x v="0"/>
    <s v=" Camino Acceso a VA4 (Entrada Túnel Alfalfal II)  "/>
    <n v="4200"/>
    <s v="m"/>
    <n v="0"/>
    <n v="3"/>
    <n v="0"/>
    <n v="0"/>
    <n v="0"/>
    <n v="0"/>
    <n v="3"/>
    <x v="1"/>
    <n v="10000"/>
    <n v="90000"/>
    <x v="6"/>
    <n v="52100"/>
    <m/>
    <s v="sam4"/>
    <n v="52100"/>
    <m/>
    <m/>
    <n v="0"/>
    <m/>
    <m/>
    <m/>
    <n v="900"/>
    <n v="100"/>
    <n v="89766.607677094828"/>
    <n v="0"/>
    <m/>
    <m/>
    <n v="67.2"/>
    <n v="0"/>
    <m/>
    <n v="0"/>
    <n v="1"/>
    <n v="0"/>
    <n v="0"/>
    <n v="0"/>
    <n v="0"/>
    <n v="0"/>
    <n v="2"/>
    <n v="0"/>
    <n v="0"/>
    <n v="0"/>
    <n v="0"/>
  </r>
  <r>
    <x v="1"/>
    <x v="0"/>
    <s v="Habilitación SAM Nº2"/>
    <n v="29800"/>
    <s v="m2"/>
    <n v="0"/>
    <n v="1"/>
    <n v="0"/>
    <n v="0"/>
    <n v="0"/>
    <n v="0"/>
    <n v="1"/>
    <x v="7"/>
    <m/>
    <m/>
    <x v="0"/>
    <n v="5960"/>
    <m/>
    <s v="sam2"/>
    <n v="5960"/>
    <m/>
    <m/>
    <n v="0"/>
    <m/>
    <m/>
    <n v="14.9"/>
    <n v="0"/>
    <n v="0"/>
    <n v="10268.886406055379"/>
    <n v="0"/>
    <m/>
    <m/>
    <m/>
    <n v="0"/>
    <m/>
    <n v="0"/>
    <n v="1"/>
    <n v="0"/>
    <n v="0"/>
    <n v="0"/>
    <n v="0"/>
    <m/>
    <m/>
    <m/>
    <m/>
    <m/>
    <m/>
  </r>
  <r>
    <x v="1"/>
    <x v="0"/>
    <s v="Habilitación SAM Nº3"/>
    <n v="18100"/>
    <s v="m2"/>
    <n v="0"/>
    <n v="0"/>
    <n v="1"/>
    <n v="0"/>
    <n v="0"/>
    <n v="0"/>
    <n v="1"/>
    <x v="8"/>
    <m/>
    <m/>
    <x v="0"/>
    <n v="3620"/>
    <m/>
    <s v="sam3"/>
    <n v="3620"/>
    <m/>
    <m/>
    <n v="0"/>
    <m/>
    <m/>
    <n v="9.0500000000000007"/>
    <n v="0"/>
    <n v="0"/>
    <n v="6237.1424144161856"/>
    <n v="0"/>
    <m/>
    <m/>
    <m/>
    <n v="0"/>
    <m/>
    <n v="0"/>
    <n v="0"/>
    <n v="1"/>
    <n v="0"/>
    <n v="0"/>
    <n v="0"/>
    <m/>
    <m/>
    <m/>
    <m/>
    <m/>
    <m/>
  </r>
  <r>
    <x v="1"/>
    <x v="0"/>
    <s v="Habilitación SAM Nº4"/>
    <n v="22900"/>
    <s v="m2"/>
    <n v="0"/>
    <n v="1"/>
    <n v="0"/>
    <n v="0"/>
    <n v="0"/>
    <n v="0"/>
    <n v="1"/>
    <x v="9"/>
    <m/>
    <m/>
    <x v="0"/>
    <n v="4580"/>
    <m/>
    <s v="sam4"/>
    <n v="4580"/>
    <m/>
    <m/>
    <n v="0"/>
    <m/>
    <m/>
    <n v="11.45"/>
    <n v="0"/>
    <n v="0"/>
    <n v="7891.1912314989313"/>
    <n v="0"/>
    <m/>
    <m/>
    <m/>
    <n v="0"/>
    <m/>
    <n v="0"/>
    <n v="1"/>
    <n v="0"/>
    <n v="0"/>
    <n v="0"/>
    <n v="0"/>
    <m/>
    <m/>
    <m/>
    <m/>
    <m/>
    <m/>
  </r>
  <r>
    <x v="1"/>
    <x v="1"/>
    <s v="Túnel Volcán Minería (Desde V6 aguas arriba)"/>
    <n v="4200"/>
    <s v="m"/>
    <n v="0"/>
    <n v="0"/>
    <n v="0"/>
    <n v="0"/>
    <n v="10"/>
    <n v="3"/>
    <n v="13"/>
    <x v="1"/>
    <m/>
    <m/>
    <x v="0"/>
    <m/>
    <n v="53533.425321161507"/>
    <s v="sam2"/>
    <n v="53533.425321161507"/>
    <m/>
    <m/>
    <n v="0"/>
    <m/>
    <m/>
    <m/>
    <n v="0"/>
    <n v="0"/>
    <n v="0"/>
    <n v="139186.90583501992"/>
    <n v="1045.5747133039356"/>
    <m/>
    <m/>
    <n v="0"/>
    <m/>
    <m/>
    <m/>
    <m/>
    <m/>
    <m/>
    <m/>
    <n v="0"/>
    <n v="0"/>
    <n v="0"/>
    <n v="0"/>
    <n v="10"/>
    <n v="3"/>
  </r>
  <r>
    <x v="1"/>
    <x v="1"/>
    <s v="Túnel Volcán TBM "/>
    <n v="5145.0885497932804"/>
    <s v="m"/>
    <n v="0"/>
    <n v="0"/>
    <n v="7"/>
    <n v="12"/>
    <n v="2"/>
    <n v="0"/>
    <n v="21"/>
    <x v="1"/>
    <m/>
    <m/>
    <x v="0"/>
    <m/>
    <n v="65579.5746788385"/>
    <s v="sam2"/>
    <n v="65579.5746788385"/>
    <m/>
    <m/>
    <n v="6.8"/>
    <m/>
    <m/>
    <m/>
    <n v="0"/>
    <n v="0"/>
    <n v="0"/>
    <n v="170506.8941649801"/>
    <m/>
    <n v="170506.8941649801"/>
    <m/>
    <n v="31852.9362725787"/>
    <m/>
    <m/>
    <m/>
    <m/>
    <m/>
    <m/>
    <m/>
    <n v="0"/>
    <n v="0"/>
    <n v="7"/>
    <n v="12"/>
    <n v="2"/>
    <n v="0"/>
  </r>
  <r>
    <x v="1"/>
    <x v="1"/>
    <s v="Túnel Alfalfal TBM (VA4 a A10')"/>
    <n v="8400"/>
    <s v="m"/>
    <n v="0"/>
    <n v="2"/>
    <n v="12"/>
    <n v="12"/>
    <n v="12"/>
    <n v="4"/>
    <n v="42"/>
    <x v="1"/>
    <m/>
    <m/>
    <x v="0"/>
    <m/>
    <n v="150577"/>
    <s v="sam4"/>
    <n v="150577"/>
    <m/>
    <m/>
    <n v="0"/>
    <m/>
    <m/>
    <m/>
    <n v="0"/>
    <n v="0"/>
    <n v="0"/>
    <n v="391500.2"/>
    <m/>
    <n v="391500.2"/>
    <m/>
    <n v="0"/>
    <m/>
    <m/>
    <m/>
    <m/>
    <m/>
    <m/>
    <m/>
    <n v="0"/>
    <n v="2"/>
    <n v="12"/>
    <n v="12"/>
    <n v="12"/>
    <n v="4"/>
  </r>
  <r>
    <x v="1"/>
    <x v="1"/>
    <s v="Sifón río Yeso"/>
    <n v="34000"/>
    <s v="m2"/>
    <n v="0"/>
    <n v="0"/>
    <n v="3"/>
    <n v="7"/>
    <n v="7"/>
    <n v="2"/>
    <n v="19"/>
    <x v="10"/>
    <m/>
    <n v="95160"/>
    <x v="7"/>
    <n v="37570"/>
    <n v="24000"/>
    <s v="sam3"/>
    <n v="61570"/>
    <m/>
    <m/>
    <n v="1.3"/>
    <m/>
    <m/>
    <n v="17"/>
    <n v="951.6"/>
    <n v="0"/>
    <n v="64731.889643540359"/>
    <n v="62400"/>
    <n v="468.75"/>
    <m/>
    <n v="40.799999999999997"/>
    <n v="5717.2142857142853"/>
    <m/>
    <n v="0"/>
    <n v="0"/>
    <n v="1"/>
    <n v="0"/>
    <n v="0"/>
    <n v="0"/>
    <n v="0"/>
    <n v="0"/>
    <n v="2"/>
    <n v="7"/>
    <n v="7"/>
    <n v="2"/>
  </r>
  <r>
    <x v="1"/>
    <x v="1"/>
    <s v="Operación SAM Nº2"/>
    <n v="240000"/>
    <s v="m3"/>
    <n v="0"/>
    <n v="0"/>
    <n v="7"/>
    <n v="12"/>
    <n v="12"/>
    <n v="3"/>
    <n v="34"/>
    <x v="1"/>
    <m/>
    <m/>
    <x v="8"/>
    <m/>
    <m/>
    <m/>
    <m/>
    <m/>
    <m/>
    <m/>
    <m/>
    <m/>
    <m/>
    <n v="0"/>
    <n v="0"/>
    <n v="0"/>
    <n v="0"/>
    <m/>
    <m/>
    <n v="1058.0736000000002"/>
    <n v="0"/>
    <m/>
    <m/>
    <m/>
    <m/>
    <m/>
    <m/>
    <m/>
    <n v="0"/>
    <n v="-1"/>
    <n v="7"/>
    <n v="12"/>
    <n v="12"/>
    <n v="3"/>
  </r>
  <r>
    <x v="1"/>
    <x v="1"/>
    <s v="Operación SAM Nº3"/>
    <n v="70000"/>
    <s v="m3"/>
    <n v="0"/>
    <n v="0"/>
    <n v="3"/>
    <n v="7"/>
    <n v="7"/>
    <n v="2"/>
    <n v="19"/>
    <x v="1"/>
    <m/>
    <m/>
    <x v="9"/>
    <m/>
    <m/>
    <m/>
    <m/>
    <m/>
    <m/>
    <m/>
    <m/>
    <m/>
    <m/>
    <n v="0"/>
    <n v="0"/>
    <n v="0"/>
    <n v="0"/>
    <m/>
    <m/>
    <n v="417.21600000000001"/>
    <n v="0"/>
    <m/>
    <m/>
    <m/>
    <m/>
    <m/>
    <m/>
    <m/>
    <n v="0"/>
    <n v="0"/>
    <n v="2"/>
    <n v="7"/>
    <n v="7"/>
    <n v="2"/>
  </r>
  <r>
    <x v="1"/>
    <x v="1"/>
    <s v="Operación SAM Nº4"/>
    <n v="275000"/>
    <s v="m3"/>
    <n v="0"/>
    <n v="2"/>
    <n v="12"/>
    <n v="12"/>
    <n v="12"/>
    <n v="4"/>
    <n v="42"/>
    <x v="1"/>
    <m/>
    <m/>
    <x v="10"/>
    <m/>
    <m/>
    <m/>
    <m/>
    <m/>
    <m/>
    <m/>
    <m/>
    <m/>
    <m/>
    <n v="0"/>
    <n v="0"/>
    <n v="0"/>
    <n v="0"/>
    <m/>
    <m/>
    <n v="1326.4448"/>
    <n v="0"/>
    <m/>
    <m/>
    <m/>
    <m/>
    <m/>
    <m/>
    <m/>
    <n v="0"/>
    <n v="1"/>
    <n v="12"/>
    <n v="12"/>
    <n v="12"/>
    <n v="4"/>
  </r>
  <r>
    <x v="1"/>
    <x v="2"/>
    <s v="Bocatoma El Yeso"/>
    <n v="6300"/>
    <s v="m2"/>
    <n v="0"/>
    <n v="0"/>
    <n v="3"/>
    <n v="7"/>
    <n v="7"/>
    <n v="0"/>
    <n v="17"/>
    <x v="11"/>
    <m/>
    <n v="20000"/>
    <x v="11"/>
    <n v="14000"/>
    <m/>
    <s v="sam2"/>
    <n v="14000"/>
    <m/>
    <m/>
    <n v="2"/>
    <m/>
    <m/>
    <n v="3.15"/>
    <n v="200"/>
    <n v="0"/>
    <n v="24121.54524912337"/>
    <n v="0"/>
    <m/>
    <m/>
    <n v="7.56"/>
    <n v="2000"/>
    <m/>
    <n v="0"/>
    <n v="0"/>
    <n v="1"/>
    <n v="0"/>
    <n v="0"/>
    <n v="0"/>
    <n v="0"/>
    <n v="0"/>
    <n v="1"/>
    <n v="0"/>
    <n v="0"/>
    <n v="0"/>
  </r>
  <r>
    <x v="1"/>
    <x v="2"/>
    <s v="Puente Río Yeso"/>
    <n v="360"/>
    <s v="m2"/>
    <n v="0"/>
    <n v="5"/>
    <n v="0"/>
    <n v="0"/>
    <n v="0"/>
    <n v="0"/>
    <n v="5"/>
    <x v="1"/>
    <m/>
    <m/>
    <x v="0"/>
    <m/>
    <m/>
    <m/>
    <m/>
    <m/>
    <m/>
    <m/>
    <m/>
    <m/>
    <m/>
    <n v="0"/>
    <n v="0"/>
    <n v="0"/>
    <n v="0"/>
    <m/>
    <m/>
    <m/>
    <n v="0"/>
    <m/>
    <m/>
    <m/>
    <m/>
    <m/>
    <m/>
    <m/>
    <m/>
    <m/>
    <m/>
    <m/>
    <m/>
    <m/>
  </r>
  <r>
    <x v="1"/>
    <x v="2"/>
    <s v="Conducción Captación Río Yeso A Conducción El Volcán "/>
    <n v="8100.0000000000009"/>
    <s v="m2"/>
    <n v="0"/>
    <n v="0"/>
    <n v="3"/>
    <n v="7"/>
    <n v="7"/>
    <n v="0"/>
    <n v="17"/>
    <x v="12"/>
    <m/>
    <n v="43900"/>
    <x v="12"/>
    <n v="21950"/>
    <m/>
    <s v="sam2"/>
    <n v="21950"/>
    <m/>
    <m/>
    <n v="1.2"/>
    <m/>
    <m/>
    <n v="4.0500000000000007"/>
    <n v="439"/>
    <n v="0"/>
    <n v="37819.137015589855"/>
    <n v="0"/>
    <m/>
    <m/>
    <n v="9.7200000000000024"/>
    <n v="1881.4285714285713"/>
    <m/>
    <n v="0"/>
    <n v="0"/>
    <n v="1"/>
    <n v="0"/>
    <n v="0"/>
    <n v="0"/>
    <n v="0"/>
    <n v="0"/>
    <n v="2"/>
    <n v="7"/>
    <n v="7"/>
    <n v="0"/>
  </r>
  <r>
    <x v="1"/>
    <x v="2"/>
    <s v="Obras de descarga al Rio Yeso"/>
    <n v="8300"/>
    <s v="m2"/>
    <n v="0"/>
    <n v="0"/>
    <n v="3"/>
    <n v="7"/>
    <n v="7"/>
    <n v="0"/>
    <n v="17"/>
    <x v="13"/>
    <m/>
    <n v="3015"/>
    <x v="13"/>
    <n v="2111"/>
    <m/>
    <s v="sam2"/>
    <n v="2111"/>
    <m/>
    <m/>
    <n v="1.8"/>
    <m/>
    <m/>
    <n v="4.1500000000000004"/>
    <n v="30.15"/>
    <n v="0"/>
    <n v="3637.1844300642456"/>
    <n v="0"/>
    <m/>
    <m/>
    <n v="9.9600000000000009"/>
    <n v="271.41428571428571"/>
    <m/>
    <n v="0"/>
    <n v="0"/>
    <n v="1"/>
    <n v="0"/>
    <n v="0"/>
    <n v="0"/>
    <n v="0"/>
    <n v="0"/>
    <n v="1"/>
    <n v="0"/>
    <n v="0"/>
    <n v="0"/>
  </r>
  <r>
    <x v="1"/>
    <x v="2"/>
    <s v="Puente Manzanito"/>
    <n v="300"/>
    <s v="m2"/>
    <n v="0"/>
    <n v="3"/>
    <n v="0"/>
    <n v="0"/>
    <n v="0"/>
    <n v="0"/>
    <n v="3"/>
    <x v="1"/>
    <m/>
    <m/>
    <x v="0"/>
    <m/>
    <m/>
    <m/>
    <m/>
    <m/>
    <m/>
    <m/>
    <m/>
    <m/>
    <m/>
    <n v="0"/>
    <n v="0"/>
    <n v="0"/>
    <n v="0"/>
    <m/>
    <m/>
    <m/>
    <n v="0"/>
    <m/>
    <m/>
    <m/>
    <m/>
    <m/>
    <m/>
    <m/>
    <m/>
    <m/>
    <m/>
    <m/>
    <m/>
    <m/>
  </r>
  <r>
    <x v="1"/>
    <x v="2"/>
    <s v="Operación Planta de Hormigón"/>
    <n v="3000"/>
    <s v="m2"/>
    <n v="0"/>
    <n v="0"/>
    <n v="3"/>
    <n v="7"/>
    <n v="7"/>
    <n v="2"/>
    <n v="19"/>
    <x v="1"/>
    <m/>
    <m/>
    <x v="0"/>
    <m/>
    <m/>
    <m/>
    <m/>
    <m/>
    <m/>
    <m/>
    <m/>
    <m/>
    <m/>
    <m/>
    <m/>
    <m/>
    <m/>
    <m/>
    <m/>
    <m/>
    <m/>
    <m/>
    <m/>
    <m/>
    <m/>
    <m/>
    <m/>
    <m/>
    <m/>
    <m/>
    <m/>
    <m/>
    <m/>
    <m/>
  </r>
  <r>
    <x v="2"/>
    <x v="0"/>
    <s v=" Camino Acceso a VA2   (Aucayes Alto)  "/>
    <n v="6600"/>
    <s v="m"/>
    <n v="0"/>
    <n v="0"/>
    <n v="4"/>
    <n v="0"/>
    <n v="0"/>
    <n v="0"/>
    <n v="4"/>
    <x v="1"/>
    <n v="20000"/>
    <n v="145000"/>
    <x v="14"/>
    <n v="152900"/>
    <m/>
    <s v="sam5,6"/>
    <n v="75761"/>
    <n v="77139"/>
    <m/>
    <n v="6.6"/>
    <n v="5.0999999999999996"/>
    <m/>
    <m/>
    <n v="1450"/>
    <n v="200"/>
    <n v="263441.7334707831"/>
    <n v="0"/>
    <m/>
    <m/>
    <n v="105.6"/>
    <n v="63816.535714285717"/>
    <m/>
    <n v="0"/>
    <n v="0"/>
    <n v="1"/>
    <n v="0"/>
    <n v="0"/>
    <n v="0"/>
    <n v="0"/>
    <n v="0"/>
    <n v="3"/>
    <n v="0"/>
    <n v="0"/>
    <n v="0"/>
  </r>
  <r>
    <x v="2"/>
    <x v="0"/>
    <s v="Habilitación SAM Nº5"/>
    <n v="24400"/>
    <s v="m2"/>
    <n v="0"/>
    <n v="0"/>
    <n v="1"/>
    <n v="0"/>
    <n v="0"/>
    <n v="0"/>
    <n v="1"/>
    <x v="14"/>
    <m/>
    <m/>
    <x v="0"/>
    <n v="4880"/>
    <m/>
    <s v="sam5"/>
    <n v="4880"/>
    <m/>
    <m/>
    <n v="0"/>
    <m/>
    <m/>
    <n v="12.2"/>
    <n v="0"/>
    <n v="0"/>
    <n v="8408.081486837289"/>
    <n v="0"/>
    <m/>
    <m/>
    <m/>
    <n v="0"/>
    <m/>
    <n v="0"/>
    <n v="0"/>
    <n v="1"/>
    <n v="0"/>
    <n v="0"/>
    <n v="0"/>
    <m/>
    <m/>
    <m/>
    <m/>
    <m/>
    <m/>
  </r>
  <r>
    <x v="2"/>
    <x v="0"/>
    <s v="Habilitación SAM Nº6"/>
    <n v="22400.000000000004"/>
    <s v="m2"/>
    <n v="0"/>
    <n v="1"/>
    <n v="0"/>
    <n v="0"/>
    <n v="0"/>
    <n v="0"/>
    <n v="1"/>
    <x v="15"/>
    <m/>
    <m/>
    <x v="0"/>
    <n v="4480.0000000000009"/>
    <m/>
    <s v="sam6"/>
    <n v="4480.0000000000009"/>
    <m/>
    <m/>
    <n v="0"/>
    <m/>
    <m/>
    <n v="11.200000000000001"/>
    <n v="0"/>
    <n v="0"/>
    <n v="7718.8944797194799"/>
    <n v="0"/>
    <m/>
    <m/>
    <m/>
    <n v="0"/>
    <m/>
    <n v="0"/>
    <n v="1"/>
    <n v="0"/>
    <n v="0"/>
    <n v="0"/>
    <n v="0"/>
    <m/>
    <m/>
    <m/>
    <m/>
    <m/>
    <m/>
  </r>
  <r>
    <x v="2"/>
    <x v="1"/>
    <s v="Túnel Alfalfal II Aducción TBM (VA2 a A10')"/>
    <n v="6600"/>
    <s v="m"/>
    <n v="0"/>
    <n v="0"/>
    <n v="7"/>
    <n v="12"/>
    <n v="10"/>
    <n v="0"/>
    <n v="29"/>
    <x v="1"/>
    <m/>
    <m/>
    <x v="0"/>
    <m/>
    <n v="273459"/>
    <s v="sam5"/>
    <n v="273459"/>
    <m/>
    <m/>
    <n v="0"/>
    <m/>
    <m/>
    <m/>
    <n v="0"/>
    <n v="0"/>
    <n v="0"/>
    <n v="710993.4"/>
    <m/>
    <n v="710993.4"/>
    <m/>
    <n v="0"/>
    <m/>
    <m/>
    <m/>
    <m/>
    <m/>
    <m/>
    <m/>
    <n v="0"/>
    <n v="0"/>
    <n v="7"/>
    <n v="12"/>
    <n v="10"/>
    <n v="0"/>
  </r>
  <r>
    <x v="2"/>
    <x v="1"/>
    <s v="Operación SAM Nº5"/>
    <n v="620000"/>
    <s v="m3"/>
    <n v="0"/>
    <n v="0"/>
    <n v="7"/>
    <n v="12"/>
    <n v="10"/>
    <n v="0"/>
    <n v="29"/>
    <x v="1"/>
    <m/>
    <m/>
    <x v="15"/>
    <m/>
    <m/>
    <m/>
    <m/>
    <m/>
    <m/>
    <m/>
    <m/>
    <m/>
    <m/>
    <n v="0"/>
    <n v="0"/>
    <n v="0"/>
    <n v="0"/>
    <m/>
    <m/>
    <n v="3034.5663999999997"/>
    <n v="0"/>
    <m/>
    <m/>
    <m/>
    <m/>
    <m/>
    <m/>
    <m/>
    <n v="0"/>
    <n v="0"/>
    <n v="6"/>
    <n v="12"/>
    <n v="10"/>
    <n v="0"/>
  </r>
  <r>
    <x v="2"/>
    <x v="1"/>
    <s v="Operación SAM Nº6"/>
    <n v="176000"/>
    <s v="m3"/>
    <n v="0"/>
    <n v="0"/>
    <n v="4"/>
    <n v="0"/>
    <n v="0"/>
    <n v="0"/>
    <n v="4"/>
    <x v="1"/>
    <m/>
    <m/>
    <x v="16"/>
    <m/>
    <m/>
    <m/>
    <m/>
    <m/>
    <m/>
    <m/>
    <m/>
    <m/>
    <m/>
    <n v="0"/>
    <n v="0"/>
    <n v="0"/>
    <n v="0"/>
    <m/>
    <m/>
    <n v="1126.4000000000001"/>
    <n v="0"/>
    <m/>
    <m/>
    <m/>
    <m/>
    <m/>
    <m/>
    <m/>
    <n v="0"/>
    <n v="-1"/>
    <n v="4"/>
    <n v="0"/>
    <n v="0"/>
    <n v="0"/>
  </r>
  <r>
    <x v="2"/>
    <x v="2"/>
    <s v="Puente Aucayes"/>
    <n v="420"/>
    <s v="m2"/>
    <n v="0"/>
    <n v="3"/>
    <n v="0"/>
    <n v="0"/>
    <n v="0"/>
    <n v="0"/>
    <n v="3"/>
    <x v="1"/>
    <m/>
    <m/>
    <x v="0"/>
    <m/>
    <m/>
    <m/>
    <m/>
    <m/>
    <m/>
    <m/>
    <m/>
    <m/>
    <m/>
    <n v="0"/>
    <n v="0"/>
    <n v="0"/>
    <n v="0"/>
    <m/>
    <m/>
    <m/>
    <n v="0"/>
    <m/>
    <m/>
    <m/>
    <m/>
    <m/>
    <m/>
    <m/>
    <m/>
    <m/>
    <m/>
    <m/>
    <m/>
    <m/>
  </r>
  <r>
    <x v="2"/>
    <x v="2"/>
    <s v="Operación Planta de Hormigón"/>
    <n v="3000"/>
    <s v="m2"/>
    <n v="0"/>
    <n v="0"/>
    <n v="7"/>
    <n v="12"/>
    <n v="10"/>
    <n v="0"/>
    <n v="29"/>
    <x v="1"/>
    <m/>
    <m/>
    <x v="0"/>
    <m/>
    <m/>
    <m/>
    <m/>
    <m/>
    <m/>
    <m/>
    <m/>
    <m/>
    <m/>
    <m/>
    <m/>
    <m/>
    <m/>
    <m/>
    <m/>
    <m/>
    <m/>
    <m/>
    <m/>
    <m/>
    <m/>
    <m/>
    <m/>
    <m/>
    <m/>
    <m/>
    <m/>
    <m/>
    <m/>
    <m/>
  </r>
  <r>
    <x v="3"/>
    <x v="0"/>
    <s v=" Camino Acceso a Deposito de Marina desde VA1  "/>
    <n v="3000"/>
    <s v="m"/>
    <n v="0"/>
    <n v="3"/>
    <n v="0"/>
    <n v="0"/>
    <n v="0"/>
    <n v="0"/>
    <n v="3"/>
    <x v="1"/>
    <n v="15000"/>
    <n v="35000"/>
    <x v="17"/>
    <n v="48186"/>
    <m/>
    <s v="sam9"/>
    <n v="48186"/>
    <m/>
    <m/>
    <n v="3"/>
    <m/>
    <m/>
    <m/>
    <n v="350"/>
    <n v="150"/>
    <n v="83022.912812447059"/>
    <n v="0"/>
    <m/>
    <m/>
    <n v="48"/>
    <n v="10325.571428571429"/>
    <m/>
    <n v="0"/>
    <n v="1"/>
    <n v="0"/>
    <n v="0"/>
    <n v="0"/>
    <n v="0"/>
    <n v="0"/>
    <n v="2"/>
    <n v="0"/>
    <n v="0"/>
    <n v="0"/>
    <n v="0"/>
  </r>
  <r>
    <x v="3"/>
    <x v="0"/>
    <s v=" Camino Acceso Central Alfalfal II (VA1)  "/>
    <n v="1500"/>
    <s v="m"/>
    <n v="0"/>
    <n v="5"/>
    <n v="0"/>
    <n v="0"/>
    <n v="0"/>
    <n v="0"/>
    <n v="5"/>
    <x v="1"/>
    <n v="106000"/>
    <n v="155000"/>
    <x v="18"/>
    <n v="235500"/>
    <m/>
    <s v="sam6,9"/>
    <n v="94381"/>
    <n v="141119"/>
    <m/>
    <n v="1.5"/>
    <n v="1.5"/>
    <m/>
    <m/>
    <n v="1550"/>
    <n v="1060"/>
    <n v="405758.85044061102"/>
    <n v="0"/>
    <m/>
    <m/>
    <n v="24"/>
    <n v="25232.142857142859"/>
    <m/>
    <n v="0"/>
    <n v="1"/>
    <n v="0"/>
    <n v="0"/>
    <n v="0"/>
    <n v="0"/>
    <n v="0"/>
    <n v="4"/>
    <n v="0"/>
    <n v="0"/>
    <n v="0"/>
    <n v="0"/>
  </r>
  <r>
    <x v="3"/>
    <x v="0"/>
    <s v=" Camino a Cámara de Carga Alfalfal II  "/>
    <n v="7600"/>
    <s v="m"/>
    <n v="0"/>
    <n v="0"/>
    <n v="7"/>
    <n v="0"/>
    <n v="0"/>
    <n v="0"/>
    <n v="7"/>
    <x v="1"/>
    <n v="25000"/>
    <n v="69691"/>
    <x v="19"/>
    <n v="60691"/>
    <m/>
    <s v="sam5"/>
    <n v="60691"/>
    <m/>
    <m/>
    <n v="7.6"/>
    <m/>
    <m/>
    <m/>
    <n v="696.91"/>
    <n v="250"/>
    <n v="104568.6216224676"/>
    <n v="0"/>
    <m/>
    <m/>
    <n v="121.6"/>
    <n v="32946.542857142857"/>
    <m/>
    <n v="0"/>
    <n v="0"/>
    <n v="1"/>
    <n v="0"/>
    <n v="0"/>
    <n v="0"/>
    <n v="0"/>
    <n v="0"/>
    <n v="6"/>
    <n v="0"/>
    <n v="0"/>
    <n v="0"/>
  </r>
  <r>
    <x v="3"/>
    <x v="0"/>
    <s v="Habilitación SAM Nº9"/>
    <n v="55500"/>
    <s v="m2"/>
    <n v="0"/>
    <n v="1"/>
    <n v="0"/>
    <n v="0"/>
    <n v="0"/>
    <n v="0"/>
    <n v="1"/>
    <x v="16"/>
    <m/>
    <m/>
    <x v="0"/>
    <n v="11100"/>
    <m/>
    <s v="sam9"/>
    <n v="11100"/>
    <m/>
    <m/>
    <n v="0"/>
    <m/>
    <m/>
    <n v="27.75"/>
    <n v="0"/>
    <n v="0"/>
    <n v="19124.939447519246"/>
    <n v="0"/>
    <m/>
    <m/>
    <m/>
    <n v="0"/>
    <m/>
    <n v="0"/>
    <n v="1"/>
    <n v="0"/>
    <n v="0"/>
    <n v="0"/>
    <n v="0"/>
    <m/>
    <m/>
    <m/>
    <m/>
    <m/>
    <m/>
  </r>
  <r>
    <x v="3"/>
    <x v="1"/>
    <s v="Túnel Acceso Alfalfal II (VA1)"/>
    <n v="2400"/>
    <s v="m"/>
    <n v="0"/>
    <n v="2"/>
    <n v="12"/>
    <n v="6"/>
    <n v="0"/>
    <n v="0"/>
    <n v="20"/>
    <x v="1"/>
    <m/>
    <m/>
    <x v="0"/>
    <m/>
    <n v="80030.117647058825"/>
    <s v="sam9"/>
    <n v="80030.117647058825"/>
    <m/>
    <m/>
    <n v="3"/>
    <m/>
    <m/>
    <m/>
    <n v="0"/>
    <n v="0"/>
    <n v="0"/>
    <n v="208078.30588235296"/>
    <n v="1563.0882352941176"/>
    <m/>
    <m/>
    <n v="17149.310924369747"/>
    <m/>
    <m/>
    <m/>
    <m/>
    <m/>
    <m/>
    <m/>
    <n v="0"/>
    <n v="2"/>
    <n v="12"/>
    <n v="6"/>
    <n v="0"/>
    <n v="0"/>
  </r>
  <r>
    <x v="3"/>
    <x v="1"/>
    <s v="Caverna y Otros Alfalfal II "/>
    <n v="1500"/>
    <s v="m2"/>
    <n v="0"/>
    <n v="0"/>
    <n v="0"/>
    <n v="6"/>
    <n v="3"/>
    <n v="0"/>
    <n v="9"/>
    <x v="1"/>
    <m/>
    <m/>
    <x v="0"/>
    <m/>
    <n v="14160"/>
    <s v="sam9"/>
    <n v="14160"/>
    <m/>
    <m/>
    <n v="14.2"/>
    <m/>
    <m/>
    <m/>
    <n v="0"/>
    <n v="0"/>
    <n v="0"/>
    <n v="36816"/>
    <n v="276.5625"/>
    <m/>
    <m/>
    <n v="14362.285714285714"/>
    <m/>
    <m/>
    <m/>
    <m/>
    <m/>
    <m/>
    <m/>
    <n v="0"/>
    <n v="0"/>
    <n v="0"/>
    <n v="6"/>
    <n v="3"/>
    <n v="0"/>
  </r>
  <r>
    <x v="3"/>
    <x v="1"/>
    <s v="Excavación Pique - Chimenea TBM"/>
    <n v="1000"/>
    <s v="m"/>
    <n v="0"/>
    <n v="0"/>
    <n v="0"/>
    <n v="5"/>
    <n v="10"/>
    <n v="0"/>
    <n v="15"/>
    <x v="1"/>
    <m/>
    <m/>
    <x v="0"/>
    <m/>
    <n v="33345.882352941175"/>
    <s v="sam9"/>
    <n v="33345.882352941175"/>
    <m/>
    <m/>
    <n v="0"/>
    <m/>
    <m/>
    <m/>
    <n v="0"/>
    <n v="0"/>
    <n v="0"/>
    <n v="86699.294117647063"/>
    <n v="651.28676470588232"/>
    <m/>
    <m/>
    <n v="0"/>
    <m/>
    <m/>
    <m/>
    <m/>
    <m/>
    <m/>
    <m/>
    <n v="0"/>
    <n v="0"/>
    <n v="0"/>
    <n v="5"/>
    <n v="10"/>
    <n v="0"/>
  </r>
  <r>
    <x v="3"/>
    <x v="1"/>
    <s v="Túnel Descarga Alfalfal II (Hasta L10')"/>
    <n v="3400"/>
    <s v="m"/>
    <n v="0"/>
    <n v="0"/>
    <n v="0"/>
    <n v="7"/>
    <n v="3"/>
    <n v="0"/>
    <n v="10"/>
    <x v="1"/>
    <m/>
    <m/>
    <x v="0"/>
    <m/>
    <n v="113376"/>
    <s v="sam9"/>
    <n v="113376"/>
    <m/>
    <m/>
    <n v="10.5"/>
    <m/>
    <m/>
    <m/>
    <n v="0"/>
    <n v="0"/>
    <n v="0"/>
    <n v="294777.60000000003"/>
    <n v="2214.375"/>
    <m/>
    <m/>
    <n v="85032"/>
    <m/>
    <m/>
    <m/>
    <m/>
    <m/>
    <m/>
    <m/>
    <n v="0"/>
    <n v="0"/>
    <n v="0"/>
    <n v="7"/>
    <n v="3"/>
    <n v="0"/>
  </r>
  <r>
    <x v="3"/>
    <x v="1"/>
    <s v="Cámara de Carga"/>
    <n v="73000"/>
    <s v="m2"/>
    <n v="0"/>
    <n v="0"/>
    <n v="0"/>
    <n v="3"/>
    <n v="2"/>
    <n v="0"/>
    <n v="5"/>
    <x v="1"/>
    <m/>
    <m/>
    <x v="0"/>
    <m/>
    <n v="59360"/>
    <s v="sam5"/>
    <n v="59360"/>
    <m/>
    <m/>
    <n v="7.6"/>
    <m/>
    <m/>
    <m/>
    <n v="0"/>
    <n v="0"/>
    <n v="0"/>
    <n v="154336"/>
    <n v="1159.375"/>
    <m/>
    <m/>
    <n v="32224"/>
    <m/>
    <m/>
    <m/>
    <m/>
    <m/>
    <m/>
    <m/>
    <n v="0"/>
    <n v="0"/>
    <n v="0"/>
    <n v="3"/>
    <n v="2"/>
    <n v="0"/>
  </r>
  <r>
    <x v="3"/>
    <x v="1"/>
    <s v="Operación SAM Nº9"/>
    <n v="620000"/>
    <s v="m3"/>
    <n v="0"/>
    <n v="5"/>
    <n v="0"/>
    <n v="0"/>
    <n v="0"/>
    <n v="0"/>
    <n v="5"/>
    <x v="1"/>
    <m/>
    <m/>
    <x v="20"/>
    <m/>
    <m/>
    <m/>
    <m/>
    <m/>
    <m/>
    <m/>
    <m/>
    <m/>
    <m/>
    <n v="0"/>
    <n v="0"/>
    <n v="0"/>
    <n v="0"/>
    <m/>
    <m/>
    <n v="3968"/>
    <n v="0"/>
    <m/>
    <m/>
    <m/>
    <m/>
    <m/>
    <m/>
    <m/>
    <n v="0"/>
    <n v="4"/>
    <n v="0"/>
    <n v="0"/>
    <n v="0"/>
    <n v="0"/>
  </r>
  <r>
    <x v="3"/>
    <x v="1"/>
    <s v="Obras Civiles Caverna Alfalfal II"/>
    <n v="1500"/>
    <s v="m2"/>
    <n v="0"/>
    <n v="0"/>
    <n v="9"/>
    <n v="11"/>
    <n v="0"/>
    <n v="0"/>
    <n v="20"/>
    <x v="1"/>
    <m/>
    <m/>
    <x v="0"/>
    <m/>
    <m/>
    <m/>
    <m/>
    <m/>
    <m/>
    <m/>
    <m/>
    <m/>
    <m/>
    <n v="0"/>
    <n v="0"/>
    <n v="0"/>
    <n v="0"/>
    <m/>
    <m/>
    <m/>
    <n v="0"/>
    <m/>
    <m/>
    <m/>
    <m/>
    <m/>
    <m/>
    <m/>
    <m/>
    <m/>
    <m/>
    <m/>
    <m/>
    <m/>
  </r>
  <r>
    <x v="4"/>
    <x v="0"/>
    <s v="Instalación AAFF 7"/>
    <e v="#REF!"/>
    <s v="m2"/>
    <n v="0"/>
    <n v="0"/>
    <n v="1"/>
    <n v="0"/>
    <n v="0"/>
    <n v="0"/>
    <n v="1"/>
    <x v="17"/>
    <m/>
    <m/>
    <x v="0"/>
    <e v="#REF!"/>
    <m/>
    <s v="sam12"/>
    <e v="#REF!"/>
    <m/>
    <m/>
    <m/>
    <m/>
    <m/>
    <e v="#REF!"/>
    <n v="0"/>
    <n v="0"/>
    <e v="#REF!"/>
    <n v="0"/>
    <m/>
    <m/>
    <m/>
    <e v="#REF!"/>
    <m/>
    <n v="0"/>
    <n v="0"/>
    <n v="1"/>
    <n v="0"/>
    <n v="0"/>
    <n v="0"/>
    <m/>
    <m/>
    <m/>
    <m/>
    <m/>
    <m/>
  </r>
  <r>
    <x v="4"/>
    <x v="0"/>
    <s v=" Camino Acceso a Central Las Lajas  "/>
    <n v="500"/>
    <s v="m"/>
    <n v="2"/>
    <n v="1"/>
    <n v="0"/>
    <n v="0"/>
    <n v="0"/>
    <n v="0"/>
    <n v="3"/>
    <x v="1"/>
    <n v="0"/>
    <n v="12000"/>
    <x v="21"/>
    <n v="8200"/>
    <m/>
    <s v="sam7,9"/>
    <n v="5160"/>
    <n v="3040"/>
    <m/>
    <n v="8.9"/>
    <n v="6.7"/>
    <m/>
    <m/>
    <n v="120"/>
    <n v="0"/>
    <n v="14128.333645915118"/>
    <n v="0"/>
    <m/>
    <m/>
    <n v="8"/>
    <m/>
    <n v="4735.1428571428569"/>
    <n v="1"/>
    <n v="0"/>
    <n v="0"/>
    <n v="0"/>
    <n v="0"/>
    <n v="0"/>
    <n v="1"/>
    <n v="1"/>
    <n v="0"/>
    <n v="0"/>
    <n v="0"/>
    <n v="0"/>
  </r>
  <r>
    <x v="4"/>
    <x v="0"/>
    <s v=" Camino Acceso a VL5  "/>
    <n v="300"/>
    <s v="m"/>
    <n v="0"/>
    <n v="0"/>
    <n v="1"/>
    <n v="0"/>
    <n v="0"/>
    <n v="0"/>
    <n v="1"/>
    <x v="1"/>
    <n v="140"/>
    <n v="13050"/>
    <x v="22"/>
    <n v="11700"/>
    <m/>
    <s v="sam11"/>
    <n v="11700"/>
    <m/>
    <m/>
    <n v="0.5"/>
    <m/>
    <m/>
    <m/>
    <n v="130.5"/>
    <n v="1.4"/>
    <n v="20158.719958195961"/>
    <n v="0"/>
    <m/>
    <m/>
    <n v="4.8"/>
    <n v="417.85714285714283"/>
    <m/>
    <n v="0"/>
    <n v="0"/>
    <n v="1"/>
    <n v="0"/>
    <n v="0"/>
    <n v="0"/>
    <n v="0"/>
    <n v="0"/>
    <n v="0"/>
    <n v="0"/>
    <n v="0"/>
    <n v="0"/>
  </r>
  <r>
    <x v="4"/>
    <x v="0"/>
    <s v="Habilitación SAM Nº7"/>
    <n v="21200"/>
    <s v="m2"/>
    <n v="0"/>
    <n v="0"/>
    <n v="1"/>
    <n v="0"/>
    <n v="0"/>
    <n v="0"/>
    <n v="1"/>
    <x v="18"/>
    <m/>
    <m/>
    <x v="0"/>
    <n v="4240"/>
    <m/>
    <s v="sam7"/>
    <n v="4240"/>
    <m/>
    <m/>
    <n v="0"/>
    <m/>
    <m/>
    <n v="10.6"/>
    <n v="0"/>
    <n v="0"/>
    <n v="7305.3822754487928"/>
    <n v="0"/>
    <m/>
    <m/>
    <m/>
    <n v="0"/>
    <m/>
    <n v="0"/>
    <n v="0"/>
    <n v="1"/>
    <n v="0"/>
    <n v="0"/>
    <n v="0"/>
    <m/>
    <m/>
    <m/>
    <m/>
    <m/>
    <m/>
  </r>
  <r>
    <x v="4"/>
    <x v="0"/>
    <s v="Habilitación SAM Nº8"/>
    <n v="30900"/>
    <s v="m2"/>
    <n v="0"/>
    <n v="1"/>
    <n v="0"/>
    <n v="0"/>
    <n v="0"/>
    <n v="0"/>
    <n v="1"/>
    <x v="19"/>
    <m/>
    <m/>
    <x v="0"/>
    <n v="6180"/>
    <m/>
    <s v="sam8"/>
    <n v="6180"/>
    <m/>
    <m/>
    <n v="0"/>
    <m/>
    <m/>
    <n v="15.45"/>
    <n v="0"/>
    <n v="0"/>
    <n v="10647.939259970173"/>
    <n v="0"/>
    <m/>
    <m/>
    <m/>
    <n v="0"/>
    <m/>
    <n v="0"/>
    <n v="1"/>
    <n v="0"/>
    <n v="0"/>
    <n v="0"/>
    <n v="0"/>
    <m/>
    <m/>
    <m/>
    <m/>
    <m/>
    <m/>
  </r>
  <r>
    <x v="4"/>
    <x v="0"/>
    <s v="Habilitación SAM Nº10"/>
    <n v="11700"/>
    <s v="m2"/>
    <n v="0"/>
    <n v="0"/>
    <n v="1"/>
    <n v="0"/>
    <n v="0"/>
    <n v="0"/>
    <n v="1"/>
    <x v="20"/>
    <m/>
    <m/>
    <x v="0"/>
    <n v="2340"/>
    <m/>
    <s v="sam10"/>
    <n v="2340"/>
    <m/>
    <m/>
    <n v="0"/>
    <m/>
    <m/>
    <n v="5.85"/>
    <n v="0"/>
    <n v="0"/>
    <n v="4031.7439916391922"/>
    <n v="0"/>
    <m/>
    <m/>
    <m/>
    <n v="0"/>
    <m/>
    <n v="0"/>
    <n v="0"/>
    <n v="1"/>
    <n v="0"/>
    <n v="0"/>
    <n v="0"/>
    <m/>
    <m/>
    <m/>
    <m/>
    <m/>
    <m/>
  </r>
  <r>
    <x v="4"/>
    <x v="0"/>
    <s v="Habilitación SAM Nº11"/>
    <n v="16300"/>
    <s v="m2"/>
    <n v="1"/>
    <n v="0"/>
    <n v="0"/>
    <n v="0"/>
    <n v="0"/>
    <n v="0"/>
    <n v="1"/>
    <x v="21"/>
    <m/>
    <m/>
    <x v="0"/>
    <n v="3260"/>
    <m/>
    <s v="sam11"/>
    <n v="3260"/>
    <m/>
    <m/>
    <n v="0"/>
    <m/>
    <m/>
    <n v="8.15"/>
    <n v="0"/>
    <n v="0"/>
    <n v="5616.8741080101563"/>
    <n v="0"/>
    <m/>
    <m/>
    <m/>
    <n v="0"/>
    <m/>
    <n v="1"/>
    <n v="0"/>
    <n v="0"/>
    <n v="0"/>
    <n v="0"/>
    <n v="0"/>
    <m/>
    <m/>
    <m/>
    <m/>
    <m/>
    <m/>
  </r>
  <r>
    <x v="4"/>
    <x v="0"/>
    <s v="Habilitación SAM Nº13"/>
    <n v="11200"/>
    <s v="m2"/>
    <n v="0"/>
    <n v="0"/>
    <n v="1"/>
    <n v="0"/>
    <n v="0"/>
    <n v="0"/>
    <n v="1"/>
    <x v="22"/>
    <m/>
    <m/>
    <x v="0"/>
    <n v="2240"/>
    <m/>
    <s v="sam13"/>
    <n v="2240"/>
    <m/>
    <m/>
    <n v="0"/>
    <m/>
    <m/>
    <n v="5.6"/>
    <n v="0"/>
    <n v="0"/>
    <n v="3859.4472398597395"/>
    <n v="0"/>
    <m/>
    <m/>
    <m/>
    <n v="0"/>
    <m/>
    <n v="0"/>
    <n v="0"/>
    <n v="1"/>
    <n v="0"/>
    <n v="0"/>
    <n v="0"/>
    <m/>
    <m/>
    <m/>
    <m/>
    <m/>
    <m/>
  </r>
  <r>
    <x v="4"/>
    <x v="0"/>
    <s v="Habilitación SAM Nº14"/>
    <n v="29700"/>
    <s v="m2"/>
    <n v="1"/>
    <n v="0"/>
    <n v="1"/>
    <n v="0"/>
    <n v="0"/>
    <n v="0"/>
    <n v="2"/>
    <x v="23"/>
    <m/>
    <m/>
    <x v="0"/>
    <n v="5940"/>
    <m/>
    <s v="sam14"/>
    <n v="5940"/>
    <m/>
    <m/>
    <n v="0"/>
    <m/>
    <m/>
    <n v="14.85"/>
    <n v="0"/>
    <n v="0"/>
    <n v="10234.427055699487"/>
    <n v="0"/>
    <m/>
    <m/>
    <m/>
    <n v="0"/>
    <m/>
    <n v="1"/>
    <n v="0"/>
    <n v="0"/>
    <n v="0"/>
    <n v="0"/>
    <n v="0"/>
    <m/>
    <m/>
    <m/>
    <m/>
    <m/>
    <m/>
  </r>
  <r>
    <x v="4"/>
    <x v="0"/>
    <s v="Habilitación SAM Nº12"/>
    <n v="23600"/>
    <s v="m2"/>
    <n v="0"/>
    <n v="0"/>
    <n v="1"/>
    <n v="0"/>
    <n v="0"/>
    <n v="0"/>
    <n v="1"/>
    <x v="24"/>
    <m/>
    <m/>
    <x v="0"/>
    <n v="4720"/>
    <m/>
    <s v="sam12"/>
    <n v="4720"/>
    <m/>
    <m/>
    <n v="0"/>
    <m/>
    <m/>
    <n v="11.8"/>
    <n v="0"/>
    <n v="0"/>
    <n v="8132.4066839901652"/>
    <n v="0"/>
    <m/>
    <m/>
    <m/>
    <n v="0"/>
    <m/>
    <n v="0"/>
    <n v="0"/>
    <n v="1"/>
    <n v="0"/>
    <n v="0"/>
    <n v="0"/>
    <m/>
    <m/>
    <m/>
    <m/>
    <m/>
    <m/>
  </r>
  <r>
    <x v="4"/>
    <x v="1"/>
    <s v="Ventana El 300 (VL7 - L12)"/>
    <n v="300"/>
    <s v="m"/>
    <n v="0"/>
    <n v="1"/>
    <n v="1"/>
    <n v="0"/>
    <n v="0"/>
    <n v="0"/>
    <n v="2"/>
    <x v="1"/>
    <m/>
    <m/>
    <x v="0"/>
    <m/>
    <n v="5298.0633410966493"/>
    <s v="sam7"/>
    <n v="5298.0633410966493"/>
    <m/>
    <m/>
    <n v="0"/>
    <m/>
    <m/>
    <m/>
    <n v="0"/>
    <n v="0"/>
    <n v="0"/>
    <n v="13774.964686851288"/>
    <n v="103.47779963079392"/>
    <m/>
    <m/>
    <n v="0"/>
    <m/>
    <m/>
    <m/>
    <m/>
    <m/>
    <m/>
    <m/>
    <n v="0"/>
    <n v="1"/>
    <n v="1"/>
    <n v="0"/>
    <n v="0"/>
    <n v="0"/>
  </r>
  <r>
    <x v="4"/>
    <x v="1"/>
    <s v="Ventana El 300, Frentes Auxiliares (L12 a VL8)"/>
    <n v="1710"/>
    <s v="m"/>
    <n v="0"/>
    <n v="0"/>
    <n v="10"/>
    <n v="1"/>
    <n v="0"/>
    <n v="0"/>
    <n v="11"/>
    <x v="1"/>
    <m/>
    <m/>
    <x v="0"/>
    <m/>
    <n v="30198.961044250904"/>
    <s v="sam7"/>
    <n v="30198.961044250904"/>
    <m/>
    <m/>
    <n v="8.9"/>
    <m/>
    <m/>
    <m/>
    <n v="0"/>
    <n v="0"/>
    <n v="0"/>
    <n v="78517.298715052355"/>
    <n v="589.82345789552539"/>
    <m/>
    <m/>
    <m/>
    <n v="19197.910949559504"/>
    <m/>
    <m/>
    <m/>
    <m/>
    <m/>
    <m/>
    <n v="0"/>
    <n v="0"/>
    <n v="10"/>
    <n v="1"/>
    <n v="0"/>
    <n v="0"/>
  </r>
  <r>
    <x v="4"/>
    <x v="1"/>
    <s v="Ventana El 300, Frente Principal (L12 a L10 + 601m.)"/>
    <n v="4864.21"/>
    <s v="m"/>
    <n v="0"/>
    <n v="0"/>
    <n v="11"/>
    <n v="12"/>
    <n v="1"/>
    <n v="0"/>
    <n v="24"/>
    <x v="1"/>
    <m/>
    <m/>
    <x v="0"/>
    <m/>
    <n v="85902.975614652445"/>
    <s v="sam7"/>
    <n v="85902.975614652445"/>
    <m/>
    <m/>
    <n v="8.9"/>
    <m/>
    <m/>
    <m/>
    <n v="0"/>
    <n v="0"/>
    <n v="0"/>
    <n v="223347.73659809635"/>
    <n v="1677.7924924736806"/>
    <m/>
    <m/>
    <m/>
    <n v="54609.74878360048"/>
    <m/>
    <m/>
    <m/>
    <m/>
    <m/>
    <m/>
    <n v="0"/>
    <n v="0"/>
    <n v="11"/>
    <n v="12"/>
    <n v="1"/>
    <n v="0"/>
  </r>
  <r>
    <x v="4"/>
    <x v="1"/>
    <s v="L10 a Alfalfal II"/>
    <n v="3391.817"/>
    <s v="m"/>
    <n v="0"/>
    <n v="0"/>
    <n v="9"/>
    <n v="10"/>
    <n v="0"/>
    <n v="0"/>
    <n v="19"/>
    <x v="1"/>
    <m/>
    <m/>
    <x v="0"/>
    <m/>
    <n v="175643"/>
    <s v="sam9"/>
    <n v="175643"/>
    <m/>
    <m/>
    <n v="10.5"/>
    <m/>
    <m/>
    <m/>
    <n v="0"/>
    <n v="0"/>
    <n v="0"/>
    <n v="456671.8"/>
    <n v="3430.52734375"/>
    <m/>
    <m/>
    <n v="131732.25"/>
    <m/>
    <m/>
    <m/>
    <m/>
    <m/>
    <m/>
    <m/>
    <n v="0"/>
    <n v="0"/>
    <n v="9"/>
    <n v="10"/>
    <n v="0"/>
    <n v="0"/>
  </r>
  <r>
    <x v="4"/>
    <x v="1"/>
    <s v="Ventana y Túnel VL5 a L9"/>
    <n v="600"/>
    <s v="m"/>
    <n v="0"/>
    <n v="2"/>
    <n v="8"/>
    <n v="0"/>
    <n v="0"/>
    <n v="0"/>
    <n v="10"/>
    <x v="1"/>
    <m/>
    <m/>
    <x v="0"/>
    <m/>
    <n v="12684.933847741362"/>
    <s v="sam10,11"/>
    <n v="8938.6062346778508"/>
    <n v="3746.3276130635113"/>
    <m/>
    <n v="0"/>
    <n v="0.5"/>
    <m/>
    <m/>
    <n v="0"/>
    <n v="0"/>
    <n v="0"/>
    <n v="32980.828004127543"/>
    <n v="247.75261421369848"/>
    <m/>
    <m/>
    <n v="133.79741475226825"/>
    <m/>
    <m/>
    <m/>
    <m/>
    <m/>
    <m/>
    <m/>
    <n v="0"/>
    <n v="2"/>
    <n v="8"/>
    <n v="0"/>
    <n v="0"/>
    <n v="0"/>
  </r>
  <r>
    <x v="4"/>
    <x v="1"/>
    <s v="Aducción Las Lajas A Arriba (L9 a L10 - 601m.)"/>
    <n v="3964.47"/>
    <s v="m"/>
    <n v="0"/>
    <n v="0"/>
    <n v="5"/>
    <n v="12"/>
    <n v="10"/>
    <n v="0"/>
    <n v="27"/>
    <x v="1"/>
    <m/>
    <m/>
    <x v="0"/>
    <m/>
    <n v="83815.066152258645"/>
    <s v="sam10,11"/>
    <n v="59061.393765322151"/>
    <n v="24753.672386936494"/>
    <m/>
    <n v="0"/>
    <n v="0.5"/>
    <m/>
    <m/>
    <n v="0"/>
    <n v="0"/>
    <n v="0"/>
    <n v="217919.17199587249"/>
    <n v="1637.0130107863015"/>
    <m/>
    <m/>
    <n v="884.05972810487481"/>
    <m/>
    <m/>
    <m/>
    <m/>
    <m/>
    <m/>
    <m/>
    <n v="0"/>
    <n v="0"/>
    <n v="5"/>
    <n v="12"/>
    <n v="10"/>
    <n v="0"/>
  </r>
  <r>
    <x v="4"/>
    <x v="1"/>
    <s v="Excavación Pique - Chimenea"/>
    <n v="626.25"/>
    <s v="m"/>
    <n v="0"/>
    <n v="0"/>
    <n v="1"/>
    <n v="8"/>
    <n v="0"/>
    <n v="0"/>
    <n v="9"/>
    <x v="1"/>
    <m/>
    <m/>
    <x v="0"/>
    <m/>
    <n v="20771.391128291674"/>
    <s v="sam11,13,14"/>
    <n v="2083.9050382781224"/>
    <n v="6156.9921585489983"/>
    <n v="12530.493931464554"/>
    <n v="0.5"/>
    <n v="1.4"/>
    <n v="0"/>
    <m/>
    <n v="0"/>
    <n v="0"/>
    <n v="0"/>
    <n v="54005.616933558355"/>
    <n v="405.69123297444673"/>
    <m/>
    <m/>
    <n v="690.12439579340412"/>
    <m/>
    <m/>
    <m/>
    <m/>
    <m/>
    <m/>
    <m/>
    <n v="0"/>
    <n v="0"/>
    <n v="1"/>
    <n v="8"/>
    <n v="0"/>
    <n v="0"/>
  </r>
  <r>
    <x v="4"/>
    <x v="1"/>
    <s v="Túnel Acceso Las Lajas (VL4)"/>
    <n v="1900"/>
    <s v="m"/>
    <n v="0"/>
    <n v="2"/>
    <n v="12"/>
    <n v="2"/>
    <n v="0"/>
    <n v="0"/>
    <n v="16"/>
    <x v="1"/>
    <m/>
    <m/>
    <x v="0"/>
    <m/>
    <n v="63018.991047910866"/>
    <s v="sam11,13,14"/>
    <n v="6322.4264634386145"/>
    <n v="18679.896369250451"/>
    <n v="38016.668215221805"/>
    <n v="0.5"/>
    <n v="2.6"/>
    <n v="0"/>
    <m/>
    <n v="0"/>
    <n v="0"/>
    <n v="0"/>
    <n v="163849.37672456825"/>
    <n v="1230.8396689045089"/>
    <m/>
    <m/>
    <n v="3694.9245565550345"/>
    <m/>
    <m/>
    <m/>
    <m/>
    <m/>
    <m/>
    <m/>
    <n v="0"/>
    <n v="2"/>
    <n v="12"/>
    <n v="2"/>
    <n v="0"/>
    <n v="0"/>
  </r>
  <r>
    <x v="4"/>
    <x v="1"/>
    <s v="Caverna y Otros Las Lajas"/>
    <n v="1700"/>
    <s v="m2"/>
    <n v="0"/>
    <n v="0"/>
    <n v="0"/>
    <n v="0"/>
    <n v="10"/>
    <n v="0"/>
    <n v="10"/>
    <x v="1"/>
    <m/>
    <m/>
    <x v="0"/>
    <m/>
    <n v="52000"/>
    <s v="sam8"/>
    <n v="52000"/>
    <m/>
    <m/>
    <n v="10"/>
    <m/>
    <m/>
    <m/>
    <n v="0"/>
    <n v="0"/>
    <n v="0"/>
    <n v="135200"/>
    <n v="1015.625"/>
    <m/>
    <m/>
    <m/>
    <n v="37142.857142857145"/>
    <m/>
    <m/>
    <m/>
    <m/>
    <m/>
    <m/>
    <n v="0"/>
    <n v="0"/>
    <n v="0"/>
    <n v="0"/>
    <n v="10"/>
    <n v="0"/>
  </r>
  <r>
    <x v="4"/>
    <x v="1"/>
    <s v="Túnel Descarga Las Lajas (L7 a L4)"/>
    <n v="2614.8449999999998"/>
    <s v="m"/>
    <n v="0"/>
    <n v="0"/>
    <n v="7"/>
    <n v="12"/>
    <n v="6"/>
    <n v="0"/>
    <n v="25"/>
    <x v="1"/>
    <m/>
    <m/>
    <x v="0"/>
    <m/>
    <n v="86728.891392986552"/>
    <s v="sam11,13,14"/>
    <n v="8701.1395925211273"/>
    <n v="25707.912432448782"/>
    <n v="52319.839368016648"/>
    <n v="4.9000000000000004"/>
    <n v="2.6"/>
    <n v="0"/>
    <m/>
    <n v="0"/>
    <n v="0"/>
    <n v="0"/>
    <n v="225495.11762176504"/>
    <n v="1693.9236600192685"/>
    <m/>
    <m/>
    <m/>
    <n v="7819.7254519800254"/>
    <m/>
    <m/>
    <m/>
    <m/>
    <m/>
    <m/>
    <n v="0"/>
    <n v="0"/>
    <n v="7"/>
    <n v="12"/>
    <n v="6"/>
    <n v="0"/>
  </r>
  <r>
    <x v="4"/>
    <x v="1"/>
    <s v="Ventana Las Puertas (VL2 a L4)"/>
    <n v="1500"/>
    <s v="m"/>
    <n v="0"/>
    <n v="0"/>
    <n v="8"/>
    <n v="5"/>
    <n v="0"/>
    <n v="0"/>
    <n v="13"/>
    <x v="1"/>
    <m/>
    <m/>
    <x v="0"/>
    <m/>
    <n v="49751.835037824363"/>
    <s v="sam11,13,14"/>
    <n v="4991.3893132410112"/>
    <n v="14747.286607302985"/>
    <n v="30013.159117280364"/>
    <n v="4.9000000000000004"/>
    <n v="2.6"/>
    <n v="0"/>
    <m/>
    <n v="0"/>
    <n v="0"/>
    <n v="0"/>
    <n v="129354.77109834335"/>
    <n v="971.71552808250703"/>
    <m/>
    <m/>
    <m/>
    <n v="4485.7680581334798"/>
    <m/>
    <m/>
    <m/>
    <m/>
    <m/>
    <m/>
    <n v="0"/>
    <n v="0"/>
    <n v="8"/>
    <n v="5"/>
    <n v="0"/>
    <n v="0"/>
  </r>
  <r>
    <x v="4"/>
    <x v="1"/>
    <s v="Las Puertas hacia arriba (L4 a L7)"/>
    <n v="2614.8449999999998"/>
    <s v="m"/>
    <n v="0"/>
    <n v="0"/>
    <n v="7"/>
    <n v="12"/>
    <n v="6"/>
    <n v="0"/>
    <n v="25"/>
    <x v="1"/>
    <m/>
    <m/>
    <x v="0"/>
    <m/>
    <n v="86728.891392986552"/>
    <s v="sam11,13,14"/>
    <n v="8701.1395925211273"/>
    <n v="25707.912432448782"/>
    <n v="52319.839368016648"/>
    <n v="4.9000000000000004"/>
    <n v="2.6"/>
    <n v="0"/>
    <m/>
    <n v="0"/>
    <n v="0"/>
    <n v="0"/>
    <n v="225495.11762176504"/>
    <n v="1693.9236600192685"/>
    <m/>
    <m/>
    <m/>
    <n v="7819.7254519800254"/>
    <m/>
    <m/>
    <m/>
    <m/>
    <m/>
    <m/>
    <n v="0"/>
    <n v="0"/>
    <n v="7"/>
    <n v="12"/>
    <n v="6"/>
    <n v="0"/>
  </r>
  <r>
    <x v="4"/>
    <x v="1"/>
    <s v="Las Puertas hacia abajo (L4 hacia L1)"/>
    <n v="3872.375"/>
    <s v="m"/>
    <n v="0"/>
    <n v="0"/>
    <n v="6"/>
    <n v="12"/>
    <n v="12"/>
    <n v="0"/>
    <n v="30"/>
    <x v="1"/>
    <m/>
    <m/>
    <x v="0"/>
    <m/>
    <n v="159800"/>
    <s v="sam14"/>
    <n v="159800"/>
    <m/>
    <m/>
    <n v="0"/>
    <m/>
    <m/>
    <m/>
    <n v="0"/>
    <n v="0"/>
    <n v="0"/>
    <n v="415480"/>
    <n v="3121.09375"/>
    <m/>
    <m/>
    <n v="0"/>
    <m/>
    <m/>
    <m/>
    <m/>
    <m/>
    <m/>
    <m/>
    <n v="0"/>
    <n v="0"/>
    <n v="6"/>
    <n v="12"/>
    <n v="12"/>
    <n v="0"/>
  </r>
  <r>
    <x v="4"/>
    <x v="1"/>
    <s v="Las Lajas hacia arriba (L1 hacia L4)"/>
    <n v="3872.375"/>
    <s v="m"/>
    <n v="0"/>
    <n v="0"/>
    <n v="6"/>
    <n v="12"/>
    <n v="12"/>
    <n v="0"/>
    <n v="30"/>
    <x v="1"/>
    <m/>
    <m/>
    <x v="0"/>
    <m/>
    <n v="210000"/>
    <s v="sam12"/>
    <n v="210000"/>
    <m/>
    <m/>
    <n v="0"/>
    <m/>
    <m/>
    <m/>
    <n v="0"/>
    <n v="0"/>
    <n v="0"/>
    <n v="546000"/>
    <n v="4101.5625"/>
    <m/>
    <m/>
    <n v="0"/>
    <m/>
    <m/>
    <m/>
    <m/>
    <m/>
    <m/>
    <m/>
    <n v="0"/>
    <n v="0"/>
    <n v="6"/>
    <n v="12"/>
    <n v="12"/>
    <n v="0"/>
  </r>
  <r>
    <x v="4"/>
    <x v="1"/>
    <s v="Operación SAM Nº7"/>
    <n v="200000"/>
    <s v="m3"/>
    <n v="0"/>
    <n v="0"/>
    <n v="4"/>
    <n v="0"/>
    <n v="0"/>
    <n v="0"/>
    <n v="4"/>
    <x v="1"/>
    <m/>
    <m/>
    <x v="23"/>
    <m/>
    <m/>
    <m/>
    <m/>
    <m/>
    <m/>
    <m/>
    <m/>
    <m/>
    <m/>
    <n v="0"/>
    <n v="0"/>
    <n v="0"/>
    <n v="0"/>
    <m/>
    <m/>
    <n v="1037.7280000000001"/>
    <n v="0"/>
    <m/>
    <m/>
    <m/>
    <m/>
    <m/>
    <m/>
    <m/>
    <n v="0"/>
    <n v="0"/>
    <n v="3"/>
    <n v="0"/>
    <n v="0"/>
    <n v="0"/>
  </r>
  <r>
    <x v="4"/>
    <x v="1"/>
    <s v="Operación SAM Nº8"/>
    <n v="200000"/>
    <s v="m3"/>
    <n v="0"/>
    <n v="11"/>
    <n v="12"/>
    <n v="7"/>
    <n v="0"/>
    <n v="0"/>
    <n v="30"/>
    <x v="1"/>
    <m/>
    <m/>
    <x v="24"/>
    <m/>
    <m/>
    <m/>
    <m/>
    <m/>
    <m/>
    <m/>
    <m/>
    <m/>
    <m/>
    <n v="0"/>
    <n v="0"/>
    <n v="0"/>
    <n v="0"/>
    <m/>
    <m/>
    <e v="#REF!"/>
    <n v="0"/>
    <m/>
    <m/>
    <m/>
    <m/>
    <m/>
    <m/>
    <m/>
    <n v="0"/>
    <n v="10"/>
    <n v="12"/>
    <n v="7"/>
    <n v="0"/>
    <n v="0"/>
  </r>
  <r>
    <x v="4"/>
    <x v="1"/>
    <s v="Operación SAM Nº10"/>
    <n v="68000"/>
    <s v="m3"/>
    <n v="0"/>
    <n v="0"/>
    <n v="12"/>
    <n v="12"/>
    <n v="9"/>
    <n v="0"/>
    <n v="33"/>
    <x v="1"/>
    <m/>
    <m/>
    <x v="25"/>
    <m/>
    <m/>
    <m/>
    <m/>
    <m/>
    <m/>
    <m/>
    <m/>
    <m/>
    <m/>
    <n v="0"/>
    <n v="0"/>
    <n v="0"/>
    <n v="0"/>
    <m/>
    <m/>
    <n v="450.17599999999999"/>
    <n v="0"/>
    <m/>
    <m/>
    <m/>
    <m/>
    <m/>
    <m/>
    <m/>
    <n v="0"/>
    <n v="0"/>
    <n v="11"/>
    <n v="12"/>
    <n v="9"/>
    <n v="0"/>
  </r>
  <r>
    <x v="4"/>
    <x v="1"/>
    <s v="Operación SAM Nº11"/>
    <n v="71000"/>
    <s v="m3"/>
    <n v="0"/>
    <n v="8"/>
    <n v="7"/>
    <n v="0"/>
    <n v="0"/>
    <n v="0"/>
    <n v="15"/>
    <x v="1"/>
    <m/>
    <m/>
    <x v="26"/>
    <m/>
    <m/>
    <m/>
    <m/>
    <m/>
    <m/>
    <m/>
    <m/>
    <m/>
    <m/>
    <n v="0"/>
    <n v="0"/>
    <n v="0"/>
    <n v="0"/>
    <m/>
    <m/>
    <n v="475.26400000000001"/>
    <n v="0"/>
    <m/>
    <m/>
    <m/>
    <m/>
    <m/>
    <m/>
    <m/>
    <n v="-1"/>
    <n v="8"/>
    <n v="7"/>
    <n v="0"/>
    <n v="0"/>
    <n v="0"/>
  </r>
  <r>
    <x v="4"/>
    <x v="1"/>
    <s v="Operación SAM Nº13"/>
    <n v="91000"/>
    <s v="m3"/>
    <n v="0"/>
    <n v="0"/>
    <n v="11"/>
    <n v="7"/>
    <n v="0"/>
    <n v="0"/>
    <n v="18"/>
    <x v="1"/>
    <m/>
    <m/>
    <x v="27"/>
    <m/>
    <m/>
    <m/>
    <m/>
    <m/>
    <m/>
    <m/>
    <m/>
    <m/>
    <m/>
    <n v="0"/>
    <n v="0"/>
    <n v="0"/>
    <n v="0"/>
    <m/>
    <m/>
    <n v="596.73599999999999"/>
    <n v="0"/>
    <m/>
    <m/>
    <m/>
    <m/>
    <m/>
    <m/>
    <m/>
    <n v="0"/>
    <n v="0"/>
    <n v="10"/>
    <n v="7"/>
    <n v="0"/>
    <n v="0"/>
  </r>
  <r>
    <x v="4"/>
    <x v="1"/>
    <s v="Operación SAM Nº14"/>
    <n v="345000"/>
    <s v="m3"/>
    <n v="0"/>
    <n v="1"/>
    <n v="12"/>
    <n v="2"/>
    <n v="0"/>
    <n v="0"/>
    <n v="15"/>
    <x v="1"/>
    <m/>
    <m/>
    <x v="28"/>
    <m/>
    <m/>
    <m/>
    <m/>
    <m/>
    <m/>
    <m/>
    <m/>
    <m/>
    <m/>
    <n v="0"/>
    <n v="0"/>
    <n v="0"/>
    <n v="0"/>
    <m/>
    <m/>
    <n v="2246.0160000000001"/>
    <n v="0"/>
    <m/>
    <m/>
    <m/>
    <m/>
    <m/>
    <m/>
    <m/>
    <n v="-1"/>
    <n v="1"/>
    <n v="12"/>
    <n v="2"/>
    <n v="0"/>
    <n v="0"/>
  </r>
  <r>
    <x v="4"/>
    <x v="1"/>
    <s v="Operación SAM Nº12"/>
    <n v="210000"/>
    <s v="m3"/>
    <n v="0"/>
    <n v="0"/>
    <n v="6"/>
    <n v="12"/>
    <n v="12"/>
    <n v="0"/>
    <n v="30"/>
    <x v="1"/>
    <m/>
    <m/>
    <x v="24"/>
    <m/>
    <m/>
    <m/>
    <m/>
    <m/>
    <m/>
    <m/>
    <m/>
    <m/>
    <m/>
    <n v="0"/>
    <n v="0"/>
    <n v="0"/>
    <n v="0"/>
    <m/>
    <m/>
    <e v="#REF!"/>
    <n v="0"/>
    <m/>
    <m/>
    <m/>
    <m/>
    <m/>
    <m/>
    <m/>
    <n v="0"/>
    <n v="0"/>
    <n v="5"/>
    <n v="12"/>
    <n v="12"/>
    <n v="0"/>
  </r>
  <r>
    <x v="4"/>
    <x v="2"/>
    <s v="Planta Hormigon Portal Ventana Túnel Las Lajas VL5 "/>
    <n v="3000"/>
    <s v="m2"/>
    <n v="0"/>
    <n v="0"/>
    <n v="12"/>
    <n v="12"/>
    <n v="12"/>
    <n v="0"/>
    <n v="36"/>
    <x v="1"/>
    <m/>
    <m/>
    <x v="0"/>
    <m/>
    <m/>
    <m/>
    <m/>
    <m/>
    <m/>
    <m/>
    <m/>
    <m/>
    <m/>
    <m/>
    <m/>
    <m/>
    <m/>
    <m/>
    <m/>
    <m/>
    <m/>
    <m/>
    <m/>
    <m/>
    <m/>
    <m/>
    <m/>
    <m/>
    <m/>
    <m/>
    <m/>
    <m/>
    <m/>
    <m/>
  </r>
  <r>
    <x v="4"/>
    <x v="2"/>
    <s v="Planta Hormigon Portal Túnel Las Lajas VL8 "/>
    <n v="3000"/>
    <s v="m2"/>
    <n v="0"/>
    <n v="0"/>
    <n v="12"/>
    <n v="12"/>
    <n v="12"/>
    <n v="0"/>
    <n v="36"/>
    <x v="1"/>
    <m/>
    <m/>
    <x v="0"/>
    <m/>
    <m/>
    <m/>
    <m/>
    <m/>
    <m/>
    <m/>
    <m/>
    <m/>
    <m/>
    <m/>
    <m/>
    <m/>
    <m/>
    <m/>
    <m/>
    <m/>
    <m/>
    <m/>
    <m/>
    <m/>
    <m/>
    <m/>
    <m/>
    <m/>
    <m/>
    <m/>
    <m/>
    <m/>
    <m/>
    <m/>
  </r>
  <r>
    <x v="4"/>
    <x v="2"/>
    <s v="Planta Hormigon Portal Túnel Las Lajas VL7 "/>
    <n v="3000"/>
    <s v="m2"/>
    <n v="0"/>
    <n v="0"/>
    <n v="12"/>
    <n v="12"/>
    <n v="12"/>
    <n v="0"/>
    <n v="36"/>
    <x v="1"/>
    <m/>
    <m/>
    <x v="0"/>
    <m/>
    <m/>
    <m/>
    <m/>
    <m/>
    <m/>
    <m/>
    <m/>
    <m/>
    <m/>
    <m/>
    <m/>
    <m/>
    <m/>
    <m/>
    <m/>
    <m/>
    <m/>
    <m/>
    <m/>
    <m/>
    <m/>
    <m/>
    <m/>
    <m/>
    <m/>
    <m/>
    <m/>
    <m/>
    <m/>
    <m/>
  </r>
  <r>
    <x v="4"/>
    <x v="2"/>
    <s v="Planta Hormigon Portal acceso a Central Las Lajas VL4 "/>
    <n v="3000"/>
    <s v="m2"/>
    <n v="0"/>
    <n v="0"/>
    <n v="12"/>
    <n v="12"/>
    <n v="6"/>
    <n v="0"/>
    <n v="30"/>
    <x v="1"/>
    <m/>
    <m/>
    <x v="0"/>
    <m/>
    <m/>
    <m/>
    <m/>
    <m/>
    <m/>
    <m/>
    <m/>
    <m/>
    <m/>
    <m/>
    <m/>
    <m/>
    <m/>
    <m/>
    <m/>
    <m/>
    <m/>
    <m/>
    <m/>
    <m/>
    <m/>
    <m/>
    <m/>
    <m/>
    <m/>
    <m/>
    <m/>
    <m/>
    <m/>
    <m/>
  </r>
  <r>
    <x v="4"/>
    <x v="2"/>
    <s v="Planta Hormigon Portal Ventana Las Puertas VL2 "/>
    <n v="3000"/>
    <s v="m2"/>
    <n v="0"/>
    <n v="0"/>
    <n v="12"/>
    <n v="12"/>
    <n v="12"/>
    <n v="0"/>
    <n v="36"/>
    <x v="1"/>
    <m/>
    <m/>
    <x v="0"/>
    <m/>
    <m/>
    <m/>
    <m/>
    <m/>
    <m/>
    <m/>
    <m/>
    <m/>
    <m/>
    <m/>
    <m/>
    <m/>
    <m/>
    <m/>
    <m/>
    <m/>
    <m/>
    <m/>
    <m/>
    <m/>
    <m/>
    <m/>
    <m/>
    <m/>
    <m/>
    <m/>
    <m/>
    <m/>
    <m/>
    <m/>
  </r>
  <r>
    <x v="4"/>
    <x v="2"/>
    <s v="Planta Hormigon Portal Túnel Las Lajas L1 (Descarga río Maipo) "/>
    <n v="3000"/>
    <s v="m2"/>
    <n v="0"/>
    <n v="0"/>
    <n v="6"/>
    <n v="12"/>
    <n v="12"/>
    <n v="0"/>
    <n v="30"/>
    <x v="1"/>
    <m/>
    <m/>
    <x v="0"/>
    <m/>
    <m/>
    <m/>
    <m/>
    <m/>
    <m/>
    <m/>
    <m/>
    <m/>
    <m/>
    <m/>
    <m/>
    <m/>
    <m/>
    <m/>
    <m/>
    <m/>
    <m/>
    <m/>
    <m/>
    <m/>
    <m/>
    <m/>
    <m/>
    <m/>
    <m/>
    <m/>
    <m/>
    <m/>
    <m/>
    <m/>
  </r>
  <r>
    <x v="4"/>
    <x v="2"/>
    <s v="Obras Civiles Cámara Carga Las Lajas"/>
    <n v="189100"/>
    <s v="m2"/>
    <n v="0"/>
    <n v="0"/>
    <n v="9"/>
    <n v="10"/>
    <n v="0"/>
    <n v="0"/>
    <n v="19"/>
    <x v="25"/>
    <m/>
    <n v="434810"/>
    <x v="29"/>
    <n v="30136"/>
    <m/>
    <s v="sam8"/>
    <n v="30136"/>
    <m/>
    <m/>
    <n v="1.2"/>
    <m/>
    <m/>
    <n v="94.55"/>
    <n v="4348.1000000000004"/>
    <n v="0"/>
    <n v="51923.349116255849"/>
    <n v="0"/>
    <m/>
    <m/>
    <n v="226.92"/>
    <n v="2583.0857142857139"/>
    <m/>
    <n v="0"/>
    <n v="0"/>
    <n v="1"/>
    <n v="0"/>
    <n v="0"/>
    <n v="0"/>
    <n v="0"/>
    <n v="0"/>
    <n v="8"/>
    <n v="10"/>
    <n v="0"/>
    <n v="0"/>
  </r>
  <r>
    <x v="4"/>
    <x v="2"/>
    <s v="Obras Civiles Caverna Las Lajas"/>
    <n v="1700"/>
    <s v="m2"/>
    <n v="0"/>
    <n v="0"/>
    <n v="0"/>
    <n v="0"/>
    <n v="11"/>
    <n v="0"/>
    <n v="11"/>
    <x v="1"/>
    <m/>
    <m/>
    <x v="0"/>
    <m/>
    <m/>
    <m/>
    <m/>
    <m/>
    <m/>
    <m/>
    <m/>
    <m/>
    <m/>
    <n v="0"/>
    <n v="0"/>
    <n v="0"/>
    <n v="0"/>
    <m/>
    <m/>
    <m/>
    <n v="0"/>
    <m/>
    <m/>
    <m/>
    <m/>
    <m/>
    <m/>
    <m/>
    <m/>
    <m/>
    <m/>
    <m/>
    <m/>
    <m/>
  </r>
  <r>
    <x v="4"/>
    <x v="2"/>
    <s v="Puente Rio Colorado"/>
    <n v="360"/>
    <s v="m2"/>
    <n v="0"/>
    <n v="0"/>
    <n v="3"/>
    <n v="0"/>
    <n v="0"/>
    <n v="0"/>
    <n v="3"/>
    <x v="1"/>
    <m/>
    <m/>
    <x v="0"/>
    <m/>
    <m/>
    <m/>
    <m/>
    <m/>
    <m/>
    <m/>
    <m/>
    <m/>
    <m/>
    <n v="0"/>
    <n v="0"/>
    <n v="0"/>
    <n v="0"/>
    <m/>
    <m/>
    <m/>
    <n v="0"/>
    <m/>
    <m/>
    <m/>
    <m/>
    <m/>
    <m/>
    <m/>
    <m/>
    <m/>
    <m/>
    <m/>
    <m/>
    <m/>
  </r>
  <r>
    <x v="4"/>
    <x v="2"/>
    <s v="Obras civiles sector Rio Colorado"/>
    <n v="20300.000000000004"/>
    <s v="m2"/>
    <n v="0"/>
    <n v="0"/>
    <n v="6"/>
    <n v="12"/>
    <n v="12"/>
    <n v="0"/>
    <n v="30"/>
    <x v="26"/>
    <m/>
    <n v="58950"/>
    <x v="30"/>
    <n v="31345"/>
    <m/>
    <s v="sam7"/>
    <n v="31345"/>
    <m/>
    <m/>
    <n v="8.9"/>
    <m/>
    <m/>
    <n v="10.150000000000002"/>
    <n v="589.5"/>
    <n v="0"/>
    <n v="54006.416845269436"/>
    <n v="0"/>
    <m/>
    <m/>
    <n v="24.360000000000007"/>
    <m/>
    <n v="19926.464285714286"/>
    <n v="0"/>
    <n v="0"/>
    <n v="1"/>
    <n v="0"/>
    <n v="0"/>
    <n v="0"/>
    <n v="0"/>
    <n v="0"/>
    <n v="1"/>
    <n v="0"/>
    <n v="0"/>
    <n v="0"/>
  </r>
  <r>
    <x v="4"/>
    <x v="2"/>
    <s v="Obra De Descarga Y Defensas Fluviales En Río Maipo "/>
    <n v="20000"/>
    <s v="m2"/>
    <n v="0"/>
    <n v="0"/>
    <n v="0"/>
    <n v="0"/>
    <n v="6"/>
    <n v="0"/>
    <n v="6"/>
    <x v="27"/>
    <n v="0"/>
    <m/>
    <x v="31"/>
    <m/>
    <m/>
    <m/>
    <m/>
    <m/>
    <m/>
    <m/>
    <m/>
    <m/>
    <n v="0"/>
    <n v="0"/>
    <n v="0"/>
    <n v="0"/>
    <n v="0"/>
    <m/>
    <m/>
    <n v="24"/>
    <n v="0"/>
    <m/>
    <m/>
    <m/>
    <m/>
    <m/>
    <m/>
    <m/>
    <m/>
    <m/>
    <m/>
    <m/>
    <m/>
    <m/>
  </r>
  <r>
    <x v="4"/>
    <x v="2"/>
    <s v="Obras Civiles SSEE"/>
    <n v="5000"/>
    <s v="m2"/>
    <n v="0"/>
    <n v="0"/>
    <n v="8"/>
    <n v="4"/>
    <n v="0"/>
    <n v="0"/>
    <n v="12"/>
    <x v="28"/>
    <m/>
    <m/>
    <x v="0"/>
    <n v="1000"/>
    <m/>
    <m/>
    <m/>
    <m/>
    <m/>
    <m/>
    <m/>
    <m/>
    <n v="2.5"/>
    <n v="0"/>
    <n v="0"/>
    <n v="1722.9675177945264"/>
    <n v="0"/>
    <m/>
    <m/>
    <m/>
    <n v="0"/>
    <m/>
    <n v="0"/>
    <n v="0"/>
    <n v="1"/>
    <n v="0"/>
    <n v="0"/>
    <n v="0"/>
    <m/>
    <m/>
    <m/>
    <m/>
    <m/>
    <m/>
  </r>
  <r>
    <x v="4"/>
    <x v="2"/>
    <s v="Montaje Torres y Líneas"/>
    <m/>
    <m/>
    <n v="0"/>
    <n v="12"/>
    <n v="12"/>
    <n v="0"/>
    <n v="0"/>
    <n v="0"/>
    <n v="24"/>
    <x v="1"/>
    <m/>
    <m/>
    <x v="0"/>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8:H24" firstHeaderRow="0" firstDataRow="1" firstDataCol="1" rowPageCount="1" colPageCount="1"/>
  <pivotFields count="47">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0">
        <item x="27"/>
        <item x="26"/>
        <item x="13"/>
        <item x="4"/>
        <item x="5"/>
        <item x="11"/>
        <item x="12"/>
        <item x="28"/>
        <item x="0"/>
        <item x="10"/>
        <item x="6"/>
        <item x="22"/>
        <item x="20"/>
        <item x="3"/>
        <item x="21"/>
        <item x="8"/>
        <item x="2"/>
        <item x="18"/>
        <item x="15"/>
        <item x="9"/>
        <item x="24"/>
        <item x="14"/>
        <item x="23"/>
        <item x="7"/>
        <item x="19"/>
        <item x="16"/>
        <item x="25"/>
        <item h="1" x="1"/>
        <item h="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s>
  <rowFields count="1">
    <field x="0"/>
  </rowFields>
  <rowItems count="6">
    <i>
      <x/>
    </i>
    <i>
      <x v="1"/>
    </i>
    <i>
      <x v="2"/>
    </i>
    <i>
      <x v="3"/>
    </i>
    <i>
      <x v="4"/>
    </i>
    <i t="grand">
      <x/>
    </i>
  </rowItems>
  <colFields count="1">
    <field x="-2"/>
  </colFields>
  <colItems count="7">
    <i>
      <x/>
    </i>
    <i i="1">
      <x v="1"/>
    </i>
    <i i="2">
      <x v="2"/>
    </i>
    <i i="3">
      <x v="3"/>
    </i>
    <i i="4">
      <x v="4"/>
    </i>
    <i i="5">
      <x v="5"/>
    </i>
    <i i="6">
      <x v="6"/>
    </i>
  </colItems>
  <pageFields count="1">
    <pageField fld="12" hier="-1"/>
  </pageFields>
  <dataFields count="7">
    <dataField name="Suma de VKTescarpe" fld="25" baseField="0" baseItem="0"/>
    <dataField name="Máx. de MT2011" fld="35" subtotal="max" baseField="0" baseItem="1"/>
    <dataField name="Máx. de MT2012" fld="36" subtotal="max" baseField="0" baseItem="1"/>
    <dataField name="Máx. de MT2013" fld="37" subtotal="max" baseField="0" baseItem="1"/>
    <dataField name="Máx. de MT2014" fld="38" subtotal="max" baseField="0" baseItem="1"/>
    <dataField name="Máx. de MT2015" fld="39" subtotal="max" baseField="0" baseItem="1"/>
    <dataField name="Máx. de MT2016" fld="40" subtotal="max" baseField="0" baseItem="0"/>
  </dataFields>
  <formats count="1">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13" cacheId="1" applyNumberFormats="0" applyBorderFormats="0" applyFontFormats="0" applyPatternFormats="0" applyAlignmentFormats="0" applyWidthHeightFormats="1" dataCaption="Valores" updatedVersion="4" minRefreshableVersion="3" showCalcMbrs="0" useAutoFormatting="1" itemPrintTitles="1" createdVersion="3" indent="0" outline="1" outlineData="1" multipleFieldFilters="0">
  <location ref="A41:H59" firstHeaderRow="1" firstDataRow="2" firstDataCol="1" rowPageCount="1" colPageCount="1"/>
  <pivotFields count="57">
    <pivotField axis="axisRow" showAll="0">
      <items count="6">
        <item x="0"/>
        <item x="1"/>
        <item x="2"/>
        <item x="3"/>
        <item x="4"/>
        <item t="default"/>
      </items>
    </pivotField>
    <pivotField axis="axisRow" showAll="0">
      <items count="4">
        <item x="0"/>
        <item x="1"/>
        <item x="2"/>
        <item t="default"/>
      </items>
    </pivotField>
    <pivotField multipleItemSelectionAllowed="1"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multipleItemSelectionAllowed="1" showAll="0"/>
    <pivotField showAll="0"/>
    <pivotField showAll="0" defaultSubtotal="0"/>
    <pivotField showAll="0"/>
    <pivotField showAll="0"/>
    <pivotField showAll="0"/>
    <pivotField showAl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axis="axisPage" dataField="1" multipleItemSelectionAllowed="1" showAll="0" defaultSubtotal="0">
      <items count="29">
        <item h="1" x="2"/>
        <item x="7"/>
        <item x="24"/>
        <item x="0"/>
        <item x="12"/>
        <item x="22"/>
        <item x="5"/>
        <item x="4"/>
        <item x="26"/>
        <item x="25"/>
        <item x="11"/>
        <item x="10"/>
        <item x="28"/>
        <item x="27"/>
        <item x="3"/>
        <item x="9"/>
        <item x="1"/>
        <item x="14"/>
        <item x="18"/>
        <item x="17"/>
        <item x="15"/>
        <item x="8"/>
        <item x="20"/>
        <item x="16"/>
        <item x="13"/>
        <item x="19"/>
        <item x="23"/>
        <item h="1" x="6"/>
        <item h="1" x="21"/>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2">
    <field x="0"/>
    <field x="1"/>
  </rowFields>
  <rowItems count="17">
    <i>
      <x/>
    </i>
    <i r="1">
      <x/>
    </i>
    <i r="1">
      <x v="2"/>
    </i>
    <i>
      <x v="1"/>
    </i>
    <i r="1">
      <x/>
    </i>
    <i r="1">
      <x v="1"/>
    </i>
    <i r="1">
      <x v="2"/>
    </i>
    <i>
      <x v="2"/>
    </i>
    <i r="1">
      <x/>
    </i>
    <i>
      <x v="3"/>
    </i>
    <i r="1">
      <x/>
    </i>
    <i r="1">
      <x v="1"/>
    </i>
    <i>
      <x v="4"/>
    </i>
    <i r="1">
      <x/>
    </i>
    <i r="1">
      <x v="1"/>
    </i>
    <i r="1">
      <x v="2"/>
    </i>
    <i t="grand">
      <x/>
    </i>
  </rowItems>
  <colFields count="1">
    <field x="-2"/>
  </colFields>
  <colItems count="7">
    <i>
      <x/>
    </i>
    <i i="1">
      <x v="1"/>
    </i>
    <i i="2">
      <x v="2"/>
    </i>
    <i i="3">
      <x v="3"/>
    </i>
    <i i="4">
      <x v="4"/>
    </i>
    <i i="5">
      <x v="5"/>
    </i>
    <i i="6">
      <x v="6"/>
    </i>
  </colItems>
  <pageFields count="1">
    <pageField fld="33" hier="-1"/>
  </pageFields>
  <dataFields count="7">
    <dataField name="Suma de VKTNOpav" fld="33" baseField="0" baseItem="0" numFmtId="166"/>
    <dataField name="Máx de 2011" fld="5" subtotal="max" baseField="0" baseItem="0"/>
    <dataField name="Máx de 2012" fld="6" subtotal="max" baseField="0" baseItem="0"/>
    <dataField name="Máx de 2013" fld="7" subtotal="max" baseField="0" baseItem="0"/>
    <dataField name="Máx de 2014" fld="8" subtotal="max" baseField="0" baseItem="0"/>
    <dataField name="Máx de 2015" fld="9" subtotal="max" baseField="0" baseItem="0"/>
    <dataField name="Máx de 2016" fld="10" subtotal="max" baseField="0" baseItem="0"/>
  </dataFields>
  <formats count="8">
    <format dxfId="25">
      <pivotArea type="all" dataOnly="0" outline="0" fieldPosition="0"/>
    </format>
    <format dxfId="24">
      <pivotArea type="all" dataOnly="0" outline="0" fieldPosition="0"/>
    </format>
    <format dxfId="23">
      <pivotArea type="all" dataOnly="0" outline="0" fieldPosition="0"/>
    </format>
    <format dxfId="22">
      <pivotArea type="all" dataOnly="0" outline="0" fieldPosition="0"/>
    </format>
    <format dxfId="21">
      <pivotArea outline="0" collapsedLevelsAreSubtotals="1" fieldPosition="0">
        <references count="1">
          <reference field="4294967294" count="1" selected="0">
            <x v="0"/>
          </reference>
        </references>
      </pivotArea>
    </format>
    <format dxfId="20">
      <pivotArea dataOnly="0" labelOnly="1" outline="0" fieldPosition="0">
        <references count="1">
          <reference field="4294967294" count="6">
            <x v="1"/>
            <x v="2"/>
            <x v="3"/>
            <x v="4"/>
            <x v="5"/>
            <x v="6"/>
          </reference>
        </references>
      </pivotArea>
    </format>
    <format dxfId="19">
      <pivotArea type="all" dataOnly="0" outline="0" fieldPosition="0"/>
    </format>
    <format dxfId="18">
      <pivotArea type="all" dataOnly="0" outline="0" fieldPosition="0"/>
    </format>
  </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Tabla dinámica7"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E8" firstHeaderRow="0" firstDataRow="1" firstDataCol="1"/>
  <pivotFields count="32">
    <pivotField showAll="0"/>
    <pivotField showAll="0"/>
    <pivotField showAll="0"/>
    <pivotField showAll="0"/>
    <pivotField showAll="0"/>
    <pivotField axis="axisRow" showAll="0">
      <items count="5">
        <item x="3"/>
        <item x="2"/>
        <item x="1"/>
        <item x="0"/>
        <item t="default"/>
      </items>
    </pivotField>
    <pivotField numFmtId="43" showAll="0"/>
    <pivotField numFmtId="43" showAll="0"/>
    <pivotField numFmtId="43" showAll="0"/>
    <pivotField numFmtId="43" showAll="0"/>
    <pivotField numFmtId="43" showAll="0"/>
    <pivotField showAll="0"/>
    <pivotField numFmtId="43" showAll="0"/>
    <pivotField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numFmtId="43" showAll="0"/>
    <pivotField dataField="1" numFmtId="43" showAll="0"/>
    <pivotField numFmtId="43" showAll="0"/>
    <pivotField dataField="1" numFmtId="43" showAll="0"/>
    <pivotField numFmtId="43" showAll="0"/>
    <pivotField dataField="1" numFmtId="43" showAll="0"/>
    <pivotField dataField="1" numFmtId="43" showAll="0"/>
  </pivotFields>
  <rowFields count="1">
    <field x="5"/>
  </rowFields>
  <rowItems count="5">
    <i>
      <x/>
    </i>
    <i>
      <x v="1"/>
    </i>
    <i>
      <x v="2"/>
    </i>
    <i>
      <x v="3"/>
    </i>
    <i t="grand">
      <x/>
    </i>
  </rowItems>
  <colFields count="1">
    <field x="-2"/>
  </colFields>
  <colItems count="4">
    <i>
      <x/>
    </i>
    <i i="1">
      <x v="1"/>
    </i>
    <i i="2">
      <x v="2"/>
    </i>
    <i i="3">
      <x v="3"/>
    </i>
  </colItems>
  <dataFields count="4">
    <dataField name="Suma de CH4 (t)" fld="26" baseField="0" baseItem="0"/>
    <dataField name="Suma de N2O (t)" fld="28" baseField="0" baseItem="0"/>
    <dataField name="Suma de  CO2 (t)" fld="30" baseField="0" baseItem="0"/>
    <dataField name="Suma de CO2e (t)" fld="31"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L61:S72" firstHeaderRow="0" firstDataRow="1" firstDataCol="1" rowPageCount="1" colPageCount="1"/>
  <pivotFields count="57">
    <pivotField axis="axisRow" showAll="0">
      <items count="6">
        <item x="0"/>
        <item x="1"/>
        <item x="2"/>
        <item x="3"/>
        <item x="4"/>
        <item t="default"/>
      </items>
    </pivotField>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6">
        <item x="12"/>
        <item x="16"/>
        <item x="8"/>
        <item x="18"/>
        <item x="5"/>
        <item x="13"/>
        <item x="9"/>
        <item x="22"/>
        <item x="20"/>
        <item x="2"/>
        <item x="11"/>
        <item x="19"/>
        <item x="3"/>
        <item x="7"/>
        <item x="17"/>
        <item x="14"/>
        <item x="21"/>
        <item x="1"/>
        <item x="10"/>
        <item x="4"/>
        <item x="23"/>
        <item x="15"/>
        <item x="24"/>
        <item x="6"/>
        <item h="1" x="0"/>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11">
    <i>
      <x/>
    </i>
    <i r="1">
      <x v="2"/>
    </i>
    <i>
      <x v="1"/>
    </i>
    <i r="1">
      <x v="2"/>
    </i>
    <i>
      <x v="2"/>
    </i>
    <i r="1">
      <x v="2"/>
    </i>
    <i>
      <x v="3"/>
    </i>
    <i r="1">
      <x v="2"/>
    </i>
    <i>
      <x v="4"/>
    </i>
    <i r="1">
      <x v="2"/>
    </i>
    <i t="grand">
      <x/>
    </i>
  </rowItems>
  <colFields count="1">
    <field x="-2"/>
  </colFields>
  <colItems count="7">
    <i>
      <x/>
    </i>
    <i i="1">
      <x v="1"/>
    </i>
    <i i="2">
      <x v="2"/>
    </i>
    <i i="3">
      <x v="3"/>
    </i>
    <i i="4">
      <x v="4"/>
    </i>
    <i i="5">
      <x v="5"/>
    </i>
    <i i="6">
      <x v="6"/>
    </i>
  </colItems>
  <pageFields count="1">
    <pageField fld="17" hier="-1"/>
  </pageFields>
  <dataFields count="7">
    <dataField name="Suma de Ton C&amp;D_mm" fld="29" baseField="1" baseItem="1"/>
    <dataField name="Máx. de MM2011" fld="41" subtotal="max" baseField="0" baseItem="0"/>
    <dataField name="Máx. de MM2012" fld="42" subtotal="max" baseField="0" baseItem="0"/>
    <dataField name="Máx. de MM2013" fld="43" subtotal="max" baseField="0" baseItem="0"/>
    <dataField name="Máx. de MM2014" fld="44" subtotal="max" baseField="0" baseItem="0"/>
    <dataField name="Máx. de MM2015" fld="45" subtotal="max" baseField="0" baseItem="0"/>
    <dataField name="Máx. de MM2016" fld="46" subtotal="max" baseField="0" baseItem="0"/>
  </dataFields>
  <formats count="1">
    <format dxfId="2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5"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33:I144" firstHeaderRow="0" firstDataRow="1" firstDataCol="1" rowPageCount="1" colPageCount="1"/>
  <pivotFields count="57">
    <pivotField axis="axisRow" showAll="0">
      <items count="6">
        <item x="0"/>
        <item x="1"/>
        <item x="2"/>
        <item x="3"/>
        <item x="4"/>
        <item t="default"/>
      </items>
    </pivotField>
    <pivotField axis="axisRow" showAll="0">
      <items count="4">
        <item x="2"/>
        <item x="0"/>
        <item x="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axis="axisPage" multipleItemSelectionAllowed="1" showAll="0">
      <items count="26">
        <item x="12"/>
        <item x="16"/>
        <item x="8"/>
        <item x="18"/>
        <item x="5"/>
        <item x="13"/>
        <item x="9"/>
        <item x="22"/>
        <item x="20"/>
        <item x="2"/>
        <item x="11"/>
        <item x="19"/>
        <item x="3"/>
        <item x="7"/>
        <item x="17"/>
        <item x="14"/>
        <item x="21"/>
        <item x="1"/>
        <item x="10"/>
        <item x="4"/>
        <item x="23"/>
        <item x="15"/>
        <item x="24"/>
        <item x="6"/>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11">
    <i>
      <x/>
    </i>
    <i r="1">
      <x v="2"/>
    </i>
    <i>
      <x v="1"/>
    </i>
    <i r="1">
      <x v="2"/>
    </i>
    <i>
      <x v="2"/>
    </i>
    <i r="1">
      <x v="2"/>
    </i>
    <i>
      <x v="3"/>
    </i>
    <i r="1">
      <x v="2"/>
    </i>
    <i>
      <x v="4"/>
    </i>
    <i r="1">
      <x v="2"/>
    </i>
    <i t="grand">
      <x/>
    </i>
  </rowItems>
  <colFields count="1">
    <field x="-2"/>
  </colFields>
  <colItems count="8">
    <i>
      <x/>
    </i>
    <i i="1">
      <x v="1"/>
    </i>
    <i i="2">
      <x v="2"/>
    </i>
    <i i="3">
      <x v="3"/>
    </i>
    <i i="4">
      <x v="4"/>
    </i>
    <i i="5">
      <x v="5"/>
    </i>
    <i i="6">
      <x v="6"/>
    </i>
    <i i="7">
      <x v="7"/>
    </i>
  </colItems>
  <pageFields count="1">
    <pageField fld="17" hier="-1"/>
  </pageFields>
  <dataFields count="8">
    <dataField name="Suma de N° Tronadura" fld="30" baseField="0" baseItem="4"/>
    <dataField name="Suma de Ton Perforación" fld="31" baseField="0" baseItem="4"/>
    <dataField name="Máx. de 2011" fld="5" subtotal="max" baseField="0" baseItem="4"/>
    <dataField name="Máx. de 2012" fld="6" subtotal="max" baseField="0" baseItem="4"/>
    <dataField name="Máx. de 2013" fld="7" subtotal="max" baseField="0" baseItem="4"/>
    <dataField name="Máx. de 2014" fld="8" subtotal="max" baseField="0" baseItem="4"/>
    <dataField name="Máx. de 2015" fld="9" subtotal="max" baseField="0" baseItem="4"/>
    <dataField name="Máx. de 2016" fld="10" subtotal="max" baseField="0" baseItem="4"/>
  </dataFields>
  <formats count="1">
    <format dxfId="2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7"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77:G183" firstHeaderRow="0" firstDataRow="1" firstDataCol="1"/>
  <pivotFields count="54">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s>
  <rowFields count="1">
    <field x="0"/>
  </rowFields>
  <rowItems count="6">
    <i>
      <x/>
    </i>
    <i>
      <x v="1"/>
    </i>
    <i>
      <x v="2"/>
    </i>
    <i>
      <x v="3"/>
    </i>
    <i>
      <x v="4"/>
    </i>
    <i t="grand">
      <x/>
    </i>
  </rowItems>
  <colFields count="1">
    <field x="-2"/>
  </colFields>
  <colItems count="6">
    <i>
      <x/>
    </i>
    <i i="1">
      <x v="1"/>
    </i>
    <i i="2">
      <x v="2"/>
    </i>
    <i i="3">
      <x v="3"/>
    </i>
    <i i="4">
      <x v="4"/>
    </i>
    <i i="5">
      <x v="5"/>
    </i>
  </colItems>
  <dataFields count="6">
    <dataField name="Suma de CO2011" fld="47" baseField="0" baseItem="2"/>
    <dataField name="Suma de CO2012" fld="48" baseField="0" baseItem="2"/>
    <dataField name="Suma de CO2013" fld="49" baseField="0" baseItem="2"/>
    <dataField name="Suma de CO2014" fld="50" baseField="0" baseItem="2"/>
    <dataField name="Suma de CO2015" fld="51" baseField="0" baseItem="2"/>
    <dataField name="Suma de CO2016" fld="52" baseField="0" baseItem="2"/>
  </dataFields>
  <formats count="1">
    <format dxfId="2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6"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50:H169" firstHeaderRow="0" firstDataRow="1" firstDataCol="1" rowPageCount="1" colPageCount="1"/>
  <pivotFields count="47">
    <pivotField axis="axisRow" showAll="0">
      <items count="6">
        <item x="0"/>
        <item x="1"/>
        <item x="2"/>
        <item x="3"/>
        <item x="4"/>
        <item t="default"/>
      </items>
    </pivotField>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4">
        <item x="20"/>
        <item h="1" x="15"/>
        <item x="29"/>
        <item x="28"/>
        <item x="2"/>
        <item m="1" x="32"/>
        <item x="10"/>
        <item x="16"/>
        <item x="8"/>
        <item h="1" x="23"/>
        <item x="27"/>
        <item x="26"/>
        <item x="25"/>
        <item x="7"/>
        <item x="9"/>
        <item x="6"/>
        <item x="1"/>
        <item x="30"/>
        <item x="19"/>
        <item x="12"/>
        <item x="18"/>
        <item x="3"/>
        <item x="14"/>
        <item x="31"/>
        <item x="11"/>
        <item x="21"/>
        <item x="5"/>
        <item x="17"/>
        <item x="22"/>
        <item x="4"/>
        <item x="13"/>
        <item h="1" x="24"/>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s>
  <rowFields count="2">
    <field x="0"/>
    <field x="1"/>
  </rowFields>
  <rowItems count="19">
    <i>
      <x/>
    </i>
    <i r="1">
      <x/>
    </i>
    <i r="1">
      <x v="1"/>
    </i>
    <i r="1">
      <x v="2"/>
    </i>
    <i>
      <x v="1"/>
    </i>
    <i r="1">
      <x/>
    </i>
    <i r="1">
      <x v="1"/>
    </i>
    <i r="1">
      <x v="2"/>
    </i>
    <i>
      <x v="2"/>
    </i>
    <i r="1">
      <x v="1"/>
    </i>
    <i r="1">
      <x v="2"/>
    </i>
    <i>
      <x v="3"/>
    </i>
    <i r="1">
      <x v="1"/>
    </i>
    <i r="1">
      <x v="2"/>
    </i>
    <i>
      <x v="4"/>
    </i>
    <i r="1">
      <x/>
    </i>
    <i r="1">
      <x v="1"/>
    </i>
    <i r="1">
      <x v="2"/>
    </i>
    <i t="grand">
      <x/>
    </i>
  </rowItems>
  <colFields count="1">
    <field x="-2"/>
  </colFields>
  <colItems count="7">
    <i>
      <x/>
    </i>
    <i i="1">
      <x v="1"/>
    </i>
    <i i="2">
      <x v="2"/>
    </i>
    <i i="3">
      <x v="3"/>
    </i>
    <i i="4">
      <x v="4"/>
    </i>
    <i i="5">
      <x v="5"/>
    </i>
    <i i="6">
      <x v="6"/>
    </i>
  </colItems>
  <pageFields count="1">
    <pageField fld="15" hier="-1"/>
  </pageFields>
  <dataFields count="7">
    <dataField name="Suma de VKTNivelación" fld="32" baseField="0" baseItem="0"/>
    <dataField name="Máx. de MM2011" fld="41" subtotal="max" baseField="0" baseItem="0"/>
    <dataField name="Máx. de MM2012" fld="42" subtotal="max" baseField="0" baseItem="0"/>
    <dataField name="Máx. de MM2013" fld="43" subtotal="max" baseField="0" baseItem="0"/>
    <dataField name="Máx. de MM2014" fld="44" subtotal="max" baseField="0" baseItem="0"/>
    <dataField name="Máx. de MM2015" fld="45" subtotal="max" baseField="0" baseItem="0"/>
    <dataField name="Máx. de MM2016" fld="46" subtotal="max" baseField="0" baseItem="0"/>
  </dataFields>
  <formats count="3">
    <format dxfId="32">
      <pivotArea type="all" dataOnly="0" outline="0" fieldPosition="0"/>
    </format>
    <format dxfId="31">
      <pivotArea collapsedLevelsAreSubtotals="1" fieldPosition="0">
        <references count="3">
          <reference field="4294967294" count="1" selected="0">
            <x v="0"/>
          </reference>
          <reference field="0" count="1" selected="0">
            <x v="4"/>
          </reference>
          <reference field="1" count="1">
            <x v="2"/>
          </reference>
        </references>
      </pivotArea>
    </format>
    <format dxfId="30">
      <pivotArea collapsedLevelsAreSubtotals="1" fieldPosition="0">
        <references count="3">
          <reference field="4294967294" count="1" selected="0">
            <x v="0"/>
          </reference>
          <reference field="0" count="1" selected="0">
            <x v="4"/>
          </reference>
          <reference field="1"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61:H76" firstHeaderRow="0" firstDataRow="1" firstDataCol="1" rowPageCount="1" colPageCount="1"/>
  <pivotFields count="57">
    <pivotField axis="axisRow" showAll="0">
      <items count="6">
        <item x="0"/>
        <item x="1"/>
        <item x="2"/>
        <item x="3"/>
        <item x="4"/>
        <item t="default"/>
      </items>
    </pivotField>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8">
        <item m="1" x="36"/>
        <item x="35"/>
        <item x="0"/>
        <item x="15"/>
        <item x="7"/>
        <item x="30"/>
        <item x="28"/>
        <item x="29"/>
        <item x="10"/>
        <item x="2"/>
        <item x="26"/>
        <item x="5"/>
        <item x="18"/>
        <item x="11"/>
        <item x="32"/>
        <item x="17"/>
        <item x="31"/>
        <item x="9"/>
        <item x="27"/>
        <item h="1" x="24"/>
        <item x="6"/>
        <item x="22"/>
        <item h="1" x="25"/>
        <item x="13"/>
        <item x="14"/>
        <item x="33"/>
        <item x="4"/>
        <item x="34"/>
        <item x="12"/>
        <item h="1" x="19"/>
        <item h="1" x="8"/>
        <item h="1" x="21"/>
        <item h="1" x="1"/>
        <item h="1" x="16"/>
        <item h="1" x="20"/>
        <item h="1" x="3"/>
        <item h="1" x="23"/>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15">
    <i>
      <x/>
    </i>
    <i r="1">
      <x/>
    </i>
    <i r="1">
      <x v="1"/>
    </i>
    <i>
      <x v="1"/>
    </i>
    <i r="1">
      <x/>
    </i>
    <i r="1">
      <x v="1"/>
    </i>
    <i r="1">
      <x v="2"/>
    </i>
    <i>
      <x v="2"/>
    </i>
    <i r="1">
      <x v="1"/>
    </i>
    <i>
      <x v="3"/>
    </i>
    <i r="1">
      <x v="1"/>
    </i>
    <i>
      <x v="4"/>
    </i>
    <i r="1">
      <x/>
    </i>
    <i r="1">
      <x v="1"/>
    </i>
    <i t="grand">
      <x/>
    </i>
  </rowItems>
  <colFields count="1">
    <field x="-2"/>
  </colFields>
  <colItems count="7">
    <i>
      <x/>
    </i>
    <i i="1">
      <x v="1"/>
    </i>
    <i i="2">
      <x v="2"/>
    </i>
    <i i="3">
      <x v="3"/>
    </i>
    <i i="4">
      <x v="4"/>
    </i>
    <i i="5">
      <x v="5"/>
    </i>
    <i i="6">
      <x v="6"/>
    </i>
  </colItems>
  <pageFields count="1">
    <pageField fld="16" hier="-1"/>
  </pageFields>
  <dataFields count="7">
    <dataField name="Suma de Ton C&amp;D_Ex" fld="28" baseField="0" baseItem="0" numFmtId="167"/>
    <dataField name="Máx. de MT2011" fld="35" subtotal="max" baseField="0" baseItem="0"/>
    <dataField name="Máx. de MT2012" fld="36" subtotal="max" baseField="0" baseItem="0"/>
    <dataField name="Máx. de MT2013" fld="37" subtotal="max" baseField="0" baseItem="0"/>
    <dataField name="Máx. de MT2014" fld="38" subtotal="max" baseField="0" baseItem="0"/>
    <dataField name="Máx. de MT2015" fld="39" subtotal="max" baseField="0" baseItem="0"/>
    <dataField name="Máx. de MT2016" fld="40" subtotal="max" baseField="0" baseItem="0"/>
  </dataFields>
  <formats count="2">
    <format dxfId="34">
      <pivotArea outline="0" collapsedLevelsAreSubtotals="1" fieldPosition="0">
        <references count="1">
          <reference field="4294967294" count="1" selected="0">
            <x v="0"/>
          </reference>
        </references>
      </pivotArea>
    </format>
    <format dxfId="3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0:I50" firstHeaderRow="0" firstDataRow="1" firstDataCol="1"/>
  <pivotFields count="57">
    <pivotField axis="axisRow" showAll="0">
      <items count="6">
        <item x="0"/>
        <item x="1"/>
        <item x="2"/>
        <item x="3"/>
        <item x="4"/>
        <item t="default"/>
      </items>
    </pivotField>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20">
    <i>
      <x/>
    </i>
    <i r="1">
      <x/>
    </i>
    <i r="1">
      <x v="1"/>
    </i>
    <i r="1">
      <x v="2"/>
    </i>
    <i>
      <x v="1"/>
    </i>
    <i r="1">
      <x/>
    </i>
    <i r="1">
      <x v="1"/>
    </i>
    <i r="1">
      <x v="2"/>
    </i>
    <i>
      <x v="2"/>
    </i>
    <i r="1">
      <x/>
    </i>
    <i r="1">
      <x v="1"/>
    </i>
    <i r="1">
      <x v="2"/>
    </i>
    <i>
      <x v="3"/>
    </i>
    <i r="1">
      <x v="1"/>
    </i>
    <i r="1">
      <x v="2"/>
    </i>
    <i>
      <x v="4"/>
    </i>
    <i r="1">
      <x/>
    </i>
    <i r="1">
      <x v="1"/>
    </i>
    <i r="1">
      <x v="2"/>
    </i>
    <i t="grand">
      <x/>
    </i>
  </rowItems>
  <colFields count="1">
    <field x="-2"/>
  </colFields>
  <colItems count="8">
    <i>
      <x/>
    </i>
    <i i="1">
      <x v="1"/>
    </i>
    <i i="2">
      <x v="2"/>
    </i>
    <i i="3">
      <x v="3"/>
    </i>
    <i i="4">
      <x v="4"/>
    </i>
    <i i="5">
      <x v="5"/>
    </i>
    <i i="6">
      <x v="6"/>
    </i>
    <i i="7">
      <x v="7"/>
    </i>
  </colItems>
  <dataFields count="8">
    <dataField name="Suma de Hrs ExcSuelo" fld="26" baseField="1" baseItem="1"/>
    <dataField name="Suma de Hrs ExcRoca" fld="27" baseField="1" baseItem="1"/>
    <dataField name="Máx. de MT2011" fld="35" subtotal="max" baseField="1" baseItem="1"/>
    <dataField name="Máx. de MT2012" fld="36" subtotal="max" baseField="1" baseItem="1"/>
    <dataField name="Máx. de MT2013" fld="37" subtotal="max" baseField="1" baseItem="1"/>
    <dataField name="Máx. de MT2014" fld="38" subtotal="max" baseField="1" baseItem="1"/>
    <dataField name="Máx. de MT2015" fld="39" subtotal="max" baseField="1" baseItem="1"/>
    <dataField name="Máx. de MT2016" fld="40" subtotal="max" baseField="1" baseItem="1"/>
  </dataFields>
  <formats count="1">
    <format dxfId="3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15" cacheId="1" applyNumberFormats="0" applyBorderFormats="0" applyFontFormats="0" applyPatternFormats="0" applyAlignmentFormats="0" applyWidthHeightFormats="1" dataCaption="Valores" updatedVersion="4" minRefreshableVersion="3" showCalcMbrs="0" useAutoFormatting="1" itemPrintTitles="1" createdVersion="3" indent="0" outline="1" outlineData="1" multipleFieldFilters="0">
  <location ref="A102:J109" firstHeaderRow="1" firstDataRow="2" firstDataCol="1"/>
  <pivotFields count="57">
    <pivotField axis="axisRow" showAll="0">
      <items count="6">
        <item x="0"/>
        <item x="1"/>
        <item x="2"/>
        <item x="3"/>
        <item x="4"/>
        <item t="default"/>
      </items>
    </pivotField>
    <pivotField showAll="0"/>
    <pivotField multipleItemSelectionAllowed="1"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multipleItemSelectionAllowed="1" showAll="0"/>
    <pivotField showAll="0"/>
    <pivotField showAll="0" defaultSubtotal="0"/>
    <pivotField showAll="0"/>
    <pivotField showAll="0"/>
    <pivotField showAll="0"/>
    <pivotField showAl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multipleItemSelectionAllowed="1" showAll="0" defaultSubtotal="0"/>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 dataField="1" showAll="0"/>
    <pivotField dataField="1" showAll="0"/>
  </pivotFields>
  <rowFields count="1">
    <field x="0"/>
  </rowFields>
  <rowItems count="6">
    <i>
      <x/>
    </i>
    <i>
      <x v="1"/>
    </i>
    <i>
      <x v="2"/>
    </i>
    <i>
      <x v="3"/>
    </i>
    <i>
      <x v="4"/>
    </i>
    <i t="grand">
      <x/>
    </i>
  </rowItems>
  <colFields count="1">
    <field x="-2"/>
  </colFields>
  <colItems count="9">
    <i>
      <x/>
    </i>
    <i i="1">
      <x v="1"/>
    </i>
    <i i="2">
      <x v="2"/>
    </i>
    <i i="3">
      <x v="3"/>
    </i>
    <i i="4">
      <x v="4"/>
    </i>
    <i i="5">
      <x v="5"/>
    </i>
    <i i="6">
      <x v="6"/>
    </i>
    <i i="7">
      <x v="7"/>
    </i>
    <i i="8">
      <x v="8"/>
    </i>
  </colItems>
  <dataFields count="9">
    <dataField name="Suma de Cemento" fld="54" baseField="0" baseItem="0"/>
    <dataField name="Suma de Aridos" fld="55" baseField="0" baseItem="0"/>
    <dataField name="Suma de Misceláneos" fld="56" baseField="0" baseItem="0"/>
    <dataField name="Máx de 2011" fld="5" subtotal="max" baseField="0" baseItem="0"/>
    <dataField name="Máx de 2012" fld="6" subtotal="max" baseField="0" baseItem="0"/>
    <dataField name="Máx de 2013" fld="7" subtotal="max" baseField="0" baseItem="0"/>
    <dataField name="Máx de 2014" fld="8" subtotal="max" baseField="0" baseItem="0"/>
    <dataField name="Máx de 2015" fld="9" subtotal="max" baseField="0" baseItem="0"/>
    <dataField name="Máx de 2016" fld="10" subtotal="max" baseField="0" baseItem="0"/>
  </dataFields>
  <formats count="9">
    <format dxfId="9">
      <pivotArea type="all" dataOnly="0" outline="0" fieldPosition="0"/>
    </format>
    <format dxfId="8">
      <pivotArea type="all" dataOnly="0" outline="0" fieldPosition="0"/>
    </format>
    <format dxfId="7">
      <pivotArea type="all" dataOnly="0" outline="0" fieldPosition="0"/>
    </format>
    <format dxfId="6">
      <pivotArea type="all" dataOnly="0" outline="0" fieldPosition="0"/>
    </format>
    <format dxfId="5">
      <pivotArea dataOnly="0" labelOnly="1" outline="0" fieldPosition="0">
        <references count="1">
          <reference field="4294967294" count="6">
            <x v="3"/>
            <x v="4"/>
            <x v="5"/>
            <x v="6"/>
            <x v="7"/>
            <x v="8"/>
          </reference>
        </references>
      </pivotArea>
    </format>
    <format dxfId="4">
      <pivotArea type="all" dataOnly="0" outline="0" fieldPosition="0"/>
    </format>
    <format dxfId="3">
      <pivotArea outline="0" collapsedLevelsAreSubtotals="1" fieldPosition="0"/>
    </format>
    <format dxfId="2">
      <pivotArea type="all" dataOnly="0" outline="0" fieldPosition="0"/>
    </format>
    <format dxfId="1">
      <pivotArea type="all" dataOnly="0" outline="0"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14" cacheId="1" applyNumberFormats="0" applyBorderFormats="0" applyFontFormats="0" applyPatternFormats="0" applyAlignmentFormats="0" applyWidthHeightFormats="1" dataCaption="Valores" updatedVersion="4" minRefreshableVersion="3" showCalcMbrs="0" useAutoFormatting="1" itemPrintTitles="1" createdVersion="3" indent="0" outline="1" outlineData="1" multipleFieldFilters="0">
  <location ref="A64:H70" firstHeaderRow="1" firstDataRow="2" firstDataCol="1" rowPageCount="1" colPageCount="1"/>
  <pivotFields count="57">
    <pivotField axis="axisRow" showAll="0">
      <items count="6">
        <item x="0"/>
        <item x="1"/>
        <item x="2"/>
        <item x="3"/>
        <item x="4"/>
        <item t="default"/>
      </items>
    </pivotField>
    <pivotField axis="axisRow" showAll="0">
      <items count="4">
        <item x="0"/>
        <item x="1"/>
        <item x="2"/>
        <item t="default"/>
      </items>
    </pivotField>
    <pivotField multipleItemSelectionAllowed="1"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multipleItemSelectionAllowed="1" showAll="0"/>
    <pivotField showAll="0"/>
    <pivotField showAll="0" defaultSubtotal="0"/>
    <pivotField showAll="0"/>
    <pivotField showAll="0"/>
    <pivotField showAll="0"/>
    <pivotField showAl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multipleItemSelectionAllowed="1" showAll="0" defaultSubtotal="0"/>
    <pivotField axis="axisPage" dataField="1" multipleItemSelectionAllowed="1" showAll="0" defaultSubtotal="0">
      <items count="8">
        <item x="6"/>
        <item x="1"/>
        <item x="5"/>
        <item x="2"/>
        <item x="7"/>
        <item x="4"/>
        <item x="3"/>
        <item h="1" x="0"/>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2">
    <field x="0"/>
    <field x="1"/>
  </rowFields>
  <rowItems count="5">
    <i>
      <x v="4"/>
    </i>
    <i r="1">
      <x/>
    </i>
    <i r="1">
      <x v="1"/>
    </i>
    <i r="1">
      <x v="2"/>
    </i>
    <i t="grand">
      <x/>
    </i>
  </rowItems>
  <colFields count="1">
    <field x="-2"/>
  </colFields>
  <colItems count="7">
    <i>
      <x/>
    </i>
    <i i="1">
      <x v="1"/>
    </i>
    <i i="2">
      <x v="2"/>
    </i>
    <i i="3">
      <x v="3"/>
    </i>
    <i i="4">
      <x v="4"/>
    </i>
    <i i="5">
      <x v="5"/>
    </i>
    <i i="6">
      <x v="6"/>
    </i>
  </colItems>
  <pageFields count="1">
    <pageField fld="34" hier="-1"/>
  </pageFields>
  <dataFields count="7">
    <dataField name="Suma de VKTPav" fld="34" baseField="0" baseItem="0" numFmtId="166"/>
    <dataField name="Máx de 2011" fld="5" subtotal="max" baseField="0" baseItem="0"/>
    <dataField name="Máx de 2012" fld="6" subtotal="max" baseField="0" baseItem="0"/>
    <dataField name="Máx de 2013" fld="7" subtotal="max" baseField="0" baseItem="0"/>
    <dataField name="Máx de 2014" fld="8" subtotal="max" baseField="0" baseItem="0"/>
    <dataField name="Máx de 2015" fld="9" subtotal="max" baseField="0" baseItem="0"/>
    <dataField name="Máx de 2016" fld="10" subtotal="max" baseField="0" baseItem="0"/>
  </dataFields>
  <formats count="8">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dataOnly="0" labelOnly="1" outline="0" fieldPosition="0">
        <references count="1">
          <reference field="4294967294" count="6">
            <x v="1"/>
            <x v="2"/>
            <x v="3"/>
            <x v="4"/>
            <x v="5"/>
            <x v="6"/>
          </reference>
        </references>
      </pivotArea>
    </format>
    <format dxfId="12">
      <pivotArea outline="0" collapsedLevelsAreSubtotals="1" fieldPosition="0">
        <references count="1">
          <reference field="4294967294" count="1" selected="0">
            <x v="0"/>
          </reference>
        </references>
      </pivotArea>
    </format>
    <format dxfId="11">
      <pivotArea type="all" dataOnly="0" outline="0" fieldPosition="0"/>
    </format>
    <format dxfId="10">
      <pivotArea type="all" dataOnly="0" outline="0" fieldPosition="0"/>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1" name="Tabla1" displayName="Tabla1" ref="A1:BE10" totalsRowShown="0">
  <autoFilter ref="A1:BE10"/>
  <tableColumns count="57">
    <tableColumn id="1" name="Sector"/>
    <tableColumn id="2" name="Tipo de obra"/>
    <tableColumn id="3" name="Obra/intervención"/>
    <tableColumn id="4" name="Dimensión"/>
    <tableColumn id="5" name="Unidad"/>
    <tableColumn id="6" name="2011"/>
    <tableColumn id="7" name="2012"/>
    <tableColumn id="8" name="2013"/>
    <tableColumn id="9" name="2014"/>
    <tableColumn id="10" name="2015"/>
    <tableColumn id="11" name="2016"/>
    <tableColumn id="12" name="Total"/>
    <tableColumn id="13" name="Escarpe"/>
    <tableColumn id="14" name="Excavación roca"/>
    <tableColumn id="15" name="Excavación suelo"/>
    <tableColumn id="16" name="Relleno"/>
    <tableColumn id="17" name="Excedente"/>
    <tableColumn id="18" name="Extracción Marina"/>
    <tableColumn id="19" name="Destino"/>
    <tableColumn id="20" name="monto1"/>
    <tableColumn id="21" name="monto2"/>
    <tableColumn id="22" name="monto3"/>
    <tableColumn id="23" name="DMT1"/>
    <tableColumn id="24" name="DMT2"/>
    <tableColumn id="25" name="DMT3"/>
    <tableColumn id="26" name="VKTescarpe"/>
    <tableColumn id="27" name="Hrs ExcSuelo"/>
    <tableColumn id="28" name="Hrs ExcRoca"/>
    <tableColumn id="29" name="Ton C&amp;D_Ex"/>
    <tableColumn id="30" name="Ton C&amp;D_mm"/>
    <tableColumn id="31" name="N° Tronadura"/>
    <tableColumn id="32" name="Ton Perforación"/>
    <tableColumn id="33" name="VKTNivelación"/>
    <tableColumn id="34" name="VKTNOpav"/>
    <tableColumn id="35" name="VKTPav"/>
    <tableColumn id="36" name="MT2011"/>
    <tableColumn id="37" name="MT2012"/>
    <tableColumn id="38" name="MT2013"/>
    <tableColumn id="39" name="MT2014"/>
    <tableColumn id="40" name="MT2015"/>
    <tableColumn id="41" name="MT2016"/>
    <tableColumn id="42" name="MM2011"/>
    <tableColumn id="43" name="MM2012"/>
    <tableColumn id="44" name="MM2013"/>
    <tableColumn id="45" name="MM2014"/>
    <tableColumn id="46" name="MM2015"/>
    <tableColumn id="47" name="MM2016"/>
    <tableColumn id="48" name="CO2011"/>
    <tableColumn id="49" name="CO2012"/>
    <tableColumn id="50" name="CO2013"/>
    <tableColumn id="51" name="CO2014"/>
    <tableColumn id="52" name="CO2015"/>
    <tableColumn id="53" name="CO2016"/>
    <tableColumn id="54" name="COTOT"/>
    <tableColumn id="55" name="Cemento"/>
    <tableColumn id="56" name="Aridos"/>
    <tableColumn id="57" name="Misceláneos"/>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1:J13" totalsRowShown="0">
  <autoFilter ref="A1:J13"/>
  <tableColumns count="10">
    <tableColumn id="1" name="Fecha inicio" dataDxfId="37"/>
    <tableColumn id="2" name="Año"/>
    <tableColumn id="3" name="mes"/>
    <tableColumn id="4" name="N° Trabajadores"/>
    <tableColumn id="5" name="Volcán "/>
    <tableColumn id="6" name="Yeso "/>
    <tableColumn id="7" name="Aucayes "/>
    <tableColumn id="8" name="Estanque "/>
    <tableColumn id="9" name="Las Lajas "/>
    <tableColumn id="10" name="Maipo "/>
  </tableColumns>
  <tableStyleInfo name="TableStyleMedium9" showFirstColumn="0" showLastColumn="0" showRowStripes="1" showColumnStripes="0"/>
</table>
</file>

<file path=xl/tables/table3.xml><?xml version="1.0" encoding="utf-8"?>
<table xmlns="http://schemas.openxmlformats.org/spreadsheetml/2006/main" id="3" name="Tabla3" displayName="Tabla3" ref="A1:J13" totalsRowShown="0">
  <autoFilter ref="A1:J13"/>
  <tableColumns count="10">
    <tableColumn id="1" name="Fecha inicio" dataDxfId="36"/>
    <tableColumn id="2" name="Año"/>
    <tableColumn id="3" name="mes"/>
    <tableColumn id="4" name="N° Trabajadores"/>
    <tableColumn id="5" name="Volcán "/>
    <tableColumn id="6" name="Yeso "/>
    <tableColumn id="7" name="Aucayes "/>
    <tableColumn id="8" name="Estanque "/>
    <tableColumn id="9" name="Las Lajas "/>
    <tableColumn id="10" name="Maipo "/>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10.xml"/><Relationship Id="rId7" Type="http://schemas.openxmlformats.org/officeDocument/2006/relationships/comments" Target="../comments3.xml"/><Relationship Id="rId2" Type="http://schemas.openxmlformats.org/officeDocument/2006/relationships/pivotTable" Target="../pivotTables/pivotTable9.xml"/><Relationship Id="rId1" Type="http://schemas.openxmlformats.org/officeDocument/2006/relationships/pivotTable" Target="../pivotTables/pivotTable8.xm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12"/>
  <sheetViews>
    <sheetView topLeftCell="A94" zoomScale="63" zoomScaleNormal="63" workbookViewId="0">
      <selection activeCell="K119" sqref="K119"/>
    </sheetView>
  </sheetViews>
  <sheetFormatPr baseColWidth="10" defaultColWidth="21.28515625" defaultRowHeight="15"/>
  <cols>
    <col min="1" max="10" width="21.28515625" style="3"/>
    <col min="11" max="11" width="15.140625" style="3" customWidth="1"/>
    <col min="12" max="16384" width="21.28515625" style="3"/>
  </cols>
  <sheetData>
    <row r="1" spans="1:6">
      <c r="A1" s="5" t="s">
        <v>87</v>
      </c>
    </row>
    <row r="2" spans="1:6">
      <c r="A2" s="14" t="s">
        <v>81</v>
      </c>
      <c r="B2" s="14" t="s">
        <v>63</v>
      </c>
      <c r="C2" s="14" t="s">
        <v>64</v>
      </c>
      <c r="D2" s="14" t="s">
        <v>65</v>
      </c>
      <c r="E2" s="14" t="s">
        <v>66</v>
      </c>
      <c r="F2" s="3" t="s">
        <v>5</v>
      </c>
    </row>
    <row r="3" spans="1:6">
      <c r="A3" s="3">
        <v>1</v>
      </c>
      <c r="B3" s="3" t="s">
        <v>67</v>
      </c>
      <c r="C3" s="3">
        <v>1.84</v>
      </c>
      <c r="D3" s="7">
        <v>198954</v>
      </c>
      <c r="E3" s="10">
        <v>4325.09</v>
      </c>
      <c r="F3" s="3" t="s">
        <v>5</v>
      </c>
    </row>
    <row r="4" spans="1:6">
      <c r="A4" s="3">
        <v>2</v>
      </c>
      <c r="B4" s="3" t="s">
        <v>68</v>
      </c>
      <c r="C4" s="3">
        <v>2.98</v>
      </c>
      <c r="D4" s="7">
        <v>119113</v>
      </c>
      <c r="E4" s="10">
        <v>3403.23</v>
      </c>
      <c r="F4" s="3" t="s">
        <v>5</v>
      </c>
    </row>
    <row r="5" spans="1:6">
      <c r="A5" s="3">
        <v>3</v>
      </c>
      <c r="B5" s="3" t="s">
        <v>69</v>
      </c>
      <c r="C5" s="3">
        <v>1.81</v>
      </c>
      <c r="D5" s="7">
        <v>55100</v>
      </c>
      <c r="E5" s="10">
        <v>2755</v>
      </c>
      <c r="F5" s="3" t="s">
        <v>5</v>
      </c>
    </row>
    <row r="6" spans="1:6">
      <c r="A6" s="3">
        <v>4</v>
      </c>
      <c r="B6" s="3" t="s">
        <v>70</v>
      </c>
      <c r="C6" s="3">
        <v>2.29</v>
      </c>
      <c r="D6" s="7">
        <v>202677</v>
      </c>
      <c r="E6" s="10">
        <v>7795.27</v>
      </c>
      <c r="F6" s="3" t="s">
        <v>5</v>
      </c>
    </row>
    <row r="7" spans="1:6">
      <c r="A7" s="3">
        <v>5</v>
      </c>
      <c r="B7" s="3" t="s">
        <v>71</v>
      </c>
      <c r="C7" s="3">
        <v>2.44</v>
      </c>
      <c r="D7" s="7">
        <v>344740</v>
      </c>
      <c r="E7" s="10">
        <v>10773.13</v>
      </c>
      <c r="F7" s="3" t="s">
        <v>5</v>
      </c>
    </row>
    <row r="8" spans="1:6">
      <c r="A8" s="3">
        <v>6</v>
      </c>
      <c r="B8" s="3" t="s">
        <v>72</v>
      </c>
      <c r="C8" s="3">
        <v>2.2400000000000002</v>
      </c>
      <c r="D8" s="7">
        <v>176000</v>
      </c>
      <c r="E8" s="10">
        <v>29333.33</v>
      </c>
      <c r="F8" s="3" t="s">
        <v>5</v>
      </c>
    </row>
    <row r="9" spans="1:6">
      <c r="A9" s="3">
        <v>7</v>
      </c>
      <c r="B9" s="3" t="s">
        <v>73</v>
      </c>
      <c r="C9" s="3">
        <v>4.22</v>
      </c>
      <c r="D9" s="7">
        <v>121400</v>
      </c>
      <c r="E9" s="10">
        <v>3372.22</v>
      </c>
      <c r="F9" s="3" t="s">
        <v>5</v>
      </c>
    </row>
    <row r="10" spans="1:6">
      <c r="A10" s="3">
        <v>8</v>
      </c>
      <c r="B10" s="3" t="s">
        <v>74</v>
      </c>
      <c r="C10" s="3">
        <v>3.11</v>
      </c>
      <c r="D10" s="7">
        <v>52000</v>
      </c>
      <c r="E10" s="10">
        <v>4333.33</v>
      </c>
      <c r="F10" s="3" t="s">
        <v>5</v>
      </c>
    </row>
    <row r="11" spans="1:6">
      <c r="A11" s="3">
        <v>9</v>
      </c>
      <c r="B11" s="3" t="s">
        <v>75</v>
      </c>
      <c r="C11" s="3">
        <v>5.55</v>
      </c>
      <c r="D11" s="7">
        <v>605860</v>
      </c>
      <c r="E11" s="10">
        <v>15534.87</v>
      </c>
      <c r="F11" s="3" t="s">
        <v>5</v>
      </c>
    </row>
    <row r="12" spans="1:6">
      <c r="A12" s="3">
        <v>10</v>
      </c>
      <c r="B12" s="3" t="s">
        <v>76</v>
      </c>
      <c r="C12" s="3">
        <v>1.17</v>
      </c>
      <c r="D12" s="7">
        <v>68000</v>
      </c>
      <c r="E12" s="10">
        <v>9714.2900000000009</v>
      </c>
      <c r="F12" s="3" t="s">
        <v>5</v>
      </c>
    </row>
    <row r="13" spans="1:6">
      <c r="A13" s="3">
        <v>11</v>
      </c>
      <c r="B13" s="3" t="s">
        <v>77</v>
      </c>
      <c r="C13" s="3">
        <v>1.74</v>
      </c>
      <c r="D13" s="7">
        <v>71000</v>
      </c>
      <c r="E13" s="10">
        <v>3944.44</v>
      </c>
      <c r="F13" s="3" t="s">
        <v>5</v>
      </c>
    </row>
    <row r="14" spans="1:6">
      <c r="A14" s="3">
        <v>12</v>
      </c>
      <c r="B14" s="3" t="s">
        <v>78</v>
      </c>
      <c r="C14" s="3">
        <v>1.85</v>
      </c>
      <c r="D14" s="7">
        <v>210000</v>
      </c>
      <c r="E14" s="10">
        <v>4468.09</v>
      </c>
      <c r="F14" s="3" t="s">
        <v>5</v>
      </c>
    </row>
    <row r="15" spans="1:6">
      <c r="A15" s="3">
        <v>13</v>
      </c>
      <c r="B15" s="3" t="s">
        <v>79</v>
      </c>
      <c r="C15" s="3">
        <v>0.66</v>
      </c>
      <c r="D15" s="7">
        <v>52000</v>
      </c>
      <c r="E15" s="10">
        <v>1733.33</v>
      </c>
      <c r="F15" s="3" t="s">
        <v>5</v>
      </c>
    </row>
    <row r="16" spans="1:6">
      <c r="A16" s="3">
        <v>14</v>
      </c>
      <c r="B16" s="3" t="s">
        <v>80</v>
      </c>
      <c r="C16" s="3">
        <v>3.07</v>
      </c>
      <c r="D16" s="7">
        <v>449400</v>
      </c>
      <c r="E16" s="10">
        <v>10960.98</v>
      </c>
      <c r="F16" s="3" t="s">
        <v>5</v>
      </c>
    </row>
    <row r="17" spans="1:5">
      <c r="A17" s="9" t="s">
        <v>32</v>
      </c>
      <c r="C17" s="7">
        <v>2726244</v>
      </c>
      <c r="E17" s="3" t="s">
        <v>5</v>
      </c>
    </row>
    <row r="18" spans="1:5">
      <c r="A18" s="5" t="s">
        <v>88</v>
      </c>
      <c r="C18" s="7"/>
    </row>
    <row r="19" spans="1:5">
      <c r="A19" s="9"/>
      <c r="C19" s="7"/>
    </row>
    <row r="20" spans="1:5">
      <c r="A20" s="5" t="s">
        <v>100</v>
      </c>
    </row>
    <row r="21" spans="1:5">
      <c r="A21" s="14" t="s">
        <v>6</v>
      </c>
      <c r="B21" s="14" t="s">
        <v>89</v>
      </c>
      <c r="C21" s="14" t="s">
        <v>90</v>
      </c>
      <c r="D21" s="14" t="s">
        <v>91</v>
      </c>
      <c r="E21" s="3" t="s">
        <v>5</v>
      </c>
    </row>
    <row r="22" spans="1:5">
      <c r="A22" s="3" t="s">
        <v>92</v>
      </c>
      <c r="B22" s="3" t="s">
        <v>93</v>
      </c>
      <c r="C22" s="3" t="s">
        <v>94</v>
      </c>
      <c r="D22" s="3">
        <v>100</v>
      </c>
      <c r="E22" s="3" t="s">
        <v>5</v>
      </c>
    </row>
    <row r="23" spans="1:5">
      <c r="A23" s="3" t="s">
        <v>95</v>
      </c>
      <c r="B23" s="3" t="s">
        <v>93</v>
      </c>
      <c r="C23" s="3" t="s">
        <v>94</v>
      </c>
      <c r="D23" s="3">
        <v>50</v>
      </c>
      <c r="E23" s="3" t="s">
        <v>5</v>
      </c>
    </row>
    <row r="24" spans="1:5">
      <c r="A24" s="3" t="s">
        <v>96</v>
      </c>
      <c r="B24" s="3" t="s">
        <v>97</v>
      </c>
      <c r="C24" s="3" t="s">
        <v>98</v>
      </c>
      <c r="D24" s="3">
        <v>1000</v>
      </c>
      <c r="E24" s="3" t="s">
        <v>5</v>
      </c>
    </row>
    <row r="25" spans="1:5">
      <c r="A25" s="3" t="s">
        <v>96</v>
      </c>
      <c r="B25" s="9" t="s">
        <v>102</v>
      </c>
      <c r="C25" s="9" t="s">
        <v>99</v>
      </c>
      <c r="D25" s="3">
        <v>40</v>
      </c>
      <c r="E25" s="3" t="s">
        <v>5</v>
      </c>
    </row>
    <row r="26" spans="1:5">
      <c r="A26" s="5" t="s">
        <v>101</v>
      </c>
      <c r="B26" s="9"/>
      <c r="C26" s="9"/>
    </row>
    <row r="28" spans="1:5">
      <c r="A28" s="5" t="s">
        <v>133</v>
      </c>
    </row>
    <row r="29" spans="1:5">
      <c r="A29" s="14" t="s">
        <v>132</v>
      </c>
      <c r="B29" s="14" t="s">
        <v>90</v>
      </c>
      <c r="C29" s="14" t="s">
        <v>121</v>
      </c>
      <c r="D29" s="3" t="s">
        <v>5</v>
      </c>
    </row>
    <row r="30" spans="1:5">
      <c r="A30" s="3" t="s">
        <v>122</v>
      </c>
      <c r="B30" s="3">
        <v>1.5</v>
      </c>
      <c r="C30" s="3">
        <v>0.4</v>
      </c>
      <c r="D30" s="3" t="s">
        <v>5</v>
      </c>
    </row>
    <row r="31" spans="1:5">
      <c r="A31" s="3" t="s">
        <v>123</v>
      </c>
      <c r="B31" s="3">
        <v>4.5</v>
      </c>
      <c r="C31" s="3">
        <v>1.76</v>
      </c>
      <c r="D31" s="3" t="s">
        <v>5</v>
      </c>
    </row>
    <row r="32" spans="1:5">
      <c r="A32" s="3" t="s">
        <v>124</v>
      </c>
      <c r="B32" s="3">
        <v>4.5</v>
      </c>
      <c r="C32" s="3">
        <v>1.06</v>
      </c>
      <c r="D32" s="3" t="s">
        <v>5</v>
      </c>
    </row>
    <row r="33" spans="1:6">
      <c r="A33" s="3" t="s">
        <v>125</v>
      </c>
      <c r="B33" s="3">
        <v>6.8</v>
      </c>
      <c r="C33" s="3">
        <v>0.65</v>
      </c>
      <c r="D33" s="3" t="s">
        <v>5</v>
      </c>
    </row>
    <row r="34" spans="1:6">
      <c r="A34" s="3" t="s">
        <v>126</v>
      </c>
      <c r="B34" s="13" t="s">
        <v>127</v>
      </c>
      <c r="C34" s="13" t="s">
        <v>128</v>
      </c>
      <c r="D34" s="3" t="s">
        <v>5</v>
      </c>
    </row>
    <row r="35" spans="1:6">
      <c r="A35" s="3" t="s">
        <v>129</v>
      </c>
      <c r="B35" s="3">
        <v>16</v>
      </c>
      <c r="C35" s="3">
        <v>0.4</v>
      </c>
      <c r="D35" s="3" t="s">
        <v>5</v>
      </c>
    </row>
    <row r="36" spans="1:6">
      <c r="A36" s="3" t="s">
        <v>130</v>
      </c>
      <c r="B36" s="3">
        <v>4</v>
      </c>
      <c r="C36" s="3">
        <v>0.25</v>
      </c>
      <c r="D36" s="3" t="s">
        <v>5</v>
      </c>
    </row>
    <row r="37" spans="1:6">
      <c r="A37" s="3" t="s">
        <v>131</v>
      </c>
      <c r="B37" s="3">
        <v>10</v>
      </c>
      <c r="C37" s="3">
        <v>1</v>
      </c>
      <c r="D37" s="3" t="s">
        <v>5</v>
      </c>
    </row>
    <row r="38" spans="1:6">
      <c r="A38" s="5" t="s">
        <v>134</v>
      </c>
    </row>
    <row r="40" spans="1:6">
      <c r="A40" s="5" t="s">
        <v>150</v>
      </c>
    </row>
    <row r="41" spans="1:6">
      <c r="A41" s="14" t="s">
        <v>149</v>
      </c>
      <c r="B41" s="14" t="s">
        <v>135</v>
      </c>
      <c r="C41" s="14"/>
      <c r="D41" s="14" t="s">
        <v>136</v>
      </c>
      <c r="E41" s="14"/>
      <c r="F41" s="14" t="s">
        <v>137</v>
      </c>
    </row>
    <row r="42" spans="1:6">
      <c r="A42" s="14"/>
      <c r="B42" s="14" t="s">
        <v>138</v>
      </c>
      <c r="C42" s="14" t="s">
        <v>139</v>
      </c>
      <c r="D42" s="14" t="s">
        <v>138</v>
      </c>
      <c r="E42" s="14" t="s">
        <v>139</v>
      </c>
      <c r="F42" s="14" t="s">
        <v>5</v>
      </c>
    </row>
    <row r="43" spans="1:6">
      <c r="A43" s="14" t="s">
        <v>140</v>
      </c>
      <c r="F43" s="3" t="s">
        <v>5</v>
      </c>
    </row>
    <row r="44" spans="1:6">
      <c r="A44" s="3" t="s">
        <v>122</v>
      </c>
      <c r="B44" s="3">
        <v>407434</v>
      </c>
      <c r="C44" s="3">
        <v>6259751</v>
      </c>
      <c r="D44" s="3">
        <v>407231</v>
      </c>
      <c r="E44" s="3">
        <v>6260071</v>
      </c>
      <c r="F44" s="3">
        <v>0.4</v>
      </c>
    </row>
    <row r="45" spans="1:6">
      <c r="A45" s="3" t="s">
        <v>141</v>
      </c>
      <c r="B45" s="3">
        <v>407127</v>
      </c>
      <c r="C45" s="3">
        <v>6260092</v>
      </c>
      <c r="D45" s="3">
        <v>406765</v>
      </c>
      <c r="E45" s="3">
        <v>6260780</v>
      </c>
      <c r="F45" s="3">
        <v>1.76</v>
      </c>
    </row>
    <row r="46" spans="1:6">
      <c r="A46" s="3" t="s">
        <v>142</v>
      </c>
      <c r="B46" s="3">
        <v>406765</v>
      </c>
      <c r="C46" s="3">
        <v>6260780</v>
      </c>
      <c r="D46" s="3">
        <v>405817</v>
      </c>
      <c r="E46" s="3">
        <v>6261091</v>
      </c>
      <c r="F46" s="3">
        <v>1.06</v>
      </c>
    </row>
    <row r="47" spans="1:6">
      <c r="A47" s="3" t="s">
        <v>143</v>
      </c>
      <c r="B47" s="3">
        <v>405817</v>
      </c>
      <c r="C47" s="3">
        <v>6261091</v>
      </c>
      <c r="D47" s="3">
        <v>405250</v>
      </c>
      <c r="E47" s="3">
        <v>6260880</v>
      </c>
      <c r="F47" s="3">
        <v>0.65</v>
      </c>
    </row>
    <row r="48" spans="1:6">
      <c r="A48" s="3" t="s">
        <v>126</v>
      </c>
      <c r="B48" s="3">
        <v>399669</v>
      </c>
      <c r="C48" s="3">
        <v>6274117</v>
      </c>
      <c r="D48" s="3">
        <v>395340</v>
      </c>
      <c r="E48" s="3">
        <v>6272480</v>
      </c>
      <c r="F48" s="3">
        <v>4.2</v>
      </c>
    </row>
    <row r="49" spans="1:6">
      <c r="A49" s="3" t="s">
        <v>144</v>
      </c>
      <c r="B49" s="3">
        <v>389107</v>
      </c>
      <c r="C49" s="3">
        <v>6292674</v>
      </c>
      <c r="D49" s="3">
        <v>388816</v>
      </c>
      <c r="E49" s="3">
        <v>3292366</v>
      </c>
      <c r="F49" s="3">
        <v>0.4</v>
      </c>
    </row>
    <row r="50" spans="1:6">
      <c r="A50" s="9" t="s">
        <v>131</v>
      </c>
      <c r="B50" s="3">
        <v>388388.49</v>
      </c>
      <c r="C50" s="3">
        <v>6291866.4199999999</v>
      </c>
      <c r="D50" s="3">
        <v>387750</v>
      </c>
      <c r="E50" s="3">
        <v>6291450</v>
      </c>
      <c r="F50" s="3">
        <v>1</v>
      </c>
    </row>
    <row r="51" spans="1:6">
      <c r="F51" s="3" t="s">
        <v>5</v>
      </c>
    </row>
    <row r="52" spans="1:6">
      <c r="A52" s="14" t="s">
        <v>145</v>
      </c>
    </row>
    <row r="53" spans="1:6">
      <c r="A53" s="3" t="s">
        <v>146</v>
      </c>
      <c r="B53" s="10">
        <v>397996</v>
      </c>
      <c r="C53" s="10">
        <v>6272855</v>
      </c>
      <c r="D53" s="10">
        <v>397866</v>
      </c>
      <c r="E53" s="10">
        <v>6272863</v>
      </c>
      <c r="F53" s="3">
        <v>0.4</v>
      </c>
    </row>
    <row r="54" spans="1:6">
      <c r="A54" s="3" t="s">
        <v>147</v>
      </c>
      <c r="B54" s="10">
        <v>405910</v>
      </c>
      <c r="C54" s="10">
        <v>6260900</v>
      </c>
      <c r="D54" s="10">
        <v>405840</v>
      </c>
      <c r="E54" s="10">
        <v>6260902</v>
      </c>
      <c r="F54" s="3">
        <v>0.7</v>
      </c>
    </row>
    <row r="55" spans="1:6">
      <c r="A55" s="9" t="s">
        <v>152</v>
      </c>
      <c r="B55" s="10">
        <v>388856</v>
      </c>
      <c r="C55" s="10">
        <v>6292410</v>
      </c>
      <c r="D55" s="10">
        <v>388952</v>
      </c>
      <c r="E55" s="10">
        <v>6292412</v>
      </c>
      <c r="F55" s="3">
        <v>0.11</v>
      </c>
    </row>
    <row r="56" spans="1:6">
      <c r="A56" s="3" t="s">
        <v>148</v>
      </c>
      <c r="B56" s="10">
        <v>388478</v>
      </c>
      <c r="C56" s="10">
        <v>6291952</v>
      </c>
      <c r="D56" s="10">
        <v>388360</v>
      </c>
      <c r="E56" s="10">
        <v>6291840</v>
      </c>
      <c r="F56" s="3">
        <v>0.17</v>
      </c>
    </row>
    <row r="58" spans="1:6">
      <c r="A58" s="14" t="s">
        <v>156</v>
      </c>
      <c r="B58" s="3" t="s">
        <v>5</v>
      </c>
    </row>
    <row r="59" spans="1:6">
      <c r="A59" s="3" t="s">
        <v>153</v>
      </c>
      <c r="B59" s="3">
        <v>405250</v>
      </c>
      <c r="C59" s="3">
        <v>6260880</v>
      </c>
      <c r="D59" s="3">
        <v>399200</v>
      </c>
      <c r="E59" s="3">
        <v>6272860</v>
      </c>
      <c r="F59" s="3">
        <v>14</v>
      </c>
    </row>
    <row r="60" spans="1:6">
      <c r="A60" s="3" t="s">
        <v>154</v>
      </c>
      <c r="B60" s="3">
        <v>394800</v>
      </c>
      <c r="C60" s="3">
        <v>6274000</v>
      </c>
      <c r="D60" s="3">
        <v>383750</v>
      </c>
      <c r="E60" s="3">
        <v>6287300</v>
      </c>
      <c r="F60" s="3">
        <v>15</v>
      </c>
    </row>
    <row r="61" spans="1:6">
      <c r="A61" s="9" t="s">
        <v>157</v>
      </c>
      <c r="B61" s="3">
        <v>387750</v>
      </c>
      <c r="C61" s="3">
        <v>6291450</v>
      </c>
      <c r="D61" s="3">
        <v>368080</v>
      </c>
      <c r="E61" s="3">
        <v>6282040</v>
      </c>
      <c r="F61" s="3">
        <v>22.52</v>
      </c>
    </row>
    <row r="62" spans="1:6">
      <c r="A62" s="3" t="s">
        <v>155</v>
      </c>
      <c r="B62" s="3">
        <v>397834.81</v>
      </c>
      <c r="C62" s="3">
        <v>6272869.96</v>
      </c>
      <c r="D62" s="3">
        <v>396805.36</v>
      </c>
      <c r="E62" s="3">
        <v>6272843.9699999997</v>
      </c>
      <c r="F62" s="3">
        <v>1.03</v>
      </c>
    </row>
    <row r="64" spans="1:6">
      <c r="A64" s="5" t="s">
        <v>151</v>
      </c>
    </row>
    <row r="66" spans="1:6">
      <c r="A66" s="5" t="s">
        <v>158</v>
      </c>
    </row>
    <row r="67" spans="1:6">
      <c r="A67" s="14" t="s">
        <v>149</v>
      </c>
      <c r="B67" s="14" t="s">
        <v>138</v>
      </c>
      <c r="C67" s="14" t="s">
        <v>139</v>
      </c>
      <c r="D67" s="14" t="s">
        <v>64</v>
      </c>
      <c r="E67" s="3" t="s">
        <v>5</v>
      </c>
    </row>
    <row r="68" spans="1:6">
      <c r="A68" s="3" t="s">
        <v>159</v>
      </c>
      <c r="B68" s="3">
        <v>388668</v>
      </c>
      <c r="C68" s="3">
        <v>6292178.4199999999</v>
      </c>
      <c r="D68" s="3">
        <v>9.1999999999999993</v>
      </c>
      <c r="E68" s="3" t="s">
        <v>5</v>
      </c>
    </row>
    <row r="69" spans="1:6">
      <c r="A69" s="5" t="s">
        <v>160</v>
      </c>
    </row>
    <row r="71" spans="1:6">
      <c r="A71" s="5" t="s">
        <v>161</v>
      </c>
    </row>
    <row r="72" spans="1:6">
      <c r="A72" s="14" t="s">
        <v>176</v>
      </c>
      <c r="B72" s="14" t="s">
        <v>162</v>
      </c>
      <c r="C72" s="14" t="s">
        <v>163</v>
      </c>
      <c r="D72" s="14" t="s">
        <v>164</v>
      </c>
      <c r="E72" s="14" t="s">
        <v>165</v>
      </c>
      <c r="F72" s="3" t="s">
        <v>5</v>
      </c>
    </row>
    <row r="73" spans="1:6">
      <c r="A73" s="3" t="s">
        <v>166</v>
      </c>
      <c r="B73" s="3" t="s">
        <v>167</v>
      </c>
      <c r="C73" s="15" t="s">
        <v>177</v>
      </c>
      <c r="D73" s="3">
        <v>14</v>
      </c>
      <c r="E73" s="3">
        <v>0</v>
      </c>
      <c r="F73" s="3" t="s">
        <v>5</v>
      </c>
    </row>
    <row r="74" spans="1:6">
      <c r="A74" s="3" t="s">
        <v>168</v>
      </c>
      <c r="B74" s="3" t="s">
        <v>169</v>
      </c>
      <c r="C74" s="3">
        <v>16</v>
      </c>
      <c r="D74" s="3">
        <v>15</v>
      </c>
      <c r="E74" s="3">
        <v>1</v>
      </c>
      <c r="F74" s="3" t="s">
        <v>5</v>
      </c>
    </row>
    <row r="75" spans="1:6">
      <c r="A75" s="3" t="s">
        <v>22</v>
      </c>
      <c r="B75" s="3" t="s">
        <v>170</v>
      </c>
      <c r="C75" s="13" t="s">
        <v>171</v>
      </c>
      <c r="D75" s="3">
        <v>9.6</v>
      </c>
      <c r="E75" s="3">
        <v>2</v>
      </c>
      <c r="F75" s="3" t="s">
        <v>5</v>
      </c>
    </row>
    <row r="76" spans="1:6">
      <c r="A76" s="3" t="s">
        <v>172</v>
      </c>
      <c r="B76" s="3" t="s">
        <v>170</v>
      </c>
      <c r="C76" s="3">
        <v>21</v>
      </c>
      <c r="D76" s="3">
        <v>3.4</v>
      </c>
      <c r="E76" s="3">
        <v>0</v>
      </c>
      <c r="F76" s="3" t="s">
        <v>5</v>
      </c>
    </row>
    <row r="77" spans="1:6">
      <c r="A77" s="3" t="s">
        <v>173</v>
      </c>
      <c r="B77" s="3" t="s">
        <v>170</v>
      </c>
      <c r="C77" s="3">
        <v>33</v>
      </c>
      <c r="D77" s="3">
        <v>13.4</v>
      </c>
      <c r="E77" s="3">
        <v>1</v>
      </c>
      <c r="F77" s="3" t="s">
        <v>5</v>
      </c>
    </row>
    <row r="78" spans="1:6">
      <c r="A78" s="3" t="s">
        <v>174</v>
      </c>
      <c r="B78" s="3" t="s">
        <v>170</v>
      </c>
      <c r="C78" s="3">
        <v>38</v>
      </c>
      <c r="D78" s="3">
        <v>2.4</v>
      </c>
      <c r="E78" s="3">
        <v>0</v>
      </c>
      <c r="F78" s="3" t="s">
        <v>5</v>
      </c>
    </row>
    <row r="79" spans="1:6">
      <c r="A79" s="3" t="s">
        <v>175</v>
      </c>
      <c r="B79" s="3" t="s">
        <v>170</v>
      </c>
      <c r="C79" s="3">
        <v>38</v>
      </c>
      <c r="D79" s="3">
        <v>1.9</v>
      </c>
      <c r="E79" s="3">
        <v>0</v>
      </c>
      <c r="F79" s="3" t="s">
        <v>5</v>
      </c>
    </row>
    <row r="80" spans="1:6">
      <c r="A80" s="5" t="s">
        <v>178</v>
      </c>
    </row>
    <row r="82" spans="1:10">
      <c r="A82" s="5" t="s">
        <v>179</v>
      </c>
    </row>
    <row r="83" spans="1:10">
      <c r="A83" s="14" t="s">
        <v>6</v>
      </c>
      <c r="B83" s="14" t="s">
        <v>180</v>
      </c>
      <c r="C83" s="14" t="s">
        <v>121</v>
      </c>
      <c r="D83" s="3" t="s">
        <v>5</v>
      </c>
    </row>
    <row r="84" spans="1:10">
      <c r="A84" s="3" t="s">
        <v>181</v>
      </c>
      <c r="B84" s="3">
        <v>10</v>
      </c>
      <c r="C84" s="3">
        <v>18.7</v>
      </c>
      <c r="D84" s="3" t="s">
        <v>5</v>
      </c>
    </row>
    <row r="85" spans="1:10">
      <c r="A85" s="3" t="s">
        <v>182</v>
      </c>
      <c r="B85" s="3">
        <v>10</v>
      </c>
      <c r="C85" s="3">
        <v>4.2</v>
      </c>
      <c r="D85" s="3" t="s">
        <v>5</v>
      </c>
    </row>
    <row r="86" spans="1:10">
      <c r="A86" s="3" t="s">
        <v>183</v>
      </c>
      <c r="B86" s="3">
        <v>10</v>
      </c>
      <c r="C86" s="3">
        <v>0.7</v>
      </c>
      <c r="D86" s="3" t="s">
        <v>5</v>
      </c>
    </row>
    <row r="87" spans="1:10">
      <c r="A87" s="3" t="s">
        <v>184</v>
      </c>
      <c r="B87" s="3">
        <v>10</v>
      </c>
      <c r="C87" s="3">
        <v>7.1</v>
      </c>
      <c r="D87" s="3" t="s">
        <v>5</v>
      </c>
    </row>
    <row r="88" spans="1:10">
      <c r="A88" s="3" t="s">
        <v>185</v>
      </c>
      <c r="C88" s="3">
        <v>30.7</v>
      </c>
      <c r="D88" s="3" t="s">
        <v>5</v>
      </c>
    </row>
    <row r="89" spans="1:10">
      <c r="A89" s="5" t="s">
        <v>186</v>
      </c>
    </row>
    <row r="92" spans="1:10">
      <c r="A92" s="5" t="s">
        <v>471</v>
      </c>
      <c r="J92" s="3" t="s">
        <v>5</v>
      </c>
    </row>
    <row r="93" spans="1:10">
      <c r="A93" s="14" t="s">
        <v>478</v>
      </c>
      <c r="B93" s="14" t="s">
        <v>457</v>
      </c>
      <c r="C93" s="14" t="s">
        <v>458</v>
      </c>
      <c r="D93" s="14"/>
      <c r="E93" s="14"/>
      <c r="F93" s="14"/>
      <c r="G93" s="14"/>
      <c r="H93" s="14"/>
      <c r="I93" s="14" t="s">
        <v>185</v>
      </c>
    </row>
    <row r="94" spans="1:10">
      <c r="A94" s="14"/>
      <c r="B94" s="14"/>
      <c r="C94" s="14" t="s">
        <v>184</v>
      </c>
      <c r="D94" s="14" t="s">
        <v>459</v>
      </c>
      <c r="E94" s="14" t="s">
        <v>204</v>
      </c>
      <c r="F94" s="14" t="s">
        <v>460</v>
      </c>
      <c r="G94" s="14" t="s">
        <v>22</v>
      </c>
      <c r="H94" s="14" t="s">
        <v>201</v>
      </c>
      <c r="I94" s="14"/>
    </row>
    <row r="95" spans="1:10">
      <c r="A95" s="3" t="s">
        <v>461</v>
      </c>
      <c r="B95" s="3" t="s">
        <v>462</v>
      </c>
      <c r="C95" s="3">
        <v>267</v>
      </c>
      <c r="D95" s="3">
        <v>587</v>
      </c>
      <c r="E95" s="3">
        <v>160</v>
      </c>
      <c r="F95" s="3">
        <v>960</v>
      </c>
      <c r="G95" s="3">
        <v>720</v>
      </c>
      <c r="H95" s="3">
        <v>160</v>
      </c>
      <c r="I95" s="7">
        <v>2854</v>
      </c>
    </row>
    <row r="96" spans="1:10">
      <c r="A96" s="3" t="s">
        <v>463</v>
      </c>
      <c r="B96" s="3" t="s">
        <v>464</v>
      </c>
      <c r="C96" s="3">
        <v>7</v>
      </c>
      <c r="D96" s="3">
        <v>15</v>
      </c>
      <c r="E96" s="3">
        <v>4</v>
      </c>
      <c r="F96" s="3">
        <v>24</v>
      </c>
      <c r="G96" s="3">
        <v>18</v>
      </c>
      <c r="H96" s="3">
        <v>4</v>
      </c>
      <c r="I96" s="3">
        <v>71</v>
      </c>
      <c r="J96" s="3" t="s">
        <v>5</v>
      </c>
    </row>
    <row r="97" spans="1:10">
      <c r="A97" s="3" t="s">
        <v>465</v>
      </c>
      <c r="B97" s="3" t="s">
        <v>466</v>
      </c>
      <c r="C97" s="3">
        <v>2</v>
      </c>
      <c r="D97" s="3">
        <v>4</v>
      </c>
      <c r="E97" s="3">
        <v>1</v>
      </c>
      <c r="F97" s="3">
        <v>6</v>
      </c>
      <c r="G97" s="3">
        <v>5</v>
      </c>
      <c r="H97" s="3">
        <v>1</v>
      </c>
      <c r="I97" s="3">
        <v>18</v>
      </c>
      <c r="J97" s="3" t="s">
        <v>5</v>
      </c>
    </row>
    <row r="98" spans="1:10">
      <c r="A98" s="5" t="s">
        <v>472</v>
      </c>
    </row>
    <row r="99" spans="1:10">
      <c r="A99" s="5"/>
    </row>
    <row r="100" spans="1:10" ht="15.75" thickBot="1">
      <c r="A100" s="5" t="s">
        <v>479</v>
      </c>
    </row>
    <row r="101" spans="1:10" ht="15.75" thickBot="1">
      <c r="A101" s="14"/>
      <c r="B101" s="14"/>
      <c r="C101" s="14"/>
      <c r="D101" s="14"/>
      <c r="E101" s="67" t="s">
        <v>471</v>
      </c>
      <c r="F101" s="68"/>
      <c r="G101" s="68"/>
      <c r="H101" s="68"/>
      <c r="I101" s="68"/>
      <c r="J101" s="69"/>
    </row>
    <row r="102" spans="1:10" ht="15.75" thickBot="1">
      <c r="A102" s="14" t="s">
        <v>467</v>
      </c>
      <c r="B102" s="14" t="s">
        <v>469</v>
      </c>
      <c r="C102" s="14" t="s">
        <v>470</v>
      </c>
      <c r="D102" s="14" t="s">
        <v>468</v>
      </c>
      <c r="E102" s="64" t="s">
        <v>184</v>
      </c>
      <c r="F102" s="65" t="s">
        <v>459</v>
      </c>
      <c r="G102" s="65" t="s">
        <v>204</v>
      </c>
      <c r="H102" s="65" t="s">
        <v>460</v>
      </c>
      <c r="I102" s="65" t="s">
        <v>22</v>
      </c>
      <c r="J102" s="66" t="s">
        <v>201</v>
      </c>
    </row>
    <row r="103" spans="1:10">
      <c r="A103" s="41">
        <v>40575</v>
      </c>
      <c r="B103" s="21">
        <f>+YEAR(A103)</f>
        <v>2011</v>
      </c>
      <c r="C103" s="21">
        <f>+MONTH(A103)</f>
        <v>2</v>
      </c>
      <c r="D103" s="3">
        <v>0</v>
      </c>
      <c r="E103" s="58">
        <f>+INT(C$95/$I$95*$D103/40)</f>
        <v>0</v>
      </c>
      <c r="F103" s="59">
        <f t="shared" ref="F103:J103" si="0">+INT(D$95/$I$95*$D103/40)</f>
        <v>0</v>
      </c>
      <c r="G103" s="59">
        <f t="shared" si="0"/>
        <v>0</v>
      </c>
      <c r="H103" s="59">
        <f t="shared" si="0"/>
        <v>0</v>
      </c>
      <c r="I103" s="59">
        <f t="shared" si="0"/>
        <v>0</v>
      </c>
      <c r="J103" s="60">
        <f t="shared" si="0"/>
        <v>0</v>
      </c>
    </row>
    <row r="104" spans="1:10">
      <c r="A104" s="41">
        <f>+A103+30</f>
        <v>40605</v>
      </c>
      <c r="B104" s="21">
        <f t="shared" ref="B104:B167" si="1">+YEAR(A104)</f>
        <v>2011</v>
      </c>
      <c r="C104" s="21">
        <f t="shared" ref="C104:C167" si="2">+MONTH(A104)</f>
        <v>3</v>
      </c>
      <c r="D104" s="3">
        <v>0</v>
      </c>
      <c r="E104" s="58">
        <f>+INT(C$95/$I$95*$D104/40)</f>
        <v>0</v>
      </c>
      <c r="F104" s="59">
        <f t="shared" ref="F104:F167" si="3">+INT(D$95/$I$95*$D104/40)</f>
        <v>0</v>
      </c>
      <c r="G104" s="59">
        <f t="shared" ref="G104:G167" si="4">+INT(E$95/$I$95*$D104/40)</f>
        <v>0</v>
      </c>
      <c r="H104" s="59">
        <f t="shared" ref="H104:H167" si="5">+INT(F$95/$I$95*$D104/40)</f>
        <v>0</v>
      </c>
      <c r="I104" s="59">
        <f t="shared" ref="I104:I167" si="6">+INT(G$95/$I$95*$D104/40)</f>
        <v>0</v>
      </c>
      <c r="J104" s="60">
        <f t="shared" ref="J104:J167" si="7">+INT(H$95/$I$95*$D104/40)</f>
        <v>0</v>
      </c>
    </row>
    <row r="105" spans="1:10">
      <c r="A105" s="41">
        <f t="shared" ref="A105:A168" si="8">+A104+30</f>
        <v>40635</v>
      </c>
      <c r="B105" s="21">
        <f t="shared" si="1"/>
        <v>2011</v>
      </c>
      <c r="C105" s="21">
        <f t="shared" si="2"/>
        <v>4</v>
      </c>
      <c r="D105" s="3">
        <v>0</v>
      </c>
      <c r="E105" s="58">
        <f t="shared" ref="E105:E167" si="9">+INT(C$95/$I$95*$D105/40)</f>
        <v>0</v>
      </c>
      <c r="F105" s="59">
        <f t="shared" si="3"/>
        <v>0</v>
      </c>
      <c r="G105" s="59">
        <f t="shared" si="4"/>
        <v>0</v>
      </c>
      <c r="H105" s="59">
        <f t="shared" si="5"/>
        <v>0</v>
      </c>
      <c r="I105" s="59">
        <f t="shared" si="6"/>
        <v>0</v>
      </c>
      <c r="J105" s="60">
        <f t="shared" si="7"/>
        <v>0</v>
      </c>
    </row>
    <row r="106" spans="1:10">
      <c r="A106" s="41">
        <f t="shared" si="8"/>
        <v>40665</v>
      </c>
      <c r="B106" s="21">
        <f t="shared" si="1"/>
        <v>2011</v>
      </c>
      <c r="C106" s="21">
        <f t="shared" si="2"/>
        <v>5</v>
      </c>
      <c r="D106" s="3">
        <v>100</v>
      </c>
      <c r="E106" s="58">
        <f t="shared" si="9"/>
        <v>0</v>
      </c>
      <c r="F106" s="59">
        <f t="shared" si="3"/>
        <v>0</v>
      </c>
      <c r="G106" s="59">
        <f t="shared" si="4"/>
        <v>0</v>
      </c>
      <c r="H106" s="59">
        <f t="shared" si="5"/>
        <v>0</v>
      </c>
      <c r="I106" s="59">
        <f t="shared" si="6"/>
        <v>0</v>
      </c>
      <c r="J106" s="60">
        <f t="shared" si="7"/>
        <v>0</v>
      </c>
    </row>
    <row r="107" spans="1:10">
      <c r="A107" s="41">
        <f t="shared" si="8"/>
        <v>40695</v>
      </c>
      <c r="B107" s="21">
        <f t="shared" si="1"/>
        <v>2011</v>
      </c>
      <c r="C107" s="21">
        <f t="shared" si="2"/>
        <v>6</v>
      </c>
      <c r="D107" s="3">
        <v>200</v>
      </c>
      <c r="E107" s="58">
        <f>+INT(C$95/$I$95*$D107/40)</f>
        <v>0</v>
      </c>
      <c r="F107" s="59">
        <f t="shared" si="3"/>
        <v>1</v>
      </c>
      <c r="G107" s="59">
        <f t="shared" si="4"/>
        <v>0</v>
      </c>
      <c r="H107" s="59">
        <f t="shared" si="5"/>
        <v>1</v>
      </c>
      <c r="I107" s="59">
        <f t="shared" si="6"/>
        <v>1</v>
      </c>
      <c r="J107" s="60">
        <f t="shared" si="7"/>
        <v>0</v>
      </c>
    </row>
    <row r="108" spans="1:10">
      <c r="A108" s="41">
        <f t="shared" si="8"/>
        <v>40725</v>
      </c>
      <c r="B108" s="21">
        <f t="shared" si="1"/>
        <v>2011</v>
      </c>
      <c r="C108" s="21">
        <f t="shared" si="2"/>
        <v>7</v>
      </c>
      <c r="D108" s="3">
        <v>200</v>
      </c>
      <c r="E108" s="58">
        <f>+INT(C$95/$I$95*$D108/40)</f>
        <v>0</v>
      </c>
      <c r="F108" s="59">
        <f t="shared" si="3"/>
        <v>1</v>
      </c>
      <c r="G108" s="59">
        <f t="shared" si="4"/>
        <v>0</v>
      </c>
      <c r="H108" s="59">
        <f t="shared" si="5"/>
        <v>1</v>
      </c>
      <c r="I108" s="59">
        <f t="shared" si="6"/>
        <v>1</v>
      </c>
      <c r="J108" s="60">
        <f t="shared" si="7"/>
        <v>0</v>
      </c>
    </row>
    <row r="109" spans="1:10">
      <c r="A109" s="41">
        <f t="shared" si="8"/>
        <v>40755</v>
      </c>
      <c r="B109" s="21">
        <f t="shared" si="1"/>
        <v>2011</v>
      </c>
      <c r="C109" s="21">
        <f t="shared" si="2"/>
        <v>7</v>
      </c>
      <c r="D109" s="3">
        <v>250</v>
      </c>
      <c r="E109" s="58">
        <f>+INT(C$95/$I$95*$D109/40)</f>
        <v>0</v>
      </c>
      <c r="F109" s="59">
        <f t="shared" si="3"/>
        <v>1</v>
      </c>
      <c r="G109" s="59">
        <f t="shared" si="4"/>
        <v>0</v>
      </c>
      <c r="H109" s="59">
        <f t="shared" si="5"/>
        <v>2</v>
      </c>
      <c r="I109" s="59">
        <f t="shared" si="6"/>
        <v>1</v>
      </c>
      <c r="J109" s="60">
        <f t="shared" si="7"/>
        <v>0</v>
      </c>
    </row>
    <row r="110" spans="1:10">
      <c r="A110" s="41">
        <f t="shared" si="8"/>
        <v>40785</v>
      </c>
      <c r="B110" s="21">
        <f t="shared" si="1"/>
        <v>2011</v>
      </c>
      <c r="C110" s="21">
        <f t="shared" si="2"/>
        <v>8</v>
      </c>
      <c r="D110" s="3">
        <v>250</v>
      </c>
      <c r="E110" s="58">
        <f t="shared" si="9"/>
        <v>0</v>
      </c>
      <c r="F110" s="59">
        <f t="shared" si="3"/>
        <v>1</v>
      </c>
      <c r="G110" s="59">
        <f t="shared" si="4"/>
        <v>0</v>
      </c>
      <c r="H110" s="59">
        <f t="shared" si="5"/>
        <v>2</v>
      </c>
      <c r="I110" s="59">
        <f t="shared" si="6"/>
        <v>1</v>
      </c>
      <c r="J110" s="60">
        <f t="shared" si="7"/>
        <v>0</v>
      </c>
    </row>
    <row r="111" spans="1:10">
      <c r="A111" s="41">
        <f t="shared" si="8"/>
        <v>40815</v>
      </c>
      <c r="B111" s="21">
        <f t="shared" si="1"/>
        <v>2011</v>
      </c>
      <c r="C111" s="21">
        <f t="shared" si="2"/>
        <v>9</v>
      </c>
      <c r="D111" s="3">
        <v>250</v>
      </c>
      <c r="E111" s="58">
        <f t="shared" si="9"/>
        <v>0</v>
      </c>
      <c r="F111" s="59">
        <f t="shared" si="3"/>
        <v>1</v>
      </c>
      <c r="G111" s="59">
        <f t="shared" si="4"/>
        <v>0</v>
      </c>
      <c r="H111" s="59">
        <f t="shared" si="5"/>
        <v>2</v>
      </c>
      <c r="I111" s="59">
        <f t="shared" si="6"/>
        <v>1</v>
      </c>
      <c r="J111" s="60">
        <f t="shared" si="7"/>
        <v>0</v>
      </c>
    </row>
    <row r="112" spans="1:10">
      <c r="A112" s="41">
        <f t="shared" si="8"/>
        <v>40845</v>
      </c>
      <c r="B112" s="21">
        <f t="shared" si="1"/>
        <v>2011</v>
      </c>
      <c r="C112" s="21">
        <f t="shared" si="2"/>
        <v>10</v>
      </c>
      <c r="D112" s="3">
        <v>300</v>
      </c>
      <c r="E112" s="58">
        <f t="shared" si="9"/>
        <v>0</v>
      </c>
      <c r="F112" s="59">
        <f t="shared" si="3"/>
        <v>1</v>
      </c>
      <c r="G112" s="59">
        <f t="shared" si="4"/>
        <v>0</v>
      </c>
      <c r="H112" s="59">
        <f t="shared" si="5"/>
        <v>2</v>
      </c>
      <c r="I112" s="59">
        <f t="shared" si="6"/>
        <v>1</v>
      </c>
      <c r="J112" s="60">
        <f t="shared" si="7"/>
        <v>0</v>
      </c>
    </row>
    <row r="113" spans="1:11">
      <c r="A113" s="41">
        <f t="shared" si="8"/>
        <v>40875</v>
      </c>
      <c r="B113" s="21">
        <f t="shared" si="1"/>
        <v>2011</v>
      </c>
      <c r="C113" s="21">
        <f t="shared" si="2"/>
        <v>11</v>
      </c>
      <c r="D113" s="3">
        <v>500</v>
      </c>
      <c r="E113" s="58">
        <f>+INT(C$95/$I$95*$D113/40)</f>
        <v>1</v>
      </c>
      <c r="F113" s="59">
        <f t="shared" si="3"/>
        <v>2</v>
      </c>
      <c r="G113" s="59">
        <f t="shared" si="4"/>
        <v>0</v>
      </c>
      <c r="H113" s="59">
        <f t="shared" si="5"/>
        <v>4</v>
      </c>
      <c r="I113" s="59">
        <f t="shared" si="6"/>
        <v>3</v>
      </c>
      <c r="J113" s="60">
        <f t="shared" si="7"/>
        <v>0</v>
      </c>
    </row>
    <row r="114" spans="1:11">
      <c r="A114" s="41">
        <f t="shared" si="8"/>
        <v>40905</v>
      </c>
      <c r="B114" s="21">
        <f t="shared" si="1"/>
        <v>2011</v>
      </c>
      <c r="C114" s="21">
        <f t="shared" si="2"/>
        <v>12</v>
      </c>
      <c r="D114" s="3">
        <v>500</v>
      </c>
      <c r="E114" s="58">
        <f t="shared" si="9"/>
        <v>1</v>
      </c>
      <c r="F114" s="59">
        <f t="shared" si="3"/>
        <v>2</v>
      </c>
      <c r="G114" s="59">
        <f t="shared" si="4"/>
        <v>0</v>
      </c>
      <c r="H114" s="59">
        <f t="shared" si="5"/>
        <v>4</v>
      </c>
      <c r="I114" s="59">
        <f t="shared" si="6"/>
        <v>3</v>
      </c>
      <c r="J114" s="60">
        <f t="shared" si="7"/>
        <v>0</v>
      </c>
      <c r="K114" s="7">
        <f>SUM(E103:E114)</f>
        <v>2</v>
      </c>
    </row>
    <row r="115" spans="1:11">
      <c r="A115" s="41">
        <f t="shared" si="8"/>
        <v>40935</v>
      </c>
      <c r="B115" s="21">
        <f t="shared" si="1"/>
        <v>2012</v>
      </c>
      <c r="C115" s="21">
        <f t="shared" si="2"/>
        <v>1</v>
      </c>
      <c r="D115" s="3">
        <v>750</v>
      </c>
      <c r="E115" s="58">
        <f t="shared" si="9"/>
        <v>1</v>
      </c>
      <c r="F115" s="59">
        <f t="shared" si="3"/>
        <v>3</v>
      </c>
      <c r="G115" s="59">
        <f t="shared" si="4"/>
        <v>1</v>
      </c>
      <c r="H115" s="59">
        <f t="shared" si="5"/>
        <v>6</v>
      </c>
      <c r="I115" s="59">
        <f t="shared" si="6"/>
        <v>4</v>
      </c>
      <c r="J115" s="60">
        <f t="shared" si="7"/>
        <v>1</v>
      </c>
    </row>
    <row r="116" spans="1:11">
      <c r="A116" s="41">
        <f t="shared" si="8"/>
        <v>40965</v>
      </c>
      <c r="B116" s="21">
        <f t="shared" si="1"/>
        <v>2012</v>
      </c>
      <c r="C116" s="21">
        <f t="shared" si="2"/>
        <v>2</v>
      </c>
      <c r="D116" s="3">
        <v>950</v>
      </c>
      <c r="E116" s="58">
        <f t="shared" si="9"/>
        <v>2</v>
      </c>
      <c r="F116" s="59">
        <f t="shared" si="3"/>
        <v>4</v>
      </c>
      <c r="G116" s="59">
        <f t="shared" si="4"/>
        <v>1</v>
      </c>
      <c r="H116" s="59">
        <f t="shared" si="5"/>
        <v>7</v>
      </c>
      <c r="I116" s="59">
        <f t="shared" si="6"/>
        <v>5</v>
      </c>
      <c r="J116" s="60">
        <f t="shared" si="7"/>
        <v>1</v>
      </c>
    </row>
    <row r="117" spans="1:11">
      <c r="A117" s="41">
        <f t="shared" si="8"/>
        <v>40995</v>
      </c>
      <c r="B117" s="21">
        <f t="shared" si="1"/>
        <v>2012</v>
      </c>
      <c r="C117" s="21">
        <f t="shared" si="2"/>
        <v>3</v>
      </c>
      <c r="D117" s="3">
        <v>1050</v>
      </c>
      <c r="E117" s="58">
        <f t="shared" si="9"/>
        <v>2</v>
      </c>
      <c r="F117" s="59">
        <f t="shared" si="3"/>
        <v>5</v>
      </c>
      <c r="G117" s="59">
        <f t="shared" si="4"/>
        <v>1</v>
      </c>
      <c r="H117" s="59">
        <f t="shared" si="5"/>
        <v>8</v>
      </c>
      <c r="I117" s="59">
        <f t="shared" si="6"/>
        <v>6</v>
      </c>
      <c r="J117" s="60">
        <f t="shared" si="7"/>
        <v>1</v>
      </c>
    </row>
    <row r="118" spans="1:11">
      <c r="A118" s="41">
        <f t="shared" si="8"/>
        <v>41025</v>
      </c>
      <c r="B118" s="21">
        <f t="shared" si="1"/>
        <v>2012</v>
      </c>
      <c r="C118" s="21">
        <f t="shared" si="2"/>
        <v>4</v>
      </c>
      <c r="D118" s="3">
        <v>1400</v>
      </c>
      <c r="E118" s="58">
        <f t="shared" si="9"/>
        <v>3</v>
      </c>
      <c r="F118" s="59">
        <f t="shared" si="3"/>
        <v>7</v>
      </c>
      <c r="G118" s="59">
        <f t="shared" si="4"/>
        <v>1</v>
      </c>
      <c r="H118" s="59">
        <f t="shared" si="5"/>
        <v>11</v>
      </c>
      <c r="I118" s="59">
        <f t="shared" si="6"/>
        <v>8</v>
      </c>
      <c r="J118" s="60">
        <f t="shared" si="7"/>
        <v>1</v>
      </c>
    </row>
    <row r="119" spans="1:11">
      <c r="A119" s="41">
        <f t="shared" si="8"/>
        <v>41055</v>
      </c>
      <c r="B119" s="21">
        <f t="shared" si="1"/>
        <v>2012</v>
      </c>
      <c r="C119" s="21">
        <f t="shared" si="2"/>
        <v>5</v>
      </c>
      <c r="D119" s="3">
        <v>1600</v>
      </c>
      <c r="E119" s="58">
        <f t="shared" si="9"/>
        <v>3</v>
      </c>
      <c r="F119" s="59">
        <f t="shared" si="3"/>
        <v>8</v>
      </c>
      <c r="G119" s="59">
        <f t="shared" si="4"/>
        <v>2</v>
      </c>
      <c r="H119" s="59">
        <f t="shared" si="5"/>
        <v>13</v>
      </c>
      <c r="I119" s="59">
        <f t="shared" si="6"/>
        <v>10</v>
      </c>
      <c r="J119" s="60">
        <f t="shared" si="7"/>
        <v>2</v>
      </c>
    </row>
    <row r="120" spans="1:11">
      <c r="A120" s="41">
        <f t="shared" si="8"/>
        <v>41085</v>
      </c>
      <c r="B120" s="21">
        <f t="shared" si="1"/>
        <v>2012</v>
      </c>
      <c r="C120" s="21">
        <f t="shared" si="2"/>
        <v>6</v>
      </c>
      <c r="D120" s="3">
        <v>1900</v>
      </c>
      <c r="E120" s="58">
        <f t="shared" si="9"/>
        <v>4</v>
      </c>
      <c r="F120" s="59">
        <f t="shared" si="3"/>
        <v>9</v>
      </c>
      <c r="G120" s="59">
        <f t="shared" si="4"/>
        <v>2</v>
      </c>
      <c r="H120" s="59">
        <f t="shared" si="5"/>
        <v>15</v>
      </c>
      <c r="I120" s="59">
        <f t="shared" si="6"/>
        <v>11</v>
      </c>
      <c r="J120" s="60">
        <f t="shared" si="7"/>
        <v>2</v>
      </c>
    </row>
    <row r="121" spans="1:11">
      <c r="A121" s="41">
        <f t="shared" si="8"/>
        <v>41115</v>
      </c>
      <c r="B121" s="21">
        <f t="shared" si="1"/>
        <v>2012</v>
      </c>
      <c r="C121" s="21">
        <f t="shared" si="2"/>
        <v>7</v>
      </c>
      <c r="D121" s="3">
        <v>2100</v>
      </c>
      <c r="E121" s="58">
        <f t="shared" si="9"/>
        <v>4</v>
      </c>
      <c r="F121" s="59">
        <f t="shared" si="3"/>
        <v>10</v>
      </c>
      <c r="G121" s="59">
        <f t="shared" si="4"/>
        <v>2</v>
      </c>
      <c r="H121" s="59">
        <f t="shared" si="5"/>
        <v>17</v>
      </c>
      <c r="I121" s="59">
        <f t="shared" si="6"/>
        <v>13</v>
      </c>
      <c r="J121" s="60">
        <f t="shared" si="7"/>
        <v>2</v>
      </c>
    </row>
    <row r="122" spans="1:11">
      <c r="A122" s="41">
        <f t="shared" si="8"/>
        <v>41145</v>
      </c>
      <c r="B122" s="21">
        <f t="shared" si="1"/>
        <v>2012</v>
      </c>
      <c r="C122" s="21">
        <f t="shared" si="2"/>
        <v>8</v>
      </c>
      <c r="D122" s="3">
        <v>2100</v>
      </c>
      <c r="E122" s="58">
        <f t="shared" si="9"/>
        <v>4</v>
      </c>
      <c r="F122" s="59">
        <f t="shared" si="3"/>
        <v>10</v>
      </c>
      <c r="G122" s="59">
        <f t="shared" si="4"/>
        <v>2</v>
      </c>
      <c r="H122" s="59">
        <f t="shared" si="5"/>
        <v>17</v>
      </c>
      <c r="I122" s="59">
        <f t="shared" si="6"/>
        <v>13</v>
      </c>
      <c r="J122" s="60">
        <f t="shared" si="7"/>
        <v>2</v>
      </c>
    </row>
    <row r="123" spans="1:11">
      <c r="A123" s="41">
        <f t="shared" si="8"/>
        <v>41175</v>
      </c>
      <c r="B123" s="21">
        <f t="shared" si="1"/>
        <v>2012</v>
      </c>
      <c r="C123" s="21">
        <f t="shared" si="2"/>
        <v>9</v>
      </c>
      <c r="D123" s="3">
        <v>2200</v>
      </c>
      <c r="E123" s="58">
        <f t="shared" si="9"/>
        <v>5</v>
      </c>
      <c r="F123" s="59">
        <f t="shared" si="3"/>
        <v>11</v>
      </c>
      <c r="G123" s="59">
        <f t="shared" si="4"/>
        <v>3</v>
      </c>
      <c r="H123" s="59">
        <f t="shared" si="5"/>
        <v>18</v>
      </c>
      <c r="I123" s="59">
        <f t="shared" si="6"/>
        <v>13</v>
      </c>
      <c r="J123" s="60">
        <f t="shared" si="7"/>
        <v>3</v>
      </c>
    </row>
    <row r="124" spans="1:11">
      <c r="A124" s="41">
        <f t="shared" si="8"/>
        <v>41205</v>
      </c>
      <c r="B124" s="21">
        <f t="shared" si="1"/>
        <v>2012</v>
      </c>
      <c r="C124" s="21">
        <f t="shared" si="2"/>
        <v>10</v>
      </c>
      <c r="D124" s="3">
        <v>2250</v>
      </c>
      <c r="E124" s="58">
        <f t="shared" si="9"/>
        <v>5</v>
      </c>
      <c r="F124" s="59">
        <f t="shared" si="3"/>
        <v>11</v>
      </c>
      <c r="G124" s="59">
        <f t="shared" si="4"/>
        <v>3</v>
      </c>
      <c r="H124" s="59">
        <f t="shared" si="5"/>
        <v>18</v>
      </c>
      <c r="I124" s="59">
        <f t="shared" si="6"/>
        <v>14</v>
      </c>
      <c r="J124" s="60">
        <f t="shared" si="7"/>
        <v>3</v>
      </c>
    </row>
    <row r="125" spans="1:11">
      <c r="A125" s="41">
        <f t="shared" si="8"/>
        <v>41235</v>
      </c>
      <c r="B125" s="21">
        <f t="shared" si="1"/>
        <v>2012</v>
      </c>
      <c r="C125" s="21">
        <f t="shared" si="2"/>
        <v>11</v>
      </c>
      <c r="D125" s="3">
        <v>2250</v>
      </c>
      <c r="E125" s="58">
        <f t="shared" si="9"/>
        <v>5</v>
      </c>
      <c r="F125" s="59">
        <f t="shared" si="3"/>
        <v>11</v>
      </c>
      <c r="G125" s="59">
        <f t="shared" si="4"/>
        <v>3</v>
      </c>
      <c r="H125" s="59">
        <f t="shared" si="5"/>
        <v>18</v>
      </c>
      <c r="I125" s="59">
        <f t="shared" si="6"/>
        <v>14</v>
      </c>
      <c r="J125" s="60">
        <f t="shared" si="7"/>
        <v>3</v>
      </c>
    </row>
    <row r="126" spans="1:11">
      <c r="A126" s="41">
        <f t="shared" si="8"/>
        <v>41265</v>
      </c>
      <c r="B126" s="21">
        <f t="shared" si="1"/>
        <v>2012</v>
      </c>
      <c r="C126" s="21">
        <f t="shared" si="2"/>
        <v>12</v>
      </c>
      <c r="D126" s="3">
        <v>2400</v>
      </c>
      <c r="E126" s="58">
        <f t="shared" si="9"/>
        <v>5</v>
      </c>
      <c r="F126" s="59">
        <f t="shared" si="3"/>
        <v>12</v>
      </c>
      <c r="G126" s="59">
        <f t="shared" si="4"/>
        <v>3</v>
      </c>
      <c r="H126" s="59">
        <f t="shared" si="5"/>
        <v>20</v>
      </c>
      <c r="I126" s="59">
        <f t="shared" si="6"/>
        <v>15</v>
      </c>
      <c r="J126" s="60">
        <f t="shared" si="7"/>
        <v>3</v>
      </c>
      <c r="K126" s="7">
        <f>SUM(E115:E126)</f>
        <v>43</v>
      </c>
    </row>
    <row r="127" spans="1:11">
      <c r="A127" s="41">
        <f t="shared" si="8"/>
        <v>41295</v>
      </c>
      <c r="B127" s="21">
        <f t="shared" si="1"/>
        <v>2013</v>
      </c>
      <c r="C127" s="21">
        <f t="shared" si="2"/>
        <v>1</v>
      </c>
      <c r="D127" s="3">
        <v>2400</v>
      </c>
      <c r="E127" s="58">
        <f>+INT(C$95/$I$95*$D127/40)</f>
        <v>5</v>
      </c>
      <c r="F127" s="59">
        <f t="shared" si="3"/>
        <v>12</v>
      </c>
      <c r="G127" s="59">
        <f t="shared" si="4"/>
        <v>3</v>
      </c>
      <c r="H127" s="59">
        <f t="shared" si="5"/>
        <v>20</v>
      </c>
      <c r="I127" s="59">
        <f t="shared" si="6"/>
        <v>15</v>
      </c>
      <c r="J127" s="60">
        <f t="shared" si="7"/>
        <v>3</v>
      </c>
    </row>
    <row r="128" spans="1:11">
      <c r="A128" s="41">
        <f t="shared" si="8"/>
        <v>41325</v>
      </c>
      <c r="B128" s="21">
        <f t="shared" si="1"/>
        <v>2013</v>
      </c>
      <c r="C128" s="21">
        <f t="shared" si="2"/>
        <v>2</v>
      </c>
      <c r="D128" s="3">
        <v>2600</v>
      </c>
      <c r="E128" s="58">
        <f t="shared" si="9"/>
        <v>6</v>
      </c>
      <c r="F128" s="59">
        <f t="shared" si="3"/>
        <v>13</v>
      </c>
      <c r="G128" s="59">
        <f t="shared" si="4"/>
        <v>3</v>
      </c>
      <c r="H128" s="59">
        <f t="shared" si="5"/>
        <v>21</v>
      </c>
      <c r="I128" s="59">
        <f t="shared" si="6"/>
        <v>16</v>
      </c>
      <c r="J128" s="60">
        <f t="shared" si="7"/>
        <v>3</v>
      </c>
    </row>
    <row r="129" spans="1:11">
      <c r="A129" s="41">
        <f t="shared" si="8"/>
        <v>41355</v>
      </c>
      <c r="B129" s="21">
        <f t="shared" si="1"/>
        <v>2013</v>
      </c>
      <c r="C129" s="21">
        <f t="shared" si="2"/>
        <v>3</v>
      </c>
      <c r="D129" s="3">
        <v>2600</v>
      </c>
      <c r="E129" s="58">
        <f t="shared" si="9"/>
        <v>6</v>
      </c>
      <c r="F129" s="59">
        <f t="shared" si="3"/>
        <v>13</v>
      </c>
      <c r="G129" s="59">
        <f t="shared" si="4"/>
        <v>3</v>
      </c>
      <c r="H129" s="59">
        <f t="shared" si="5"/>
        <v>21</v>
      </c>
      <c r="I129" s="59">
        <f t="shared" si="6"/>
        <v>16</v>
      </c>
      <c r="J129" s="60">
        <f t="shared" si="7"/>
        <v>3</v>
      </c>
    </row>
    <row r="130" spans="1:11">
      <c r="A130" s="41">
        <f t="shared" si="8"/>
        <v>41385</v>
      </c>
      <c r="B130" s="21">
        <f t="shared" si="1"/>
        <v>2013</v>
      </c>
      <c r="C130" s="21">
        <f t="shared" si="2"/>
        <v>4</v>
      </c>
      <c r="D130" s="3">
        <v>2400</v>
      </c>
      <c r="E130" s="58">
        <f t="shared" si="9"/>
        <v>5</v>
      </c>
      <c r="F130" s="59">
        <f t="shared" si="3"/>
        <v>12</v>
      </c>
      <c r="G130" s="59">
        <f t="shared" si="4"/>
        <v>3</v>
      </c>
      <c r="H130" s="59">
        <f t="shared" si="5"/>
        <v>20</v>
      </c>
      <c r="I130" s="59">
        <f t="shared" si="6"/>
        <v>15</v>
      </c>
      <c r="J130" s="60">
        <f t="shared" si="7"/>
        <v>3</v>
      </c>
    </row>
    <row r="131" spans="1:11">
      <c r="A131" s="41">
        <f t="shared" si="8"/>
        <v>41415</v>
      </c>
      <c r="B131" s="21">
        <f t="shared" si="1"/>
        <v>2013</v>
      </c>
      <c r="C131" s="21">
        <f t="shared" si="2"/>
        <v>5</v>
      </c>
      <c r="D131" s="3">
        <v>2250</v>
      </c>
      <c r="E131" s="58">
        <f t="shared" si="9"/>
        <v>5</v>
      </c>
      <c r="F131" s="59">
        <f t="shared" si="3"/>
        <v>11</v>
      </c>
      <c r="G131" s="59">
        <f t="shared" si="4"/>
        <v>3</v>
      </c>
      <c r="H131" s="59">
        <f t="shared" si="5"/>
        <v>18</v>
      </c>
      <c r="I131" s="59">
        <f t="shared" si="6"/>
        <v>14</v>
      </c>
      <c r="J131" s="60">
        <f t="shared" si="7"/>
        <v>3</v>
      </c>
    </row>
    <row r="132" spans="1:11">
      <c r="A132" s="41">
        <f t="shared" si="8"/>
        <v>41445</v>
      </c>
      <c r="B132" s="21">
        <f t="shared" si="1"/>
        <v>2013</v>
      </c>
      <c r="C132" s="21">
        <f t="shared" si="2"/>
        <v>6</v>
      </c>
      <c r="D132" s="3">
        <v>2100</v>
      </c>
      <c r="E132" s="58">
        <f t="shared" si="9"/>
        <v>4</v>
      </c>
      <c r="F132" s="59">
        <f t="shared" si="3"/>
        <v>10</v>
      </c>
      <c r="G132" s="59">
        <f t="shared" si="4"/>
        <v>2</v>
      </c>
      <c r="H132" s="59">
        <f t="shared" si="5"/>
        <v>17</v>
      </c>
      <c r="I132" s="59">
        <f t="shared" si="6"/>
        <v>13</v>
      </c>
      <c r="J132" s="60">
        <f t="shared" si="7"/>
        <v>2</v>
      </c>
    </row>
    <row r="133" spans="1:11">
      <c r="A133" s="41">
        <f t="shared" si="8"/>
        <v>41475</v>
      </c>
      <c r="B133" s="21">
        <f t="shared" si="1"/>
        <v>2013</v>
      </c>
      <c r="C133" s="21">
        <f t="shared" si="2"/>
        <v>7</v>
      </c>
      <c r="D133" s="3">
        <v>2100</v>
      </c>
      <c r="E133" s="58">
        <f t="shared" si="9"/>
        <v>4</v>
      </c>
      <c r="F133" s="59">
        <f t="shared" si="3"/>
        <v>10</v>
      </c>
      <c r="G133" s="59">
        <f t="shared" si="4"/>
        <v>2</v>
      </c>
      <c r="H133" s="59">
        <f t="shared" si="5"/>
        <v>17</v>
      </c>
      <c r="I133" s="59">
        <f t="shared" si="6"/>
        <v>13</v>
      </c>
      <c r="J133" s="60">
        <f t="shared" si="7"/>
        <v>2</v>
      </c>
    </row>
    <row r="134" spans="1:11">
      <c r="A134" s="41">
        <f t="shared" si="8"/>
        <v>41505</v>
      </c>
      <c r="B134" s="21">
        <f t="shared" si="1"/>
        <v>2013</v>
      </c>
      <c r="C134" s="21">
        <f t="shared" si="2"/>
        <v>8</v>
      </c>
      <c r="D134" s="3">
        <v>2100</v>
      </c>
      <c r="E134" s="58">
        <f t="shared" si="9"/>
        <v>4</v>
      </c>
      <c r="F134" s="59">
        <f t="shared" si="3"/>
        <v>10</v>
      </c>
      <c r="G134" s="59">
        <f t="shared" si="4"/>
        <v>2</v>
      </c>
      <c r="H134" s="59">
        <f t="shared" si="5"/>
        <v>17</v>
      </c>
      <c r="I134" s="59">
        <f t="shared" si="6"/>
        <v>13</v>
      </c>
      <c r="J134" s="60">
        <f t="shared" si="7"/>
        <v>2</v>
      </c>
    </row>
    <row r="135" spans="1:11">
      <c r="A135" s="41">
        <f t="shared" si="8"/>
        <v>41535</v>
      </c>
      <c r="B135" s="21">
        <f t="shared" si="1"/>
        <v>2013</v>
      </c>
      <c r="C135" s="21">
        <f t="shared" si="2"/>
        <v>9</v>
      </c>
      <c r="D135" s="3">
        <v>2300</v>
      </c>
      <c r="E135" s="58">
        <f t="shared" si="9"/>
        <v>5</v>
      </c>
      <c r="F135" s="59">
        <f t="shared" si="3"/>
        <v>11</v>
      </c>
      <c r="G135" s="59">
        <f t="shared" si="4"/>
        <v>3</v>
      </c>
      <c r="H135" s="59">
        <f t="shared" si="5"/>
        <v>19</v>
      </c>
      <c r="I135" s="59">
        <f t="shared" si="6"/>
        <v>14</v>
      </c>
      <c r="J135" s="60">
        <f t="shared" si="7"/>
        <v>3</v>
      </c>
    </row>
    <row r="136" spans="1:11">
      <c r="A136" s="41">
        <f t="shared" si="8"/>
        <v>41565</v>
      </c>
      <c r="B136" s="21">
        <f t="shared" si="1"/>
        <v>2013</v>
      </c>
      <c r="C136" s="21">
        <f t="shared" si="2"/>
        <v>10</v>
      </c>
      <c r="D136" s="3">
        <v>2550</v>
      </c>
      <c r="E136" s="58">
        <f t="shared" si="9"/>
        <v>5</v>
      </c>
      <c r="F136" s="59">
        <f t="shared" si="3"/>
        <v>13</v>
      </c>
      <c r="G136" s="59">
        <f t="shared" si="4"/>
        <v>3</v>
      </c>
      <c r="H136" s="59">
        <f t="shared" si="5"/>
        <v>21</v>
      </c>
      <c r="I136" s="59">
        <f t="shared" si="6"/>
        <v>16</v>
      </c>
      <c r="J136" s="60">
        <f t="shared" si="7"/>
        <v>3</v>
      </c>
    </row>
    <row r="137" spans="1:11">
      <c r="A137" s="41">
        <f t="shared" si="8"/>
        <v>41595</v>
      </c>
      <c r="B137" s="21">
        <f t="shared" si="1"/>
        <v>2013</v>
      </c>
      <c r="C137" s="21">
        <f t="shared" si="2"/>
        <v>11</v>
      </c>
      <c r="D137" s="3">
        <v>2650</v>
      </c>
      <c r="E137" s="58">
        <f t="shared" si="9"/>
        <v>6</v>
      </c>
      <c r="F137" s="59">
        <f t="shared" si="3"/>
        <v>13</v>
      </c>
      <c r="G137" s="59">
        <f t="shared" si="4"/>
        <v>3</v>
      </c>
      <c r="H137" s="59">
        <f t="shared" si="5"/>
        <v>22</v>
      </c>
      <c r="I137" s="59">
        <f t="shared" si="6"/>
        <v>16</v>
      </c>
      <c r="J137" s="60">
        <f t="shared" si="7"/>
        <v>3</v>
      </c>
    </row>
    <row r="138" spans="1:11">
      <c r="A138" s="41">
        <f t="shared" si="8"/>
        <v>41625</v>
      </c>
      <c r="B138" s="21">
        <f t="shared" si="1"/>
        <v>2013</v>
      </c>
      <c r="C138" s="21">
        <f t="shared" si="2"/>
        <v>12</v>
      </c>
      <c r="D138" s="3">
        <v>2900</v>
      </c>
      <c r="E138" s="58">
        <f t="shared" si="9"/>
        <v>6</v>
      </c>
      <c r="F138" s="59">
        <f t="shared" si="3"/>
        <v>14</v>
      </c>
      <c r="G138" s="59">
        <f t="shared" si="4"/>
        <v>4</v>
      </c>
      <c r="H138" s="59">
        <f t="shared" si="5"/>
        <v>24</v>
      </c>
      <c r="I138" s="59">
        <f t="shared" si="6"/>
        <v>18</v>
      </c>
      <c r="J138" s="60">
        <f t="shared" si="7"/>
        <v>4</v>
      </c>
    </row>
    <row r="139" spans="1:11">
      <c r="A139" s="41">
        <f t="shared" si="8"/>
        <v>41655</v>
      </c>
      <c r="B139" s="21">
        <f t="shared" si="1"/>
        <v>2014</v>
      </c>
      <c r="C139" s="21">
        <f t="shared" si="2"/>
        <v>1</v>
      </c>
      <c r="D139" s="3">
        <v>2900</v>
      </c>
      <c r="E139" s="58">
        <f t="shared" si="9"/>
        <v>6</v>
      </c>
      <c r="F139" s="59">
        <f t="shared" si="3"/>
        <v>14</v>
      </c>
      <c r="G139" s="59">
        <f t="shared" si="4"/>
        <v>4</v>
      </c>
      <c r="H139" s="59">
        <f t="shared" si="5"/>
        <v>24</v>
      </c>
      <c r="I139" s="59">
        <f t="shared" si="6"/>
        <v>18</v>
      </c>
      <c r="J139" s="60">
        <f t="shared" si="7"/>
        <v>4</v>
      </c>
      <c r="K139" s="7">
        <f>SUM(E127:E138)</f>
        <v>61</v>
      </c>
    </row>
    <row r="140" spans="1:11">
      <c r="A140" s="41">
        <f t="shared" si="8"/>
        <v>41685</v>
      </c>
      <c r="B140" s="21">
        <f t="shared" si="1"/>
        <v>2014</v>
      </c>
      <c r="C140" s="21">
        <f t="shared" si="2"/>
        <v>2</v>
      </c>
      <c r="D140" s="3">
        <v>2650</v>
      </c>
      <c r="E140" s="58">
        <f t="shared" si="9"/>
        <v>6</v>
      </c>
      <c r="F140" s="59">
        <f t="shared" si="3"/>
        <v>13</v>
      </c>
      <c r="G140" s="59">
        <f t="shared" si="4"/>
        <v>3</v>
      </c>
      <c r="H140" s="59">
        <f t="shared" si="5"/>
        <v>22</v>
      </c>
      <c r="I140" s="59">
        <f t="shared" si="6"/>
        <v>16</v>
      </c>
      <c r="J140" s="60">
        <f t="shared" si="7"/>
        <v>3</v>
      </c>
    </row>
    <row r="141" spans="1:11">
      <c r="A141" s="41">
        <f t="shared" si="8"/>
        <v>41715</v>
      </c>
      <c r="B141" s="21">
        <f t="shared" si="1"/>
        <v>2014</v>
      </c>
      <c r="C141" s="21">
        <f t="shared" si="2"/>
        <v>3</v>
      </c>
      <c r="D141" s="3">
        <v>2650</v>
      </c>
      <c r="E141" s="58">
        <f t="shared" si="9"/>
        <v>6</v>
      </c>
      <c r="F141" s="59">
        <f t="shared" si="3"/>
        <v>13</v>
      </c>
      <c r="G141" s="59">
        <f t="shared" si="4"/>
        <v>3</v>
      </c>
      <c r="H141" s="59">
        <f t="shared" si="5"/>
        <v>22</v>
      </c>
      <c r="I141" s="59">
        <f t="shared" si="6"/>
        <v>16</v>
      </c>
      <c r="J141" s="60">
        <f t="shared" si="7"/>
        <v>3</v>
      </c>
    </row>
    <row r="142" spans="1:11">
      <c r="A142" s="41">
        <f t="shared" si="8"/>
        <v>41745</v>
      </c>
      <c r="B142" s="21">
        <f t="shared" si="1"/>
        <v>2014</v>
      </c>
      <c r="C142" s="21">
        <f t="shared" si="2"/>
        <v>4</v>
      </c>
      <c r="D142" s="3">
        <v>2350</v>
      </c>
      <c r="E142" s="58">
        <f t="shared" si="9"/>
        <v>5</v>
      </c>
      <c r="F142" s="59">
        <f t="shared" si="3"/>
        <v>12</v>
      </c>
      <c r="G142" s="59">
        <f t="shared" si="4"/>
        <v>3</v>
      </c>
      <c r="H142" s="59">
        <f t="shared" si="5"/>
        <v>19</v>
      </c>
      <c r="I142" s="59">
        <f t="shared" si="6"/>
        <v>14</v>
      </c>
      <c r="J142" s="60">
        <f t="shared" si="7"/>
        <v>3</v>
      </c>
    </row>
    <row r="143" spans="1:11">
      <c r="A143" s="41">
        <f t="shared" si="8"/>
        <v>41775</v>
      </c>
      <c r="B143" s="21">
        <f t="shared" si="1"/>
        <v>2014</v>
      </c>
      <c r="C143" s="21">
        <f t="shared" si="2"/>
        <v>5</v>
      </c>
      <c r="D143" s="3">
        <v>1850</v>
      </c>
      <c r="E143" s="58">
        <f t="shared" si="9"/>
        <v>4</v>
      </c>
      <c r="F143" s="59">
        <f t="shared" si="3"/>
        <v>9</v>
      </c>
      <c r="G143" s="59">
        <f t="shared" si="4"/>
        <v>2</v>
      </c>
      <c r="H143" s="59">
        <f t="shared" si="5"/>
        <v>15</v>
      </c>
      <c r="I143" s="59">
        <f t="shared" si="6"/>
        <v>11</v>
      </c>
      <c r="J143" s="60">
        <f t="shared" si="7"/>
        <v>2</v>
      </c>
    </row>
    <row r="144" spans="1:11">
      <c r="A144" s="41">
        <f t="shared" si="8"/>
        <v>41805</v>
      </c>
      <c r="B144" s="21">
        <f t="shared" si="1"/>
        <v>2014</v>
      </c>
      <c r="C144" s="21">
        <f t="shared" si="2"/>
        <v>6</v>
      </c>
      <c r="D144" s="3">
        <v>1850</v>
      </c>
      <c r="E144" s="58">
        <f t="shared" si="9"/>
        <v>4</v>
      </c>
      <c r="F144" s="59">
        <f t="shared" si="3"/>
        <v>9</v>
      </c>
      <c r="G144" s="59">
        <f t="shared" si="4"/>
        <v>2</v>
      </c>
      <c r="H144" s="59">
        <f t="shared" si="5"/>
        <v>15</v>
      </c>
      <c r="I144" s="59">
        <f t="shared" si="6"/>
        <v>11</v>
      </c>
      <c r="J144" s="60">
        <f t="shared" si="7"/>
        <v>2</v>
      </c>
    </row>
    <row r="145" spans="1:11">
      <c r="A145" s="41">
        <f t="shared" si="8"/>
        <v>41835</v>
      </c>
      <c r="B145" s="21">
        <f t="shared" si="1"/>
        <v>2014</v>
      </c>
      <c r="C145" s="21">
        <f t="shared" si="2"/>
        <v>7</v>
      </c>
      <c r="D145" s="3">
        <v>1850</v>
      </c>
      <c r="E145" s="58">
        <f t="shared" si="9"/>
        <v>4</v>
      </c>
      <c r="F145" s="59">
        <f t="shared" si="3"/>
        <v>9</v>
      </c>
      <c r="G145" s="59">
        <f t="shared" si="4"/>
        <v>2</v>
      </c>
      <c r="H145" s="59">
        <f t="shared" si="5"/>
        <v>15</v>
      </c>
      <c r="I145" s="59">
        <f t="shared" si="6"/>
        <v>11</v>
      </c>
      <c r="J145" s="60">
        <f t="shared" si="7"/>
        <v>2</v>
      </c>
    </row>
    <row r="146" spans="1:11">
      <c r="A146" s="41">
        <f t="shared" si="8"/>
        <v>41865</v>
      </c>
      <c r="B146" s="21">
        <f t="shared" si="1"/>
        <v>2014</v>
      </c>
      <c r="C146" s="21">
        <f t="shared" si="2"/>
        <v>8</v>
      </c>
      <c r="D146" s="3">
        <v>1800</v>
      </c>
      <c r="E146" s="58">
        <f t="shared" si="9"/>
        <v>4</v>
      </c>
      <c r="F146" s="59">
        <f t="shared" si="3"/>
        <v>9</v>
      </c>
      <c r="G146" s="59">
        <f t="shared" si="4"/>
        <v>2</v>
      </c>
      <c r="H146" s="59">
        <f t="shared" si="5"/>
        <v>15</v>
      </c>
      <c r="I146" s="59">
        <f t="shared" si="6"/>
        <v>11</v>
      </c>
      <c r="J146" s="60">
        <f t="shared" si="7"/>
        <v>2</v>
      </c>
    </row>
    <row r="147" spans="1:11">
      <c r="A147" s="41">
        <f t="shared" si="8"/>
        <v>41895</v>
      </c>
      <c r="B147" s="21">
        <f t="shared" si="1"/>
        <v>2014</v>
      </c>
      <c r="C147" s="21">
        <f t="shared" si="2"/>
        <v>9</v>
      </c>
      <c r="D147" s="3">
        <v>1750</v>
      </c>
      <c r="E147" s="58">
        <f>+INT(C$95/$I$95*$D147/40)</f>
        <v>4</v>
      </c>
      <c r="F147" s="59">
        <f t="shared" si="3"/>
        <v>8</v>
      </c>
      <c r="G147" s="59">
        <f t="shared" si="4"/>
        <v>2</v>
      </c>
      <c r="H147" s="59">
        <f t="shared" si="5"/>
        <v>14</v>
      </c>
      <c r="I147" s="59">
        <f t="shared" si="6"/>
        <v>11</v>
      </c>
      <c r="J147" s="60">
        <f t="shared" si="7"/>
        <v>2</v>
      </c>
    </row>
    <row r="148" spans="1:11">
      <c r="A148" s="41">
        <f t="shared" si="8"/>
        <v>41925</v>
      </c>
      <c r="B148" s="21">
        <f t="shared" si="1"/>
        <v>2014</v>
      </c>
      <c r="C148" s="21">
        <f t="shared" si="2"/>
        <v>10</v>
      </c>
      <c r="D148" s="3">
        <v>1750</v>
      </c>
      <c r="E148" s="58">
        <f t="shared" si="9"/>
        <v>4</v>
      </c>
      <c r="F148" s="59">
        <f t="shared" si="3"/>
        <v>8</v>
      </c>
      <c r="G148" s="59">
        <f t="shared" si="4"/>
        <v>2</v>
      </c>
      <c r="H148" s="59">
        <f t="shared" si="5"/>
        <v>14</v>
      </c>
      <c r="I148" s="59">
        <f t="shared" si="6"/>
        <v>11</v>
      </c>
      <c r="J148" s="60">
        <f t="shared" si="7"/>
        <v>2</v>
      </c>
    </row>
    <row r="149" spans="1:11">
      <c r="A149" s="41">
        <f t="shared" si="8"/>
        <v>41955</v>
      </c>
      <c r="B149" s="21">
        <f t="shared" si="1"/>
        <v>2014</v>
      </c>
      <c r="C149" s="21">
        <f t="shared" si="2"/>
        <v>11</v>
      </c>
      <c r="D149" s="3">
        <v>1750</v>
      </c>
      <c r="E149" s="58">
        <f t="shared" si="9"/>
        <v>4</v>
      </c>
      <c r="F149" s="59">
        <f t="shared" si="3"/>
        <v>8</v>
      </c>
      <c r="G149" s="59">
        <f t="shared" si="4"/>
        <v>2</v>
      </c>
      <c r="H149" s="59">
        <f t="shared" si="5"/>
        <v>14</v>
      </c>
      <c r="I149" s="59">
        <f t="shared" si="6"/>
        <v>11</v>
      </c>
      <c r="J149" s="60">
        <f t="shared" si="7"/>
        <v>2</v>
      </c>
    </row>
    <row r="150" spans="1:11">
      <c r="A150" s="41">
        <f t="shared" si="8"/>
        <v>41985</v>
      </c>
      <c r="B150" s="21">
        <f t="shared" si="1"/>
        <v>2014</v>
      </c>
      <c r="C150" s="21">
        <f t="shared" si="2"/>
        <v>12</v>
      </c>
      <c r="D150" s="3">
        <v>1650</v>
      </c>
      <c r="E150" s="58">
        <f t="shared" si="9"/>
        <v>3</v>
      </c>
      <c r="F150" s="59">
        <f t="shared" si="3"/>
        <v>8</v>
      </c>
      <c r="G150" s="59">
        <f t="shared" si="4"/>
        <v>2</v>
      </c>
      <c r="H150" s="59">
        <f t="shared" si="5"/>
        <v>13</v>
      </c>
      <c r="I150" s="59">
        <f t="shared" si="6"/>
        <v>10</v>
      </c>
      <c r="J150" s="60">
        <f t="shared" si="7"/>
        <v>2</v>
      </c>
    </row>
    <row r="151" spans="1:11">
      <c r="A151" s="41">
        <f t="shared" si="8"/>
        <v>42015</v>
      </c>
      <c r="B151" s="21">
        <f t="shared" si="1"/>
        <v>2015</v>
      </c>
      <c r="C151" s="21">
        <f t="shared" si="2"/>
        <v>1</v>
      </c>
      <c r="D151" s="3">
        <v>1600</v>
      </c>
      <c r="E151" s="58">
        <f t="shared" si="9"/>
        <v>3</v>
      </c>
      <c r="F151" s="59">
        <f t="shared" si="3"/>
        <v>8</v>
      </c>
      <c r="G151" s="59">
        <f t="shared" si="4"/>
        <v>2</v>
      </c>
      <c r="H151" s="59">
        <f t="shared" si="5"/>
        <v>13</v>
      </c>
      <c r="I151" s="59">
        <f t="shared" si="6"/>
        <v>10</v>
      </c>
      <c r="J151" s="60">
        <f t="shared" si="7"/>
        <v>2</v>
      </c>
      <c r="K151" s="7">
        <f>SUM(E139:E150)</f>
        <v>54</v>
      </c>
    </row>
    <row r="152" spans="1:11">
      <c r="A152" s="41">
        <f t="shared" si="8"/>
        <v>42045</v>
      </c>
      <c r="B152" s="21">
        <f t="shared" si="1"/>
        <v>2015</v>
      </c>
      <c r="C152" s="21">
        <f t="shared" si="2"/>
        <v>2</v>
      </c>
      <c r="D152" s="3">
        <v>1450</v>
      </c>
      <c r="E152" s="58">
        <f t="shared" si="9"/>
        <v>3</v>
      </c>
      <c r="F152" s="59">
        <f t="shared" si="3"/>
        <v>7</v>
      </c>
      <c r="G152" s="59">
        <f t="shared" si="4"/>
        <v>2</v>
      </c>
      <c r="H152" s="59">
        <f t="shared" si="5"/>
        <v>12</v>
      </c>
      <c r="I152" s="59">
        <f t="shared" si="6"/>
        <v>9</v>
      </c>
      <c r="J152" s="60">
        <f t="shared" si="7"/>
        <v>2</v>
      </c>
    </row>
    <row r="153" spans="1:11">
      <c r="A153" s="41">
        <f t="shared" si="8"/>
        <v>42075</v>
      </c>
      <c r="B153" s="21">
        <f t="shared" si="1"/>
        <v>2015</v>
      </c>
      <c r="C153" s="21">
        <f t="shared" si="2"/>
        <v>3</v>
      </c>
      <c r="D153" s="3">
        <v>1250</v>
      </c>
      <c r="E153" s="58">
        <f t="shared" si="9"/>
        <v>2</v>
      </c>
      <c r="F153" s="59">
        <f t="shared" si="3"/>
        <v>6</v>
      </c>
      <c r="G153" s="59">
        <f t="shared" si="4"/>
        <v>1</v>
      </c>
      <c r="H153" s="59">
        <f t="shared" si="5"/>
        <v>10</v>
      </c>
      <c r="I153" s="59">
        <f t="shared" si="6"/>
        <v>7</v>
      </c>
      <c r="J153" s="60">
        <f t="shared" si="7"/>
        <v>1</v>
      </c>
    </row>
    <row r="154" spans="1:11">
      <c r="A154" s="41">
        <f t="shared" si="8"/>
        <v>42105</v>
      </c>
      <c r="B154" s="21">
        <f t="shared" si="1"/>
        <v>2015</v>
      </c>
      <c r="C154" s="21">
        <f t="shared" si="2"/>
        <v>4</v>
      </c>
      <c r="D154" s="3">
        <v>900</v>
      </c>
      <c r="E154" s="58">
        <f t="shared" si="9"/>
        <v>2</v>
      </c>
      <c r="F154" s="59">
        <f t="shared" si="3"/>
        <v>4</v>
      </c>
      <c r="G154" s="59">
        <f t="shared" si="4"/>
        <v>1</v>
      </c>
      <c r="H154" s="59">
        <f t="shared" si="5"/>
        <v>7</v>
      </c>
      <c r="I154" s="59">
        <f t="shared" si="6"/>
        <v>5</v>
      </c>
      <c r="J154" s="60">
        <f t="shared" si="7"/>
        <v>1</v>
      </c>
    </row>
    <row r="155" spans="1:11">
      <c r="A155" s="41">
        <f t="shared" si="8"/>
        <v>42135</v>
      </c>
      <c r="B155" s="21">
        <f t="shared" si="1"/>
        <v>2015</v>
      </c>
      <c r="C155" s="21">
        <f t="shared" si="2"/>
        <v>5</v>
      </c>
      <c r="D155" s="3">
        <v>800</v>
      </c>
      <c r="E155" s="58">
        <f t="shared" si="9"/>
        <v>1</v>
      </c>
      <c r="F155" s="59">
        <f t="shared" si="3"/>
        <v>4</v>
      </c>
      <c r="G155" s="59">
        <f t="shared" si="4"/>
        <v>1</v>
      </c>
      <c r="H155" s="59">
        <f t="shared" si="5"/>
        <v>6</v>
      </c>
      <c r="I155" s="59">
        <f t="shared" si="6"/>
        <v>5</v>
      </c>
      <c r="J155" s="60">
        <f t="shared" si="7"/>
        <v>1</v>
      </c>
    </row>
    <row r="156" spans="1:11">
      <c r="A156" s="41">
        <f t="shared" si="8"/>
        <v>42165</v>
      </c>
      <c r="B156" s="21">
        <f t="shared" si="1"/>
        <v>2015</v>
      </c>
      <c r="C156" s="21">
        <f t="shared" si="2"/>
        <v>6</v>
      </c>
      <c r="D156" s="3">
        <v>600</v>
      </c>
      <c r="E156" s="58">
        <f t="shared" si="9"/>
        <v>1</v>
      </c>
      <c r="F156" s="59">
        <f t="shared" si="3"/>
        <v>3</v>
      </c>
      <c r="G156" s="59">
        <f t="shared" si="4"/>
        <v>0</v>
      </c>
      <c r="H156" s="59">
        <f t="shared" si="5"/>
        <v>5</v>
      </c>
      <c r="I156" s="59">
        <f t="shared" si="6"/>
        <v>3</v>
      </c>
      <c r="J156" s="60">
        <f t="shared" si="7"/>
        <v>0</v>
      </c>
    </row>
    <row r="157" spans="1:11">
      <c r="A157" s="41">
        <f t="shared" si="8"/>
        <v>42195</v>
      </c>
      <c r="B157" s="21">
        <f t="shared" si="1"/>
        <v>2015</v>
      </c>
      <c r="C157" s="21">
        <f t="shared" si="2"/>
        <v>7</v>
      </c>
      <c r="D157" s="3">
        <v>500</v>
      </c>
      <c r="E157" s="58">
        <f t="shared" si="9"/>
        <v>1</v>
      </c>
      <c r="F157" s="59">
        <f t="shared" si="3"/>
        <v>2</v>
      </c>
      <c r="G157" s="59">
        <f t="shared" si="4"/>
        <v>0</v>
      </c>
      <c r="H157" s="59">
        <f t="shared" si="5"/>
        <v>4</v>
      </c>
      <c r="I157" s="59">
        <f t="shared" si="6"/>
        <v>3</v>
      </c>
      <c r="J157" s="60">
        <f t="shared" si="7"/>
        <v>0</v>
      </c>
    </row>
    <row r="158" spans="1:11">
      <c r="A158" s="41">
        <f t="shared" si="8"/>
        <v>42225</v>
      </c>
      <c r="B158" s="21">
        <f t="shared" si="1"/>
        <v>2015</v>
      </c>
      <c r="C158" s="21">
        <f t="shared" si="2"/>
        <v>8</v>
      </c>
      <c r="D158" s="3">
        <v>450</v>
      </c>
      <c r="E158" s="58">
        <f t="shared" si="9"/>
        <v>1</v>
      </c>
      <c r="F158" s="59">
        <f t="shared" si="3"/>
        <v>2</v>
      </c>
      <c r="G158" s="59">
        <f t="shared" si="4"/>
        <v>0</v>
      </c>
      <c r="H158" s="59">
        <f t="shared" si="5"/>
        <v>3</v>
      </c>
      <c r="I158" s="59">
        <f t="shared" si="6"/>
        <v>2</v>
      </c>
      <c r="J158" s="60">
        <f t="shared" si="7"/>
        <v>0</v>
      </c>
    </row>
    <row r="159" spans="1:11">
      <c r="A159" s="41">
        <f t="shared" si="8"/>
        <v>42255</v>
      </c>
      <c r="B159" s="21">
        <f t="shared" si="1"/>
        <v>2015</v>
      </c>
      <c r="C159" s="21">
        <f t="shared" si="2"/>
        <v>9</v>
      </c>
      <c r="D159" s="3">
        <v>450</v>
      </c>
      <c r="E159" s="58">
        <f t="shared" si="9"/>
        <v>1</v>
      </c>
      <c r="F159" s="59">
        <f t="shared" si="3"/>
        <v>2</v>
      </c>
      <c r="G159" s="59">
        <f t="shared" si="4"/>
        <v>0</v>
      </c>
      <c r="H159" s="59">
        <f t="shared" si="5"/>
        <v>3</v>
      </c>
      <c r="I159" s="59">
        <f t="shared" si="6"/>
        <v>2</v>
      </c>
      <c r="J159" s="60">
        <f t="shared" si="7"/>
        <v>0</v>
      </c>
    </row>
    <row r="160" spans="1:11">
      <c r="A160" s="41">
        <f t="shared" si="8"/>
        <v>42285</v>
      </c>
      <c r="B160" s="21">
        <f t="shared" si="1"/>
        <v>2015</v>
      </c>
      <c r="C160" s="21">
        <f t="shared" si="2"/>
        <v>10</v>
      </c>
      <c r="D160" s="3">
        <v>350</v>
      </c>
      <c r="E160" s="58">
        <f t="shared" si="9"/>
        <v>0</v>
      </c>
      <c r="F160" s="59">
        <f t="shared" si="3"/>
        <v>1</v>
      </c>
      <c r="G160" s="59">
        <f t="shared" si="4"/>
        <v>0</v>
      </c>
      <c r="H160" s="59">
        <f t="shared" si="5"/>
        <v>2</v>
      </c>
      <c r="I160" s="59">
        <f t="shared" si="6"/>
        <v>2</v>
      </c>
      <c r="J160" s="60">
        <f t="shared" si="7"/>
        <v>0</v>
      </c>
    </row>
    <row r="161" spans="1:11">
      <c r="A161" s="41">
        <f t="shared" si="8"/>
        <v>42315</v>
      </c>
      <c r="B161" s="21">
        <f t="shared" si="1"/>
        <v>2015</v>
      </c>
      <c r="C161" s="21">
        <f t="shared" si="2"/>
        <v>11</v>
      </c>
      <c r="D161" s="3">
        <v>300</v>
      </c>
      <c r="E161" s="58">
        <f t="shared" si="9"/>
        <v>0</v>
      </c>
      <c r="F161" s="59">
        <f t="shared" si="3"/>
        <v>1</v>
      </c>
      <c r="G161" s="59">
        <f t="shared" si="4"/>
        <v>0</v>
      </c>
      <c r="H161" s="59">
        <f t="shared" si="5"/>
        <v>2</v>
      </c>
      <c r="I161" s="59">
        <f t="shared" si="6"/>
        <v>1</v>
      </c>
      <c r="J161" s="60">
        <f t="shared" si="7"/>
        <v>0</v>
      </c>
    </row>
    <row r="162" spans="1:11">
      <c r="A162" s="41">
        <f t="shared" si="8"/>
        <v>42345</v>
      </c>
      <c r="B162" s="21">
        <f t="shared" si="1"/>
        <v>2015</v>
      </c>
      <c r="C162" s="21">
        <f t="shared" si="2"/>
        <v>12</v>
      </c>
      <c r="D162" s="3">
        <v>300</v>
      </c>
      <c r="E162" s="58">
        <f t="shared" si="9"/>
        <v>0</v>
      </c>
      <c r="F162" s="59">
        <f t="shared" si="3"/>
        <v>1</v>
      </c>
      <c r="G162" s="59">
        <f t="shared" si="4"/>
        <v>0</v>
      </c>
      <c r="H162" s="59">
        <f t="shared" si="5"/>
        <v>2</v>
      </c>
      <c r="I162" s="59">
        <f t="shared" si="6"/>
        <v>1</v>
      </c>
      <c r="J162" s="60">
        <f t="shared" si="7"/>
        <v>0</v>
      </c>
    </row>
    <row r="163" spans="1:11">
      <c r="A163" s="41">
        <f t="shared" si="8"/>
        <v>42375</v>
      </c>
      <c r="B163" s="21">
        <f t="shared" si="1"/>
        <v>2016</v>
      </c>
      <c r="C163" s="21">
        <f t="shared" si="2"/>
        <v>1</v>
      </c>
      <c r="D163" s="3">
        <v>150</v>
      </c>
      <c r="E163" s="58">
        <f t="shared" si="9"/>
        <v>0</v>
      </c>
      <c r="F163" s="59">
        <f t="shared" si="3"/>
        <v>0</v>
      </c>
      <c r="G163" s="59">
        <f t="shared" si="4"/>
        <v>0</v>
      </c>
      <c r="H163" s="59">
        <f t="shared" si="5"/>
        <v>1</v>
      </c>
      <c r="I163" s="59">
        <f t="shared" si="6"/>
        <v>0</v>
      </c>
      <c r="J163" s="60">
        <f t="shared" si="7"/>
        <v>0</v>
      </c>
      <c r="K163" s="7">
        <f>SUM(E151:E162)</f>
        <v>15</v>
      </c>
    </row>
    <row r="164" spans="1:11">
      <c r="A164" s="41">
        <f t="shared" si="8"/>
        <v>42405</v>
      </c>
      <c r="B164" s="21">
        <f t="shared" si="1"/>
        <v>2016</v>
      </c>
      <c r="C164" s="21">
        <f t="shared" si="2"/>
        <v>2</v>
      </c>
      <c r="D164" s="3">
        <v>150</v>
      </c>
      <c r="E164" s="58">
        <f t="shared" si="9"/>
        <v>0</v>
      </c>
      <c r="F164" s="59">
        <f t="shared" si="3"/>
        <v>0</v>
      </c>
      <c r="G164" s="59">
        <f t="shared" si="4"/>
        <v>0</v>
      </c>
      <c r="H164" s="59">
        <f t="shared" si="5"/>
        <v>1</v>
      </c>
      <c r="I164" s="59">
        <f t="shared" si="6"/>
        <v>0</v>
      </c>
      <c r="J164" s="60">
        <f t="shared" si="7"/>
        <v>0</v>
      </c>
    </row>
    <row r="165" spans="1:11">
      <c r="A165" s="41">
        <f t="shared" si="8"/>
        <v>42435</v>
      </c>
      <c r="B165" s="21">
        <f t="shared" si="1"/>
        <v>2016</v>
      </c>
      <c r="C165" s="21">
        <f t="shared" si="2"/>
        <v>3</v>
      </c>
      <c r="D165" s="3">
        <v>100</v>
      </c>
      <c r="E165" s="58">
        <f t="shared" si="9"/>
        <v>0</v>
      </c>
      <c r="F165" s="59">
        <f t="shared" si="3"/>
        <v>0</v>
      </c>
      <c r="G165" s="59">
        <f t="shared" si="4"/>
        <v>0</v>
      </c>
      <c r="H165" s="59">
        <f t="shared" si="5"/>
        <v>0</v>
      </c>
      <c r="I165" s="59">
        <f t="shared" si="6"/>
        <v>0</v>
      </c>
      <c r="J165" s="60">
        <f t="shared" si="7"/>
        <v>0</v>
      </c>
    </row>
    <row r="166" spans="1:11">
      <c r="A166" s="41">
        <f t="shared" si="8"/>
        <v>42465</v>
      </c>
      <c r="B166" s="21">
        <f t="shared" si="1"/>
        <v>2016</v>
      </c>
      <c r="C166" s="21">
        <f t="shared" si="2"/>
        <v>4</v>
      </c>
      <c r="D166" s="3">
        <v>0</v>
      </c>
      <c r="E166" s="58">
        <f t="shared" si="9"/>
        <v>0</v>
      </c>
      <c r="F166" s="59">
        <f t="shared" si="3"/>
        <v>0</v>
      </c>
      <c r="G166" s="59">
        <f t="shared" si="4"/>
        <v>0</v>
      </c>
      <c r="H166" s="59">
        <f t="shared" si="5"/>
        <v>0</v>
      </c>
      <c r="I166" s="59">
        <f t="shared" si="6"/>
        <v>0</v>
      </c>
      <c r="J166" s="60">
        <f t="shared" si="7"/>
        <v>0</v>
      </c>
    </row>
    <row r="167" spans="1:11">
      <c r="A167" s="41">
        <f t="shared" si="8"/>
        <v>42495</v>
      </c>
      <c r="B167" s="21">
        <f t="shared" si="1"/>
        <v>2016</v>
      </c>
      <c r="C167" s="21">
        <f t="shared" si="2"/>
        <v>5</v>
      </c>
      <c r="D167" s="3">
        <v>0</v>
      </c>
      <c r="E167" s="58">
        <f t="shared" si="9"/>
        <v>0</v>
      </c>
      <c r="F167" s="59">
        <f t="shared" si="3"/>
        <v>0</v>
      </c>
      <c r="G167" s="59">
        <f t="shared" si="4"/>
        <v>0</v>
      </c>
      <c r="H167" s="59">
        <f t="shared" si="5"/>
        <v>0</v>
      </c>
      <c r="I167" s="59">
        <f t="shared" si="6"/>
        <v>0</v>
      </c>
      <c r="J167" s="60">
        <f t="shared" si="7"/>
        <v>0</v>
      </c>
    </row>
    <row r="168" spans="1:11" ht="15.75" thickBot="1">
      <c r="A168" s="41">
        <f t="shared" si="8"/>
        <v>42525</v>
      </c>
      <c r="B168" s="21">
        <f t="shared" ref="B168" si="10">+YEAR(A168)</f>
        <v>2016</v>
      </c>
      <c r="C168" s="21">
        <f t="shared" ref="C168" si="11">+MONTH(A168)</f>
        <v>6</v>
      </c>
      <c r="D168" s="3">
        <v>0</v>
      </c>
      <c r="E168" s="61">
        <f t="shared" ref="E168" si="12">+INT(C$95/$I$95*$D168/40)</f>
        <v>0</v>
      </c>
      <c r="F168" s="62">
        <f t="shared" ref="F168" si="13">+INT(D$95/$I$95*$D168/40)</f>
        <v>0</v>
      </c>
      <c r="G168" s="62">
        <f t="shared" ref="G168" si="14">+INT(E$95/$I$95*$D168/40)</f>
        <v>0</v>
      </c>
      <c r="H168" s="62">
        <f t="shared" ref="H168" si="15">+INT(F$95/$I$95*$D168/40)</f>
        <v>0</v>
      </c>
      <c r="I168" s="62">
        <f t="shared" ref="I168" si="16">+INT(G$95/$I$95*$D168/40)</f>
        <v>0</v>
      </c>
      <c r="J168" s="63">
        <f t="shared" ref="J168" si="17">+INT(H$95/$I$95*$D168/40)</f>
        <v>0</v>
      </c>
    </row>
    <row r="169" spans="1:11" ht="15.75" thickBot="1">
      <c r="A169" s="5" t="s">
        <v>473</v>
      </c>
      <c r="E169" s="70">
        <f>SUM(E103:E168)</f>
        <v>175</v>
      </c>
      <c r="F169" s="71">
        <f t="shared" ref="F169:J169" si="18">SUM(F103:F168)</f>
        <v>414</v>
      </c>
      <c r="G169" s="71">
        <f t="shared" si="18"/>
        <v>94</v>
      </c>
      <c r="H169" s="71">
        <f t="shared" si="18"/>
        <v>696</v>
      </c>
      <c r="I169" s="71">
        <f t="shared" si="18"/>
        <v>518</v>
      </c>
      <c r="J169" s="72">
        <f t="shared" si="18"/>
        <v>94</v>
      </c>
    </row>
    <row r="170" spans="1:11">
      <c r="E170" s="58">
        <f>E169/(168-103+1-19)</f>
        <v>3.7234042553191489</v>
      </c>
    </row>
    <row r="171" spans="1:11">
      <c r="A171" s="5" t="s">
        <v>480</v>
      </c>
    </row>
    <row r="172" spans="1:11">
      <c r="A172" s="14" t="s">
        <v>481</v>
      </c>
      <c r="B172" s="14" t="s">
        <v>457</v>
      </c>
      <c r="C172" s="14" t="s">
        <v>458</v>
      </c>
      <c r="D172" s="14" t="s">
        <v>5</v>
      </c>
      <c r="E172" s="14"/>
      <c r="F172" s="14"/>
      <c r="G172" s="14"/>
      <c r="H172" s="14"/>
      <c r="I172" s="14" t="s">
        <v>185</v>
      </c>
    </row>
    <row r="173" spans="1:11">
      <c r="A173" s="14"/>
      <c r="B173" s="14"/>
      <c r="C173" s="14"/>
      <c r="D173" s="14"/>
      <c r="E173" s="14"/>
      <c r="F173" s="14"/>
      <c r="G173" s="14" t="s">
        <v>5</v>
      </c>
      <c r="H173" s="14"/>
      <c r="I173" s="14"/>
    </row>
    <row r="174" spans="1:11">
      <c r="A174" s="14"/>
      <c r="B174" s="14" t="s">
        <v>5</v>
      </c>
      <c r="C174" s="14" t="s">
        <v>184</v>
      </c>
      <c r="D174" s="14" t="s">
        <v>459</v>
      </c>
      <c r="E174" s="14" t="s">
        <v>204</v>
      </c>
      <c r="F174" s="14" t="s">
        <v>460</v>
      </c>
      <c r="G174" s="14" t="s">
        <v>22</v>
      </c>
      <c r="H174" s="14" t="s">
        <v>201</v>
      </c>
      <c r="I174" s="14"/>
    </row>
    <row r="175" spans="1:11">
      <c r="A175" s="3" t="s">
        <v>474</v>
      </c>
      <c r="B175" s="3" t="s">
        <v>475</v>
      </c>
      <c r="C175" s="3">
        <v>2</v>
      </c>
      <c r="D175" s="3">
        <v>2</v>
      </c>
      <c r="E175" s="3">
        <v>2</v>
      </c>
      <c r="F175" s="3">
        <v>2</v>
      </c>
      <c r="G175" s="3">
        <v>2</v>
      </c>
      <c r="H175" s="3">
        <v>2</v>
      </c>
      <c r="I175" s="3">
        <v>14</v>
      </c>
      <c r="J175" s="3" t="s">
        <v>5</v>
      </c>
    </row>
    <row r="176" spans="1:11">
      <c r="A176" s="3" t="s">
        <v>185</v>
      </c>
      <c r="B176" s="3" t="s">
        <v>475</v>
      </c>
      <c r="C176" s="3">
        <v>2</v>
      </c>
      <c r="D176" s="3">
        <v>2</v>
      </c>
      <c r="E176" s="3">
        <v>2</v>
      </c>
      <c r="F176" s="3">
        <v>2</v>
      </c>
      <c r="G176" s="3">
        <v>2</v>
      </c>
      <c r="H176" s="3">
        <v>2</v>
      </c>
      <c r="I176" s="3">
        <v>14</v>
      </c>
      <c r="J176" s="3" t="s">
        <v>5</v>
      </c>
    </row>
    <row r="178" spans="1:18">
      <c r="J178" s="9"/>
    </row>
    <row r="179" spans="1:18">
      <c r="A179" s="5" t="s">
        <v>599</v>
      </c>
      <c r="J179" s="9"/>
    </row>
    <row r="180" spans="1:18">
      <c r="A180" s="3" t="s">
        <v>578</v>
      </c>
      <c r="B180" s="3" t="s">
        <v>579</v>
      </c>
      <c r="C180" s="3" t="s">
        <v>580</v>
      </c>
      <c r="D180" s="3" t="s">
        <v>581</v>
      </c>
      <c r="F180" s="3" t="s">
        <v>582</v>
      </c>
      <c r="J180" s="3" t="s">
        <v>583</v>
      </c>
      <c r="K180" s="3" t="s">
        <v>5</v>
      </c>
      <c r="N180" s="9"/>
    </row>
    <row r="181" spans="1:18">
      <c r="F181" s="3" t="s">
        <v>584</v>
      </c>
      <c r="H181" s="3" t="s">
        <v>585</v>
      </c>
      <c r="J181" s="3" t="s">
        <v>584</v>
      </c>
      <c r="L181" s="3" t="s">
        <v>585</v>
      </c>
      <c r="M181" s="3" t="s">
        <v>5</v>
      </c>
      <c r="R181" s="9"/>
    </row>
    <row r="182" spans="1:18">
      <c r="D182" s="3" t="s">
        <v>586</v>
      </c>
      <c r="E182" s="3" t="s">
        <v>587</v>
      </c>
      <c r="F182" s="3" t="s">
        <v>586</v>
      </c>
      <c r="G182" s="3" t="s">
        <v>587</v>
      </c>
      <c r="H182" s="3" t="s">
        <v>586</v>
      </c>
      <c r="I182" s="3" t="s">
        <v>587</v>
      </c>
      <c r="J182" s="3" t="s">
        <v>586</v>
      </c>
      <c r="K182" s="3" t="s">
        <v>587</v>
      </c>
      <c r="L182" s="3" t="s">
        <v>586</v>
      </c>
      <c r="M182" s="9" t="s">
        <v>587</v>
      </c>
      <c r="N182" s="3" t="s">
        <v>5</v>
      </c>
    </row>
    <row r="183" spans="1:18">
      <c r="A183" s="3" t="s">
        <v>588</v>
      </c>
      <c r="B183" s="3" t="s">
        <v>589</v>
      </c>
      <c r="C183" s="3" t="s">
        <v>590</v>
      </c>
      <c r="D183" s="3">
        <v>82</v>
      </c>
      <c r="E183" s="3">
        <v>27</v>
      </c>
      <c r="F183" s="3">
        <v>89</v>
      </c>
      <c r="G183" s="3">
        <v>28</v>
      </c>
      <c r="H183" s="3">
        <v>89</v>
      </c>
      <c r="I183" s="3">
        <v>28</v>
      </c>
      <c r="J183" s="9">
        <v>96</v>
      </c>
      <c r="K183" s="3">
        <v>29</v>
      </c>
      <c r="L183" s="3">
        <v>96</v>
      </c>
      <c r="M183" s="3">
        <v>29</v>
      </c>
      <c r="N183" s="3" t="s">
        <v>5</v>
      </c>
    </row>
    <row r="184" spans="1:18">
      <c r="C184" s="3" t="s">
        <v>591</v>
      </c>
      <c r="D184" s="3">
        <v>474</v>
      </c>
      <c r="E184" s="3">
        <v>54</v>
      </c>
      <c r="F184" s="3">
        <v>513</v>
      </c>
      <c r="G184" s="3">
        <v>56</v>
      </c>
      <c r="H184" s="3">
        <v>527</v>
      </c>
      <c r="I184" s="3">
        <v>76</v>
      </c>
      <c r="J184" s="3">
        <v>555</v>
      </c>
      <c r="K184" s="3">
        <v>58</v>
      </c>
      <c r="L184" s="9">
        <v>569</v>
      </c>
      <c r="M184" s="3">
        <v>78</v>
      </c>
      <c r="N184" s="3" t="s">
        <v>5</v>
      </c>
    </row>
    <row r="185" spans="1:18">
      <c r="C185" s="3" t="s">
        <v>592</v>
      </c>
      <c r="D185" s="3">
        <v>235</v>
      </c>
      <c r="E185" s="3">
        <v>72</v>
      </c>
      <c r="F185" s="3">
        <v>254</v>
      </c>
      <c r="G185" s="3">
        <v>75</v>
      </c>
      <c r="H185" s="3">
        <v>268</v>
      </c>
      <c r="I185" s="3">
        <v>95</v>
      </c>
      <c r="J185" s="3">
        <v>275</v>
      </c>
      <c r="K185" s="3">
        <v>78</v>
      </c>
      <c r="L185" s="9">
        <v>289</v>
      </c>
      <c r="M185" s="3">
        <v>98</v>
      </c>
      <c r="N185" s="3" t="s">
        <v>5</v>
      </c>
    </row>
    <row r="186" spans="1:18">
      <c r="C186" s="3" t="s">
        <v>593</v>
      </c>
      <c r="D186" s="3">
        <v>385</v>
      </c>
      <c r="E186" s="3">
        <v>80</v>
      </c>
      <c r="F186" s="3">
        <v>416</v>
      </c>
      <c r="G186" s="3">
        <v>83</v>
      </c>
      <c r="H186" s="3">
        <v>416</v>
      </c>
      <c r="I186" s="3">
        <v>83</v>
      </c>
      <c r="J186" s="3">
        <v>450</v>
      </c>
      <c r="K186" s="3">
        <v>87</v>
      </c>
      <c r="L186" s="9">
        <v>450</v>
      </c>
      <c r="M186" s="3">
        <v>87</v>
      </c>
      <c r="N186" s="3" t="s">
        <v>5</v>
      </c>
    </row>
    <row r="187" spans="1:18">
      <c r="C187" s="3" t="s">
        <v>594</v>
      </c>
      <c r="D187" s="3">
        <v>260</v>
      </c>
      <c r="E187" s="3">
        <v>60</v>
      </c>
      <c r="F187" s="3">
        <v>281</v>
      </c>
      <c r="G187" s="3">
        <v>62</v>
      </c>
      <c r="H187" s="3">
        <v>281</v>
      </c>
      <c r="I187" s="3">
        <v>62</v>
      </c>
      <c r="J187" s="3">
        <v>304</v>
      </c>
      <c r="K187" s="3">
        <v>65</v>
      </c>
      <c r="L187" s="9">
        <v>304</v>
      </c>
      <c r="M187" s="3">
        <v>65</v>
      </c>
      <c r="N187" s="3" t="s">
        <v>5</v>
      </c>
    </row>
    <row r="188" spans="1:18">
      <c r="C188" s="9" t="s">
        <v>596</v>
      </c>
      <c r="D188" s="3">
        <v>113</v>
      </c>
      <c r="E188" s="3">
        <v>22</v>
      </c>
      <c r="F188" s="3">
        <v>122</v>
      </c>
      <c r="G188" s="3">
        <v>23</v>
      </c>
      <c r="H188" s="3">
        <v>122</v>
      </c>
      <c r="I188" s="3">
        <v>23</v>
      </c>
      <c r="J188" s="9">
        <v>132</v>
      </c>
      <c r="K188" s="3">
        <v>24</v>
      </c>
      <c r="L188" s="3">
        <v>132</v>
      </c>
      <c r="M188" s="3">
        <v>24</v>
      </c>
      <c r="N188" s="3" t="s">
        <v>5</v>
      </c>
    </row>
    <row r="189" spans="1:18">
      <c r="J189" s="9"/>
    </row>
    <row r="190" spans="1:18">
      <c r="J190" s="9"/>
    </row>
    <row r="191" spans="1:18">
      <c r="J191" s="9"/>
    </row>
    <row r="192" spans="1:18">
      <c r="D192" s="3" t="s">
        <v>429</v>
      </c>
      <c r="E192" s="3" t="s">
        <v>430</v>
      </c>
      <c r="G192" s="3" t="s">
        <v>431</v>
      </c>
    </row>
    <row r="193" spans="4:8">
      <c r="G193" s="3" t="s">
        <v>586</v>
      </c>
      <c r="H193" s="3" t="s">
        <v>587</v>
      </c>
    </row>
    <row r="194" spans="4:8">
      <c r="D194" s="9" t="s">
        <v>595</v>
      </c>
      <c r="E194" s="9" t="s">
        <v>597</v>
      </c>
      <c r="G194" s="3">
        <f>+J187+J188</f>
        <v>436</v>
      </c>
      <c r="H194" s="3">
        <f>+K187+K188</f>
        <v>89</v>
      </c>
    </row>
    <row r="195" spans="4:8">
      <c r="E195" s="9" t="s">
        <v>598</v>
      </c>
      <c r="G195" s="3">
        <f>+J183+J186</f>
        <v>546</v>
      </c>
      <c r="H195" s="3">
        <f>+K183+K186</f>
        <v>116</v>
      </c>
    </row>
    <row r="196" spans="4:8">
      <c r="G196" s="3">
        <f>+AVERAGE(G194:G195)</f>
        <v>491</v>
      </c>
      <c r="H196" s="21">
        <f>+AVERAGE(H194:H195)</f>
        <v>102.5</v>
      </c>
    </row>
    <row r="212" spans="1:1">
      <c r="A212" s="5" t="s">
        <v>600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889DB"/>
  </sheetPr>
  <dimension ref="A1:J102"/>
  <sheetViews>
    <sheetView topLeftCell="A19" workbookViewId="0">
      <selection activeCell="G25" sqref="G25"/>
    </sheetView>
  </sheetViews>
  <sheetFormatPr baseColWidth="10" defaultRowHeight="11.25"/>
  <cols>
    <col min="1" max="1" width="22.85546875" style="35" customWidth="1"/>
    <col min="2" max="4" width="11.42578125" style="35"/>
    <col min="5" max="5" width="34" style="35" customWidth="1"/>
    <col min="6" max="6" width="13.140625" style="35" customWidth="1"/>
    <col min="7" max="7" width="9.7109375" style="35" customWidth="1"/>
    <col min="8" max="8" width="22.7109375" style="35" customWidth="1"/>
    <col min="9" max="9" width="11.42578125" style="35"/>
    <col min="10" max="10" width="12.7109375" style="35" customWidth="1"/>
    <col min="11" max="11" width="11.42578125" style="35"/>
    <col min="12" max="12" width="14.28515625" style="35" bestFit="1" customWidth="1"/>
    <col min="13" max="16384" width="11.42578125" style="35"/>
  </cols>
  <sheetData>
    <row r="1" spans="1:6" ht="12">
      <c r="A1" s="28" t="s">
        <v>663</v>
      </c>
    </row>
    <row r="2" spans="1:6" ht="12" thickBot="1"/>
    <row r="3" spans="1:6" ht="37.5" customHeight="1">
      <c r="A3" s="88" t="s">
        <v>650</v>
      </c>
      <c r="B3" s="884" t="s">
        <v>651</v>
      </c>
      <c r="C3" s="885"/>
      <c r="D3" s="886"/>
      <c r="E3" s="89" t="s">
        <v>652</v>
      </c>
      <c r="F3" s="90" t="s">
        <v>653</v>
      </c>
    </row>
    <row r="4" spans="1:6" ht="26.25" customHeight="1">
      <c r="A4" s="887" t="s">
        <v>654</v>
      </c>
      <c r="B4" s="890" t="s">
        <v>655</v>
      </c>
      <c r="C4" s="890" t="s">
        <v>656</v>
      </c>
      <c r="D4" s="890" t="s">
        <v>657</v>
      </c>
      <c r="E4" s="91" t="s">
        <v>658</v>
      </c>
      <c r="F4" s="894" t="s">
        <v>684</v>
      </c>
    </row>
    <row r="5" spans="1:6" ht="26.25" customHeight="1">
      <c r="A5" s="888"/>
      <c r="B5" s="891"/>
      <c r="C5" s="893"/>
      <c r="D5" s="893"/>
      <c r="E5" s="92" t="s">
        <v>659</v>
      </c>
      <c r="F5" s="895"/>
    </row>
    <row r="6" spans="1:6" ht="26.25" customHeight="1">
      <c r="A6" s="888"/>
      <c r="B6" s="891"/>
      <c r="C6" s="890" t="s">
        <v>660</v>
      </c>
      <c r="D6" s="92" t="s">
        <v>661</v>
      </c>
      <c r="E6" s="92" t="s">
        <v>662</v>
      </c>
      <c r="F6" s="93" t="s">
        <v>684</v>
      </c>
    </row>
    <row r="7" spans="1:6" ht="26.25" customHeight="1">
      <c r="A7" s="888"/>
      <c r="B7" s="891"/>
      <c r="C7" s="891"/>
      <c r="D7" s="92" t="s">
        <v>647</v>
      </c>
      <c r="E7" s="92" t="s">
        <v>662</v>
      </c>
      <c r="F7" s="93" t="s">
        <v>684</v>
      </c>
    </row>
    <row r="8" spans="1:6" ht="26.25" customHeight="1" thickBot="1">
      <c r="A8" s="889"/>
      <c r="B8" s="892"/>
      <c r="C8" s="892"/>
      <c r="D8" s="94" t="s">
        <v>577</v>
      </c>
      <c r="E8" s="94" t="s">
        <v>662</v>
      </c>
      <c r="F8" s="95" t="s">
        <v>684</v>
      </c>
    </row>
    <row r="10" spans="1:6" ht="12.75" thickBot="1">
      <c r="A10" s="30" t="s">
        <v>664</v>
      </c>
    </row>
    <row r="11" spans="1:6">
      <c r="A11" s="899" t="s">
        <v>648</v>
      </c>
      <c r="B11" s="884" t="s">
        <v>649</v>
      </c>
      <c r="C11" s="885"/>
      <c r="D11" s="901"/>
    </row>
    <row r="12" spans="1:6" ht="12.75">
      <c r="A12" s="900"/>
      <c r="B12" s="96" t="s">
        <v>685</v>
      </c>
      <c r="C12" s="96" t="s">
        <v>686</v>
      </c>
      <c r="D12" s="87" t="s">
        <v>687</v>
      </c>
    </row>
    <row r="13" spans="1:6" ht="13.5" thickBot="1">
      <c r="A13" s="97" t="s">
        <v>688</v>
      </c>
      <c r="B13" s="98">
        <v>1</v>
      </c>
      <c r="C13" s="98">
        <v>310</v>
      </c>
      <c r="D13" s="99">
        <v>21</v>
      </c>
      <c r="E13" s="35" t="s">
        <v>1133</v>
      </c>
    </row>
    <row r="17" spans="1:8" ht="12">
      <c r="A17" s="28" t="s">
        <v>715</v>
      </c>
    </row>
    <row r="21" spans="1:8" ht="12">
      <c r="A21" s="30" t="s">
        <v>665</v>
      </c>
    </row>
    <row r="23" spans="1:8" ht="12.75" thickBot="1">
      <c r="A23" s="30" t="s">
        <v>676</v>
      </c>
      <c r="E23" s="30" t="s">
        <v>675</v>
      </c>
      <c r="F23" s="35" t="s">
        <v>698</v>
      </c>
    </row>
    <row r="24" spans="1:8" ht="22.5">
      <c r="A24" s="73" t="s">
        <v>119</v>
      </c>
      <c r="B24" s="74" t="s">
        <v>666</v>
      </c>
      <c r="C24" s="75" t="s">
        <v>367</v>
      </c>
      <c r="E24" s="73" t="s">
        <v>119</v>
      </c>
      <c r="F24" s="74" t="s">
        <v>380</v>
      </c>
      <c r="G24" s="74" t="s">
        <v>381</v>
      </c>
      <c r="H24" s="75" t="s">
        <v>670</v>
      </c>
    </row>
    <row r="25" spans="1:8" ht="30" customHeight="1">
      <c r="A25" s="76" t="s">
        <v>667</v>
      </c>
      <c r="B25" s="77">
        <v>2</v>
      </c>
      <c r="C25" s="78" t="s">
        <v>303</v>
      </c>
      <c r="E25" s="76" t="s">
        <v>667</v>
      </c>
      <c r="F25" s="82">
        <v>180</v>
      </c>
      <c r="G25" s="238">
        <f>'Combust Fija HRSaño'!B11</f>
        <v>112.31666666666666</v>
      </c>
      <c r="H25" s="83" t="s">
        <v>671</v>
      </c>
    </row>
    <row r="26" spans="1:8" ht="30" customHeight="1">
      <c r="A26" s="76" t="s">
        <v>104</v>
      </c>
      <c r="B26" s="77">
        <v>7</v>
      </c>
      <c r="C26" s="78" t="s">
        <v>366</v>
      </c>
      <c r="E26" s="76" t="s">
        <v>104</v>
      </c>
      <c r="F26" s="82">
        <v>250</v>
      </c>
      <c r="G26" s="238">
        <f>'Combust Fija HRSaño'!S50</f>
        <v>15462.619999999999</v>
      </c>
      <c r="H26" s="83" t="s">
        <v>672</v>
      </c>
    </row>
    <row r="27" spans="1:8" ht="30" customHeight="1">
      <c r="A27" s="76" t="s">
        <v>105</v>
      </c>
      <c r="B27" s="77">
        <v>20</v>
      </c>
      <c r="C27" s="78" t="s">
        <v>371</v>
      </c>
      <c r="E27" s="76" t="s">
        <v>105</v>
      </c>
      <c r="F27" s="82">
        <v>250</v>
      </c>
      <c r="G27" s="238">
        <f>'Combust Fija HRSaño'!S126</f>
        <v>74656.753812889336</v>
      </c>
      <c r="H27" s="83" t="s">
        <v>673</v>
      </c>
    </row>
    <row r="28" spans="1:8" ht="30" customHeight="1">
      <c r="A28" s="76" t="s">
        <v>668</v>
      </c>
      <c r="B28" s="77">
        <v>15</v>
      </c>
      <c r="C28" s="78" t="s">
        <v>371</v>
      </c>
      <c r="E28" s="76" t="s">
        <v>668</v>
      </c>
      <c r="F28" s="82">
        <v>180</v>
      </c>
      <c r="G28" s="238">
        <f>'Combust Fija HRSaño'!S127</f>
        <v>55992.565359667009</v>
      </c>
      <c r="H28" s="83" t="s">
        <v>674</v>
      </c>
    </row>
    <row r="29" spans="1:8" ht="30" customHeight="1">
      <c r="A29" s="76" t="s">
        <v>108</v>
      </c>
      <c r="B29" s="77">
        <v>12</v>
      </c>
      <c r="C29" s="78" t="s">
        <v>372</v>
      </c>
      <c r="E29" s="76" t="s">
        <v>108</v>
      </c>
      <c r="F29" s="82">
        <v>150</v>
      </c>
      <c r="G29" s="238">
        <f>'Combust Fija HRSaño'!S139</f>
        <v>43920</v>
      </c>
      <c r="H29" s="83" t="s">
        <v>674</v>
      </c>
    </row>
    <row r="30" spans="1:8" ht="30" customHeight="1">
      <c r="A30" s="76" t="s">
        <v>109</v>
      </c>
      <c r="B30" s="77">
        <v>3</v>
      </c>
      <c r="C30" s="78" t="s">
        <v>372</v>
      </c>
      <c r="E30" s="76" t="s">
        <v>109</v>
      </c>
      <c r="F30" s="82">
        <v>170</v>
      </c>
      <c r="G30" s="238">
        <f>G29</f>
        <v>43920</v>
      </c>
      <c r="H30" s="83" t="s">
        <v>674</v>
      </c>
    </row>
    <row r="31" spans="1:8" ht="30" customHeight="1">
      <c r="A31" s="76" t="s">
        <v>110</v>
      </c>
      <c r="B31" s="77">
        <v>32</v>
      </c>
      <c r="C31" s="78" t="s">
        <v>372</v>
      </c>
      <c r="E31" s="76" t="s">
        <v>110</v>
      </c>
      <c r="F31" s="82">
        <v>24</v>
      </c>
      <c r="G31" s="238">
        <f>G29</f>
        <v>43920</v>
      </c>
      <c r="H31" s="83" t="s">
        <v>674</v>
      </c>
    </row>
    <row r="32" spans="1:8" ht="30" customHeight="1">
      <c r="A32" s="76" t="s">
        <v>118</v>
      </c>
      <c r="B32" s="77">
        <v>3</v>
      </c>
      <c r="C32" s="78" t="s">
        <v>372</v>
      </c>
      <c r="E32" s="76" t="s">
        <v>118</v>
      </c>
      <c r="F32" s="82">
        <v>490</v>
      </c>
      <c r="G32" s="238">
        <f>G29</f>
        <v>43920</v>
      </c>
      <c r="H32" s="83" t="s">
        <v>674</v>
      </c>
    </row>
    <row r="33" spans="1:8" ht="30" customHeight="1">
      <c r="A33" s="76" t="s">
        <v>192</v>
      </c>
      <c r="B33" s="77">
        <v>2</v>
      </c>
      <c r="C33" s="78" t="s">
        <v>369</v>
      </c>
      <c r="E33" s="76" t="s">
        <v>192</v>
      </c>
      <c r="F33" s="82">
        <v>155</v>
      </c>
      <c r="G33" s="238">
        <f>'Combust Fija HRSaño'!S169</f>
        <v>4707.9391999999998</v>
      </c>
      <c r="H33" s="83" t="s">
        <v>672</v>
      </c>
    </row>
    <row r="34" spans="1:8" ht="30" customHeight="1">
      <c r="A34" s="76" t="s">
        <v>116</v>
      </c>
      <c r="B34" s="77">
        <v>2</v>
      </c>
      <c r="C34" s="78" t="s">
        <v>369</v>
      </c>
      <c r="E34" s="76" t="s">
        <v>116</v>
      </c>
      <c r="F34" s="82">
        <v>85</v>
      </c>
      <c r="G34" s="238">
        <f>'Combust Fija HRSaño'!S169</f>
        <v>4707.9391999999998</v>
      </c>
      <c r="H34" s="83" t="s">
        <v>672</v>
      </c>
    </row>
    <row r="35" spans="1:8" ht="30" customHeight="1">
      <c r="A35" s="76" t="s">
        <v>111</v>
      </c>
      <c r="B35" s="77">
        <v>32</v>
      </c>
      <c r="C35" s="78" t="s">
        <v>669</v>
      </c>
      <c r="E35" s="76" t="s">
        <v>111</v>
      </c>
      <c r="F35" s="82">
        <v>15</v>
      </c>
      <c r="G35" s="238">
        <f>'Combust Fija HRSaño'!S183</f>
        <v>33120</v>
      </c>
      <c r="H35" s="83" t="s">
        <v>674</v>
      </c>
    </row>
    <row r="36" spans="1:8" ht="30" customHeight="1" thickBot="1">
      <c r="A36" s="79" t="s">
        <v>112</v>
      </c>
      <c r="B36" s="80">
        <v>6</v>
      </c>
      <c r="C36" s="81" t="s">
        <v>669</v>
      </c>
      <c r="E36" s="79" t="s">
        <v>112</v>
      </c>
      <c r="F36" s="84">
        <v>40</v>
      </c>
      <c r="G36" s="646">
        <f>'Combust Fija HRSaño'!S183</f>
        <v>33120</v>
      </c>
      <c r="H36" s="85" t="s">
        <v>674</v>
      </c>
    </row>
    <row r="37" spans="1:8" ht="45.75" customHeight="1">
      <c r="E37" s="897" t="s">
        <v>697</v>
      </c>
      <c r="F37" s="898"/>
      <c r="G37" s="898"/>
      <c r="H37" s="898"/>
    </row>
    <row r="38" spans="1:8">
      <c r="A38" s="105"/>
      <c r="B38" s="106"/>
      <c r="C38" s="106"/>
      <c r="D38" s="106"/>
      <c r="E38" s="106"/>
      <c r="F38" s="106"/>
      <c r="G38" s="106"/>
      <c r="H38" s="106"/>
    </row>
    <row r="39" spans="1:8">
      <c r="A39" s="382"/>
      <c r="B39" s="383"/>
      <c r="C39" s="383"/>
      <c r="D39" s="383"/>
      <c r="E39" s="383"/>
      <c r="F39" s="383"/>
      <c r="G39" s="383"/>
      <c r="H39" s="106"/>
    </row>
    <row r="40" spans="1:8">
      <c r="A40" s="384"/>
      <c r="B40" s="384"/>
      <c r="C40" s="384"/>
      <c r="D40" s="384"/>
      <c r="E40" s="384"/>
      <c r="F40" s="384"/>
      <c r="G40" s="384"/>
      <c r="H40" s="106"/>
    </row>
    <row r="41" spans="1:8">
      <c r="A41" s="384"/>
      <c r="B41" s="384"/>
      <c r="C41" s="384"/>
      <c r="D41" s="384"/>
      <c r="E41" s="384"/>
      <c r="F41" s="384"/>
      <c r="G41" s="384"/>
      <c r="H41" s="106"/>
    </row>
    <row r="42" spans="1:8">
      <c r="A42" s="384"/>
      <c r="B42" s="384"/>
      <c r="C42" s="384"/>
      <c r="D42" s="384"/>
      <c r="E42" s="384"/>
      <c r="F42" s="384"/>
      <c r="G42" s="384"/>
      <c r="H42" s="106"/>
    </row>
    <row r="43" spans="1:8">
      <c r="A43" s="384"/>
      <c r="B43" s="384"/>
      <c r="C43" s="384"/>
      <c r="D43" s="384"/>
      <c r="E43" s="384"/>
      <c r="F43" s="384"/>
      <c r="G43" s="384"/>
      <c r="H43" s="106"/>
    </row>
    <row r="44" spans="1:8">
      <c r="A44" s="384"/>
      <c r="B44" s="384"/>
      <c r="C44" s="384"/>
      <c r="D44" s="384"/>
      <c r="E44" s="384"/>
      <c r="F44" s="384"/>
      <c r="G44" s="385"/>
      <c r="H44" s="106"/>
    </row>
    <row r="45" spans="1:8">
      <c r="A45" s="384"/>
      <c r="B45" s="384"/>
      <c r="C45" s="384"/>
      <c r="D45" s="384"/>
      <c r="E45" s="384"/>
      <c r="F45" s="384"/>
      <c r="G45" s="384"/>
      <c r="H45" s="106"/>
    </row>
    <row r="46" spans="1:8">
      <c r="A46" s="384"/>
      <c r="B46" s="384"/>
      <c r="C46" s="384"/>
      <c r="D46" s="384"/>
      <c r="E46" s="384"/>
      <c r="F46" s="384"/>
      <c r="G46" s="384"/>
      <c r="H46" s="106"/>
    </row>
    <row r="47" spans="1:8">
      <c r="A47" s="106"/>
      <c r="B47" s="106"/>
      <c r="C47" s="106"/>
      <c r="D47" s="106"/>
      <c r="E47" s="106"/>
      <c r="F47" s="106"/>
      <c r="G47" s="106"/>
      <c r="H47" s="106"/>
    </row>
    <row r="48" spans="1:8">
      <c r="A48" s="105"/>
      <c r="B48" s="105"/>
      <c r="C48" s="105"/>
      <c r="D48" s="106"/>
      <c r="E48" s="106"/>
      <c r="F48" s="106"/>
      <c r="G48" s="106"/>
      <c r="H48" s="106"/>
    </row>
    <row r="49" spans="1:8">
      <c r="A49" s="621"/>
      <c r="B49" s="621"/>
      <c r="C49" s="106"/>
      <c r="D49" s="106"/>
      <c r="E49" s="106"/>
      <c r="F49" s="106"/>
      <c r="G49" s="106"/>
      <c r="H49" s="106"/>
    </row>
    <row r="50" spans="1:8">
      <c r="A50" s="107"/>
      <c r="B50" s="107"/>
      <c r="C50" s="106"/>
      <c r="D50" s="106"/>
      <c r="E50" s="106"/>
    </row>
    <row r="51" spans="1:8">
      <c r="A51" s="111"/>
      <c r="B51" s="110"/>
      <c r="C51" s="106"/>
      <c r="D51" s="106"/>
      <c r="E51" s="106"/>
    </row>
    <row r="52" spans="1:8">
      <c r="A52" s="111"/>
      <c r="B52" s="110"/>
      <c r="C52" s="106"/>
      <c r="D52" s="106"/>
      <c r="E52" s="106"/>
    </row>
    <row r="53" spans="1:8">
      <c r="A53" s="111"/>
      <c r="B53" s="110"/>
      <c r="C53" s="106"/>
      <c r="D53" s="106"/>
      <c r="E53" s="106"/>
    </row>
    <row r="54" spans="1:8">
      <c r="A54" s="106"/>
      <c r="B54" s="106"/>
      <c r="C54" s="106"/>
      <c r="D54" s="106"/>
      <c r="E54" s="106"/>
    </row>
    <row r="55" spans="1:8">
      <c r="A55" s="106"/>
      <c r="B55" s="106"/>
      <c r="C55" s="106"/>
      <c r="D55" s="106"/>
      <c r="E55" s="106"/>
    </row>
    <row r="56" spans="1:8">
      <c r="A56" s="106"/>
      <c r="B56" s="106"/>
      <c r="C56" s="106"/>
      <c r="D56" s="106"/>
      <c r="E56" s="106"/>
    </row>
    <row r="57" spans="1:8">
      <c r="A57" s="106"/>
      <c r="B57" s="106"/>
      <c r="C57" s="106"/>
      <c r="D57" s="106"/>
      <c r="E57" s="106"/>
    </row>
    <row r="58" spans="1:8">
      <c r="A58" s="106"/>
      <c r="B58" s="106"/>
      <c r="C58" s="106"/>
      <c r="D58" s="106"/>
      <c r="E58" s="106"/>
    </row>
    <row r="74" spans="1:10">
      <c r="A74" s="105"/>
      <c r="B74" s="106"/>
      <c r="C74" s="106"/>
      <c r="D74" s="106"/>
      <c r="E74" s="106"/>
      <c r="F74" s="106"/>
      <c r="G74" s="106"/>
      <c r="H74" s="106"/>
      <c r="I74" s="106"/>
      <c r="J74" s="106"/>
    </row>
    <row r="75" spans="1:10">
      <c r="A75" s="896"/>
      <c r="B75" s="107"/>
      <c r="C75" s="107"/>
      <c r="D75" s="107"/>
      <c r="E75" s="106"/>
      <c r="F75" s="106"/>
      <c r="G75" s="106"/>
      <c r="H75" s="106"/>
      <c r="I75" s="106"/>
      <c r="J75" s="106"/>
    </row>
    <row r="76" spans="1:10">
      <c r="A76" s="896"/>
      <c r="B76" s="107"/>
      <c r="C76" s="107"/>
      <c r="D76" s="107"/>
      <c r="E76" s="106"/>
      <c r="F76" s="106"/>
      <c r="G76" s="106"/>
      <c r="H76" s="106"/>
      <c r="I76" s="106"/>
      <c r="J76" s="106"/>
    </row>
    <row r="77" spans="1:10">
      <c r="A77" s="108"/>
      <c r="B77" s="109"/>
      <c r="C77" s="109"/>
      <c r="D77" s="109"/>
      <c r="E77" s="106"/>
      <c r="F77" s="106"/>
      <c r="G77" s="106"/>
      <c r="H77" s="106"/>
      <c r="I77" s="106"/>
      <c r="J77" s="106"/>
    </row>
    <row r="78" spans="1:10">
      <c r="A78" s="108"/>
      <c r="B78" s="109"/>
      <c r="C78" s="109"/>
      <c r="D78" s="109"/>
      <c r="E78" s="106"/>
      <c r="F78" s="106"/>
      <c r="G78" s="106"/>
      <c r="H78" s="106"/>
      <c r="I78" s="106"/>
      <c r="J78" s="106"/>
    </row>
    <row r="79" spans="1:10">
      <c r="A79" s="108"/>
      <c r="B79" s="109"/>
      <c r="C79" s="109"/>
      <c r="D79" s="109"/>
      <c r="E79" s="106"/>
      <c r="F79" s="106"/>
      <c r="G79" s="106"/>
      <c r="H79" s="106"/>
      <c r="I79" s="106"/>
      <c r="J79" s="106"/>
    </row>
    <row r="80" spans="1:10">
      <c r="A80" s="108"/>
      <c r="B80" s="109"/>
      <c r="C80" s="109"/>
      <c r="D80" s="109"/>
      <c r="E80" s="106"/>
      <c r="F80" s="106"/>
      <c r="G80" s="106"/>
      <c r="H80" s="106"/>
      <c r="I80" s="106"/>
      <c r="J80" s="106"/>
    </row>
    <row r="81" spans="1:10">
      <c r="A81" s="108"/>
      <c r="B81" s="109"/>
      <c r="C81" s="109"/>
      <c r="D81" s="109"/>
      <c r="E81" s="106"/>
      <c r="F81" s="106"/>
      <c r="G81" s="106"/>
      <c r="H81" s="106"/>
      <c r="I81" s="106"/>
      <c r="J81" s="106"/>
    </row>
    <row r="82" spans="1:10">
      <c r="A82" s="108"/>
      <c r="B82" s="109"/>
      <c r="C82" s="109"/>
      <c r="D82" s="109"/>
      <c r="E82" s="106"/>
      <c r="F82" s="106"/>
      <c r="G82" s="106"/>
      <c r="H82" s="106"/>
      <c r="I82" s="106"/>
      <c r="J82" s="106"/>
    </row>
    <row r="83" spans="1:10">
      <c r="A83" s="108"/>
      <c r="B83" s="109"/>
      <c r="C83" s="109"/>
      <c r="D83" s="109"/>
      <c r="E83" s="106"/>
      <c r="F83" s="106"/>
      <c r="G83" s="106"/>
      <c r="H83" s="106"/>
      <c r="I83" s="106"/>
      <c r="J83" s="106"/>
    </row>
    <row r="84" spans="1:10">
      <c r="A84" s="108"/>
      <c r="B84" s="109"/>
      <c r="C84" s="109"/>
      <c r="D84" s="109"/>
      <c r="E84" s="106"/>
      <c r="F84" s="106"/>
      <c r="G84" s="106"/>
      <c r="H84" s="106"/>
      <c r="I84" s="106"/>
      <c r="J84" s="106"/>
    </row>
    <row r="85" spans="1:10">
      <c r="A85" s="108"/>
      <c r="B85" s="109"/>
      <c r="C85" s="109"/>
      <c r="D85" s="109"/>
      <c r="E85" s="106"/>
      <c r="F85" s="106"/>
      <c r="G85" s="106"/>
      <c r="H85" s="106"/>
      <c r="I85" s="106"/>
      <c r="J85" s="106"/>
    </row>
    <row r="86" spans="1:10">
      <c r="A86" s="108"/>
      <c r="B86" s="109"/>
      <c r="C86" s="109"/>
      <c r="D86" s="109"/>
      <c r="E86" s="106"/>
      <c r="F86" s="106"/>
      <c r="G86" s="106"/>
      <c r="H86" s="106"/>
      <c r="I86" s="106"/>
      <c r="J86" s="106"/>
    </row>
    <row r="87" spans="1:10">
      <c r="A87" s="108"/>
      <c r="B87" s="109"/>
      <c r="C87" s="109"/>
      <c r="D87" s="109"/>
      <c r="E87" s="106"/>
      <c r="F87" s="106"/>
      <c r="G87" s="106"/>
      <c r="H87" s="106"/>
      <c r="I87" s="106"/>
      <c r="J87" s="106"/>
    </row>
    <row r="88" spans="1:10">
      <c r="A88" s="108"/>
      <c r="B88" s="109"/>
      <c r="C88" s="109"/>
      <c r="D88" s="109"/>
      <c r="E88" s="106"/>
      <c r="F88" s="106"/>
      <c r="G88" s="106"/>
      <c r="H88" s="106"/>
      <c r="I88" s="106"/>
      <c r="J88" s="106"/>
    </row>
    <row r="89" spans="1:10">
      <c r="A89" s="106"/>
      <c r="B89" s="106"/>
      <c r="C89" s="106"/>
      <c r="D89" s="106"/>
      <c r="E89" s="106"/>
      <c r="F89" s="106"/>
      <c r="G89" s="106"/>
      <c r="H89" s="106"/>
      <c r="I89" s="106"/>
      <c r="J89" s="106"/>
    </row>
    <row r="90" spans="1:10">
      <c r="A90" s="105"/>
      <c r="B90" s="106"/>
      <c r="C90" s="106"/>
      <c r="D90" s="106"/>
      <c r="E90" s="106"/>
      <c r="F90" s="106"/>
      <c r="G90" s="106"/>
      <c r="H90" s="106"/>
      <c r="I90" s="106"/>
      <c r="J90" s="106"/>
    </row>
    <row r="91" spans="1:10" ht="15.75" customHeight="1">
      <c r="A91" s="896"/>
      <c r="B91" s="896"/>
      <c r="C91" s="896"/>
      <c r="D91" s="896"/>
      <c r="E91" s="106"/>
      <c r="F91" s="106"/>
      <c r="G91" s="106"/>
      <c r="H91" s="106"/>
      <c r="I91" s="106"/>
      <c r="J91" s="106"/>
    </row>
    <row r="92" spans="1:10">
      <c r="A92" s="896"/>
      <c r="B92" s="107"/>
      <c r="C92" s="107"/>
      <c r="D92" s="107"/>
      <c r="E92" s="106"/>
      <c r="F92" s="106"/>
      <c r="G92" s="106"/>
      <c r="H92" s="106"/>
      <c r="I92" s="106"/>
      <c r="J92" s="106"/>
    </row>
    <row r="93" spans="1:10">
      <c r="A93" s="108"/>
      <c r="B93" s="110"/>
      <c r="C93" s="110"/>
      <c r="D93" s="110"/>
      <c r="E93" s="106"/>
      <c r="F93" s="106"/>
      <c r="G93" s="106"/>
      <c r="H93" s="106"/>
      <c r="I93" s="106"/>
      <c r="J93" s="106"/>
    </row>
    <row r="94" spans="1:10">
      <c r="A94" s="108"/>
      <c r="B94" s="110"/>
      <c r="C94" s="110"/>
      <c r="D94" s="110"/>
      <c r="E94" s="106"/>
      <c r="F94" s="106"/>
      <c r="G94" s="106"/>
      <c r="H94" s="106"/>
      <c r="I94" s="106"/>
      <c r="J94" s="106"/>
    </row>
    <row r="95" spans="1:10">
      <c r="A95" s="112"/>
      <c r="B95" s="113"/>
      <c r="C95" s="113"/>
      <c r="D95" s="113"/>
      <c r="E95" s="106"/>
      <c r="F95" s="106"/>
      <c r="G95" s="106"/>
      <c r="H95" s="106"/>
      <c r="I95" s="106"/>
      <c r="J95" s="106"/>
    </row>
    <row r="96" spans="1:10">
      <c r="A96" s="112"/>
      <c r="B96" s="113"/>
      <c r="C96" s="113"/>
      <c r="D96" s="113"/>
      <c r="E96" s="106"/>
      <c r="F96" s="106"/>
      <c r="G96" s="106"/>
      <c r="H96" s="106"/>
      <c r="I96" s="106"/>
      <c r="J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sheetData>
  <mergeCells count="13">
    <mergeCell ref="F4:F5"/>
    <mergeCell ref="C6:C8"/>
    <mergeCell ref="A75:A76"/>
    <mergeCell ref="A91:A92"/>
    <mergeCell ref="B91:D91"/>
    <mergeCell ref="E37:H37"/>
    <mergeCell ref="A11:A12"/>
    <mergeCell ref="B11:D11"/>
    <mergeCell ref="B3:D3"/>
    <mergeCell ref="A4:A8"/>
    <mergeCell ref="B4:B8"/>
    <mergeCell ref="C4:C5"/>
    <mergeCell ref="D4:D5"/>
  </mergeCells>
  <pageMargins left="0.7" right="0.7" top="0.75" bottom="0.75" header="0.3" footer="0.3"/>
  <pageSetup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889DB"/>
  </sheetPr>
  <dimension ref="A1:AC644"/>
  <sheetViews>
    <sheetView topLeftCell="A13" workbookViewId="0">
      <selection activeCell="H29" sqref="H29"/>
    </sheetView>
  </sheetViews>
  <sheetFormatPr baseColWidth="10" defaultRowHeight="12"/>
  <cols>
    <col min="1" max="1" width="29.7109375" style="29" customWidth="1"/>
    <col min="2" max="2" width="18.42578125" style="29" customWidth="1"/>
    <col min="3" max="8" width="13.42578125" style="29" customWidth="1"/>
    <col min="9" max="9" width="10.5703125" style="29" customWidth="1"/>
    <col min="10" max="10" width="13.5703125" style="29" customWidth="1"/>
    <col min="11" max="11" width="8.7109375" style="29" customWidth="1"/>
    <col min="12" max="12" width="29.7109375" style="29" customWidth="1"/>
    <col min="13" max="13" width="18.42578125" style="29" customWidth="1"/>
    <col min="14" max="19" width="13.42578125" style="29" customWidth="1"/>
    <col min="20" max="16384" width="11.42578125" style="29"/>
  </cols>
  <sheetData>
    <row r="1" spans="1:12">
      <c r="A1" s="28" t="s">
        <v>843</v>
      </c>
    </row>
    <row r="2" spans="1:12">
      <c r="A2" s="28"/>
    </row>
    <row r="3" spans="1:12">
      <c r="A3" s="28" t="s">
        <v>863</v>
      </c>
      <c r="B3" s="29" t="s">
        <v>667</v>
      </c>
    </row>
    <row r="4" spans="1:12">
      <c r="A4" s="28"/>
      <c r="D4" s="34" t="s">
        <v>854</v>
      </c>
      <c r="E4" s="372" t="s">
        <v>344</v>
      </c>
      <c r="F4" s="373" t="s">
        <v>295</v>
      </c>
    </row>
    <row r="5" spans="1:12">
      <c r="A5" s="376" t="s">
        <v>60</v>
      </c>
      <c r="B5" s="377" t="s">
        <v>303</v>
      </c>
      <c r="C5" s="455"/>
      <c r="D5" s="374" t="s">
        <v>855</v>
      </c>
      <c r="E5" s="375">
        <v>3</v>
      </c>
      <c r="F5" s="29" t="s">
        <v>856</v>
      </c>
    </row>
    <row r="6" spans="1:12">
      <c r="A6" s="378" t="s">
        <v>338</v>
      </c>
      <c r="B6" s="379">
        <f>GETPIVOTDATA("Suma de VKTescarpe",$A$18,"Sector","Área El Volcán")/$E$5</f>
        <v>10.533333333333333</v>
      </c>
      <c r="C6" s="461"/>
      <c r="D6" s="461"/>
      <c r="E6" s="461"/>
      <c r="F6" s="461"/>
    </row>
    <row r="7" spans="1:12">
      <c r="A7" s="378" t="s">
        <v>339</v>
      </c>
      <c r="B7" s="379">
        <f>GETPIVOTDATA("Suma de VKTescarpe",$A$18,"Sector","Área Yeso")/$E$5</f>
        <v>24.900000000000006</v>
      </c>
      <c r="C7" s="461"/>
      <c r="D7" s="461"/>
      <c r="E7" s="461"/>
      <c r="F7" s="461"/>
    </row>
    <row r="8" spans="1:12">
      <c r="A8" s="378" t="s">
        <v>340</v>
      </c>
      <c r="B8" s="379">
        <f>GETPIVOTDATA("Suma de VKTescarpe",$A$18,"Sector","Área Aucayes Alto")/$E$5</f>
        <v>7.8</v>
      </c>
      <c r="C8" s="461"/>
      <c r="D8" s="461"/>
      <c r="E8" s="461"/>
      <c r="F8" s="461"/>
    </row>
    <row r="9" spans="1:12">
      <c r="A9" s="378" t="s">
        <v>342</v>
      </c>
      <c r="B9" s="379">
        <f>GETPIVOTDATA("Suma de VKTescarpe",$A$18,"Sector","Área Alfalfal II")/$E$5</f>
        <v>9.25</v>
      </c>
      <c r="C9" s="461"/>
      <c r="D9" s="461"/>
      <c r="E9" s="461"/>
      <c r="F9" s="461"/>
    </row>
    <row r="10" spans="1:12">
      <c r="A10" s="378" t="s">
        <v>343</v>
      </c>
      <c r="B10" s="379">
        <f>GETPIVOTDATA("Suma de VKTescarpe",$A$18,"Sector","Área Las Lajas-Maipo")/$E$5</f>
        <v>59.833333333333321</v>
      </c>
      <c r="C10" s="461"/>
      <c r="D10" s="461"/>
      <c r="E10" s="461"/>
      <c r="F10" s="461"/>
    </row>
    <row r="11" spans="1:12">
      <c r="A11" s="380" t="s">
        <v>341</v>
      </c>
      <c r="B11" s="381">
        <f>SUM(B6:B10)</f>
        <v>112.31666666666666</v>
      </c>
      <c r="C11" s="451"/>
      <c r="D11" s="451"/>
      <c r="E11" s="451"/>
      <c r="F11" s="451"/>
    </row>
    <row r="12" spans="1:12" ht="15">
      <c r="A12"/>
      <c r="B12" s="403"/>
      <c r="C12" s="403"/>
      <c r="D12" s="403"/>
      <c r="E12" s="403"/>
      <c r="F12" s="403"/>
    </row>
    <row r="13" spans="1:12">
      <c r="A13" s="28"/>
    </row>
    <row r="14" spans="1:12">
      <c r="A14" s="28" t="s">
        <v>863</v>
      </c>
      <c r="B14" s="29" t="s">
        <v>667</v>
      </c>
    </row>
    <row r="16" spans="1:12" ht="12.75">
      <c r="A16" s="363" t="s">
        <v>303</v>
      </c>
      <c r="B16" s="364" t="s">
        <v>892</v>
      </c>
      <c r="K16" s="30" t="s">
        <v>303</v>
      </c>
      <c r="L16" s="30" t="s">
        <v>667</v>
      </c>
    </row>
    <row r="17" spans="1:28">
      <c r="C17" s="29" t="s">
        <v>409</v>
      </c>
      <c r="K17" s="367"/>
      <c r="L17" s="367" t="s">
        <v>853</v>
      </c>
      <c r="M17" s="367"/>
      <c r="N17" s="367"/>
      <c r="O17" s="367"/>
      <c r="P17" s="367"/>
      <c r="Q17" s="367"/>
    </row>
    <row r="18" spans="1:28" ht="12.75">
      <c r="A18" s="363" t="s">
        <v>844</v>
      </c>
      <c r="B18" s="364" t="s">
        <v>850</v>
      </c>
      <c r="C18" s="364" t="s">
        <v>845</v>
      </c>
      <c r="D18" s="364" t="s">
        <v>846</v>
      </c>
      <c r="E18" s="364" t="s">
        <v>847</v>
      </c>
      <c r="F18" s="364" t="s">
        <v>848</v>
      </c>
      <c r="G18" s="364" t="s">
        <v>849</v>
      </c>
      <c r="H18" s="364" t="s">
        <v>851</v>
      </c>
      <c r="I18" s="29" t="s">
        <v>852</v>
      </c>
      <c r="K18" s="368" t="s">
        <v>7</v>
      </c>
      <c r="L18" s="368">
        <v>2011</v>
      </c>
      <c r="M18" s="368">
        <v>2012</v>
      </c>
      <c r="N18" s="368">
        <v>2013</v>
      </c>
      <c r="O18" s="368">
        <v>2014</v>
      </c>
      <c r="P18" s="368">
        <v>2015</v>
      </c>
      <c r="Q18" s="368">
        <v>2016</v>
      </c>
    </row>
    <row r="19" spans="1:28" ht="12.75">
      <c r="A19" s="365" t="s">
        <v>338</v>
      </c>
      <c r="B19" s="366">
        <v>31.6</v>
      </c>
      <c r="C19" s="366">
        <v>0</v>
      </c>
      <c r="D19" s="366">
        <v>1</v>
      </c>
      <c r="E19" s="366">
        <v>1</v>
      </c>
      <c r="F19" s="366">
        <v>0</v>
      </c>
      <c r="G19" s="366">
        <v>0</v>
      </c>
      <c r="H19" s="366">
        <v>0</v>
      </c>
      <c r="I19" s="29">
        <f>SUM(C19:H19)</f>
        <v>2</v>
      </c>
      <c r="K19" s="369" t="s">
        <v>338</v>
      </c>
      <c r="L19" s="454">
        <f>$B$6*GETPIVOTDATA("Máx. de MT2011",$A$18,"Sector","Área El Volcán")/$I$19</f>
        <v>0</v>
      </c>
      <c r="M19" s="454">
        <f>$B$6*GETPIVOTDATA("Máx. de MT2012",$A$18,"Sector","Área El Volcán")/$I$19</f>
        <v>5.2666666666666666</v>
      </c>
      <c r="N19" s="454">
        <f>$B$6*GETPIVOTDATA("Máx. de MT2013",$A$18,"Sector","Área El Volcán")/$I$19</f>
        <v>5.2666666666666666</v>
      </c>
      <c r="O19" s="454">
        <f>$B$6*GETPIVOTDATA("Máx. de MT2014",$A$18,"Sector","Área El Volcán")/$I$19</f>
        <v>0</v>
      </c>
      <c r="P19" s="454">
        <f>$B$6*GETPIVOTDATA("Máx. de MT2015",$A$18,"Sector","Área El Volcán")/$I$19</f>
        <v>0</v>
      </c>
      <c r="Q19" s="454">
        <f>$B$6*GETPIVOTDATA("Máx. de MT2016",$A$18,"Sector","Área El Volcán")/$I$19</f>
        <v>0</v>
      </c>
      <c r="R19" s="354">
        <f>SUM(L19:Q19)</f>
        <v>10.533333333333333</v>
      </c>
    </row>
    <row r="20" spans="1:28" ht="12.75">
      <c r="A20" s="365" t="s">
        <v>339</v>
      </c>
      <c r="B20" s="366">
        <v>74.700000000000017</v>
      </c>
      <c r="C20" s="366">
        <v>0</v>
      </c>
      <c r="D20" s="366">
        <v>1</v>
      </c>
      <c r="E20" s="366">
        <v>1</v>
      </c>
      <c r="F20" s="366">
        <v>0</v>
      </c>
      <c r="G20" s="366">
        <v>0</v>
      </c>
      <c r="H20" s="366">
        <v>0</v>
      </c>
      <c r="I20" s="29">
        <f t="shared" ref="I20:I23" si="0">SUM(C20:H20)</f>
        <v>2</v>
      </c>
      <c r="K20" s="369" t="s">
        <v>339</v>
      </c>
      <c r="L20" s="454">
        <f>$B$7*GETPIVOTDATA("Máx. de MT2011",$A$18,"Sector","Área Yeso")/$I$20</f>
        <v>0</v>
      </c>
      <c r="M20" s="454">
        <f>$B$7*GETPIVOTDATA("Máx. de MT2012",$A$18,"Sector","Área Yeso")/$I$20</f>
        <v>12.450000000000003</v>
      </c>
      <c r="N20" s="454">
        <f>$B$7*GETPIVOTDATA("Máx. de MT2013",$A$18,"Sector","Área Yeso")/$I$20</f>
        <v>12.450000000000003</v>
      </c>
      <c r="O20" s="454">
        <f>$B$7*GETPIVOTDATA("Máx. de MT2014",$A$18,"Sector","Área Yeso")/$I$20</f>
        <v>0</v>
      </c>
      <c r="P20" s="454">
        <f>$B$7*GETPIVOTDATA("Máx. de MT2015",$A$18,"Sector","Área Yeso")/$I$20</f>
        <v>0</v>
      </c>
      <c r="Q20" s="454">
        <f>$B$7*GETPIVOTDATA("Máx. de MT2016",$A$18,"Sector","Área Yeso")/$I$20</f>
        <v>0</v>
      </c>
      <c r="R20" s="354">
        <f t="shared" ref="R20:R23" si="1">SUM(L20:Q20)</f>
        <v>24.900000000000006</v>
      </c>
    </row>
    <row r="21" spans="1:28" ht="12.75">
      <c r="A21" s="365" t="s">
        <v>340</v>
      </c>
      <c r="B21" s="366">
        <v>23.4</v>
      </c>
      <c r="C21" s="366">
        <v>0</v>
      </c>
      <c r="D21" s="366">
        <v>1</v>
      </c>
      <c r="E21" s="366">
        <v>1</v>
      </c>
      <c r="F21" s="366">
        <v>0</v>
      </c>
      <c r="G21" s="366">
        <v>0</v>
      </c>
      <c r="H21" s="366">
        <v>0</v>
      </c>
      <c r="I21" s="29">
        <f t="shared" si="0"/>
        <v>2</v>
      </c>
      <c r="K21" s="369" t="s">
        <v>340</v>
      </c>
      <c r="L21" s="454">
        <f>$B$8*GETPIVOTDATA("Máx. de MT2011",$A$18,"Sector","Área Aucayes Alto")/$I$21</f>
        <v>0</v>
      </c>
      <c r="M21" s="454">
        <f>$B$8*GETPIVOTDATA("Máx. de MT2012",$A$18,"Sector","Área Aucayes Alto")/$I$21</f>
        <v>3.9</v>
      </c>
      <c r="N21" s="454">
        <f>$B$8*GETPIVOTDATA("Máx. de MT2013",$A$18,"Sector","Área Aucayes Alto")/$I$21</f>
        <v>3.9</v>
      </c>
      <c r="O21" s="454">
        <f>$B$8*GETPIVOTDATA("Máx. de MT2014",$A$18,"Sector","Área Aucayes Alto")/$I$21</f>
        <v>0</v>
      </c>
      <c r="P21" s="454">
        <f>$B$8*GETPIVOTDATA("Máx. de MT2015",$A$18,"Sector","Área Aucayes Alto")/$I$21</f>
        <v>0</v>
      </c>
      <c r="Q21" s="454">
        <f>$B$8*GETPIVOTDATA("Máx. de MT2016",$A$18,"Sector","Área Aucayes Alto")/$I$21</f>
        <v>0</v>
      </c>
      <c r="R21" s="354">
        <f t="shared" si="1"/>
        <v>7.8</v>
      </c>
    </row>
    <row r="22" spans="1:28" ht="12.75">
      <c r="A22" s="365" t="s">
        <v>342</v>
      </c>
      <c r="B22" s="366">
        <v>27.75</v>
      </c>
      <c r="C22" s="366">
        <v>0</v>
      </c>
      <c r="D22" s="366">
        <v>1</v>
      </c>
      <c r="E22" s="366">
        <v>0</v>
      </c>
      <c r="F22" s="366">
        <v>0</v>
      </c>
      <c r="G22" s="366">
        <v>0</v>
      </c>
      <c r="H22" s="366">
        <v>0</v>
      </c>
      <c r="I22" s="29">
        <f t="shared" si="0"/>
        <v>1</v>
      </c>
      <c r="K22" s="369" t="s">
        <v>342</v>
      </c>
      <c r="L22" s="454">
        <f>$B$9*GETPIVOTDATA("Máx. de MT2011",$A$18,"Sector","Área Alfalfal II")/$I$22</f>
        <v>0</v>
      </c>
      <c r="M22" s="454">
        <f>$B$9*GETPIVOTDATA("Máx. de MT2012",$A$18,"Sector","Área Alfalfal II")/$I$22</f>
        <v>9.25</v>
      </c>
      <c r="N22" s="454">
        <f>$B$9*GETPIVOTDATA("Máx. de MT2013",$A$18,"Sector","Área Alfalfal II")/$I$22</f>
        <v>0</v>
      </c>
      <c r="O22" s="454">
        <f>$B$9*GETPIVOTDATA("Máx. de MT2014",$A$18,"Sector","Área Alfalfal II")/$I$22</f>
        <v>0</v>
      </c>
      <c r="P22" s="454">
        <f>$B$9*GETPIVOTDATA("Máx. de MT2015",$A$18,"Sector","Área Alfalfal II")/$I$22</f>
        <v>0</v>
      </c>
      <c r="Q22" s="454">
        <f>$B$9*GETPIVOTDATA("Máx. de MT2016",$A$18,"Sector","Área Alfalfal II")/$I$22</f>
        <v>0</v>
      </c>
      <c r="R22" s="354">
        <f t="shared" si="1"/>
        <v>9.25</v>
      </c>
    </row>
    <row r="23" spans="1:28" ht="12.75">
      <c r="A23" s="365" t="s">
        <v>343</v>
      </c>
      <c r="B23" s="366">
        <v>179.49999999999997</v>
      </c>
      <c r="C23" s="366">
        <v>1</v>
      </c>
      <c r="D23" s="366">
        <v>1</v>
      </c>
      <c r="E23" s="366">
        <v>1</v>
      </c>
      <c r="F23" s="366">
        <v>0</v>
      </c>
      <c r="G23" s="366">
        <v>0</v>
      </c>
      <c r="H23" s="366">
        <v>0</v>
      </c>
      <c r="I23" s="29">
        <f t="shared" si="0"/>
        <v>3</v>
      </c>
      <c r="K23" s="369" t="s">
        <v>343</v>
      </c>
      <c r="L23" s="454">
        <f>$B$10*GETPIVOTDATA("Máx. de MT2011",$A$18,"Sector","Área Las Lajas-Maipo")/$I$23</f>
        <v>19.944444444444439</v>
      </c>
      <c r="M23" s="454">
        <f>$B$10*GETPIVOTDATA("Máx. de MT2012",$A$18,"Sector","Área Las Lajas-Maipo")/$I$23</f>
        <v>19.944444444444439</v>
      </c>
      <c r="N23" s="454">
        <f>$B$10*GETPIVOTDATA("Máx. de MT2013",$A$18,"Sector","Área Las Lajas-Maipo")/$I$23</f>
        <v>19.944444444444439</v>
      </c>
      <c r="O23" s="454">
        <f>$B$10*GETPIVOTDATA("Máx. de MT2014",$A$18,"Sector","Área Las Lajas-Maipo")/$I$23</f>
        <v>0</v>
      </c>
      <c r="P23" s="454">
        <f>$B$10*GETPIVOTDATA("Máx. de MT2015",$A$18,"Sector","Área Las Lajas-Maipo")/$I$23</f>
        <v>0</v>
      </c>
      <c r="Q23" s="454">
        <f>$B$10*GETPIVOTDATA("Máx. de MT2016",$A$18,"Sector","Área Las Lajas-Maipo")/$I$23</f>
        <v>0</v>
      </c>
      <c r="R23" s="354">
        <f t="shared" si="1"/>
        <v>59.833333333333314</v>
      </c>
    </row>
    <row r="24" spans="1:28" ht="12.75">
      <c r="A24" s="365" t="s">
        <v>341</v>
      </c>
      <c r="B24" s="366">
        <v>336.9500000000001</v>
      </c>
      <c r="C24" s="366">
        <v>1</v>
      </c>
      <c r="D24" s="366">
        <v>1</v>
      </c>
      <c r="E24" s="366">
        <v>1</v>
      </c>
      <c r="F24" s="366">
        <v>0</v>
      </c>
      <c r="G24" s="366">
        <v>0</v>
      </c>
      <c r="H24" s="366">
        <v>0</v>
      </c>
      <c r="K24" s="370" t="s">
        <v>341</v>
      </c>
      <c r="L24" s="647">
        <f t="shared" ref="L24:Q24" si="2">SUM(L19:L23)</f>
        <v>19.944444444444439</v>
      </c>
      <c r="M24" s="647">
        <f t="shared" si="2"/>
        <v>50.811111111111103</v>
      </c>
      <c r="N24" s="647">
        <f t="shared" si="2"/>
        <v>41.561111111111103</v>
      </c>
      <c r="O24" s="647">
        <f t="shared" si="2"/>
        <v>0</v>
      </c>
      <c r="P24" s="647">
        <f t="shared" si="2"/>
        <v>0</v>
      </c>
      <c r="Q24" s="647">
        <f t="shared" si="2"/>
        <v>0</v>
      </c>
    </row>
    <row r="25" spans="1:28" ht="15">
      <c r="A25"/>
      <c r="B25"/>
      <c r="C25"/>
      <c r="D25"/>
      <c r="E25"/>
      <c r="F25"/>
      <c r="G25"/>
      <c r="H25"/>
    </row>
    <row r="26" spans="1:28" ht="15">
      <c r="A26" s="374"/>
      <c r="B26" s="375"/>
      <c r="D26"/>
      <c r="E26"/>
      <c r="F26"/>
      <c r="G26"/>
      <c r="H26"/>
    </row>
    <row r="27" spans="1:28" ht="15">
      <c r="A27"/>
      <c r="B27"/>
      <c r="C27"/>
      <c r="D27"/>
      <c r="E27"/>
      <c r="F27"/>
      <c r="G27"/>
      <c r="H27"/>
    </row>
    <row r="28" spans="1:28" ht="15">
      <c r="A28" s="28" t="s">
        <v>864</v>
      </c>
      <c r="B28" t="s">
        <v>104</v>
      </c>
      <c r="C28"/>
      <c r="D28"/>
      <c r="E28"/>
      <c r="F28"/>
      <c r="G28"/>
      <c r="H28"/>
    </row>
    <row r="29" spans="1:28" ht="15">
      <c r="A29"/>
      <c r="B29"/>
      <c r="C29"/>
      <c r="D29"/>
      <c r="E29"/>
      <c r="F29"/>
      <c r="G29"/>
      <c r="H29"/>
      <c r="L29" s="30" t="s">
        <v>864</v>
      </c>
      <c r="M29" s="30" t="s">
        <v>104</v>
      </c>
    </row>
    <row r="30" spans="1:28" ht="23.25" customHeight="1">
      <c r="A30" s="399" t="s">
        <v>844</v>
      </c>
      <c r="B30" s="29" t="s">
        <v>865</v>
      </c>
      <c r="C30" s="29" t="s">
        <v>866</v>
      </c>
      <c r="D30" s="29" t="s">
        <v>845</v>
      </c>
      <c r="E30" s="29" t="s">
        <v>846</v>
      </c>
      <c r="F30" s="29" t="s">
        <v>847</v>
      </c>
      <c r="G30" s="29" t="s">
        <v>848</v>
      </c>
      <c r="H30" s="29" t="s">
        <v>849</v>
      </c>
      <c r="I30" s="29" t="s">
        <v>851</v>
      </c>
      <c r="J30" s="29" t="s">
        <v>852</v>
      </c>
      <c r="L30" s="367"/>
      <c r="M30" s="367" t="s">
        <v>853</v>
      </c>
      <c r="N30" s="367"/>
      <c r="O30" s="367"/>
      <c r="P30" s="367"/>
      <c r="Q30" s="367"/>
      <c r="R30" s="367"/>
      <c r="T30" s="53"/>
      <c r="U30" s="53"/>
      <c r="V30" s="53"/>
      <c r="W30" s="53"/>
      <c r="X30" s="53"/>
      <c r="Y30" s="53"/>
      <c r="Z30" s="53"/>
      <c r="AA30" s="53"/>
      <c r="AB30" s="53"/>
    </row>
    <row r="31" spans="1:28">
      <c r="A31" s="32" t="s">
        <v>338</v>
      </c>
      <c r="B31" s="400">
        <v>1805.46</v>
      </c>
      <c r="C31" s="400">
        <v>140</v>
      </c>
      <c r="D31" s="400">
        <v>0</v>
      </c>
      <c r="E31" s="400">
        <v>1</v>
      </c>
      <c r="F31" s="400">
        <v>1</v>
      </c>
      <c r="G31" s="400">
        <v>0</v>
      </c>
      <c r="H31" s="400">
        <v>0</v>
      </c>
      <c r="I31" s="400">
        <v>0</v>
      </c>
      <c r="J31" s="29">
        <f>SUM(D31:I31)</f>
        <v>2</v>
      </c>
      <c r="L31" s="367" t="s">
        <v>7</v>
      </c>
      <c r="M31" s="367">
        <v>2011</v>
      </c>
      <c r="N31" s="367">
        <v>2012</v>
      </c>
      <c r="O31" s="367">
        <v>2013</v>
      </c>
      <c r="P31" s="367">
        <v>2014</v>
      </c>
      <c r="Q31" s="367">
        <v>2015</v>
      </c>
      <c r="R31" s="367">
        <v>2016</v>
      </c>
      <c r="T31" s="53"/>
      <c r="U31" s="53"/>
      <c r="V31" s="53"/>
      <c r="W31" s="53"/>
      <c r="X31" s="53"/>
      <c r="Y31" s="53"/>
      <c r="Z31" s="53"/>
      <c r="AA31" s="53"/>
      <c r="AB31" s="53"/>
    </row>
    <row r="32" spans="1:28">
      <c r="A32" s="374" t="s">
        <v>223</v>
      </c>
      <c r="B32" s="400">
        <v>605.46</v>
      </c>
      <c r="C32" s="400">
        <v>0</v>
      </c>
      <c r="D32" s="400">
        <v>0</v>
      </c>
      <c r="E32" s="400">
        <v>0</v>
      </c>
      <c r="F32" s="400">
        <v>1</v>
      </c>
      <c r="G32" s="400">
        <v>0</v>
      </c>
      <c r="H32" s="400">
        <v>0</v>
      </c>
      <c r="I32" s="400">
        <v>0</v>
      </c>
      <c r="J32" s="29">
        <f t="shared" ref="J32:J49" si="3">SUM(D32:I32)</f>
        <v>1</v>
      </c>
      <c r="L32" s="369" t="s">
        <v>338</v>
      </c>
      <c r="M32" s="648">
        <f>SUM(M33:M34)</f>
        <v>0</v>
      </c>
      <c r="N32" s="648">
        <f>SUM(N33:N34)</f>
        <v>1340</v>
      </c>
      <c r="O32" s="648">
        <f t="shared" ref="O32:R32" si="4">SUM(O33:O34)</f>
        <v>605.46</v>
      </c>
      <c r="P32" s="648">
        <f t="shared" si="4"/>
        <v>0</v>
      </c>
      <c r="Q32" s="648">
        <f t="shared" si="4"/>
        <v>0</v>
      </c>
      <c r="R32" s="648">
        <f t="shared" si="4"/>
        <v>0</v>
      </c>
      <c r="T32" s="53"/>
      <c r="U32" s="53"/>
      <c r="V32" s="53"/>
      <c r="W32" s="53"/>
      <c r="X32" s="53"/>
      <c r="Y32" s="53"/>
      <c r="Z32" s="53"/>
      <c r="AA32" s="53"/>
      <c r="AB32" s="53"/>
    </row>
    <row r="33" spans="1:28">
      <c r="A33" s="374" t="s">
        <v>256</v>
      </c>
      <c r="B33" s="400">
        <v>1200</v>
      </c>
      <c r="C33" s="400">
        <v>140</v>
      </c>
      <c r="D33" s="400">
        <v>0</v>
      </c>
      <c r="E33" s="400">
        <v>1</v>
      </c>
      <c r="F33" s="400">
        <v>0</v>
      </c>
      <c r="G33" s="400">
        <v>0</v>
      </c>
      <c r="H33" s="400">
        <v>0</v>
      </c>
      <c r="I33" s="400">
        <v>0</v>
      </c>
      <c r="J33" s="29">
        <f t="shared" si="3"/>
        <v>1</v>
      </c>
      <c r="L33" s="398" t="s">
        <v>223</v>
      </c>
      <c r="M33" s="649">
        <f>(GETPIVOTDATA("Suma de Hrs ExcSuelo",$A$30,"Sector","Área El Volcán","Tipo de obra","Obras Civiles")+GETPIVOTDATA("Suma de Hrs ExcRoca",$A$30,"Sector","Área El Volcán","Tipo de obra","Obras Civiles"))*GETPIVOTDATA("Máx. de MT2011",$A$30,"Sector","Área El Volcán","Tipo de obra","Obras Civiles")/$J$32</f>
        <v>0</v>
      </c>
      <c r="N33" s="649">
        <f>(GETPIVOTDATA("Suma de Hrs ExcSuelo",$A$30,"Sector","Área El Volcán","Tipo de obra","Obras Civiles")+GETPIVOTDATA("Suma de Hrs ExcRoca",$A$30,"Sector","Área El Volcán","Tipo de obra","Obras Civiles"))*GETPIVOTDATA("Máx. de MT2012",$A$30,"Sector","Área El Volcán","Tipo de obra","Obras Civiles")/$J$32</f>
        <v>0</v>
      </c>
      <c r="O33" s="649">
        <f>(GETPIVOTDATA("Suma de Hrs ExcSuelo",$A$30,"Sector","Área El Volcán","Tipo de obra","Obras Civiles")+GETPIVOTDATA("Suma de Hrs ExcRoca",$A$30,"Sector","Área El Volcán","Tipo de obra","Obras Civiles"))*GETPIVOTDATA("Máx. de MT2013",$A$30,"Sector","Área El Volcán","Tipo de obra","Obras Civiles")/$J$32</f>
        <v>605.46</v>
      </c>
      <c r="P33" s="649">
        <f>(GETPIVOTDATA("Suma de Hrs ExcSuelo",$A$30,"Sector","Área El Volcán","Tipo de obra","Obras Civiles")+GETPIVOTDATA("Suma de Hrs ExcRoca",$A$30,"Sector","Área El Volcán","Tipo de obra","Obras Civiles"))*GETPIVOTDATA("Máx. de MT2014",$A$30,"Sector","Área El Volcán","Tipo de obra","Obras Civiles")/$J$32</f>
        <v>0</v>
      </c>
      <c r="Q33" s="649">
        <f>(GETPIVOTDATA("Suma de Hrs ExcSuelo",$A$30,"Sector","Área El Volcán","Tipo de obra","Obras Civiles")+GETPIVOTDATA("Suma de Hrs ExcRoca",$A$30,"Sector","Área El Volcán","Tipo de obra","Obras Civiles"))*GETPIVOTDATA("Máx. de MT2015",$A$30,"Sector","Área El Volcán","Tipo de obra","Obras Civiles")/$J$32</f>
        <v>0</v>
      </c>
      <c r="R33" s="649">
        <f>(GETPIVOTDATA("Suma de Hrs ExcSuelo",$A$30,"Sector","Área El Volcán","Tipo de obra","Obras Civiles")+GETPIVOTDATA("Suma de Hrs ExcRoca",$A$30,"Sector","Área El Volcán","Tipo de obra","Obras Civiles"))*GETPIVOTDATA("Máx. de MT2016",$A$30,"Sector","Área El Volcán","Tipo de obra","Obras Civiles")/$J$32</f>
        <v>0</v>
      </c>
      <c r="T33" s="53"/>
      <c r="U33" s="53"/>
      <c r="V33" s="53"/>
      <c r="W33" s="53"/>
      <c r="X33" s="53"/>
      <c r="Y33" s="53"/>
      <c r="Z33" s="53"/>
      <c r="AA33" s="53"/>
      <c r="AB33" s="53"/>
    </row>
    <row r="34" spans="1:28">
      <c r="A34" s="374" t="s">
        <v>247</v>
      </c>
      <c r="B34" s="400">
        <v>0</v>
      </c>
      <c r="C34" s="400">
        <v>0</v>
      </c>
      <c r="D34" s="400">
        <v>0</v>
      </c>
      <c r="E34" s="400">
        <v>1</v>
      </c>
      <c r="F34" s="400">
        <v>0</v>
      </c>
      <c r="G34" s="400">
        <v>0</v>
      </c>
      <c r="H34" s="400">
        <v>0</v>
      </c>
      <c r="I34" s="400">
        <v>0</v>
      </c>
      <c r="J34" s="29">
        <f t="shared" si="3"/>
        <v>1</v>
      </c>
      <c r="L34" s="398" t="s">
        <v>256</v>
      </c>
      <c r="M34" s="649">
        <f>(GETPIVOTDATA("Suma de Hrs ExcSuelo",$A$30,"Sector","Área El Volcán","Tipo de obra","Obras Previas")+GETPIVOTDATA("Suma de Hrs ExcRoca",$A$30,"Sector","Área El Volcán","Tipo de obra","Obras Previas"))*GETPIVOTDATA("Máx. de MT2011",$A$30,"Sector","Área El Volcán","Tipo de obra","Obras Previas")/$J$33</f>
        <v>0</v>
      </c>
      <c r="N34" s="649">
        <f>(GETPIVOTDATA("Suma de Hrs ExcSuelo",$A$30,"Sector","Área El Volcán","Tipo de obra","Obras Previas")+GETPIVOTDATA("Suma de Hrs ExcRoca",$A$30,"Sector","Área El Volcán","Tipo de obra","Obras Previas"))*GETPIVOTDATA("Máx. de MT2012",$A$30,"Sector","Área El Volcán","Tipo de obra","Obras Previas")/$J$33</f>
        <v>1340</v>
      </c>
      <c r="O34" s="649">
        <f>(GETPIVOTDATA("Suma de Hrs ExcSuelo",$A$30,"Sector","Área El Volcán","Tipo de obra","Obras Previas")+GETPIVOTDATA("Suma de Hrs ExcRoca",$A$30,"Sector","Área El Volcán","Tipo de obra","Obras Previas"))*GETPIVOTDATA("Máx. de MT2013",$A$30,"Sector","Área El Volcán","Tipo de obra","Obras Previas")/$J$33</f>
        <v>0</v>
      </c>
      <c r="P34" s="649">
        <f>(GETPIVOTDATA("Suma de Hrs ExcSuelo",$A$30,"Sector","Área El Volcán","Tipo de obra","Obras Previas")+GETPIVOTDATA("Suma de Hrs ExcRoca",$A$30,"Sector","Área El Volcán","Tipo de obra","Obras Previas"))*GETPIVOTDATA("Máx. de MT2014",$A$30,"Sector","Área El Volcán","Tipo de obra","Obras Previas")/$J$33</f>
        <v>0</v>
      </c>
      <c r="Q34" s="649">
        <f>(GETPIVOTDATA("Suma de Hrs ExcSuelo",$A$30,"Sector","Área El Volcán","Tipo de obra","Obras Previas")+GETPIVOTDATA("Suma de Hrs ExcRoca",$A$30,"Sector","Área El Volcán","Tipo de obra","Obras Previas"))*GETPIVOTDATA("Máx. de MT2015",$A$30,"Sector","Área El Volcán","Tipo de obra","Obras Previas")/$J$33</f>
        <v>0</v>
      </c>
      <c r="R34" s="649">
        <f>(GETPIVOTDATA("Suma de Hrs ExcSuelo",$A$30,"Sector","Área El Volcán","Tipo de obra","Obras Previas")+GETPIVOTDATA("Suma de Hrs ExcRoca",$A$30,"Sector","Área El Volcán","Tipo de obra","Obras Previas"))*GETPIVOTDATA("Máx. de MT2016",$A$30,"Sector","Área El Volcán","Tipo de obra","Obras Previas")/$J$33</f>
        <v>0</v>
      </c>
      <c r="T34" s="53"/>
      <c r="U34" s="53"/>
      <c r="V34" s="53"/>
      <c r="W34" s="53"/>
      <c r="X34" s="53"/>
      <c r="Y34" s="53"/>
      <c r="Z34" s="53"/>
      <c r="AA34" s="53"/>
      <c r="AB34" s="53"/>
    </row>
    <row r="35" spans="1:28">
      <c r="A35" s="32" t="s">
        <v>339</v>
      </c>
      <c r="B35" s="400">
        <v>2520.75</v>
      </c>
      <c r="C35" s="400">
        <v>100</v>
      </c>
      <c r="D35" s="400">
        <v>0</v>
      </c>
      <c r="E35" s="400">
        <v>1</v>
      </c>
      <c r="F35" s="400">
        <v>1</v>
      </c>
      <c r="G35" s="400">
        <v>0</v>
      </c>
      <c r="H35" s="400">
        <v>0</v>
      </c>
      <c r="I35" s="400">
        <v>0</v>
      </c>
      <c r="J35" s="29">
        <f t="shared" si="3"/>
        <v>2</v>
      </c>
      <c r="L35" s="369" t="s">
        <v>339</v>
      </c>
      <c r="M35" s="648">
        <f>SUM(M36:M38)</f>
        <v>0</v>
      </c>
      <c r="N35" s="648">
        <f t="shared" ref="N35:R35" si="5">SUM(N36:N38)</f>
        <v>500</v>
      </c>
      <c r="O35" s="648">
        <f t="shared" si="5"/>
        <v>2120.75</v>
      </c>
      <c r="P35" s="648">
        <f t="shared" si="5"/>
        <v>0</v>
      </c>
      <c r="Q35" s="648">
        <f t="shared" si="5"/>
        <v>0</v>
      </c>
      <c r="R35" s="648">
        <f t="shared" si="5"/>
        <v>0</v>
      </c>
      <c r="T35" s="53"/>
      <c r="U35" s="53"/>
      <c r="V35" s="53"/>
      <c r="W35" s="53"/>
      <c r="X35" s="53"/>
      <c r="Y35" s="53"/>
      <c r="Z35" s="53"/>
      <c r="AA35" s="53"/>
      <c r="AB35" s="53"/>
    </row>
    <row r="36" spans="1:28">
      <c r="A36" s="374" t="s">
        <v>223</v>
      </c>
      <c r="B36" s="400">
        <v>669.15</v>
      </c>
      <c r="C36" s="400">
        <v>0</v>
      </c>
      <c r="D36" s="400">
        <v>0</v>
      </c>
      <c r="E36" s="400">
        <v>0</v>
      </c>
      <c r="F36" s="400">
        <v>1</v>
      </c>
      <c r="G36" s="400">
        <v>0</v>
      </c>
      <c r="H36" s="400">
        <v>0</v>
      </c>
      <c r="I36" s="400">
        <v>0</v>
      </c>
      <c r="J36" s="29">
        <f t="shared" si="3"/>
        <v>1</v>
      </c>
      <c r="L36" s="398" t="s">
        <v>223</v>
      </c>
      <c r="M36" s="649">
        <f>(GETPIVOTDATA("Suma de Hrs ExcSuelo",$A$30,"Sector","Área Yeso","Tipo de obra","Obras Civiles")+GETPIVOTDATA("Suma de Hrs ExcRoca",$A$30,"Sector","Área Yeso","Tipo de obra","Obras Civiles"))*GETPIVOTDATA("Máx. de MT2011",$A$30,"Sector","Área Yeso","Tipo de obra","Obras Civiles")/$J$36</f>
        <v>0</v>
      </c>
      <c r="N36" s="649">
        <f>(GETPIVOTDATA("Suma de Hrs ExcSuelo",$A$30,"Sector","Área Yeso","Tipo de obra","Obras Civiles")+GETPIVOTDATA("Suma de Hrs ExcRoca",$A$30,"Sector","Área Yeso","Tipo de obra","Obras Civiles"))*GETPIVOTDATA("Máx. de MT2012",$A$30,"Sector","Área Yeso","Tipo de obra","Obras Civiles")/$J$36</f>
        <v>0</v>
      </c>
      <c r="O36" s="649">
        <f>(GETPIVOTDATA("Suma de Hrs ExcSuelo",$A$30,"Sector","Área Yeso","Tipo de obra","Obras Civiles")+GETPIVOTDATA("Suma de Hrs ExcRoca",$A$30,"Sector","Área Yeso","Tipo de obra","Obras Civiles"))*GETPIVOTDATA("Máx. de MT2013",$A$30,"Sector","Área Yeso","Tipo de obra","Obras Civiles")/$J$36</f>
        <v>669.15</v>
      </c>
      <c r="P36" s="649">
        <f>(GETPIVOTDATA("Suma de Hrs ExcSuelo",$A$30,"Sector","Área Yeso","Tipo de obra","Obras Civiles")+GETPIVOTDATA("Suma de Hrs ExcRoca",$A$30,"Sector","Área Yeso","Tipo de obra","Obras Civiles"))*GETPIVOTDATA("Máx. de MT2014",$A$30,"Sector","Área Yeso","Tipo de obra","Obras Civiles")/$J$36</f>
        <v>0</v>
      </c>
      <c r="Q36" s="649">
        <f>(GETPIVOTDATA("Suma de Hrs ExcSuelo",$A$30,"Sector","Área Yeso","Tipo de obra","Obras Civiles")+GETPIVOTDATA("Suma de Hrs ExcRoca",$A$30,"Sector","Área Yeso","Tipo de obra","Obras Civiles"))*GETPIVOTDATA("Máx. de MT2015",$A$30,"Sector","Área Yeso","Tipo de obra","Obras Civiles")/$J$36</f>
        <v>0</v>
      </c>
      <c r="R36" s="649">
        <f>(GETPIVOTDATA("Suma de Hrs ExcSuelo",$A$30,"Sector","Área Yeso","Tipo de obra","Obras Civiles")+GETPIVOTDATA("Suma de Hrs ExcRoca",$A$30,"Sector","Área Yeso","Tipo de obra","Obras Civiles"))*GETPIVOTDATA("Máx. de MT2016",$A$30,"Sector","Área Yeso","Tipo de obra","Obras Civiles")/$J$36</f>
        <v>0</v>
      </c>
      <c r="T36" s="53"/>
      <c r="U36" s="53"/>
      <c r="V36" s="53"/>
      <c r="W36" s="53"/>
      <c r="X36" s="53"/>
      <c r="Y36" s="53"/>
      <c r="Z36" s="53"/>
      <c r="AA36" s="53"/>
      <c r="AB36" s="53"/>
    </row>
    <row r="37" spans="1:28">
      <c r="A37" s="374" t="s">
        <v>256</v>
      </c>
      <c r="B37" s="400">
        <v>900</v>
      </c>
      <c r="C37" s="400">
        <v>100</v>
      </c>
      <c r="D37" s="400">
        <v>0</v>
      </c>
      <c r="E37" s="400">
        <v>1</v>
      </c>
      <c r="F37" s="400">
        <v>1</v>
      </c>
      <c r="G37" s="400">
        <v>0</v>
      </c>
      <c r="H37" s="400">
        <v>0</v>
      </c>
      <c r="I37" s="400">
        <v>0</v>
      </c>
      <c r="J37" s="29">
        <f t="shared" si="3"/>
        <v>2</v>
      </c>
      <c r="L37" s="29" t="s">
        <v>867</v>
      </c>
      <c r="M37" s="649">
        <f>(GETPIVOTDATA("Suma de Hrs ExcSuelo",$A$30,"Sector","Área Yeso","Tipo de obra","Obras Previas")+GETPIVOTDATA("Suma de Hrs ExcRoca",$A$30,"Sector","Área Yeso","Tipo de obra","Obras Previas"))*GETPIVOTDATA("Máx. de MT2011",$A$30,"Sector","Área Yeso","Tipo de obra","Obras Previas")/$J$37</f>
        <v>0</v>
      </c>
      <c r="N37" s="649">
        <f>(GETPIVOTDATA("Suma de Hrs ExcSuelo",$A$30,"Sector","Área Yeso","Tipo de obra","Obras Previas")+GETPIVOTDATA("Suma de Hrs ExcRoca",$A$30,"Sector","Área Yeso","Tipo de obra","Obras Previas"))*GETPIVOTDATA("Máx. de MT2012",$A$30,"Sector","Área Yeso","Tipo de obra","Obras Previas")/$J$37</f>
        <v>500</v>
      </c>
      <c r="O37" s="649">
        <f>(GETPIVOTDATA("Suma de Hrs ExcSuelo",$A$30,"Sector","Área Yeso","Tipo de obra","Obras Previas")+GETPIVOTDATA("Suma de Hrs ExcRoca",$A$30,"Sector","Área Yeso","Tipo de obra","Obras Previas"))*GETPIVOTDATA("Máx. de MT2013",$A$30,"Sector","Área Yeso","Tipo de obra","Obras Previas")/$J$37</f>
        <v>500</v>
      </c>
      <c r="P37" s="649">
        <f>(GETPIVOTDATA("Suma de Hrs ExcSuelo",$A$30,"Sector","Área Yeso","Tipo de obra","Obras Previas")+GETPIVOTDATA("Suma de Hrs ExcRoca",$A$30,"Sector","Área Yeso","Tipo de obra","Obras Previas"))*GETPIVOTDATA("Máx. de MT2014",$A$30,"Sector","Área Yeso","Tipo de obra","Obras Previas")/$J$37</f>
        <v>0</v>
      </c>
      <c r="Q37" s="649">
        <f>(GETPIVOTDATA("Suma de Hrs ExcSuelo",$A$30,"Sector","Área Yeso","Tipo de obra","Obras Previas")+GETPIVOTDATA("Suma de Hrs ExcRoca",$A$30,"Sector","Área Yeso","Tipo de obra","Obras Previas"))*GETPIVOTDATA("Máx. de MT2015",$A$30,"Sector","Área Yeso","Tipo de obra","Obras Previas")/$J$37</f>
        <v>0</v>
      </c>
      <c r="R37" s="649">
        <f>(GETPIVOTDATA("Suma de Hrs ExcSuelo",$A$30,"Sector","Área Yeso","Tipo de obra","Obras Previas")+GETPIVOTDATA("Suma de Hrs ExcRoca",$A$30,"Sector","Área Yeso","Tipo de obra","Obras Previas"))*GETPIVOTDATA("Máx. de MT2016",$A$30,"Sector","Área Yeso","Tipo de obra","Obras Previas")/$J$37</f>
        <v>0</v>
      </c>
      <c r="T37" s="53"/>
      <c r="U37" s="53"/>
      <c r="V37" s="53"/>
      <c r="W37" s="53"/>
      <c r="X37" s="53"/>
      <c r="Y37" s="53"/>
      <c r="Z37" s="53"/>
      <c r="AA37" s="53"/>
      <c r="AB37" s="53"/>
    </row>
    <row r="38" spans="1:28">
      <c r="A38" s="374" t="s">
        <v>247</v>
      </c>
      <c r="B38" s="400">
        <v>951.6</v>
      </c>
      <c r="C38" s="400">
        <v>0</v>
      </c>
      <c r="D38" s="400">
        <v>0</v>
      </c>
      <c r="E38" s="400">
        <v>0</v>
      </c>
      <c r="F38" s="400">
        <v>1</v>
      </c>
      <c r="G38" s="400">
        <v>0</v>
      </c>
      <c r="H38" s="400">
        <v>0</v>
      </c>
      <c r="I38" s="400">
        <v>0</v>
      </c>
      <c r="J38" s="29">
        <f t="shared" si="3"/>
        <v>1</v>
      </c>
      <c r="L38" s="398" t="s">
        <v>247</v>
      </c>
      <c r="M38" s="649">
        <f>(GETPIVOTDATA("Suma de Hrs ExcSuelo",$A$30,"Sector","Área Yeso","Tipo de obra","Túneles, cavernas  y chimeneas")+GETPIVOTDATA("Suma de Hrs ExcRoca",$A$30,"Sector","Área Yeso","Tipo de obra","Túneles, cavernas  y chimeneas"))*GETPIVOTDATA("Máx. de MT2011",$A$30,"Sector","Área Yeso","Tipo de obra","Túneles, cavernas  y chimeneas")/$J$38</f>
        <v>0</v>
      </c>
      <c r="N38" s="649">
        <f>(GETPIVOTDATA("Suma de Hrs ExcSuelo",$A$30,"Sector","Área Yeso","Tipo de obra","Túneles, cavernas  y chimeneas")+GETPIVOTDATA("Suma de Hrs ExcRoca",$A$30,"Sector","Área Yeso","Tipo de obra","Túneles, cavernas  y chimeneas"))*GETPIVOTDATA("Máx. de MT2012",$A$30,"Sector","Área Yeso","Tipo de obra","Túneles, cavernas  y chimeneas")/$J$38</f>
        <v>0</v>
      </c>
      <c r="O38" s="649">
        <f>(GETPIVOTDATA("Suma de Hrs ExcSuelo",$A$30,"Sector","Área Yeso","Tipo de obra","Túneles, cavernas  y chimeneas")+GETPIVOTDATA("Suma de Hrs ExcRoca",$A$30,"Sector","Área Yeso","Tipo de obra","Túneles, cavernas  y chimeneas"))*GETPIVOTDATA("Máx. de MT2013",$A$30,"Sector","Área Yeso","Tipo de obra","Túneles, cavernas  y chimeneas")/$J$38</f>
        <v>951.6</v>
      </c>
      <c r="P38" s="649">
        <f>(GETPIVOTDATA("Suma de Hrs ExcSuelo",$A$30,"Sector","Área Yeso","Tipo de obra","Túneles, cavernas  y chimeneas")+GETPIVOTDATA("Suma de Hrs ExcRoca",$A$30,"Sector","Área Yeso","Tipo de obra","Túneles, cavernas  y chimeneas"))*GETPIVOTDATA("Máx. de MT2014",$A$30,"Sector","Área Yeso","Tipo de obra","Túneles, cavernas  y chimeneas")/$J$38</f>
        <v>0</v>
      </c>
      <c r="Q38" s="649">
        <f>(GETPIVOTDATA("Suma de Hrs ExcSuelo",$A$30,"Sector","Área Yeso","Tipo de obra","Túneles, cavernas  y chimeneas")+GETPIVOTDATA("Suma de Hrs ExcRoca",$A$30,"Sector","Área Yeso","Tipo de obra","Túneles, cavernas  y chimeneas"))*GETPIVOTDATA("Máx. de MT2015",$A$30,"Sector","Área Yeso","Tipo de obra","Túneles, cavernas  y chimeneas")/$J$38</f>
        <v>0</v>
      </c>
      <c r="R38" s="649">
        <f>(GETPIVOTDATA("Suma de Hrs ExcSuelo",$A$30,"Sector","Área Yeso","Tipo de obra","Túneles, cavernas  y chimeneas")+GETPIVOTDATA("Suma de Hrs ExcRoca",$A$30,"Sector","Área Yeso","Tipo de obra","Túneles, cavernas  y chimeneas"))*GETPIVOTDATA("Máx. de MT2016",$A$30,"Sector","Área Yeso","Tipo de obra","Túneles, cavernas  y chimeneas")/$J$38</f>
        <v>0</v>
      </c>
      <c r="T38" s="53"/>
      <c r="U38" s="53"/>
      <c r="V38" s="53"/>
      <c r="W38" s="53"/>
      <c r="X38" s="53"/>
      <c r="Y38" s="53"/>
      <c r="Z38" s="53"/>
      <c r="AA38" s="53"/>
      <c r="AB38" s="53"/>
    </row>
    <row r="39" spans="1:28">
      <c r="A39" s="32" t="s">
        <v>340</v>
      </c>
      <c r="B39" s="400">
        <v>1450</v>
      </c>
      <c r="C39" s="400">
        <v>200</v>
      </c>
      <c r="D39" s="400">
        <v>0</v>
      </c>
      <c r="E39" s="400">
        <v>1</v>
      </c>
      <c r="F39" s="400">
        <v>1</v>
      </c>
      <c r="G39" s="400">
        <v>0</v>
      </c>
      <c r="H39" s="400">
        <v>0</v>
      </c>
      <c r="I39" s="400">
        <v>0</v>
      </c>
      <c r="J39" s="29">
        <f t="shared" si="3"/>
        <v>2</v>
      </c>
      <c r="L39" s="369" t="s">
        <v>340</v>
      </c>
      <c r="M39" s="648">
        <f>M41</f>
        <v>0</v>
      </c>
      <c r="N39" s="648">
        <f t="shared" ref="N39:R39" si="6">N41</f>
        <v>825</v>
      </c>
      <c r="O39" s="648">
        <f t="shared" si="6"/>
        <v>825</v>
      </c>
      <c r="P39" s="648">
        <f t="shared" si="6"/>
        <v>0</v>
      </c>
      <c r="Q39" s="648">
        <f t="shared" si="6"/>
        <v>0</v>
      </c>
      <c r="R39" s="648">
        <f t="shared" si="6"/>
        <v>0</v>
      </c>
      <c r="T39" s="53"/>
      <c r="U39" s="53"/>
      <c r="V39" s="53"/>
      <c r="W39" s="53"/>
      <c r="X39" s="53"/>
      <c r="Y39" s="53"/>
      <c r="Z39" s="53"/>
      <c r="AA39" s="53"/>
      <c r="AB39" s="53"/>
    </row>
    <row r="40" spans="1:28">
      <c r="A40" s="374" t="s">
        <v>223</v>
      </c>
      <c r="B40" s="400">
        <v>0</v>
      </c>
      <c r="C40" s="400">
        <v>0</v>
      </c>
      <c r="D40" s="400"/>
      <c r="E40" s="400"/>
      <c r="F40" s="400"/>
      <c r="G40" s="400"/>
      <c r="H40" s="400"/>
      <c r="I40" s="400"/>
      <c r="J40" s="29">
        <f t="shared" si="3"/>
        <v>0</v>
      </c>
      <c r="M40" s="36"/>
      <c r="N40" s="36"/>
      <c r="O40" s="36"/>
      <c r="P40" s="36"/>
      <c r="Q40" s="36"/>
      <c r="R40" s="36"/>
      <c r="T40" s="53"/>
      <c r="U40" s="53"/>
      <c r="V40" s="53"/>
      <c r="W40" s="53"/>
      <c r="X40" s="53"/>
      <c r="Y40" s="53"/>
      <c r="Z40" s="53"/>
      <c r="AA40" s="53"/>
      <c r="AB40" s="53"/>
    </row>
    <row r="41" spans="1:28">
      <c r="A41" s="374" t="s">
        <v>256</v>
      </c>
      <c r="B41" s="400">
        <v>1450</v>
      </c>
      <c r="C41" s="400">
        <v>200</v>
      </c>
      <c r="D41" s="400">
        <v>0</v>
      </c>
      <c r="E41" s="400">
        <v>1</v>
      </c>
      <c r="F41" s="400">
        <v>1</v>
      </c>
      <c r="G41" s="400">
        <v>0</v>
      </c>
      <c r="H41" s="400">
        <v>0</v>
      </c>
      <c r="I41" s="400">
        <v>0</v>
      </c>
      <c r="J41" s="29">
        <f t="shared" si="3"/>
        <v>2</v>
      </c>
      <c r="L41" s="398" t="s">
        <v>256</v>
      </c>
      <c r="M41" s="649">
        <f>(GETPIVOTDATA("Suma de Hrs ExcSuelo",$A$30,"Sector","Área Aucayes Alto","Tipo de obra","Obras Previas")+GETPIVOTDATA("Suma de Hrs ExcRoca",$A$30,"Sector","Área Aucayes Alto","Tipo de obra","Obras Previas"))*GETPIVOTDATA("Máx. de MT2011",$A$30,"Sector","Área Aucayes Alto","Tipo de obra","Obras Previas")/$J$41</f>
        <v>0</v>
      </c>
      <c r="N41" s="649">
        <f>(GETPIVOTDATA("Suma de Hrs ExcSuelo",$A$30,"Sector","Área Aucayes Alto","Tipo de obra","Obras Previas")+GETPIVOTDATA("Suma de Hrs ExcRoca",$A$30,"Sector","Área Aucayes Alto","Tipo de obra","Obras Previas"))*GETPIVOTDATA("Máx. de MT2012",$A$30,"Sector","Área Aucayes Alto","Tipo de obra","Obras Previas")/$J$41</f>
        <v>825</v>
      </c>
      <c r="O41" s="649">
        <f>(GETPIVOTDATA("Suma de Hrs ExcSuelo",$A$30,"Sector","Área Aucayes Alto","Tipo de obra","Obras Previas")+GETPIVOTDATA("Suma de Hrs ExcRoca",$A$30,"Sector","Área Aucayes Alto","Tipo de obra","Obras Previas"))*GETPIVOTDATA("Máx. de MT2013",$A$30,"Sector","Área Aucayes Alto","Tipo de obra","Obras Previas")/$J$41</f>
        <v>825</v>
      </c>
      <c r="P41" s="649">
        <f>(GETPIVOTDATA("Suma de Hrs ExcSuelo",$A$30,"Sector","Área Aucayes Alto","Tipo de obra","Obras Previas")+GETPIVOTDATA("Suma de Hrs ExcRoca",$A$30,"Sector","Área Aucayes Alto","Tipo de obra","Obras Previas"))*GETPIVOTDATA("Máx. de MT2014",$A$30,"Sector","Área Aucayes Alto","Tipo de obra","Obras Previas")/$J$41</f>
        <v>0</v>
      </c>
      <c r="Q41" s="649">
        <f>(GETPIVOTDATA("Suma de Hrs ExcSuelo",$A$30,"Sector","Área Aucayes Alto","Tipo de obra","Obras Previas")+GETPIVOTDATA("Suma de Hrs ExcRoca",$A$30,"Sector","Área Aucayes Alto","Tipo de obra","Obras Previas"))*GETPIVOTDATA("Máx. de MT2015",$A$30,"Sector","Área Aucayes Alto","Tipo de obra","Obras Previas")/$J$41</f>
        <v>0</v>
      </c>
      <c r="R41" s="649">
        <f>(GETPIVOTDATA("Suma de Hrs ExcSuelo",$A$30,"Sector","Área Aucayes Alto","Tipo de obra","Obras Previas")+GETPIVOTDATA("Suma de Hrs ExcRoca",$A$30,"Sector","Área Aucayes Alto","Tipo de obra","Obras Previas"))*GETPIVOTDATA("Máx. de MT2016",$A$30,"Sector","Área Aucayes Alto","Tipo de obra","Obras Previas")/$J$41</f>
        <v>0</v>
      </c>
      <c r="T41" s="53"/>
      <c r="U41" s="53"/>
      <c r="V41" s="53"/>
      <c r="W41" s="53"/>
      <c r="X41" s="53"/>
      <c r="Y41" s="53"/>
      <c r="Z41" s="53"/>
      <c r="AA41" s="53"/>
      <c r="AB41" s="53"/>
    </row>
    <row r="42" spans="1:28">
      <c r="A42" s="374" t="s">
        <v>247</v>
      </c>
      <c r="B42" s="400">
        <v>0</v>
      </c>
      <c r="C42" s="400">
        <v>0</v>
      </c>
      <c r="D42" s="400"/>
      <c r="E42" s="400"/>
      <c r="F42" s="400"/>
      <c r="G42" s="400"/>
      <c r="H42" s="400"/>
      <c r="I42" s="400"/>
      <c r="J42" s="29">
        <f t="shared" si="3"/>
        <v>0</v>
      </c>
      <c r="M42" s="36"/>
      <c r="N42" s="36"/>
      <c r="O42" s="36"/>
      <c r="P42" s="36"/>
      <c r="Q42" s="36"/>
      <c r="R42" s="36"/>
      <c r="T42" s="53"/>
      <c r="U42" s="53"/>
      <c r="V42" s="53"/>
      <c r="W42" s="53"/>
      <c r="X42" s="53"/>
      <c r="Y42" s="53"/>
      <c r="Z42" s="53"/>
      <c r="AA42" s="53"/>
      <c r="AB42" s="53"/>
    </row>
    <row r="43" spans="1:28">
      <c r="A43" s="32" t="s">
        <v>342</v>
      </c>
      <c r="B43" s="400">
        <v>2596.91</v>
      </c>
      <c r="C43" s="400">
        <v>1460</v>
      </c>
      <c r="D43" s="400">
        <v>0</v>
      </c>
      <c r="E43" s="400">
        <v>1</v>
      </c>
      <c r="F43" s="400">
        <v>1</v>
      </c>
      <c r="G43" s="400">
        <v>0</v>
      </c>
      <c r="H43" s="400">
        <v>0</v>
      </c>
      <c r="I43" s="400">
        <v>0</v>
      </c>
      <c r="J43" s="29">
        <f t="shared" si="3"/>
        <v>2</v>
      </c>
      <c r="L43" s="369" t="s">
        <v>342</v>
      </c>
      <c r="M43" s="648">
        <f>M44</f>
        <v>0</v>
      </c>
      <c r="N43" s="648">
        <f t="shared" ref="N43:R43" si="7">N44</f>
        <v>2028.4549999999999</v>
      </c>
      <c r="O43" s="648">
        <f t="shared" si="7"/>
        <v>2028.4549999999999</v>
      </c>
      <c r="P43" s="648">
        <f t="shared" si="7"/>
        <v>0</v>
      </c>
      <c r="Q43" s="648">
        <f t="shared" si="7"/>
        <v>0</v>
      </c>
      <c r="R43" s="648">
        <f t="shared" si="7"/>
        <v>0</v>
      </c>
      <c r="T43" s="53"/>
      <c r="U43" s="53"/>
      <c r="V43" s="53"/>
      <c r="W43" s="53"/>
      <c r="X43" s="53"/>
      <c r="Y43" s="53"/>
      <c r="Z43" s="53"/>
      <c r="AA43" s="53"/>
      <c r="AB43" s="53"/>
    </row>
    <row r="44" spans="1:28">
      <c r="A44" s="374" t="s">
        <v>256</v>
      </c>
      <c r="B44" s="400">
        <v>2596.91</v>
      </c>
      <c r="C44" s="400">
        <v>1460</v>
      </c>
      <c r="D44" s="400">
        <v>0</v>
      </c>
      <c r="E44" s="400">
        <v>1</v>
      </c>
      <c r="F44" s="400">
        <v>1</v>
      </c>
      <c r="G44" s="400">
        <v>0</v>
      </c>
      <c r="H44" s="400">
        <v>0</v>
      </c>
      <c r="I44" s="400">
        <v>0</v>
      </c>
      <c r="J44" s="29">
        <f t="shared" si="3"/>
        <v>2</v>
      </c>
      <c r="L44" s="398" t="s">
        <v>256</v>
      </c>
      <c r="M44" s="649">
        <f>(GETPIVOTDATA("Suma de Hrs ExcSuelo",$A$30,"Sector","Área Alfalfal II","Tipo de obra","Obras Previas")+GETPIVOTDATA("Suma de Hrs ExcRoca",$A$30,"Sector","Área Alfalfal II","Tipo de obra","Obras Previas"))*GETPIVOTDATA("Máx. de MT2011",$A$30,"Sector","Área Alfalfal II","Tipo de obra","Obras Previas")/$J$44</f>
        <v>0</v>
      </c>
      <c r="N44" s="649">
        <f>(GETPIVOTDATA("Suma de Hrs ExcSuelo",$A$30,"Sector","Área Alfalfal II","Tipo de obra","Obras Previas")+GETPIVOTDATA("Suma de Hrs ExcRoca",$A$30,"Sector","Área Alfalfal II","Tipo de obra","Obras Previas"))*GETPIVOTDATA("Máx. de MT2012",$A$30,"Sector","Área Alfalfal II","Tipo de obra","Obras Previas")/$J$44</f>
        <v>2028.4549999999999</v>
      </c>
      <c r="O44" s="649">
        <f>(GETPIVOTDATA("Suma de Hrs ExcSuelo",$A$30,"Sector","Área Alfalfal II","Tipo de obra","Obras Previas")+GETPIVOTDATA("Suma de Hrs ExcRoca",$A$30,"Sector","Área Alfalfal II","Tipo de obra","Obras Previas"))*GETPIVOTDATA("Máx. de MT2013",$A$30,"Sector","Área Alfalfal II","Tipo de obra","Obras Previas")/$J$44</f>
        <v>2028.4549999999999</v>
      </c>
      <c r="P44" s="649">
        <f>(GETPIVOTDATA("Suma de Hrs ExcSuelo",$A$30,"Sector","Área Alfalfal II","Tipo de obra","Obras Previas")+GETPIVOTDATA("Suma de Hrs ExcRoca",$A$30,"Sector","Área Alfalfal II","Tipo de obra","Obras Previas"))*GETPIVOTDATA("Máx. de MT2014",$A$30,"Sector","Área Alfalfal II","Tipo de obra","Obras Previas")/$J$44</f>
        <v>0</v>
      </c>
      <c r="Q44" s="649">
        <f>(GETPIVOTDATA("Suma de Hrs ExcSuelo",$A$30,"Sector","Área Alfalfal II","Tipo de obra","Obras Previas")+GETPIVOTDATA("Suma de Hrs ExcRoca",$A$30,"Sector","Área Alfalfal II","Tipo de obra","Obras Previas"))*GETPIVOTDATA("Máx. de MT2015",$A$30,"Sector","Área Alfalfal II","Tipo de obra","Obras Previas")/$J$44</f>
        <v>0</v>
      </c>
      <c r="R44" s="649">
        <f>(GETPIVOTDATA("Suma de Hrs ExcSuelo",$A$30,"Sector","Área Alfalfal II","Tipo de obra","Obras Previas")+GETPIVOTDATA("Suma de Hrs ExcRoca",$A$30,"Sector","Área Alfalfal II","Tipo de obra","Obras Previas"))*GETPIVOTDATA("Máx. de MT2016",$A$30,"Sector","Área Alfalfal II","Tipo de obra","Obras Previas")/$J$44</f>
        <v>0</v>
      </c>
      <c r="T44" s="53"/>
      <c r="U44" s="53"/>
      <c r="V44" s="53"/>
      <c r="W44" s="53"/>
      <c r="X44" s="53"/>
      <c r="Y44" s="53"/>
      <c r="Z44" s="53"/>
      <c r="AA44" s="53"/>
      <c r="AB44" s="53"/>
    </row>
    <row r="45" spans="1:28">
      <c r="A45" s="374" t="s">
        <v>247</v>
      </c>
      <c r="B45" s="400">
        <v>0</v>
      </c>
      <c r="C45" s="400">
        <v>0</v>
      </c>
      <c r="D45" s="400"/>
      <c r="E45" s="400"/>
      <c r="F45" s="400"/>
      <c r="G45" s="400"/>
      <c r="H45" s="400"/>
      <c r="I45" s="400"/>
      <c r="J45" s="29">
        <f t="shared" si="3"/>
        <v>0</v>
      </c>
      <c r="M45" s="36"/>
      <c r="N45" s="36"/>
      <c r="O45" s="36"/>
      <c r="P45" s="36"/>
      <c r="Q45" s="36"/>
      <c r="R45" s="36"/>
      <c r="T45" s="53"/>
      <c r="U45" s="53"/>
      <c r="V45" s="53"/>
      <c r="W45" s="53"/>
      <c r="X45" s="53"/>
      <c r="Y45" s="53"/>
      <c r="Z45" s="53"/>
      <c r="AA45" s="53"/>
      <c r="AB45" s="53"/>
    </row>
    <row r="46" spans="1:28">
      <c r="A46" s="32" t="s">
        <v>343</v>
      </c>
      <c r="B46" s="400">
        <v>5188.1000000000004</v>
      </c>
      <c r="C46" s="400">
        <v>1.4</v>
      </c>
      <c r="D46" s="400">
        <v>1</v>
      </c>
      <c r="E46" s="400">
        <v>1</v>
      </c>
      <c r="F46" s="400">
        <v>1</v>
      </c>
      <c r="G46" s="400">
        <v>0</v>
      </c>
      <c r="H46" s="400">
        <v>0</v>
      </c>
      <c r="I46" s="400">
        <v>0</v>
      </c>
      <c r="J46" s="29">
        <f t="shared" si="3"/>
        <v>3</v>
      </c>
      <c r="L46" s="369" t="s">
        <v>343</v>
      </c>
      <c r="M46" s="648">
        <f>SUM(M47:M48)</f>
        <v>83.966666666666669</v>
      </c>
      <c r="N46" s="648">
        <f t="shared" ref="N46:R46" si="8">SUM(N47:N48)</f>
        <v>83.966666666666669</v>
      </c>
      <c r="O46" s="648">
        <f t="shared" si="8"/>
        <v>5021.5666666666666</v>
      </c>
      <c r="P46" s="648">
        <f t="shared" si="8"/>
        <v>0</v>
      </c>
      <c r="Q46" s="648">
        <f t="shared" si="8"/>
        <v>0</v>
      </c>
      <c r="R46" s="648">
        <f t="shared" si="8"/>
        <v>0</v>
      </c>
      <c r="T46" s="53"/>
      <c r="U46" s="53"/>
      <c r="V46" s="53"/>
      <c r="W46" s="53"/>
      <c r="X46" s="53"/>
      <c r="Y46" s="53"/>
      <c r="Z46" s="53"/>
      <c r="AA46" s="53"/>
      <c r="AB46" s="53"/>
    </row>
    <row r="47" spans="1:28">
      <c r="A47" s="374" t="s">
        <v>223</v>
      </c>
      <c r="B47" s="400">
        <v>4937.6000000000004</v>
      </c>
      <c r="C47" s="400">
        <v>0</v>
      </c>
      <c r="D47" s="400">
        <v>0</v>
      </c>
      <c r="E47" s="400">
        <v>0</v>
      </c>
      <c r="F47" s="400">
        <v>1</v>
      </c>
      <c r="G47" s="400">
        <v>0</v>
      </c>
      <c r="H47" s="400">
        <v>0</v>
      </c>
      <c r="I47" s="400">
        <v>0</v>
      </c>
      <c r="J47" s="29">
        <f t="shared" si="3"/>
        <v>1</v>
      </c>
      <c r="L47" s="398" t="s">
        <v>223</v>
      </c>
      <c r="M47" s="649">
        <f>(GETPIVOTDATA("Suma de Hrs ExcSuelo",$A$30,"Sector","Área Las Lajas-Maipo","Tipo de obra","Obras Civiles")+GETPIVOTDATA("Suma de Hrs ExcRoca",$A$30,"Sector","Área Las Lajas-Maipo","Tipo de obra","Obras Civiles"))*GETPIVOTDATA("Máx. de MT2011",$A$30,"Sector","Área Las Lajas-Maipo","Tipo de obra","Obras Civiles")/$J$47</f>
        <v>0</v>
      </c>
      <c r="N47" s="649">
        <f>(GETPIVOTDATA("Suma de Hrs ExcSuelo",$A$30,"Sector","Área Las Lajas-Maipo","Tipo de obra","Obras Civiles")+GETPIVOTDATA("Suma de Hrs ExcRoca",$A$30,"Sector","Área Las Lajas-Maipo","Tipo de obra","Obras Civiles"))*GETPIVOTDATA("Máx. de MT2012",$A$30,"Sector","Área Las Lajas-Maipo","Tipo de obra","Obras Civiles")/$J$47</f>
        <v>0</v>
      </c>
      <c r="O47" s="649">
        <f>(GETPIVOTDATA("Suma de Hrs ExcSuelo",$A$30,"Sector","Área Las Lajas-Maipo","Tipo de obra","Obras Civiles")+GETPIVOTDATA("Suma de Hrs ExcRoca",$A$30,"Sector","Área Las Lajas-Maipo","Tipo de obra","Obras Civiles"))*GETPIVOTDATA("Máx. de MT2013",$A$30,"Sector","Área Las Lajas-Maipo","Tipo de obra","Obras Civiles")/$J$47</f>
        <v>4937.6000000000004</v>
      </c>
      <c r="P47" s="649">
        <f>(GETPIVOTDATA("Suma de Hrs ExcSuelo",$A$30,"Sector","Área Las Lajas-Maipo","Tipo de obra","Obras Civiles")+GETPIVOTDATA("Suma de Hrs ExcRoca",$A$30,"Sector","Área Las Lajas-Maipo","Tipo de obra","Obras Civiles"))*GETPIVOTDATA("Máx. de MT2014",$A$30,"Sector","Área Las Lajas-Maipo","Tipo de obra","Obras Civiles")/$J$47</f>
        <v>0</v>
      </c>
      <c r="Q47" s="649">
        <f>(GETPIVOTDATA("Suma de Hrs ExcSuelo",$A$30,"Sector","Área Las Lajas-Maipo","Tipo de obra","Obras Civiles")+GETPIVOTDATA("Suma de Hrs ExcRoca",$A$30,"Sector","Área Las Lajas-Maipo","Tipo de obra","Obras Civiles"))*GETPIVOTDATA("Máx. de MT2015",$A$30,"Sector","Área Las Lajas-Maipo","Tipo de obra","Obras Civiles")/$J$47</f>
        <v>0</v>
      </c>
      <c r="R47" s="649">
        <f>(GETPIVOTDATA("Suma de Hrs ExcSuelo",$A$30,"Sector","Área Las Lajas-Maipo","Tipo de obra","Obras Civiles")+GETPIVOTDATA("Suma de Hrs ExcRoca",$A$30,"Sector","Área Las Lajas-Maipo","Tipo de obra","Obras Civiles"))*GETPIVOTDATA("Máx. de MT2016",$A$30,"Sector","Área Las Lajas-Maipo","Tipo de obra","Obras Civiles")/$J$47</f>
        <v>0</v>
      </c>
      <c r="T47" s="53"/>
      <c r="U47" s="402"/>
      <c r="V47" s="402"/>
      <c r="W47" s="402"/>
      <c r="X47" s="53"/>
      <c r="Y47" s="53"/>
      <c r="Z47" s="53"/>
      <c r="AA47" s="53"/>
      <c r="AB47" s="53"/>
    </row>
    <row r="48" spans="1:28">
      <c r="A48" s="374" t="s">
        <v>256</v>
      </c>
      <c r="B48" s="400">
        <v>250.5</v>
      </c>
      <c r="C48" s="400">
        <v>1.4</v>
      </c>
      <c r="D48" s="400">
        <v>1</v>
      </c>
      <c r="E48" s="400">
        <v>1</v>
      </c>
      <c r="F48" s="400">
        <v>1</v>
      </c>
      <c r="G48" s="400">
        <v>0</v>
      </c>
      <c r="H48" s="400">
        <v>0</v>
      </c>
      <c r="I48" s="400">
        <v>0</v>
      </c>
      <c r="J48" s="29">
        <f t="shared" si="3"/>
        <v>3</v>
      </c>
      <c r="L48" s="398" t="s">
        <v>256</v>
      </c>
      <c r="M48" s="649">
        <f>(GETPIVOTDATA("Suma de Hrs ExcSuelo",$A$30,"Sector","Área Las Lajas-Maipo","Tipo de obra","Obras Previas")+GETPIVOTDATA("Suma de Hrs ExcRoca",$A$30,"Sector","Área Las Lajas-Maipo","Tipo de obra","Obras Previas"))*GETPIVOTDATA("Máx. de MT2011",$A$30,"Sector","Área Las Lajas-Maipo","Tipo de obra","Obras Previas")/$J$48</f>
        <v>83.966666666666669</v>
      </c>
      <c r="N48" s="649">
        <f>(GETPIVOTDATA("Suma de Hrs ExcSuelo",$A$30,"Sector","Área Las Lajas-Maipo","Tipo de obra","Obras Previas")+GETPIVOTDATA("Suma de Hrs ExcRoca",$A$30,"Sector","Área Las Lajas-Maipo","Tipo de obra","Obras Previas"))*GETPIVOTDATA("Máx. de MT2012",$A$30,"Sector","Área Las Lajas-Maipo","Tipo de obra","Obras Previas")/$J$48</f>
        <v>83.966666666666669</v>
      </c>
      <c r="O48" s="649">
        <f>(GETPIVOTDATA("Suma de Hrs ExcSuelo",$A$30,"Sector","Área Las Lajas-Maipo","Tipo de obra","Obras Previas")+GETPIVOTDATA("Suma de Hrs ExcRoca",$A$30,"Sector","Área Las Lajas-Maipo","Tipo de obra","Obras Previas"))*GETPIVOTDATA("Máx. de MT2013",$A$30,"Sector","Área Las Lajas-Maipo","Tipo de obra","Obras Previas")/$J$48</f>
        <v>83.966666666666669</v>
      </c>
      <c r="P48" s="649">
        <f>(GETPIVOTDATA("Suma de Hrs ExcSuelo",$A$30,"Sector","Área Las Lajas-Maipo","Tipo de obra","Obras Previas")+GETPIVOTDATA("Suma de Hrs ExcRoca",$A$30,"Sector","Área Las Lajas-Maipo","Tipo de obra","Obras Previas"))*GETPIVOTDATA("Máx. de MT2014",$A$30,"Sector","Área Las Lajas-Maipo","Tipo de obra","Obras Previas")/$J$48</f>
        <v>0</v>
      </c>
      <c r="Q48" s="649">
        <f>(GETPIVOTDATA("Suma de Hrs ExcSuelo",$A$30,"Sector","Área Las Lajas-Maipo","Tipo de obra","Obras Previas")+GETPIVOTDATA("Suma de Hrs ExcRoca",$A$30,"Sector","Área Las Lajas-Maipo","Tipo de obra","Obras Previas"))*GETPIVOTDATA("Máx. de MT2015",$A$30,"Sector","Área Las Lajas-Maipo","Tipo de obra","Obras Previas")/$J$48</f>
        <v>0</v>
      </c>
      <c r="R48" s="649">
        <f>(GETPIVOTDATA("Suma de Hrs ExcSuelo",$A$30,"Sector","Área Las Lajas-Maipo","Tipo de obra","Obras Previas")+GETPIVOTDATA("Suma de Hrs ExcRoca",$A$30,"Sector","Área Las Lajas-Maipo","Tipo de obra","Obras Previas"))*GETPIVOTDATA("Máx. de MT2016",$A$30,"Sector","Área Las Lajas-Maipo","Tipo de obra","Obras Previas")/$J$48</f>
        <v>0</v>
      </c>
      <c r="T48" s="53"/>
      <c r="U48" s="53"/>
      <c r="V48" s="53"/>
      <c r="W48" s="53"/>
      <c r="X48" s="53"/>
      <c r="Y48" s="53"/>
      <c r="Z48" s="53"/>
      <c r="AA48" s="53"/>
      <c r="AB48" s="53"/>
    </row>
    <row r="49" spans="1:28">
      <c r="A49" s="374" t="s">
        <v>247</v>
      </c>
      <c r="B49" s="400">
        <v>0</v>
      </c>
      <c r="C49" s="400">
        <v>0</v>
      </c>
      <c r="D49" s="400"/>
      <c r="E49" s="400"/>
      <c r="F49" s="400"/>
      <c r="G49" s="400"/>
      <c r="H49" s="400"/>
      <c r="I49" s="400"/>
      <c r="J49" s="29">
        <f t="shared" si="3"/>
        <v>0</v>
      </c>
      <c r="M49" s="36"/>
      <c r="N49" s="36"/>
      <c r="O49" s="36"/>
      <c r="P49" s="36"/>
      <c r="Q49" s="36"/>
      <c r="R49" s="36"/>
      <c r="T49" s="53"/>
      <c r="U49" s="53"/>
      <c r="V49" s="53"/>
      <c r="W49" s="53"/>
      <c r="X49" s="53"/>
      <c r="Y49" s="53"/>
      <c r="Z49" s="53"/>
      <c r="AA49" s="53"/>
      <c r="AB49" s="53"/>
    </row>
    <row r="50" spans="1:28">
      <c r="A50" s="32" t="s">
        <v>341</v>
      </c>
      <c r="B50" s="400">
        <v>13561.220000000001</v>
      </c>
      <c r="C50" s="400">
        <v>1901.4</v>
      </c>
      <c r="D50" s="400">
        <v>1</v>
      </c>
      <c r="E50" s="400">
        <v>1</v>
      </c>
      <c r="F50" s="400">
        <v>1</v>
      </c>
      <c r="G50" s="400">
        <v>0</v>
      </c>
      <c r="H50" s="400">
        <v>0</v>
      </c>
      <c r="I50" s="400">
        <v>0</v>
      </c>
      <c r="L50" s="367" t="s">
        <v>341</v>
      </c>
      <c r="M50" s="650">
        <f>M32+M35+M39+M43+M46</f>
        <v>83.966666666666669</v>
      </c>
      <c r="N50" s="650">
        <f t="shared" ref="N50:R50" si="9">N32+N35+N39+N43+N46</f>
        <v>4777.4216666666662</v>
      </c>
      <c r="O50" s="650">
        <f t="shared" si="9"/>
        <v>10601.231666666667</v>
      </c>
      <c r="P50" s="650">
        <f t="shared" si="9"/>
        <v>0</v>
      </c>
      <c r="Q50" s="650">
        <f t="shared" si="9"/>
        <v>0</v>
      </c>
      <c r="R50" s="650">
        <f t="shared" si="9"/>
        <v>0</v>
      </c>
      <c r="S50" s="353">
        <f>SUM(M50:R50)</f>
        <v>15462.619999999999</v>
      </c>
      <c r="T50" s="53"/>
      <c r="U50" s="53"/>
      <c r="V50" s="53"/>
      <c r="W50" s="53"/>
      <c r="X50" s="53"/>
      <c r="Y50" s="53"/>
      <c r="Z50" s="53"/>
      <c r="AA50" s="53"/>
      <c r="AB50" s="53"/>
    </row>
    <row r="51" spans="1:28" ht="15">
      <c r="A51"/>
      <c r="B51"/>
      <c r="C51"/>
      <c r="D51"/>
      <c r="E51"/>
      <c r="F51"/>
      <c r="G51"/>
      <c r="H51"/>
    </row>
    <row r="52" spans="1:28" ht="15">
      <c r="A52"/>
      <c r="B52"/>
      <c r="C52"/>
      <c r="D52"/>
      <c r="E52"/>
      <c r="F52"/>
      <c r="G52"/>
      <c r="H52"/>
    </row>
    <row r="53" spans="1:28" ht="15">
      <c r="A53"/>
      <c r="B53"/>
      <c r="C53"/>
      <c r="D53"/>
      <c r="E53"/>
      <c r="F53"/>
      <c r="G53"/>
      <c r="H53"/>
    </row>
    <row r="54" spans="1:28" ht="15">
      <c r="A54" s="28" t="s">
        <v>868</v>
      </c>
      <c r="B54"/>
      <c r="C54"/>
      <c r="D54"/>
      <c r="E54"/>
      <c r="F54"/>
      <c r="G54"/>
      <c r="H54"/>
    </row>
    <row r="55" spans="1:28" ht="15">
      <c r="A55" t="s">
        <v>869</v>
      </c>
      <c r="B55"/>
      <c r="C55"/>
      <c r="D55"/>
      <c r="E55"/>
      <c r="F55"/>
      <c r="G55"/>
      <c r="H55"/>
    </row>
    <row r="56" spans="1:28" ht="15">
      <c r="A56"/>
      <c r="B56"/>
      <c r="C56"/>
      <c r="D56"/>
      <c r="E56"/>
      <c r="F56"/>
      <c r="G56"/>
      <c r="H56"/>
    </row>
    <row r="57" spans="1:28" ht="15">
      <c r="A57" s="28" t="s">
        <v>868</v>
      </c>
      <c r="B57"/>
      <c r="C57"/>
      <c r="D57"/>
      <c r="E57"/>
      <c r="F57"/>
      <c r="G57"/>
      <c r="H57"/>
      <c r="L57" s="28" t="s">
        <v>868</v>
      </c>
    </row>
    <row r="58" spans="1:28" ht="15">
      <c r="A58" s="28" t="s">
        <v>870</v>
      </c>
      <c r="B58"/>
      <c r="C58"/>
      <c r="D58"/>
      <c r="E58"/>
      <c r="F58"/>
      <c r="G58"/>
      <c r="H58"/>
      <c r="L58" s="28" t="s">
        <v>871</v>
      </c>
    </row>
    <row r="59" spans="1:28" ht="15">
      <c r="A59" s="399" t="s">
        <v>305</v>
      </c>
      <c r="B59" s="29" t="s">
        <v>892</v>
      </c>
      <c r="C59"/>
      <c r="D59"/>
      <c r="E59"/>
      <c r="F59"/>
      <c r="G59"/>
      <c r="H59"/>
      <c r="L59" s="399" t="s">
        <v>365</v>
      </c>
      <c r="M59" s="29" t="s">
        <v>892</v>
      </c>
    </row>
    <row r="60" spans="1:28" ht="15">
      <c r="A60"/>
      <c r="B60"/>
      <c r="C60"/>
      <c r="D60"/>
      <c r="E60"/>
      <c r="F60"/>
      <c r="G60"/>
      <c r="H60"/>
    </row>
    <row r="61" spans="1:28">
      <c r="A61" s="399" t="s">
        <v>844</v>
      </c>
      <c r="B61" s="29" t="s">
        <v>872</v>
      </c>
      <c r="C61" s="29" t="s">
        <v>845</v>
      </c>
      <c r="D61" s="29" t="s">
        <v>846</v>
      </c>
      <c r="E61" s="29" t="s">
        <v>847</v>
      </c>
      <c r="F61" s="29" t="s">
        <v>848</v>
      </c>
      <c r="G61" s="29" t="s">
        <v>849</v>
      </c>
      <c r="H61" s="29" t="s">
        <v>851</v>
      </c>
      <c r="I61" s="29" t="s">
        <v>852</v>
      </c>
      <c r="L61" s="399" t="s">
        <v>844</v>
      </c>
      <c r="M61" s="29" t="s">
        <v>873</v>
      </c>
      <c r="N61" s="29" t="s">
        <v>885</v>
      </c>
      <c r="O61" s="29" t="s">
        <v>886</v>
      </c>
      <c r="P61" s="29" t="s">
        <v>887</v>
      </c>
      <c r="Q61" s="29" t="s">
        <v>888</v>
      </c>
      <c r="R61" s="29" t="s">
        <v>889</v>
      </c>
      <c r="S61" s="29" t="s">
        <v>890</v>
      </c>
      <c r="T61" s="29" t="s">
        <v>852</v>
      </c>
    </row>
    <row r="62" spans="1:28">
      <c r="A62" s="32" t="s">
        <v>338</v>
      </c>
      <c r="B62" s="353">
        <v>85939.896820073176</v>
      </c>
      <c r="C62" s="400">
        <v>0</v>
      </c>
      <c r="D62" s="400">
        <v>1</v>
      </c>
      <c r="E62" s="400">
        <v>1</v>
      </c>
      <c r="F62" s="400">
        <v>0</v>
      </c>
      <c r="G62" s="400">
        <v>0</v>
      </c>
      <c r="H62" s="400">
        <v>0</v>
      </c>
      <c r="I62" s="29">
        <f>SUM(C62:H62)</f>
        <v>2</v>
      </c>
      <c r="L62" s="32" t="s">
        <v>338</v>
      </c>
      <c r="M62" s="400">
        <v>280189</v>
      </c>
      <c r="N62" s="400">
        <v>0</v>
      </c>
      <c r="O62" s="400">
        <v>0</v>
      </c>
      <c r="P62" s="400">
        <v>12</v>
      </c>
      <c r="Q62" s="400">
        <v>12</v>
      </c>
      <c r="R62" s="400">
        <v>12</v>
      </c>
      <c r="S62" s="400">
        <v>6</v>
      </c>
      <c r="T62" s="29">
        <f>SUM(N62:S62)</f>
        <v>42</v>
      </c>
    </row>
    <row r="63" spans="1:28">
      <c r="A63" s="374" t="s">
        <v>223</v>
      </c>
      <c r="B63" s="353">
        <v>76308.508395601777</v>
      </c>
      <c r="C63" s="400">
        <v>0</v>
      </c>
      <c r="D63" s="400">
        <v>0</v>
      </c>
      <c r="E63" s="400">
        <v>1</v>
      </c>
      <c r="F63" s="400">
        <v>0</v>
      </c>
      <c r="G63" s="400">
        <v>0</v>
      </c>
      <c r="H63" s="400">
        <v>0</v>
      </c>
      <c r="I63" s="29">
        <f t="shared" ref="I63:I75" si="10">SUM(C63:H63)</f>
        <v>1</v>
      </c>
      <c r="L63" s="374" t="s">
        <v>247</v>
      </c>
      <c r="M63" s="400">
        <v>280189</v>
      </c>
      <c r="N63" s="400">
        <v>0</v>
      </c>
      <c r="O63" s="400">
        <v>0</v>
      </c>
      <c r="P63" s="400">
        <v>12</v>
      </c>
      <c r="Q63" s="400">
        <v>12</v>
      </c>
      <c r="R63" s="400">
        <v>12</v>
      </c>
      <c r="S63" s="400">
        <v>6</v>
      </c>
      <c r="T63" s="29">
        <f>SUM(N63:S63)</f>
        <v>42</v>
      </c>
    </row>
    <row r="64" spans="1:28">
      <c r="A64" s="374" t="s">
        <v>256</v>
      </c>
      <c r="B64" s="353">
        <v>9631.3884244714027</v>
      </c>
      <c r="C64" s="400">
        <v>0</v>
      </c>
      <c r="D64" s="400">
        <v>1</v>
      </c>
      <c r="E64" s="400">
        <v>0</v>
      </c>
      <c r="F64" s="400">
        <v>0</v>
      </c>
      <c r="G64" s="400">
        <v>0</v>
      </c>
      <c r="H64" s="400">
        <v>0</v>
      </c>
      <c r="I64" s="29">
        <f t="shared" si="10"/>
        <v>1</v>
      </c>
      <c r="L64" s="32" t="s">
        <v>339</v>
      </c>
      <c r="M64" s="400">
        <v>763594</v>
      </c>
      <c r="N64" s="400">
        <v>0</v>
      </c>
      <c r="O64" s="400">
        <v>2</v>
      </c>
      <c r="P64" s="400">
        <v>12</v>
      </c>
      <c r="Q64" s="400">
        <v>12</v>
      </c>
      <c r="R64" s="400">
        <v>12</v>
      </c>
      <c r="S64" s="400">
        <v>4</v>
      </c>
      <c r="T64" s="29">
        <f t="shared" ref="T64:T71" si="11">SUM(N64:S64)</f>
        <v>42</v>
      </c>
    </row>
    <row r="65" spans="1:20">
      <c r="A65" s="32" t="s">
        <v>339</v>
      </c>
      <c r="B65" s="353">
        <v>158480.27525425833</v>
      </c>
      <c r="C65" s="400">
        <v>0</v>
      </c>
      <c r="D65" s="400">
        <v>1</v>
      </c>
      <c r="E65" s="400">
        <v>1</v>
      </c>
      <c r="F65" s="400">
        <v>0</v>
      </c>
      <c r="G65" s="400">
        <v>0</v>
      </c>
      <c r="H65" s="400">
        <v>0</v>
      </c>
      <c r="I65" s="29">
        <f t="shared" si="10"/>
        <v>2</v>
      </c>
      <c r="L65" s="374" t="s">
        <v>247</v>
      </c>
      <c r="M65" s="400">
        <v>763594</v>
      </c>
      <c r="N65" s="400">
        <v>0</v>
      </c>
      <c r="O65" s="400">
        <v>2</v>
      </c>
      <c r="P65" s="400">
        <v>12</v>
      </c>
      <c r="Q65" s="400">
        <v>12</v>
      </c>
      <c r="R65" s="400">
        <v>12</v>
      </c>
      <c r="S65" s="400">
        <v>4</v>
      </c>
      <c r="T65" s="29">
        <f t="shared" si="11"/>
        <v>42</v>
      </c>
    </row>
    <row r="66" spans="1:20">
      <c r="A66" s="374" t="s">
        <v>223</v>
      </c>
      <c r="B66" s="353">
        <v>65577.866694777462</v>
      </c>
      <c r="C66" s="400">
        <v>0</v>
      </c>
      <c r="D66" s="400">
        <v>0</v>
      </c>
      <c r="E66" s="400">
        <v>1</v>
      </c>
      <c r="F66" s="400">
        <v>0</v>
      </c>
      <c r="G66" s="400">
        <v>0</v>
      </c>
      <c r="H66" s="400">
        <v>0</v>
      </c>
      <c r="I66" s="29">
        <f t="shared" si="10"/>
        <v>1</v>
      </c>
      <c r="L66" s="32" t="s">
        <v>340</v>
      </c>
      <c r="M66" s="400">
        <v>710993.4</v>
      </c>
      <c r="N66" s="400">
        <v>0</v>
      </c>
      <c r="O66" s="400">
        <v>0</v>
      </c>
      <c r="P66" s="400">
        <v>7</v>
      </c>
      <c r="Q66" s="400">
        <v>12</v>
      </c>
      <c r="R66" s="400">
        <v>10</v>
      </c>
      <c r="S66" s="400">
        <v>0</v>
      </c>
      <c r="T66" s="29">
        <f t="shared" si="11"/>
        <v>29</v>
      </c>
    </row>
    <row r="67" spans="1:20">
      <c r="A67" s="374" t="s">
        <v>256</v>
      </c>
      <c r="B67" s="353">
        <v>28170.518915940509</v>
      </c>
      <c r="C67" s="400">
        <v>0</v>
      </c>
      <c r="D67" s="400">
        <v>1</v>
      </c>
      <c r="E67" s="400">
        <v>1</v>
      </c>
      <c r="F67" s="400">
        <v>0</v>
      </c>
      <c r="G67" s="400">
        <v>0</v>
      </c>
      <c r="H67" s="400">
        <v>0</v>
      </c>
      <c r="I67" s="29">
        <f>SUM(C67:H67)</f>
        <v>2</v>
      </c>
      <c r="L67" s="374" t="s">
        <v>247</v>
      </c>
      <c r="M67" s="400">
        <v>710993.4</v>
      </c>
      <c r="N67" s="400">
        <v>0</v>
      </c>
      <c r="O67" s="400">
        <v>0</v>
      </c>
      <c r="P67" s="400">
        <v>7</v>
      </c>
      <c r="Q67" s="400">
        <v>12</v>
      </c>
      <c r="R67" s="400">
        <v>10</v>
      </c>
      <c r="S67" s="400">
        <v>0</v>
      </c>
      <c r="T67" s="29">
        <f t="shared" si="11"/>
        <v>29</v>
      </c>
    </row>
    <row r="68" spans="1:20">
      <c r="A68" s="374" t="s">
        <v>247</v>
      </c>
      <c r="B68" s="353">
        <v>64731.889643540359</v>
      </c>
      <c r="C68" s="400">
        <v>0</v>
      </c>
      <c r="D68" s="400">
        <v>0</v>
      </c>
      <c r="E68" s="400">
        <v>1</v>
      </c>
      <c r="F68" s="400">
        <v>0</v>
      </c>
      <c r="G68" s="400">
        <v>0</v>
      </c>
      <c r="H68" s="400">
        <v>0</v>
      </c>
      <c r="I68" s="29">
        <f t="shared" si="10"/>
        <v>1</v>
      </c>
      <c r="L68" s="32" t="s">
        <v>342</v>
      </c>
      <c r="M68" s="400">
        <v>780707.20000000007</v>
      </c>
      <c r="N68" s="400">
        <v>0</v>
      </c>
      <c r="O68" s="400">
        <v>2</v>
      </c>
      <c r="P68" s="400">
        <v>12</v>
      </c>
      <c r="Q68" s="400">
        <v>7</v>
      </c>
      <c r="R68" s="400">
        <v>10</v>
      </c>
      <c r="S68" s="400">
        <v>0</v>
      </c>
      <c r="T68" s="29">
        <f t="shared" si="11"/>
        <v>31</v>
      </c>
    </row>
    <row r="69" spans="1:20">
      <c r="A69" s="32" t="s">
        <v>340</v>
      </c>
      <c r="B69" s="353">
        <v>16126.975966556769</v>
      </c>
      <c r="C69" s="400">
        <v>0</v>
      </c>
      <c r="D69" s="400">
        <v>1</v>
      </c>
      <c r="E69" s="400">
        <v>1</v>
      </c>
      <c r="F69" s="400">
        <v>0</v>
      </c>
      <c r="G69" s="400">
        <v>0</v>
      </c>
      <c r="H69" s="400">
        <v>0</v>
      </c>
      <c r="I69" s="29">
        <f t="shared" si="10"/>
        <v>2</v>
      </c>
      <c r="L69" s="374" t="s">
        <v>247</v>
      </c>
      <c r="M69" s="400">
        <v>780707.20000000007</v>
      </c>
      <c r="N69" s="400">
        <v>0</v>
      </c>
      <c r="O69" s="400">
        <v>2</v>
      </c>
      <c r="P69" s="400">
        <v>12</v>
      </c>
      <c r="Q69" s="400">
        <v>7</v>
      </c>
      <c r="R69" s="400">
        <v>10</v>
      </c>
      <c r="S69" s="400">
        <v>0</v>
      </c>
      <c r="T69" s="29">
        <f t="shared" si="11"/>
        <v>31</v>
      </c>
    </row>
    <row r="70" spans="1:20">
      <c r="A70" s="374" t="s">
        <v>256</v>
      </c>
      <c r="B70" s="353">
        <v>16126.975966556769</v>
      </c>
      <c r="C70" s="400">
        <v>0</v>
      </c>
      <c r="D70" s="400">
        <v>1</v>
      </c>
      <c r="E70" s="400">
        <v>1</v>
      </c>
      <c r="F70" s="400">
        <v>0</v>
      </c>
      <c r="G70" s="400">
        <v>0</v>
      </c>
      <c r="H70" s="400">
        <v>0</v>
      </c>
      <c r="I70" s="29">
        <f t="shared" si="10"/>
        <v>2</v>
      </c>
      <c r="L70" s="32" t="s">
        <v>343</v>
      </c>
      <c r="M70" s="400">
        <v>2918091.8</v>
      </c>
      <c r="N70" s="400">
        <v>0</v>
      </c>
      <c r="O70" s="400">
        <v>2</v>
      </c>
      <c r="P70" s="400">
        <v>12</v>
      </c>
      <c r="Q70" s="400">
        <v>12</v>
      </c>
      <c r="R70" s="400">
        <v>12</v>
      </c>
      <c r="S70" s="400">
        <v>0</v>
      </c>
      <c r="T70" s="29">
        <f t="shared" si="11"/>
        <v>38</v>
      </c>
    </row>
    <row r="71" spans="1:20">
      <c r="A71" s="32" t="s">
        <v>342</v>
      </c>
      <c r="B71" s="353">
        <v>19124.939447519246</v>
      </c>
      <c r="C71" s="400">
        <v>0</v>
      </c>
      <c r="D71" s="400">
        <v>1</v>
      </c>
      <c r="E71" s="400">
        <v>0</v>
      </c>
      <c r="F71" s="400">
        <v>0</v>
      </c>
      <c r="G71" s="400">
        <v>0</v>
      </c>
      <c r="H71" s="400">
        <v>0</v>
      </c>
      <c r="I71" s="29">
        <f t="shared" si="10"/>
        <v>1</v>
      </c>
      <c r="L71" s="374" t="s">
        <v>247</v>
      </c>
      <c r="M71" s="400">
        <v>2918091.8</v>
      </c>
      <c r="N71" s="400">
        <v>0</v>
      </c>
      <c r="O71" s="400">
        <v>2</v>
      </c>
      <c r="P71" s="400">
        <v>12</v>
      </c>
      <c r="Q71" s="400">
        <v>12</v>
      </c>
      <c r="R71" s="400">
        <v>12</v>
      </c>
      <c r="S71" s="400">
        <v>0</v>
      </c>
      <c r="T71" s="29">
        <f t="shared" si="11"/>
        <v>38</v>
      </c>
    </row>
    <row r="72" spans="1:20">
      <c r="A72" s="374" t="s">
        <v>256</v>
      </c>
      <c r="B72" s="353">
        <v>19124.939447519246</v>
      </c>
      <c r="C72" s="400">
        <v>0</v>
      </c>
      <c r="D72" s="400">
        <v>1</v>
      </c>
      <c r="E72" s="400">
        <v>0</v>
      </c>
      <c r="F72" s="400">
        <v>0</v>
      </c>
      <c r="G72" s="400">
        <v>0</v>
      </c>
      <c r="H72" s="400">
        <v>0</v>
      </c>
      <c r="I72" s="29">
        <f t="shared" si="10"/>
        <v>1</v>
      </c>
      <c r="L72" s="32" t="s">
        <v>341</v>
      </c>
      <c r="M72" s="400">
        <v>5453575.3999999994</v>
      </c>
      <c r="N72" s="400">
        <v>0</v>
      </c>
      <c r="O72" s="400">
        <v>2</v>
      </c>
      <c r="P72" s="400">
        <v>12</v>
      </c>
      <c r="Q72" s="400">
        <v>12</v>
      </c>
      <c r="R72" s="400">
        <v>12</v>
      </c>
      <c r="S72" s="400">
        <v>6</v>
      </c>
    </row>
    <row r="73" spans="1:20" ht="15">
      <c r="A73" s="32" t="s">
        <v>343</v>
      </c>
      <c r="B73" s="353">
        <v>157480.95409393753</v>
      </c>
      <c r="C73" s="400">
        <v>1</v>
      </c>
      <c r="D73" s="400">
        <v>1</v>
      </c>
      <c r="E73" s="400">
        <v>1</v>
      </c>
      <c r="F73" s="400">
        <v>0</v>
      </c>
      <c r="G73" s="400">
        <v>0</v>
      </c>
      <c r="H73" s="400">
        <v>0</v>
      </c>
      <c r="I73" s="29">
        <f t="shared" si="10"/>
        <v>3</v>
      </c>
      <c r="L73"/>
      <c r="M73"/>
      <c r="N73"/>
      <c r="O73"/>
      <c r="P73"/>
      <c r="Q73"/>
      <c r="R73"/>
      <c r="S73"/>
    </row>
    <row r="74" spans="1:20" ht="15">
      <c r="A74" s="374" t="s">
        <v>223</v>
      </c>
      <c r="B74" s="353">
        <v>107652.73347931981</v>
      </c>
      <c r="C74" s="400">
        <v>0</v>
      </c>
      <c r="D74" s="400">
        <v>0</v>
      </c>
      <c r="E74" s="400">
        <v>1</v>
      </c>
      <c r="F74" s="400">
        <v>0</v>
      </c>
      <c r="G74" s="400">
        <v>0</v>
      </c>
      <c r="H74" s="400">
        <v>0</v>
      </c>
      <c r="I74" s="29">
        <f t="shared" si="10"/>
        <v>1</v>
      </c>
      <c r="L74"/>
      <c r="M74"/>
      <c r="N74"/>
      <c r="O74"/>
      <c r="P74"/>
      <c r="Q74"/>
      <c r="R74"/>
      <c r="S74"/>
    </row>
    <row r="75" spans="1:20" ht="15">
      <c r="A75" s="374" t="s">
        <v>256</v>
      </c>
      <c r="B75" s="353">
        <v>49828.220614617705</v>
      </c>
      <c r="C75" s="400">
        <v>1</v>
      </c>
      <c r="D75" s="400">
        <v>1</v>
      </c>
      <c r="E75" s="400">
        <v>1</v>
      </c>
      <c r="F75" s="400">
        <v>0</v>
      </c>
      <c r="G75" s="400">
        <v>0</v>
      </c>
      <c r="H75" s="400">
        <v>0</v>
      </c>
      <c r="I75" s="29">
        <f t="shared" si="10"/>
        <v>3</v>
      </c>
      <c r="L75"/>
      <c r="M75"/>
      <c r="N75"/>
      <c r="O75"/>
      <c r="P75"/>
      <c r="Q75"/>
      <c r="R75"/>
      <c r="S75"/>
    </row>
    <row r="76" spans="1:20" ht="15">
      <c r="A76" s="32" t="s">
        <v>341</v>
      </c>
      <c r="B76" s="353">
        <v>437153.04158234497</v>
      </c>
      <c r="C76" s="400">
        <v>1</v>
      </c>
      <c r="D76" s="400">
        <v>1</v>
      </c>
      <c r="E76" s="400">
        <v>1</v>
      </c>
      <c r="F76" s="400">
        <v>0</v>
      </c>
      <c r="G76" s="400">
        <v>0</v>
      </c>
      <c r="H76" s="400">
        <v>0</v>
      </c>
      <c r="L76"/>
      <c r="M76"/>
      <c r="N76"/>
      <c r="O76"/>
      <c r="P76"/>
      <c r="Q76"/>
      <c r="R76"/>
      <c r="S76"/>
    </row>
    <row r="77" spans="1:20" ht="15">
      <c r="A77"/>
      <c r="B77"/>
      <c r="C77"/>
      <c r="D77"/>
      <c r="E77"/>
      <c r="F77"/>
      <c r="G77"/>
      <c r="H77"/>
      <c r="L77"/>
      <c r="M77"/>
      <c r="N77"/>
      <c r="O77"/>
      <c r="P77"/>
      <c r="Q77"/>
      <c r="R77"/>
      <c r="S77"/>
    </row>
    <row r="78" spans="1:20" ht="15">
      <c r="A78"/>
      <c r="B78"/>
      <c r="C78"/>
      <c r="D78"/>
      <c r="E78"/>
      <c r="F78"/>
      <c r="G78"/>
      <c r="H78"/>
      <c r="L78"/>
      <c r="M78"/>
      <c r="N78"/>
      <c r="O78"/>
      <c r="P78"/>
      <c r="Q78"/>
      <c r="R78"/>
      <c r="S78"/>
    </row>
    <row r="79" spans="1:20" ht="15">
      <c r="A79" s="374" t="s">
        <v>870</v>
      </c>
      <c r="B79"/>
      <c r="C79" t="s">
        <v>891</v>
      </c>
      <c r="D79"/>
      <c r="E79"/>
      <c r="F79"/>
      <c r="G79"/>
      <c r="H79"/>
      <c r="L79" s="374" t="s">
        <v>871</v>
      </c>
      <c r="M79"/>
      <c r="N79" t="s">
        <v>891</v>
      </c>
      <c r="O79"/>
      <c r="P79"/>
      <c r="Q79"/>
      <c r="R79"/>
    </row>
    <row r="80" spans="1:20">
      <c r="A80" s="376" t="s">
        <v>844</v>
      </c>
      <c r="B80" s="376"/>
      <c r="C80" s="376">
        <v>2011</v>
      </c>
      <c r="D80" s="376">
        <v>2012</v>
      </c>
      <c r="E80" s="376">
        <v>2013</v>
      </c>
      <c r="F80" s="376">
        <v>2014</v>
      </c>
      <c r="G80" s="376">
        <v>2015</v>
      </c>
      <c r="H80" s="376">
        <v>2016</v>
      </c>
      <c r="L80" s="376" t="s">
        <v>844</v>
      </c>
      <c r="M80" s="376"/>
      <c r="N80" s="376">
        <v>2011</v>
      </c>
      <c r="O80" s="376">
        <v>2012</v>
      </c>
      <c r="P80" s="376">
        <v>2013</v>
      </c>
      <c r="Q80" s="376">
        <v>2014</v>
      </c>
      <c r="R80" s="376">
        <v>2015</v>
      </c>
      <c r="S80" s="376">
        <v>2016</v>
      </c>
    </row>
    <row r="81" spans="1:19">
      <c r="A81" s="401" t="s">
        <v>338</v>
      </c>
      <c r="B81" s="404"/>
      <c r="C81" s="404">
        <f>SUM(C82:C84)</f>
        <v>0</v>
      </c>
      <c r="D81" s="404">
        <f t="shared" ref="D81:H81" si="12">SUM(D82:D84)</f>
        <v>311.09135737956728</v>
      </c>
      <c r="E81" s="404">
        <f t="shared" si="12"/>
        <v>2464.7451032171116</v>
      </c>
      <c r="F81" s="404">
        <f t="shared" si="12"/>
        <v>0</v>
      </c>
      <c r="G81" s="404">
        <f t="shared" si="12"/>
        <v>0</v>
      </c>
      <c r="H81" s="404">
        <f t="shared" si="12"/>
        <v>0</v>
      </c>
      <c r="L81" s="401" t="s">
        <v>338</v>
      </c>
      <c r="M81" s="404"/>
      <c r="N81" s="404">
        <f>SUM(N82:N84)</f>
        <v>0</v>
      </c>
      <c r="O81" s="404">
        <f t="shared" ref="O81" si="13">SUM(O82:O84)</f>
        <v>0</v>
      </c>
      <c r="P81" s="404">
        <f t="shared" ref="P81" si="14">SUM(P82:P84)</f>
        <v>1710.5555555555554</v>
      </c>
      <c r="Q81" s="404">
        <f t="shared" ref="Q81" si="15">SUM(Q82:Q84)</f>
        <v>1710.5555555555554</v>
      </c>
      <c r="R81" s="404">
        <f t="shared" ref="R81" si="16">SUM(R82:R84)</f>
        <v>1710.5555555555554</v>
      </c>
      <c r="S81" s="404">
        <f t="shared" ref="S81" si="17">SUM(S82:S84)</f>
        <v>855.27777777777771</v>
      </c>
    </row>
    <row r="82" spans="1:19">
      <c r="A82" s="374" t="s">
        <v>223</v>
      </c>
      <c r="B82" s="353"/>
      <c r="C82" s="353">
        <f>((GETPIVOTDATA("Suma de Ton C&amp;D_Ex",$A$61,"Sector","Área El Volcán","Tipo de obra","Obras Civiles")/1.72)*GETPIVOTDATA("Máx. de MT2011",$A$61,"Sector","Área El Volcán","Tipo de obra","Obras Civiles")/$I$63)*$B$105/$B$104</f>
        <v>0</v>
      </c>
      <c r="D82" s="353">
        <f>((GETPIVOTDATA("Suma de Ton C&amp;D_Ex",$A$61,"Sector","Área El Volcán","Tipo de obra","Obras Civiles")/1.72)*GETPIVOTDATA("Máx. de MT2012",$A$61,"Sector","Área El Volcán","Tipo de obra","Obras Civiles")/$I$63)*$B$105/$B$104</f>
        <v>0</v>
      </c>
      <c r="E82" s="353">
        <f>((GETPIVOTDATA("Suma de Ton C&amp;D_Ex",$A$61,"Sector","Área El Volcán","Tipo de obra","Obras Civiles")/1.72)*GETPIVOTDATA("Máx. de MT2013",$A$61,"Sector","Área El Volcán","Tipo de obra","Obras Civiles")/$I$63)*$B$105/$B$104</f>
        <v>2464.7451032171116</v>
      </c>
      <c r="F82" s="353">
        <f>((GETPIVOTDATA("Suma de Ton C&amp;D_Ex",$A$61,"Sector","Área El Volcán","Tipo de obra","Obras Civiles")/1.72)*GETPIVOTDATA("Máx. de MT2014",$A$61,"Sector","Área El Volcán","Tipo de obra","Obras Civiles")/$I$63)*$B$105/$B$104</f>
        <v>0</v>
      </c>
      <c r="G82" s="353">
        <f>((GETPIVOTDATA("Suma de Ton C&amp;D_Ex",$A$61,"Sector","Área El Volcán","Tipo de obra","Obras Civiles")/1.72)*GETPIVOTDATA("Máx. de MT2015",$A$61,"Sector","Área El Volcán","Tipo de obra","Obras Civiles")/$I$63)*$B$105/$B$104</f>
        <v>0</v>
      </c>
      <c r="H82" s="353">
        <f>((GETPIVOTDATA("Suma de Ton C&amp;D_Ex",$A$61,"Sector","Área El Volcán","Tipo de obra","Obras Civiles")/1.72)*GETPIVOTDATA("Máx. de MT2016",$A$61,"Sector","Área El Volcán","Tipo de obra","Obras Civiles")/$I$63)*$B$105/$B$104</f>
        <v>0</v>
      </c>
      <c r="L82" s="374" t="s">
        <v>223</v>
      </c>
      <c r="M82" s="353"/>
      <c r="N82" s="353"/>
      <c r="O82" s="353"/>
      <c r="P82" s="353"/>
      <c r="Q82" s="353"/>
      <c r="R82" s="353"/>
      <c r="S82" s="353"/>
    </row>
    <row r="83" spans="1:19">
      <c r="A83" s="374" t="s">
        <v>256</v>
      </c>
      <c r="B83" s="353"/>
      <c r="C83" s="353">
        <f>((GETPIVOTDATA("Suma de Ton C&amp;D_Ex",$A$61,"Sector","Área El Volcán","Tipo de obra","Obras Previas")/1.72)*GETPIVOTDATA("Máx. de MT2011",$A$61,"Sector","Área El Volcán","Tipo de obra","Obras Previas")/$I$64)*$B$105/$B$104</f>
        <v>0</v>
      </c>
      <c r="D83" s="353">
        <f>((GETPIVOTDATA("Suma de Ton C&amp;D_Ex",$A$61,"Sector","Área El Volcán","Tipo de obra","Obras Previas")/1.72)*GETPIVOTDATA("Máx. de MT2012",$A$61,"Sector","Área El Volcán","Tipo de obra","Obras Previas")/$I$64)*$B$105/$B$104</f>
        <v>311.09135737956728</v>
      </c>
      <c r="E83" s="353">
        <f>((GETPIVOTDATA("Suma de Ton C&amp;D_Ex",$A$61,"Sector","Área El Volcán","Tipo de obra","Obras Previas")/1.72)*GETPIVOTDATA("Máx. de MT2013",$A$61,"Sector","Área El Volcán","Tipo de obra","Obras Previas")/$I$64)*$B$105/$B$104</f>
        <v>0</v>
      </c>
      <c r="F83" s="353">
        <f>((GETPIVOTDATA("Suma de Ton C&amp;D_Ex",$A$61,"Sector","Área El Volcán","Tipo de obra","Obras Previas")/1.72)*GETPIVOTDATA("Máx. de MT2014",$A$61,"Sector","Área El Volcán","Tipo de obra","Obras Previas")/$I$64)*$B$105/$B$104</f>
        <v>0</v>
      </c>
      <c r="G83" s="353">
        <f>((GETPIVOTDATA("Suma de Ton C&amp;D_Ex",$A$61,"Sector","Área El Volcán","Tipo de obra","Obras Previas")/1.72)*GETPIVOTDATA("Máx. de MT2015",$A$61,"Sector","Área El Volcán","Tipo de obra","Obras Previas")/$I$64)*$B$105/$B$104</f>
        <v>0</v>
      </c>
      <c r="H83" s="353">
        <f>((GETPIVOTDATA("Suma de Ton C&amp;D_Ex",$A$61,"Sector","Área El Volcán","Tipo de obra","Obras Previas")/1.72)*GETPIVOTDATA("Máx. de MT2016",$A$61,"Sector","Área El Volcán","Tipo de obra","Obras Previas")/$I$64)*$B$105/$B$104</f>
        <v>0</v>
      </c>
      <c r="L83" s="374" t="s">
        <v>256</v>
      </c>
      <c r="M83" s="353"/>
      <c r="N83" s="353"/>
      <c r="O83" s="353"/>
      <c r="P83" s="353"/>
      <c r="Q83" s="353"/>
      <c r="R83" s="353"/>
      <c r="S83" s="353"/>
    </row>
    <row r="84" spans="1:19">
      <c r="A84" s="374" t="s">
        <v>247</v>
      </c>
      <c r="B84" s="353"/>
      <c r="C84" s="353"/>
      <c r="D84" s="353"/>
      <c r="E84" s="353"/>
      <c r="F84" s="353"/>
      <c r="G84" s="353"/>
      <c r="H84" s="353"/>
      <c r="L84" s="374" t="s">
        <v>247</v>
      </c>
      <c r="M84" s="353"/>
      <c r="N84" s="353">
        <f>((GETPIVOTDATA("Suma de Ton C&amp;D_mm",$L$61,"Sector","Área El Volcán","Tipo de obra","Túneles, cavernas  y chimeneas")/2.6)*GETPIVOTDATA("Máx. de MM2011",$L$61,"Sector","Área El Volcán","Tipo de obra","Túneles, cavernas  y chimeneas")/$T$63)*$B$105/$B$104</f>
        <v>0</v>
      </c>
      <c r="O84" s="353">
        <f>((GETPIVOTDATA("Suma de Ton C&amp;D_mm",$L$61,"Sector","Área El Volcán","Tipo de obra","Túneles, cavernas  y chimeneas")/2.6)*GETPIVOTDATA("Máx. de MM2012",$L$61,"Sector","Área El Volcán","Tipo de obra","Túneles, cavernas  y chimeneas")/$T$63)*$B$105/$B$104</f>
        <v>0</v>
      </c>
      <c r="P84" s="353">
        <f>((GETPIVOTDATA("Suma de Ton C&amp;D_mm",$L$61,"Sector","Área El Volcán","Tipo de obra","Túneles, cavernas  y chimeneas")/2.6)*GETPIVOTDATA("Máx. de MM2013",$L$61,"Sector","Área El Volcán","Tipo de obra","Túneles, cavernas  y chimeneas")/$T$63)*$B$105/$B$104</f>
        <v>1710.5555555555554</v>
      </c>
      <c r="Q84" s="353">
        <f>((GETPIVOTDATA("Suma de Ton C&amp;D_mm",$L$61,"Sector","Área El Volcán","Tipo de obra","Túneles, cavernas  y chimeneas")/2.6)*GETPIVOTDATA("Máx. de MM2014",$L$61,"Sector","Área El Volcán","Tipo de obra","Túneles, cavernas  y chimeneas")/$T$63)*$B$105/$B$104</f>
        <v>1710.5555555555554</v>
      </c>
      <c r="R84" s="353">
        <f>((GETPIVOTDATA("Suma de Ton C&amp;D_mm",$L$61,"Sector","Área El Volcán","Tipo de obra","Túneles, cavernas  y chimeneas")/2.6)*GETPIVOTDATA("Máx. de MM2015",$L$61,"Sector","Área El Volcán","Tipo de obra","Túneles, cavernas  y chimeneas")/$T$63)*$B$105/$B$104</f>
        <v>1710.5555555555554</v>
      </c>
      <c r="S84" s="353">
        <f>((GETPIVOTDATA("Suma de Ton C&amp;D_mm",$L$61,"Sector","Área El Volcán","Tipo de obra","Túneles, cavernas  y chimeneas")/2.6)*GETPIVOTDATA("Máx. de MM2016",$L$61,"Sector","Área El Volcán","Tipo de obra","Túneles, cavernas  y chimeneas")/$T$63)*$B$105/$B$104</f>
        <v>855.27777777777771</v>
      </c>
    </row>
    <row r="85" spans="1:19">
      <c r="A85" s="401" t="s">
        <v>339</v>
      </c>
      <c r="B85" s="404"/>
      <c r="C85" s="404">
        <f>SUM(C86:C88)</f>
        <v>0</v>
      </c>
      <c r="D85" s="404">
        <f t="shared" ref="D85:H85" si="18">SUM(D86:D88)</f>
        <v>454.95024089051208</v>
      </c>
      <c r="E85" s="404">
        <f t="shared" si="18"/>
        <v>4663.9216988465141</v>
      </c>
      <c r="F85" s="404">
        <f t="shared" si="18"/>
        <v>0</v>
      </c>
      <c r="G85" s="404">
        <f t="shared" si="18"/>
        <v>0</v>
      </c>
      <c r="H85" s="404">
        <f t="shared" si="18"/>
        <v>0</v>
      </c>
      <c r="L85" s="401" t="s">
        <v>339</v>
      </c>
      <c r="M85" s="404"/>
      <c r="N85" s="404">
        <f>SUM(N86:N88)</f>
        <v>0</v>
      </c>
      <c r="O85" s="404">
        <f t="shared" ref="O85" si="19">SUM(O86:O88)</f>
        <v>776.95767195767201</v>
      </c>
      <c r="P85" s="404">
        <f t="shared" ref="P85" si="20">SUM(P86:P88)</f>
        <v>4661.7460317460309</v>
      </c>
      <c r="Q85" s="404">
        <f t="shared" ref="Q85" si="21">SUM(Q86:Q88)</f>
        <v>4661.7460317460309</v>
      </c>
      <c r="R85" s="404">
        <f t="shared" ref="R85" si="22">SUM(R86:R88)</f>
        <v>4661.7460317460309</v>
      </c>
      <c r="S85" s="404">
        <f t="shared" ref="S85" si="23">SUM(S86:S88)</f>
        <v>1553.915343915344</v>
      </c>
    </row>
    <row r="86" spans="1:19">
      <c r="A86" s="374" t="s">
        <v>223</v>
      </c>
      <c r="B86" s="353"/>
      <c r="C86" s="353">
        <f>((GETPIVOTDATA("Suma de Ton C&amp;D_Ex",$A$61,"Sector","Área Yeso","Tipo de obra","Obras Civiles")/1.72)*GETPIVOTDATA("Máx. de MT2011",$A$61,"Sector","Área Yeso","Tipo de obra","Obras Civiles")/$I$66)*$B$105/$B$104</f>
        <v>0</v>
      </c>
      <c r="D86" s="353">
        <f>((GETPIVOTDATA("Suma de Ton C&amp;D_Ex",$A$61,"Sector","Área Yeso","Tipo de obra","Obras Civiles")/1.72)*GETPIVOTDATA("Máx. de MT2012",$A$61,"Sector","Área Yeso","Tipo de obra","Obras Civiles")/$I$66)*$B$105/$B$104</f>
        <v>0</v>
      </c>
      <c r="E86" s="353">
        <f>((GETPIVOTDATA("Suma de Ton C&amp;D_Ex",$A$61,"Sector","Área Yeso","Tipo de obra","Obras Civiles")/1.72)*GETPIVOTDATA("Máx. de MT2013",$A$61,"Sector","Área Yeso","Tipo de obra","Obras Civiles")/$I$66)*$B$105/$B$104</f>
        <v>2118.1481490561196</v>
      </c>
      <c r="F86" s="353">
        <f>((GETPIVOTDATA("Suma de Ton C&amp;D_Ex",$A$61,"Sector","Área Yeso","Tipo de obra","Obras Civiles")/1.72)*GETPIVOTDATA("Máx. de MT2014",$A$61,"Sector","Área Yeso","Tipo de obra","Obras Civiles")/$I$66)*$B$105/$B$104</f>
        <v>0</v>
      </c>
      <c r="G86" s="353">
        <f>((GETPIVOTDATA("Suma de Ton C&amp;D_Ex",$A$61,"Sector","Área Yeso","Tipo de obra","Obras Civiles")/1.72)*GETPIVOTDATA("Máx. de MT2015",$A$61,"Sector","Área Yeso","Tipo de obra","Obras Civiles")/$I$66)*$B$105/$B$104</f>
        <v>0</v>
      </c>
      <c r="H86" s="353">
        <f>((GETPIVOTDATA("Suma de Ton C&amp;D_Ex",$A$61,"Sector","Área Yeso","Tipo de obra","Obras Civiles")/1.72)*GETPIVOTDATA("Máx. de MT2016",$A$61,"Sector","Área Yeso","Tipo de obra","Obras Civiles")/$I$66)*$B$105/$B$104</f>
        <v>0</v>
      </c>
      <c r="L86" s="374" t="s">
        <v>223</v>
      </c>
      <c r="M86" s="353"/>
      <c r="N86" s="353"/>
      <c r="O86" s="353"/>
      <c r="P86" s="353"/>
      <c r="Q86" s="353"/>
      <c r="R86" s="353"/>
      <c r="S86" s="353"/>
    </row>
    <row r="87" spans="1:19">
      <c r="A87" s="374" t="s">
        <v>256</v>
      </c>
      <c r="B87" s="353"/>
      <c r="C87" s="353">
        <f>((GETPIVOTDATA("Suma de Ton C&amp;D_Ex",$A$61,"Sector","Área Yeso","Tipo de obra","Obras Previas")/1.72)*GETPIVOTDATA("Máx. de MT2011",$A$61,"Sector","Área Yeso","Tipo de obra","Obras Previas")/$I$67)*$B$105/$B$104</f>
        <v>0</v>
      </c>
      <c r="D87" s="353">
        <f>((GETPIVOTDATA("Suma de Ton C&amp;D_Ex",$A$61,"Sector","Área Yeso","Tipo de obra","Obras Previas")/1.72)*GETPIVOTDATA("Máx. de MT2012",$A$61,"Sector","Área Yeso","Tipo de obra","Obras Previas")/$I$67)*$B$105/$B$104</f>
        <v>454.95024089051208</v>
      </c>
      <c r="E87" s="353">
        <f>((GETPIVOTDATA("Suma de Ton C&amp;D_Ex",$A$61,"Sector","Área Yeso","Tipo de obra","Obras Previas")/1.72)*GETPIVOTDATA("Máx. de MT2013",$A$61,"Sector","Área Yeso","Tipo de obra","Obras Previas")/$I$67)*$B$105/$B$104</f>
        <v>454.95024089051208</v>
      </c>
      <c r="F87" s="353">
        <f>((GETPIVOTDATA("Suma de Ton C&amp;D_Ex",$A$61,"Sector","Área Yeso","Tipo de obra","Obras Previas")/1.72)*GETPIVOTDATA("Máx. de MT2014",$A$61,"Sector","Área Yeso","Tipo de obra","Obras Previas")/$I$67)*$B$105/$B$104</f>
        <v>0</v>
      </c>
      <c r="G87" s="353">
        <f>((GETPIVOTDATA("Suma de Ton C&amp;D_Ex",$A$61,"Sector","Área Yeso","Tipo de obra","Obras Previas")/1.72)*GETPIVOTDATA("Máx. de MT2015",$A$61,"Sector","Área Yeso","Tipo de obra","Obras Previas")/$I$67)*$B$105/$B$104</f>
        <v>0</v>
      </c>
      <c r="H87" s="353">
        <f>((GETPIVOTDATA("Suma de Ton C&amp;D_Ex",$A$61,"Sector","Área Yeso","Tipo de obra","Obras Previas")/1.72)*GETPIVOTDATA("Máx. de MT2016",$A$61,"Sector","Área Yeso","Tipo de obra","Obras Previas")/$I$67)*$B$105/$B$104</f>
        <v>0</v>
      </c>
      <c r="L87" s="374" t="s">
        <v>256</v>
      </c>
      <c r="M87" s="353"/>
      <c r="N87" s="353"/>
      <c r="O87" s="353"/>
      <c r="P87" s="353"/>
      <c r="Q87" s="353"/>
      <c r="R87" s="353"/>
      <c r="S87" s="353"/>
    </row>
    <row r="88" spans="1:19">
      <c r="A88" s="374" t="s">
        <v>247</v>
      </c>
      <c r="B88" s="353"/>
      <c r="C88" s="353">
        <f>((GETPIVOTDATA("Suma de Ton C&amp;D_Ex",$A$61,"Sector","Área Yeso","Tipo de obra","Túneles, cavernas  y chimeneas")/1.72)*GETPIVOTDATA("Máx. de MT2011",$A$61,"Sector","Área Yeso","Tipo de obra","Túneles, cavernas  y chimeneas")/$I$68)*$B$105/$B$104</f>
        <v>0</v>
      </c>
      <c r="D88" s="353">
        <f>((GETPIVOTDATA("Suma de Ton C&amp;D_Ex",$A$61,"Sector","Área Yeso","Tipo de obra","Túneles, cavernas  y chimeneas")/1.72)*GETPIVOTDATA("Máx. de MT2012",$A$61,"Sector","Área Yeso","Tipo de obra","Túneles, cavernas  y chimeneas")/$I$68)*$B$105/$B$104</f>
        <v>0</v>
      </c>
      <c r="E88" s="353">
        <f>((GETPIVOTDATA("Suma de Ton C&amp;D_Ex",$A$61,"Sector","Área Yeso","Tipo de obra","Túneles, cavernas  y chimeneas")/1.72)*GETPIVOTDATA("Máx. de MT2013",$A$61,"Sector","Área Yeso","Tipo de obra","Túneles, cavernas  y chimeneas")/$I$68)*$B$105/$B$104</f>
        <v>2090.8233088998822</v>
      </c>
      <c r="F88" s="353">
        <f>((GETPIVOTDATA("Suma de Ton C&amp;D_Ex",$A$61,"Sector","Área Yeso","Tipo de obra","Túneles, cavernas  y chimeneas")/1.72)*GETPIVOTDATA("Máx. de MT2014",$A$61,"Sector","Área Yeso","Tipo de obra","Túneles, cavernas  y chimeneas")/$I$68)*$B$105/$B$104</f>
        <v>0</v>
      </c>
      <c r="G88" s="353">
        <f>((GETPIVOTDATA("Suma de Ton C&amp;D_Ex",$A$61,"Sector","Área Yeso","Tipo de obra","Túneles, cavernas  y chimeneas")/1.72)*GETPIVOTDATA("Máx. de MT2015",$A$61,"Sector","Área Yeso","Tipo de obra","Túneles, cavernas  y chimeneas")/$I$68)*$B$105/$B$104</f>
        <v>0</v>
      </c>
      <c r="H88" s="353">
        <f>((GETPIVOTDATA("Suma de Ton C&amp;D_Ex",$A$61,"Sector","Área Yeso","Tipo de obra","Túneles, cavernas  y chimeneas")/1.72)*GETPIVOTDATA("Máx. de MT2016",$A$61,"Sector","Área Yeso","Tipo de obra","Túneles, cavernas  y chimeneas")/$I$68)*$B$105/$B$104</f>
        <v>0</v>
      </c>
      <c r="L88" s="374" t="s">
        <v>247</v>
      </c>
      <c r="M88" s="353"/>
      <c r="N88" s="353">
        <f>((GETPIVOTDATA("Suma de Ton C&amp;D_mm",$L$61,"Sector","Área Yeso","Tipo de obra","Túneles, cavernas  y chimeneas")/2.6)*GETPIVOTDATA("Máx. de MM2011",$L$61,"Sector","Área Yeso","Tipo de obra","Túneles, cavernas  y chimeneas")/$T$65)*$B$105/$B$104</f>
        <v>0</v>
      </c>
      <c r="O88" s="353">
        <f>((GETPIVOTDATA("Suma de Ton C&amp;D_mm",$L$61,"Sector","Área Yeso","Tipo de obra","Túneles, cavernas  y chimeneas")/2.6)*GETPIVOTDATA("Máx. de MM2012",$L$61,"Sector","Área Yeso","Tipo de obra","Túneles, cavernas  y chimeneas")/$T$65)*$B$105/$B$104</f>
        <v>776.95767195767201</v>
      </c>
      <c r="P88" s="353">
        <f>((GETPIVOTDATA("Suma de Ton C&amp;D_mm",$L$61,"Sector","Área Yeso","Tipo de obra","Túneles, cavernas  y chimeneas")/2.6)*GETPIVOTDATA("Máx. de MM2013",$L$61,"Sector","Área Yeso","Tipo de obra","Túneles, cavernas  y chimeneas")/$T$65)*$B$105/$B$104</f>
        <v>4661.7460317460309</v>
      </c>
      <c r="Q88" s="353">
        <f>((GETPIVOTDATA("Suma de Ton C&amp;D_mm",$L$61,"Sector","Área Yeso","Tipo de obra","Túneles, cavernas  y chimeneas")/2.6)*GETPIVOTDATA("Máx. de MM2014",$L$61,"Sector","Área Yeso","Tipo de obra","Túneles, cavernas  y chimeneas")/$T$65)*$B$105/$B$104</f>
        <v>4661.7460317460309</v>
      </c>
      <c r="R88" s="353">
        <f>((GETPIVOTDATA("Suma de Ton C&amp;D_mm",$L$61,"Sector","Área Yeso","Tipo de obra","Túneles, cavernas  y chimeneas")/2.6)*GETPIVOTDATA("Máx. de MM2015",$L$61,"Sector","Área Yeso","Tipo de obra","Túneles, cavernas  y chimeneas")/$T$65)*$B$105/$B$104</f>
        <v>4661.7460317460309</v>
      </c>
      <c r="S88" s="353">
        <f>((GETPIVOTDATA("Suma de Ton C&amp;D_mm",$L$61,"Sector","Área Yeso","Tipo de obra","Túneles, cavernas  y chimeneas")/2.6)*GETPIVOTDATA("Máx. de MM2016",$L$61,"Sector","Área Yeso","Tipo de obra","Túneles, cavernas  y chimeneas")/$T$65)*$B$105/$B$104</f>
        <v>1553.915343915344</v>
      </c>
    </row>
    <row r="89" spans="1:19">
      <c r="A89" s="401" t="s">
        <v>340</v>
      </c>
      <c r="B89" s="404"/>
      <c r="C89" s="404">
        <f t="shared" ref="C89:H89" si="24">SUM(C90:C91)</f>
        <v>0</v>
      </c>
      <c r="D89" s="404">
        <f t="shared" si="24"/>
        <v>260.4485782712656</v>
      </c>
      <c r="E89" s="404">
        <f t="shared" si="24"/>
        <v>260.4485782712656</v>
      </c>
      <c r="F89" s="404">
        <f t="shared" si="24"/>
        <v>0</v>
      </c>
      <c r="G89" s="404">
        <f t="shared" si="24"/>
        <v>0</v>
      </c>
      <c r="H89" s="404">
        <f t="shared" si="24"/>
        <v>0</v>
      </c>
      <c r="L89" s="401" t="s">
        <v>340</v>
      </c>
      <c r="M89" s="404"/>
      <c r="N89" s="404">
        <f>SUM(N90:N92)</f>
        <v>0</v>
      </c>
      <c r="O89" s="404">
        <f t="shared" ref="O89" si="25">SUM(O90:O92)</f>
        <v>0</v>
      </c>
      <c r="P89" s="404">
        <f t="shared" ref="P89" si="26">SUM(P90:P92)</f>
        <v>3667.0747126436777</v>
      </c>
      <c r="Q89" s="404">
        <f t="shared" ref="Q89" si="27">SUM(Q90:Q92)</f>
        <v>6286.4137931034484</v>
      </c>
      <c r="R89" s="404">
        <f t="shared" ref="R89" si="28">SUM(R90:R92)</f>
        <v>5238.6781609195396</v>
      </c>
      <c r="S89" s="404">
        <f t="shared" ref="S89" si="29">SUM(S90:S92)</f>
        <v>0</v>
      </c>
    </row>
    <row r="90" spans="1:19">
      <c r="A90" s="374" t="s">
        <v>256</v>
      </c>
      <c r="B90" s="353"/>
      <c r="C90" s="353">
        <f>((GETPIVOTDATA("Suma de Ton C&amp;D_Ex",$A$61,"Sector","Área Aucayes Alto","Tipo de obra","Obras Previas")/1.72)*GETPIVOTDATA("Máx. de MT2011",$A$61,"Sector","Área Aucayes Alto","Tipo de obra","Obras Previas")/$I$70)*$B$105/$B$104</f>
        <v>0</v>
      </c>
      <c r="D90" s="353">
        <f>((GETPIVOTDATA("Suma de Ton C&amp;D_Ex",$A$61,"Sector","Área Aucayes Alto","Tipo de obra","Obras Previas")/1.72)*GETPIVOTDATA("Máx. de MT2012",$A$61,"Sector","Área Aucayes Alto","Tipo de obra","Obras Previas")/$I$70)*$B$105/$B$104</f>
        <v>260.4485782712656</v>
      </c>
      <c r="E90" s="353">
        <f>((GETPIVOTDATA("Suma de Ton C&amp;D_Ex",$A$61,"Sector","Área Aucayes Alto","Tipo de obra","Obras Previas")/1.72)*GETPIVOTDATA("Máx. de MT2013",$A$61,"Sector","Área Aucayes Alto","Tipo de obra","Obras Previas")/$I$70)*$B$105/$B$104</f>
        <v>260.4485782712656</v>
      </c>
      <c r="F90" s="353">
        <f>((GETPIVOTDATA("Suma de Ton C&amp;D_Ex",$A$61,"Sector","Área Aucayes Alto","Tipo de obra","Obras Previas")/1.72)*GETPIVOTDATA("Máx. de MT2014",$A$61,"Sector","Área Aucayes Alto","Tipo de obra","Obras Previas")/$I$70)*$B$105/$B$104</f>
        <v>0</v>
      </c>
      <c r="G90" s="353">
        <f>((GETPIVOTDATA("Suma de Ton C&amp;D_Ex",$A$61,"Sector","Área Aucayes Alto","Tipo de obra","Obras Previas")/1.72)*GETPIVOTDATA("Máx. de MT2015",$A$61,"Sector","Área Aucayes Alto","Tipo de obra","Obras Previas")/$I$70)*$B$105/$B$104</f>
        <v>0</v>
      </c>
      <c r="H90" s="353">
        <f>((GETPIVOTDATA("Suma de Ton C&amp;D_Ex",$A$61,"Sector","Área Aucayes Alto","Tipo de obra","Obras Previas")/1.72)*GETPIVOTDATA("Máx. de MT2016",$A$61,"Sector","Área Aucayes Alto","Tipo de obra","Obras Previas")/$I$70)*$B$105/$B$104</f>
        <v>0</v>
      </c>
      <c r="L90" s="374" t="s">
        <v>223</v>
      </c>
      <c r="M90" s="353"/>
      <c r="N90" s="353"/>
      <c r="O90" s="353"/>
      <c r="P90" s="353"/>
      <c r="Q90" s="353"/>
      <c r="R90" s="353"/>
      <c r="S90" s="353"/>
    </row>
    <row r="91" spans="1:19">
      <c r="A91" s="374" t="s">
        <v>247</v>
      </c>
      <c r="B91" s="353"/>
      <c r="C91" s="353"/>
      <c r="D91" s="353"/>
      <c r="E91" s="353"/>
      <c r="F91" s="353"/>
      <c r="G91" s="353"/>
      <c r="H91" s="353"/>
      <c r="L91" s="374" t="s">
        <v>256</v>
      </c>
      <c r="M91" s="353"/>
      <c r="N91" s="353"/>
      <c r="O91" s="353"/>
      <c r="P91" s="353"/>
      <c r="Q91" s="353"/>
      <c r="R91" s="353"/>
      <c r="S91" s="353"/>
    </row>
    <row r="92" spans="1:19">
      <c r="A92" s="401" t="s">
        <v>342</v>
      </c>
      <c r="B92" s="404"/>
      <c r="C92" s="404">
        <f>SUM(C93:C94)</f>
        <v>0</v>
      </c>
      <c r="D92" s="404">
        <f t="shared" ref="D92:H92" si="30">SUM(D93:D94)</f>
        <v>617.73060231005309</v>
      </c>
      <c r="E92" s="404">
        <f t="shared" si="30"/>
        <v>0</v>
      </c>
      <c r="F92" s="404">
        <f t="shared" si="30"/>
        <v>0</v>
      </c>
      <c r="G92" s="404">
        <f t="shared" si="30"/>
        <v>0</v>
      </c>
      <c r="H92" s="404">
        <f t="shared" si="30"/>
        <v>0</v>
      </c>
      <c r="L92" s="374" t="s">
        <v>247</v>
      </c>
      <c r="M92" s="353"/>
      <c r="N92" s="353">
        <f>((GETPIVOTDATA("Suma de Ton C&amp;D_mm",$L$61,"Sector","Área Aucayes Alto","Tipo de obra","Túneles, cavernas  y chimeneas")/2.6)*GETPIVOTDATA("Máx. de MM2011",$L$61,"Sector","Área Aucayes Alto","Tipo de obra","Túneles, cavernas  y chimeneas")/$T$67)*$B$105/$B$104</f>
        <v>0</v>
      </c>
      <c r="O92" s="353">
        <f>((GETPIVOTDATA("Suma de Ton C&amp;D_mm",$L$61,"Sector","Área Aucayes Alto","Tipo de obra","Túneles, cavernas  y chimeneas")/2.6)*GETPIVOTDATA("Máx. de MM2012",$L$61,"Sector","Área Aucayes Alto","Tipo de obra","Túneles, cavernas  y chimeneas")/$T$67)*$B$105/$B$104</f>
        <v>0</v>
      </c>
      <c r="P92" s="353">
        <f>((GETPIVOTDATA("Suma de Ton C&amp;D_mm",$L$61,"Sector","Área Aucayes Alto","Tipo de obra","Túneles, cavernas  y chimeneas")/2.6)*GETPIVOTDATA("Máx. de MM2013",$L$61,"Sector","Área Aucayes Alto","Tipo de obra","Túneles, cavernas  y chimeneas")/$T$67)*$B$105/$B$104</f>
        <v>3667.0747126436777</v>
      </c>
      <c r="Q92" s="353">
        <f>((GETPIVOTDATA("Suma de Ton C&amp;D_mm",$L$61,"Sector","Área Aucayes Alto","Tipo de obra","Túneles, cavernas  y chimeneas")/2.6)*GETPIVOTDATA("Máx. de MM2014",$L$61,"Sector","Área Aucayes Alto","Tipo de obra","Túneles, cavernas  y chimeneas")/$T$67)*$B$105/$B$104</f>
        <v>6286.4137931034484</v>
      </c>
      <c r="R92" s="353">
        <f>((GETPIVOTDATA("Suma de Ton C&amp;D_mm",$L$61,"Sector","Área Aucayes Alto","Tipo de obra","Túneles, cavernas  y chimeneas")/2.6)*GETPIVOTDATA("Máx. de MM2015",$L$61,"Sector","Área Aucayes Alto","Tipo de obra","Túneles, cavernas  y chimeneas")/$T$67)*$B$105/$B$104</f>
        <v>5238.6781609195396</v>
      </c>
      <c r="S92" s="353">
        <f>((GETPIVOTDATA("Suma de Ton C&amp;D_mm",$L$61,"Sector","Área Aucayes Alto","Tipo de obra","Túneles, cavernas  y chimeneas")/2.6)*GETPIVOTDATA("Máx. de MM2016",$L$61,"Sector","Área Aucayes Alto","Tipo de obra","Túneles, cavernas  y chimeneas")/$T$67)*$B$105/$B$104</f>
        <v>0</v>
      </c>
    </row>
    <row r="93" spans="1:19">
      <c r="A93" s="374" t="s">
        <v>256</v>
      </c>
      <c r="B93" s="353"/>
      <c r="C93" s="353">
        <f>((GETPIVOTDATA("Suma de Ton C&amp;D_Ex",$A$61,"Sector","Área Alfalfal II","Tipo de obra","Obras Previas")/1.72)*GETPIVOTDATA("Máx. de MT2011",$A$61,"Sector","Área Alfalfal II","Tipo de obra","Obras Previas")/$I$72)*$B$105/$B$104</f>
        <v>0</v>
      </c>
      <c r="D93" s="353">
        <f>((GETPIVOTDATA("Suma de Ton C&amp;D_Ex",$A$61,"Sector","Área Alfalfal II","Tipo de obra","Obras Previas")/1.72)*GETPIVOTDATA("Máx. de MT2012",$A$61,"Sector","Área Alfalfal II","Tipo de obra","Obras Previas")/$I$72)*$B$105/$B$104</f>
        <v>617.73060231005309</v>
      </c>
      <c r="E93" s="353">
        <f>((GETPIVOTDATA("Suma de Ton C&amp;D_Ex",$A$61,"Sector","Área Alfalfal II","Tipo de obra","Obras Previas")/1.72)*GETPIVOTDATA("Máx. de MT2013",$A$61,"Sector","Área Alfalfal II","Tipo de obra","Obras Previas")/$I$72)*$B$105/$B$104</f>
        <v>0</v>
      </c>
      <c r="F93" s="353">
        <f>((GETPIVOTDATA("Suma de Ton C&amp;D_Ex",$A$61,"Sector","Área Alfalfal II","Tipo de obra","Obras Previas")/1.72)*GETPIVOTDATA("Máx. de MT2014",$A$61,"Sector","Área Alfalfal II","Tipo de obra","Obras Previas")/$I$72)*$B$105/$B$104</f>
        <v>0</v>
      </c>
      <c r="G93" s="353">
        <f>((GETPIVOTDATA("Suma de Ton C&amp;D_Ex",$A$61,"Sector","Área Alfalfal II","Tipo de obra","Obras Previas")/1.72)*GETPIVOTDATA("Máx. de MT2015",$A$61,"Sector","Área Alfalfal II","Tipo de obra","Obras Previas")/$I$72)*$B$105/$B$104</f>
        <v>0</v>
      </c>
      <c r="H93" s="353">
        <f>((GETPIVOTDATA("Suma de Ton C&amp;D_Ex",$A$61,"Sector","Área Alfalfal II","Tipo de obra","Obras Previas")/1.72)*GETPIVOTDATA("Máx. de MT2016",$A$61,"Sector","Área Alfalfal II","Tipo de obra","Obras Previas")/$I$72)*$B$105/$B$104</f>
        <v>0</v>
      </c>
      <c r="L93" s="401" t="s">
        <v>342</v>
      </c>
      <c r="M93" s="404"/>
      <c r="N93" s="404">
        <f>SUM(N94:N95)</f>
        <v>0</v>
      </c>
      <c r="O93" s="404">
        <f t="shared" ref="O93" si="31">SUM(O94:O95)</f>
        <v>1076.2437275985662</v>
      </c>
      <c r="P93" s="404">
        <f t="shared" ref="P93" si="32">SUM(P94:P95)</f>
        <v>6457.4623655913974</v>
      </c>
      <c r="Q93" s="404">
        <f t="shared" ref="Q93" si="33">SUM(Q94:Q95)</f>
        <v>3766.8530465949821</v>
      </c>
      <c r="R93" s="404">
        <f t="shared" ref="R93" si="34">SUM(R94:R95)</f>
        <v>5381.2186379928316</v>
      </c>
      <c r="S93" s="404">
        <f t="shared" ref="S93" si="35">SUM(S94:S95)</f>
        <v>0</v>
      </c>
    </row>
    <row r="94" spans="1:19">
      <c r="A94" s="374" t="s">
        <v>247</v>
      </c>
      <c r="B94" s="353"/>
      <c r="C94" s="353"/>
      <c r="D94" s="353"/>
      <c r="E94" s="353"/>
      <c r="F94" s="353"/>
      <c r="G94" s="353"/>
      <c r="H94" s="353"/>
      <c r="L94" s="374" t="s">
        <v>256</v>
      </c>
      <c r="M94" s="353"/>
      <c r="N94" s="353"/>
      <c r="O94" s="353"/>
      <c r="P94" s="353"/>
      <c r="Q94" s="353"/>
      <c r="R94" s="353"/>
      <c r="S94" s="353"/>
    </row>
    <row r="95" spans="1:19">
      <c r="A95" s="401" t="s">
        <v>343</v>
      </c>
      <c r="B95" s="404"/>
      <c r="C95" s="404">
        <f>SUM(C96:C98)</f>
        <v>536.47955011431634</v>
      </c>
      <c r="D95" s="404">
        <f t="shared" ref="D95:H95" si="36">SUM(D96:D98)</f>
        <v>536.47955011431634</v>
      </c>
      <c r="E95" s="404">
        <f t="shared" si="36"/>
        <v>4013.6350242525527</v>
      </c>
      <c r="F95" s="404">
        <f t="shared" si="36"/>
        <v>0</v>
      </c>
      <c r="G95" s="404">
        <f t="shared" si="36"/>
        <v>0</v>
      </c>
      <c r="H95" s="404">
        <f t="shared" si="36"/>
        <v>0</v>
      </c>
      <c r="L95" s="374" t="s">
        <v>247</v>
      </c>
      <c r="M95" s="353"/>
      <c r="N95" s="353">
        <f>((GETPIVOTDATA("Suma de Ton C&amp;D_mm",$L$61,"Sector","Área Alfalfal II","Tipo de obra","Túneles, cavernas  y chimeneas")/2.6)*GETPIVOTDATA("Máx. de MM2011",$L$61,"Sector","Área Alfalfal II","Tipo de obra","Túneles, cavernas  y chimeneas")/$T$69)*$B$105/$B$104</f>
        <v>0</v>
      </c>
      <c r="O95" s="353">
        <f>((GETPIVOTDATA("Suma de Ton C&amp;D_mm",$L$61,"Sector","Área Alfalfal II","Tipo de obra","Túneles, cavernas  y chimeneas")/2.6)*GETPIVOTDATA("Máx. de MM2012",$L$61,"Sector","Área Alfalfal II","Tipo de obra","Túneles, cavernas  y chimeneas")/$T$69)*$B$105/$B$104</f>
        <v>1076.2437275985662</v>
      </c>
      <c r="P95" s="353">
        <f>((GETPIVOTDATA("Suma de Ton C&amp;D_mm",$L$61,"Sector","Área Alfalfal II","Tipo de obra","Túneles, cavernas  y chimeneas")/2.6)*GETPIVOTDATA("Máx. de MM2013",$L$61,"Sector","Área Alfalfal II","Tipo de obra","Túneles, cavernas  y chimeneas")/$T$69)*$B$105/$B$104</f>
        <v>6457.4623655913974</v>
      </c>
      <c r="Q95" s="353">
        <f>((GETPIVOTDATA("Suma de Ton C&amp;D_mm",$L$61,"Sector","Área Alfalfal II","Tipo de obra","Túneles, cavernas  y chimeneas")/2.6)*GETPIVOTDATA("Máx. de MM2014",$L$61,"Sector","Área Alfalfal II","Tipo de obra","Túneles, cavernas  y chimeneas")/$T$69)*$B$105/$B$104</f>
        <v>3766.8530465949821</v>
      </c>
      <c r="R95" s="353">
        <f>((GETPIVOTDATA("Suma de Ton C&amp;D_mm",$L$61,"Sector","Área Alfalfal II","Tipo de obra","Túneles, cavernas  y chimeneas")/2.6)*GETPIVOTDATA("Máx. de MM2015",$L$61,"Sector","Área Alfalfal II","Tipo de obra","Túneles, cavernas  y chimeneas")/$T$69)*$B$105/$B$104</f>
        <v>5381.2186379928316</v>
      </c>
      <c r="S95" s="353">
        <f>((GETPIVOTDATA("Suma de Ton C&amp;D_mm",$L$61,"Sector","Área Alfalfal II","Tipo de obra","Túneles, cavernas  y chimeneas")/2.6)*GETPIVOTDATA("Máx. de MM2016",$L$61,"Sector","Área Alfalfal II","Tipo de obra","Túneles, cavernas  y chimeneas")/$T$69)*$B$105/$B$104</f>
        <v>0</v>
      </c>
    </row>
    <row r="96" spans="1:19">
      <c r="A96" s="374" t="s">
        <v>223</v>
      </c>
      <c r="B96" s="353"/>
      <c r="C96" s="353">
        <f>((GETPIVOTDATA("Suma de Ton C&amp;D_Ex",$A$61,"Sector","Área Las Lajas-Maipo","Tipo de obra","Obras Civiles")/1.72)*GETPIVOTDATA("Máx. de MT2011",$A$61,"Sector","Área Las Lajas-Maipo","Tipo de obra","Obras Civiles")/$I$74)*$B$105/$B$104</f>
        <v>0</v>
      </c>
      <c r="D96" s="353">
        <f>((GETPIVOTDATA("Suma de Ton C&amp;D_Ex",$A$61,"Sector","Área Las Lajas-Maipo","Tipo de obra","Obras Civiles")/1.72)*GETPIVOTDATA("Máx. de MT2012",$A$61,"Sector","Área Las Lajas-Maipo","Tipo de obra","Obras Civiles")/$I$74)*$B$105/$B$104</f>
        <v>0</v>
      </c>
      <c r="E96" s="353">
        <f>((GETPIVOTDATA("Suma de Ton C&amp;D_Ex",$A$61,"Sector","Área Las Lajas-Maipo","Tipo de obra","Obras Civiles")/1.72)*GETPIVOTDATA("Máx. de MT2013",$A$61,"Sector","Área Las Lajas-Maipo","Tipo de obra","Obras Civiles")/$I$74)*$B$105/$B$104</f>
        <v>3477.1554741382365</v>
      </c>
      <c r="F96" s="353">
        <f>((GETPIVOTDATA("Suma de Ton C&amp;D_Ex",$A$61,"Sector","Área Las Lajas-Maipo","Tipo de obra","Obras Civiles")/1.72)*GETPIVOTDATA("Máx. de MT2014",$A$61,"Sector","Área Las Lajas-Maipo","Tipo de obra","Obras Civiles")/$I$74)*$B$105/$B$104</f>
        <v>0</v>
      </c>
      <c r="G96" s="353">
        <f>((GETPIVOTDATA("Suma de Ton C&amp;D_Ex",$A$61,"Sector","Área Las Lajas-Maipo","Tipo de obra","Obras Civiles")/1.72)*GETPIVOTDATA("Máx. de MT2015",$A$61,"Sector","Área Las Lajas-Maipo","Tipo de obra","Obras Civiles")/$I$74)*$B$105/$B$104</f>
        <v>0</v>
      </c>
      <c r="H96" s="353">
        <f>((GETPIVOTDATA("Suma de Ton C&amp;D_Ex",$A$61,"Sector","Área Las Lajas-Maipo","Tipo de obra","Obras Civiles")/1.72)*GETPIVOTDATA("Máx. de MT2016",$A$61,"Sector","Área Las Lajas-Maipo","Tipo de obra","Obras Civiles")/$I$74)*$B$105/$B$104</f>
        <v>0</v>
      </c>
      <c r="L96" s="401" t="s">
        <v>343</v>
      </c>
      <c r="M96" s="404"/>
      <c r="N96" s="404">
        <f>SUM(N97:N99)</f>
        <v>0</v>
      </c>
      <c r="O96" s="404">
        <f t="shared" ref="O96" si="37">SUM(O97:O99)</f>
        <v>3281.7046783625724</v>
      </c>
      <c r="P96" s="404">
        <f t="shared" ref="P96" si="38">SUM(P97:P99)</f>
        <v>19690.228070175439</v>
      </c>
      <c r="Q96" s="404">
        <f t="shared" ref="Q96" si="39">SUM(Q97:Q99)</f>
        <v>19690.228070175439</v>
      </c>
      <c r="R96" s="404">
        <f t="shared" ref="R96" si="40">SUM(R97:R99)</f>
        <v>19690.228070175439</v>
      </c>
      <c r="S96" s="404">
        <f t="shared" ref="S96" si="41">SUM(S97:S99)</f>
        <v>0</v>
      </c>
    </row>
    <row r="97" spans="1:19">
      <c r="A97" s="374" t="s">
        <v>256</v>
      </c>
      <c r="B97" s="353"/>
      <c r="C97" s="353">
        <f>((GETPIVOTDATA("Suma de Ton C&amp;D_Ex",$A$61,"Sector","Área Las Lajas-Maipo","Tipo de obra","Obras Previas")/1.72)*GETPIVOTDATA("Máx. de MT2011",$A$61,"Sector","Área Las Lajas-Maipo","Tipo de obra","Obras Previas")/$I$75)*$B$105/$B$104</f>
        <v>536.47955011431634</v>
      </c>
      <c r="D97" s="353">
        <f>((GETPIVOTDATA("Suma de Ton C&amp;D_Ex",$A$61,"Sector","Área Las Lajas-Maipo","Tipo de obra","Obras Previas")/1.72)*GETPIVOTDATA("Máx. de MT2012",$A$61,"Sector","Área Las Lajas-Maipo","Tipo de obra","Obras Previas")/$I$75)*$B$105/$B$104</f>
        <v>536.47955011431634</v>
      </c>
      <c r="E97" s="353">
        <f>((GETPIVOTDATA("Suma de Ton C&amp;D_Ex",$A$61,"Sector","Área Las Lajas-Maipo","Tipo de obra","Obras Previas")/1.72)*GETPIVOTDATA("Máx. de MT2013",$A$61,"Sector","Área Las Lajas-Maipo","Tipo de obra","Obras Previas")/$I$75)*$B$105/$B$104</f>
        <v>536.47955011431634</v>
      </c>
      <c r="F97" s="353">
        <f>((GETPIVOTDATA("Suma de Ton C&amp;D_Ex",$A$61,"Sector","Área Las Lajas-Maipo","Tipo de obra","Obras Previas")/1.72)*GETPIVOTDATA("Máx. de MT2014",$A$61,"Sector","Área Las Lajas-Maipo","Tipo de obra","Obras Previas")/$I$75)*$B$105/$B$104</f>
        <v>0</v>
      </c>
      <c r="G97" s="353">
        <f>((GETPIVOTDATA("Suma de Ton C&amp;D_Ex",$A$61,"Sector","Área Las Lajas-Maipo","Tipo de obra","Obras Previas")/1.72)*GETPIVOTDATA("Máx. de MT2015",$A$61,"Sector","Área Las Lajas-Maipo","Tipo de obra","Obras Previas")/$I$75)*$B$105/$B$104</f>
        <v>0</v>
      </c>
      <c r="H97" s="353">
        <f>((GETPIVOTDATA("Suma de Ton C&amp;D_Ex",$A$61,"Sector","Área Las Lajas-Maipo","Tipo de obra","Obras Previas")/1.72)*GETPIVOTDATA("Máx. de MT2016",$A$61,"Sector","Área Las Lajas-Maipo","Tipo de obra","Obras Previas")/$I$75)*$B$105/$B$104</f>
        <v>0</v>
      </c>
      <c r="L97" s="374" t="s">
        <v>223</v>
      </c>
      <c r="M97" s="353"/>
      <c r="N97" s="353"/>
      <c r="O97" s="353"/>
      <c r="P97" s="353"/>
      <c r="Q97" s="353"/>
      <c r="R97" s="353"/>
      <c r="S97" s="353"/>
    </row>
    <row r="98" spans="1:19">
      <c r="A98" s="374" t="s">
        <v>247</v>
      </c>
      <c r="B98" s="353"/>
      <c r="C98" s="353"/>
      <c r="D98" s="353"/>
      <c r="E98" s="353"/>
      <c r="F98" s="353"/>
      <c r="G98" s="353"/>
      <c r="H98" s="353"/>
      <c r="L98" s="374" t="s">
        <v>256</v>
      </c>
      <c r="M98" s="353"/>
      <c r="N98" s="353"/>
      <c r="O98" s="353"/>
      <c r="P98" s="353"/>
      <c r="Q98" s="353"/>
      <c r="R98" s="353"/>
      <c r="S98" s="353"/>
    </row>
    <row r="99" spans="1:19">
      <c r="A99" s="380" t="s">
        <v>341</v>
      </c>
      <c r="B99" s="405"/>
      <c r="C99" s="405">
        <f t="shared" ref="C99:H99" si="42">C81+C85+C89+C92+C95</f>
        <v>536.47955011431634</v>
      </c>
      <c r="D99" s="405">
        <f t="shared" si="42"/>
        <v>2180.7003289657141</v>
      </c>
      <c r="E99" s="405">
        <f t="shared" si="42"/>
        <v>11402.750404587445</v>
      </c>
      <c r="F99" s="405">
        <f t="shared" si="42"/>
        <v>0</v>
      </c>
      <c r="G99" s="405">
        <f t="shared" si="42"/>
        <v>0</v>
      </c>
      <c r="H99" s="405">
        <f t="shared" si="42"/>
        <v>0</v>
      </c>
      <c r="L99" s="374" t="s">
        <v>247</v>
      </c>
      <c r="M99" s="353"/>
      <c r="N99" s="353">
        <f>((GETPIVOTDATA("Suma de Ton C&amp;D_mm",$L$61,"Sector","Área Las Lajas-Maipo","Tipo de obra","Túneles, cavernas  y chimeneas")/2.6)*GETPIVOTDATA("Máx. de MM2011",$L$61,"Sector","Área Las Lajas-Maipo","Tipo de obra","Túneles, cavernas  y chimeneas")/$T$71)*$B$105/$B$104</f>
        <v>0</v>
      </c>
      <c r="O99" s="353">
        <f>((GETPIVOTDATA("Suma de Ton C&amp;D_mm",$L$61,"Sector","Área Las Lajas-Maipo","Tipo de obra","Túneles, cavernas  y chimeneas")/2.6)*GETPIVOTDATA("Máx. de MM2012",$L$61,"Sector","Área Las Lajas-Maipo","Tipo de obra","Túneles, cavernas  y chimeneas")/$T$71)*$B$105/$B$104</f>
        <v>3281.7046783625724</v>
      </c>
      <c r="P99" s="353">
        <f>((GETPIVOTDATA("Suma de Ton C&amp;D_mm",$L$61,"Sector","Área Las Lajas-Maipo","Tipo de obra","Túneles, cavernas  y chimeneas")/2.6)*GETPIVOTDATA("Máx. de MM2013",$L$61,"Sector","Área Las Lajas-Maipo","Tipo de obra","Túneles, cavernas  y chimeneas")/$T$71)*$B$105/$B$104</f>
        <v>19690.228070175439</v>
      </c>
      <c r="Q99" s="353">
        <f>((GETPIVOTDATA("Suma de Ton C&amp;D_mm",$L$61,"Sector","Área Las Lajas-Maipo","Tipo de obra","Túneles, cavernas  y chimeneas")/2.6)*GETPIVOTDATA("Máx. de MM2014",$L$61,"Sector","Área Las Lajas-Maipo","Tipo de obra","Túneles, cavernas  y chimeneas")/$T$71)*$B$105/$B$104</f>
        <v>19690.228070175439</v>
      </c>
      <c r="R99" s="353">
        <f>((GETPIVOTDATA("Suma de Ton C&amp;D_mm",$L$61,"Sector","Área Las Lajas-Maipo","Tipo de obra","Túneles, cavernas  y chimeneas")/2.6)*GETPIVOTDATA("Máx. de MM2015",$L$61,"Sector","Área Las Lajas-Maipo","Tipo de obra","Túneles, cavernas  y chimeneas")/$T$71)*$B$105/$B$104</f>
        <v>19690.228070175439</v>
      </c>
      <c r="S99" s="353">
        <f>((GETPIVOTDATA("Suma de Ton C&amp;D_mm",$L$61,"Sector","Área Las Lajas-Maipo","Tipo de obra","Túneles, cavernas  y chimeneas")/2.6)*GETPIVOTDATA("Máx. de MM2016",$L$61,"Sector","Área Las Lajas-Maipo","Tipo de obra","Túneles, cavernas  y chimeneas")/$T$71)*$B$105/$B$104</f>
        <v>0</v>
      </c>
    </row>
    <row r="100" spans="1:19">
      <c r="L100" s="380" t="s">
        <v>341</v>
      </c>
      <c r="M100" s="405"/>
      <c r="N100" s="405">
        <f>N81+N85+N89+N93+N96</f>
        <v>0</v>
      </c>
      <c r="O100" s="405">
        <f t="shared" ref="O100:S100" si="43">O81+O85+O89+O93+O96</f>
        <v>5134.9060779188112</v>
      </c>
      <c r="P100" s="405">
        <f t="shared" si="43"/>
        <v>36187.066735712098</v>
      </c>
      <c r="Q100" s="405">
        <f t="shared" si="43"/>
        <v>36115.796497175455</v>
      </c>
      <c r="R100" s="405">
        <f t="shared" si="43"/>
        <v>36682.426456389396</v>
      </c>
      <c r="S100" s="405">
        <f t="shared" si="43"/>
        <v>2409.1931216931216</v>
      </c>
    </row>
    <row r="102" spans="1:19" ht="15">
      <c r="A102" s="30" t="s">
        <v>875</v>
      </c>
      <c r="E102"/>
      <c r="F102"/>
      <c r="G102"/>
      <c r="H102"/>
      <c r="L102"/>
      <c r="M102"/>
      <c r="N102"/>
      <c r="O102"/>
      <c r="P102"/>
      <c r="Q102"/>
      <c r="R102"/>
    </row>
    <row r="103" spans="1:19" ht="15">
      <c r="A103" s="407" t="s">
        <v>854</v>
      </c>
      <c r="B103" s="30" t="s">
        <v>344</v>
      </c>
      <c r="C103" s="30" t="s">
        <v>295</v>
      </c>
      <c r="D103" s="30" t="s">
        <v>367</v>
      </c>
      <c r="E103"/>
      <c r="F103"/>
      <c r="G103"/>
      <c r="H103"/>
      <c r="L103"/>
      <c r="M103"/>
      <c r="N103"/>
      <c r="O103"/>
      <c r="P103"/>
      <c r="Q103"/>
      <c r="R103"/>
    </row>
    <row r="104" spans="1:19" ht="15">
      <c r="A104" s="374" t="s">
        <v>876</v>
      </c>
      <c r="B104" s="408">
        <v>3</v>
      </c>
      <c r="C104" s="29" t="s">
        <v>877</v>
      </c>
      <c r="D104" s="29" t="s">
        <v>878</v>
      </c>
      <c r="E104"/>
      <c r="F104"/>
      <c r="G104"/>
      <c r="H104"/>
      <c r="L104" s="30" t="s">
        <v>868</v>
      </c>
      <c r="M104" s="30" t="s">
        <v>874</v>
      </c>
      <c r="N104"/>
      <c r="O104"/>
      <c r="P104"/>
      <c r="Q104"/>
      <c r="R104"/>
      <c r="S104"/>
    </row>
    <row r="105" spans="1:19" ht="15">
      <c r="A105" s="374" t="s">
        <v>879</v>
      </c>
      <c r="B105" s="408">
        <f>10/60</f>
        <v>0.16666666666666666</v>
      </c>
      <c r="C105" s="29" t="s">
        <v>880</v>
      </c>
      <c r="D105" s="29" t="s">
        <v>878</v>
      </c>
      <c r="E105"/>
      <c r="F105"/>
      <c r="G105"/>
      <c r="H105"/>
      <c r="L105" s="367"/>
      <c r="M105" s="391" t="s">
        <v>853</v>
      </c>
      <c r="N105" s="367"/>
      <c r="O105" s="367"/>
      <c r="P105" s="367"/>
      <c r="Q105" s="367"/>
      <c r="R105" s="367"/>
      <c r="S105"/>
    </row>
    <row r="106" spans="1:19" ht="15">
      <c r="A106"/>
      <c r="B106"/>
      <c r="C106"/>
      <c r="D106"/>
      <c r="E106"/>
      <c r="F106"/>
      <c r="G106"/>
      <c r="H106"/>
      <c r="L106" s="391" t="s">
        <v>844</v>
      </c>
      <c r="M106" s="391">
        <v>2011</v>
      </c>
      <c r="N106" s="391">
        <v>2012</v>
      </c>
      <c r="O106" s="391">
        <v>2013</v>
      </c>
      <c r="P106" s="391">
        <v>2014</v>
      </c>
      <c r="Q106" s="391">
        <v>2015</v>
      </c>
      <c r="R106" s="391">
        <v>2016</v>
      </c>
      <c r="S106"/>
    </row>
    <row r="107" spans="1:19" ht="15">
      <c r="A107" s="376" t="s">
        <v>883</v>
      </c>
      <c r="B107" s="377" t="s">
        <v>81</v>
      </c>
      <c r="C107" s="377" t="s">
        <v>367</v>
      </c>
      <c r="D107" s="377"/>
      <c r="E107" s="377" t="s">
        <v>380</v>
      </c>
      <c r="F107" s="377" t="s">
        <v>881</v>
      </c>
      <c r="G107"/>
      <c r="H107"/>
      <c r="L107" s="401" t="s">
        <v>338</v>
      </c>
      <c r="M107" s="451">
        <f>SUM(M108:M110)</f>
        <v>0</v>
      </c>
      <c r="N107" s="451">
        <f t="shared" ref="N107" si="44">SUM(N108:N110)</f>
        <v>311.09135737956728</v>
      </c>
      <c r="O107" s="451">
        <f t="shared" ref="O107" si="45">SUM(O108:O110)</f>
        <v>4175.3006587726668</v>
      </c>
      <c r="P107" s="451">
        <f t="shared" ref="P107" si="46">SUM(P108:P110)</f>
        <v>1710.5555555555554</v>
      </c>
      <c r="Q107" s="451">
        <f t="shared" ref="Q107" si="47">SUM(Q108:Q110)</f>
        <v>1710.5555555555554</v>
      </c>
      <c r="R107" s="451">
        <f t="shared" ref="R107" si="48">SUM(R108:R110)</f>
        <v>855.27777777777771</v>
      </c>
      <c r="S107"/>
    </row>
    <row r="108" spans="1:19" ht="15">
      <c r="A108" s="378" t="s">
        <v>105</v>
      </c>
      <c r="B108" s="409">
        <v>20</v>
      </c>
      <c r="C108" s="410" t="s">
        <v>371</v>
      </c>
      <c r="D108" s="411">
        <v>74656.75381288935</v>
      </c>
      <c r="E108" s="410">
        <v>250</v>
      </c>
      <c r="F108" s="378" t="s">
        <v>882</v>
      </c>
      <c r="G108"/>
      <c r="H108"/>
      <c r="L108" s="374" t="s">
        <v>223</v>
      </c>
      <c r="M108" s="446">
        <f>C82+N82</f>
        <v>0</v>
      </c>
      <c r="N108" s="446">
        <f t="shared" ref="N108:R108" si="49">D82+O82</f>
        <v>0</v>
      </c>
      <c r="O108" s="446">
        <f t="shared" si="49"/>
        <v>2464.7451032171116</v>
      </c>
      <c r="P108" s="446">
        <f t="shared" si="49"/>
        <v>0</v>
      </c>
      <c r="Q108" s="446">
        <f t="shared" si="49"/>
        <v>0</v>
      </c>
      <c r="R108" s="446">
        <f t="shared" si="49"/>
        <v>0</v>
      </c>
      <c r="S108"/>
    </row>
    <row r="109" spans="1:19" ht="15">
      <c r="A109" s="378" t="s">
        <v>383</v>
      </c>
      <c r="B109" s="409">
        <v>15</v>
      </c>
      <c r="C109" s="410" t="s">
        <v>371</v>
      </c>
      <c r="D109" s="411">
        <v>55992.565359667016</v>
      </c>
      <c r="E109" s="410">
        <v>180</v>
      </c>
      <c r="F109" s="378" t="s">
        <v>882</v>
      </c>
      <c r="G109"/>
      <c r="H109"/>
      <c r="L109" s="374" t="s">
        <v>256</v>
      </c>
      <c r="M109" s="446">
        <f>C83+N83</f>
        <v>0</v>
      </c>
      <c r="N109" s="446">
        <f t="shared" ref="N109:R109" si="50">D83+O83</f>
        <v>311.09135737956728</v>
      </c>
      <c r="O109" s="446">
        <f t="shared" si="50"/>
        <v>0</v>
      </c>
      <c r="P109" s="446">
        <f t="shared" si="50"/>
        <v>0</v>
      </c>
      <c r="Q109" s="446">
        <f t="shared" si="50"/>
        <v>0</v>
      </c>
      <c r="R109" s="446">
        <f t="shared" si="50"/>
        <v>0</v>
      </c>
      <c r="S109"/>
    </row>
    <row r="110" spans="1:19" ht="15">
      <c r="A110" s="376" t="s">
        <v>884</v>
      </c>
      <c r="B110" s="376">
        <f>SUM(B108:B109)</f>
        <v>35</v>
      </c>
      <c r="C110"/>
      <c r="D110"/>
      <c r="E110"/>
      <c r="F110"/>
      <c r="G110"/>
      <c r="H110"/>
      <c r="L110" s="374" t="s">
        <v>247</v>
      </c>
      <c r="M110" s="446">
        <f>C84+N84</f>
        <v>0</v>
      </c>
      <c r="N110" s="446">
        <f t="shared" ref="N110" si="51">D84+O84</f>
        <v>0</v>
      </c>
      <c r="O110" s="446">
        <f t="shared" ref="O110" si="52">E84+P84</f>
        <v>1710.5555555555554</v>
      </c>
      <c r="P110" s="446">
        <f t="shared" ref="P110" si="53">F84+Q84</f>
        <v>1710.5555555555554</v>
      </c>
      <c r="Q110" s="446">
        <f>G84+R84</f>
        <v>1710.5555555555554</v>
      </c>
      <c r="R110" s="446">
        <f t="shared" ref="R110" si="54">H84+S84</f>
        <v>855.27777777777771</v>
      </c>
      <c r="S110"/>
    </row>
    <row r="111" spans="1:19" ht="15">
      <c r="A111"/>
      <c r="B111"/>
      <c r="C111"/>
      <c r="D111"/>
      <c r="E111"/>
      <c r="F111"/>
      <c r="G111"/>
      <c r="H111"/>
      <c r="L111" s="401" t="s">
        <v>339</v>
      </c>
      <c r="M111" s="444">
        <f>SUM(M112:M114)</f>
        <v>0</v>
      </c>
      <c r="N111" s="444">
        <f>SUM(N112:N114)</f>
        <v>1231.907912848184</v>
      </c>
      <c r="O111" s="444">
        <f t="shared" ref="O111" si="55">SUM(O112:O114)</f>
        <v>9325.6677305925441</v>
      </c>
      <c r="P111" s="444">
        <f t="shared" ref="P111" si="56">SUM(P112:P114)</f>
        <v>4661.7460317460309</v>
      </c>
      <c r="Q111" s="444">
        <f t="shared" ref="Q111" si="57">SUM(Q112:Q114)</f>
        <v>4661.7460317460309</v>
      </c>
      <c r="R111" s="444">
        <f t="shared" ref="R111" si="58">SUM(R112:R114)</f>
        <v>1553.915343915344</v>
      </c>
      <c r="S111"/>
    </row>
    <row r="112" spans="1:19" ht="15">
      <c r="A112" s="449"/>
      <c r="B112" s="406"/>
      <c r="C112" s="406"/>
      <c r="D112" s="406"/>
      <c r="E112" s="406"/>
      <c r="F112" s="406"/>
      <c r="G112" s="406"/>
      <c r="H112" s="447"/>
      <c r="L112" s="374" t="s">
        <v>223</v>
      </c>
      <c r="M112" s="446">
        <f>C86+N86</f>
        <v>0</v>
      </c>
      <c r="N112" s="446">
        <f t="shared" ref="N112:R112" si="59">D86+O86</f>
        <v>0</v>
      </c>
      <c r="O112" s="446">
        <f t="shared" si="59"/>
        <v>2118.1481490561196</v>
      </c>
      <c r="P112" s="446">
        <f t="shared" si="59"/>
        <v>0</v>
      </c>
      <c r="Q112" s="446">
        <f t="shared" si="59"/>
        <v>0</v>
      </c>
      <c r="R112" s="446">
        <f t="shared" si="59"/>
        <v>0</v>
      </c>
      <c r="S112"/>
    </row>
    <row r="113" spans="1:19" ht="15">
      <c r="A113" s="449"/>
      <c r="B113" s="406"/>
      <c r="C113" s="406"/>
      <c r="D113" s="406"/>
      <c r="E113" s="406"/>
      <c r="F113" s="406"/>
      <c r="G113" s="406"/>
      <c r="H113" s="447"/>
      <c r="L113" s="374" t="s">
        <v>256</v>
      </c>
      <c r="M113" s="446">
        <f>C87+N87</f>
        <v>0</v>
      </c>
      <c r="N113" s="446">
        <f t="shared" ref="N113:R113" si="60">D87+O87</f>
        <v>454.95024089051208</v>
      </c>
      <c r="O113" s="446">
        <f>E87+P87</f>
        <v>454.95024089051208</v>
      </c>
      <c r="P113" s="446">
        <f t="shared" si="60"/>
        <v>0</v>
      </c>
      <c r="Q113" s="446">
        <f t="shared" si="60"/>
        <v>0</v>
      </c>
      <c r="R113" s="446">
        <f t="shared" si="60"/>
        <v>0</v>
      </c>
      <c r="S113"/>
    </row>
    <row r="114" spans="1:19" ht="15">
      <c r="A114" s="449"/>
      <c r="B114" s="406"/>
      <c r="C114" s="406"/>
      <c r="D114" s="406"/>
      <c r="E114" s="406"/>
      <c r="F114" s="406"/>
      <c r="G114" s="406"/>
      <c r="H114" s="447"/>
      <c r="L114" s="374" t="s">
        <v>247</v>
      </c>
      <c r="M114" s="446">
        <f>C88+N88</f>
        <v>0</v>
      </c>
      <c r="N114" s="446">
        <f t="shared" ref="N114:R114" si="61">D88+O88</f>
        <v>776.95767195767201</v>
      </c>
      <c r="O114" s="446">
        <f t="shared" si="61"/>
        <v>6752.5693406459131</v>
      </c>
      <c r="P114" s="446">
        <f t="shared" si="61"/>
        <v>4661.7460317460309</v>
      </c>
      <c r="Q114" s="446">
        <f t="shared" si="61"/>
        <v>4661.7460317460309</v>
      </c>
      <c r="R114" s="446">
        <f t="shared" si="61"/>
        <v>1553.915343915344</v>
      </c>
      <c r="S114"/>
    </row>
    <row r="115" spans="1:19" ht="15">
      <c r="A115" s="448"/>
      <c r="B115" s="412"/>
      <c r="C115" s="412"/>
      <c r="D115" s="412"/>
      <c r="E115" s="412"/>
      <c r="F115" s="412"/>
      <c r="G115" s="412"/>
      <c r="H115" s="447"/>
      <c r="L115" s="401" t="s">
        <v>340</v>
      </c>
      <c r="M115" s="444">
        <f>SUM(M116:M117)</f>
        <v>0</v>
      </c>
      <c r="N115" s="444">
        <f t="shared" ref="N115:R115" si="62">SUM(N116:N117)</f>
        <v>260.4485782712656</v>
      </c>
      <c r="O115" s="444">
        <f t="shared" si="62"/>
        <v>3927.5232909149431</v>
      </c>
      <c r="P115" s="444">
        <f t="shared" si="62"/>
        <v>6286.4137931034484</v>
      </c>
      <c r="Q115" s="444">
        <f t="shared" si="62"/>
        <v>5238.6781609195396</v>
      </c>
      <c r="R115" s="444">
        <f t="shared" si="62"/>
        <v>0</v>
      </c>
      <c r="S115"/>
    </row>
    <row r="116" spans="1:19" ht="15">
      <c r="A116" s="449"/>
      <c r="B116" s="406"/>
      <c r="C116" s="406"/>
      <c r="D116" s="406"/>
      <c r="E116" s="406"/>
      <c r="F116" s="406"/>
      <c r="G116" s="406"/>
      <c r="H116" s="447"/>
      <c r="L116" s="374" t="s">
        <v>256</v>
      </c>
      <c r="M116" s="446">
        <f>C90+N91</f>
        <v>0</v>
      </c>
      <c r="N116" s="446">
        <f t="shared" ref="N116:R116" si="63">D90+O91</f>
        <v>260.4485782712656</v>
      </c>
      <c r="O116" s="446">
        <f t="shared" si="63"/>
        <v>260.4485782712656</v>
      </c>
      <c r="P116" s="446">
        <f t="shared" si="63"/>
        <v>0</v>
      </c>
      <c r="Q116" s="446">
        <f t="shared" si="63"/>
        <v>0</v>
      </c>
      <c r="R116" s="446">
        <f t="shared" si="63"/>
        <v>0</v>
      </c>
      <c r="S116"/>
    </row>
    <row r="117" spans="1:19" ht="15">
      <c r="A117" s="449"/>
      <c r="B117" s="406"/>
      <c r="C117" s="406"/>
      <c r="D117" s="406"/>
      <c r="E117" s="406"/>
      <c r="F117" s="406"/>
      <c r="G117" s="406"/>
      <c r="H117" s="447"/>
      <c r="L117" s="374" t="s">
        <v>247</v>
      </c>
      <c r="M117" s="446">
        <f>C91+N92</f>
        <v>0</v>
      </c>
      <c r="N117" s="446">
        <f t="shared" ref="N117:R117" si="64">D91+O92</f>
        <v>0</v>
      </c>
      <c r="O117" s="446">
        <f t="shared" si="64"/>
        <v>3667.0747126436777</v>
      </c>
      <c r="P117" s="446">
        <f t="shared" si="64"/>
        <v>6286.4137931034484</v>
      </c>
      <c r="Q117" s="446">
        <f t="shared" si="64"/>
        <v>5238.6781609195396</v>
      </c>
      <c r="R117" s="446">
        <f t="shared" si="64"/>
        <v>0</v>
      </c>
      <c r="S117"/>
    </row>
    <row r="118" spans="1:19" ht="15">
      <c r="A118" s="449"/>
      <c r="B118" s="406"/>
      <c r="C118" s="406"/>
      <c r="D118" s="406"/>
      <c r="E118" s="406"/>
      <c r="F118" s="406"/>
      <c r="G118" s="406"/>
      <c r="H118" s="447"/>
      <c r="L118" s="401" t="s">
        <v>342</v>
      </c>
      <c r="M118" s="444">
        <f>SUM(M119:M120)</f>
        <v>0</v>
      </c>
      <c r="N118" s="444">
        <f t="shared" ref="N118:R118" si="65">SUM(N119:N120)</f>
        <v>1693.9743299086194</v>
      </c>
      <c r="O118" s="444">
        <f t="shared" si="65"/>
        <v>6457.4623655913974</v>
      </c>
      <c r="P118" s="444">
        <f t="shared" si="65"/>
        <v>3766.8530465949821</v>
      </c>
      <c r="Q118" s="444">
        <f t="shared" si="65"/>
        <v>5381.2186379928316</v>
      </c>
      <c r="R118" s="444">
        <f t="shared" si="65"/>
        <v>0</v>
      </c>
      <c r="S118"/>
    </row>
    <row r="119" spans="1:19" ht="15">
      <c r="A119" s="448"/>
      <c r="B119" s="412"/>
      <c r="C119" s="412"/>
      <c r="D119" s="412"/>
      <c r="E119" s="412"/>
      <c r="F119" s="412"/>
      <c r="G119" s="412"/>
      <c r="H119" s="447"/>
      <c r="L119" s="374" t="s">
        <v>256</v>
      </c>
      <c r="M119" s="446">
        <f>C93+N94</f>
        <v>0</v>
      </c>
      <c r="N119" s="446">
        <f t="shared" ref="N119:R119" si="66">D93+O94</f>
        <v>617.73060231005309</v>
      </c>
      <c r="O119" s="446">
        <f t="shared" si="66"/>
        <v>0</v>
      </c>
      <c r="P119" s="446">
        <f t="shared" si="66"/>
        <v>0</v>
      </c>
      <c r="Q119" s="446">
        <f t="shared" si="66"/>
        <v>0</v>
      </c>
      <c r="R119" s="446">
        <f t="shared" si="66"/>
        <v>0</v>
      </c>
      <c r="S119"/>
    </row>
    <row r="120" spans="1:19" ht="15">
      <c r="A120" s="449"/>
      <c r="B120" s="406"/>
      <c r="C120" s="406"/>
      <c r="D120" s="406"/>
      <c r="E120" s="406"/>
      <c r="F120" s="406"/>
      <c r="G120" s="406"/>
      <c r="H120" s="447"/>
      <c r="L120" s="374" t="s">
        <v>247</v>
      </c>
      <c r="M120" s="446">
        <f>C94+N95</f>
        <v>0</v>
      </c>
      <c r="N120" s="446">
        <f t="shared" ref="N120:R120" si="67">D94+O95</f>
        <v>1076.2437275985662</v>
      </c>
      <c r="O120" s="446">
        <f t="shared" si="67"/>
        <v>6457.4623655913974</v>
      </c>
      <c r="P120" s="446">
        <f t="shared" si="67"/>
        <v>3766.8530465949821</v>
      </c>
      <c r="Q120" s="446">
        <f t="shared" si="67"/>
        <v>5381.2186379928316</v>
      </c>
      <c r="R120" s="446">
        <f t="shared" si="67"/>
        <v>0</v>
      </c>
      <c r="S120"/>
    </row>
    <row r="121" spans="1:19" ht="15">
      <c r="A121" s="449"/>
      <c r="B121" s="406"/>
      <c r="C121" s="406"/>
      <c r="D121" s="406"/>
      <c r="E121" s="406"/>
      <c r="F121" s="406"/>
      <c r="G121" s="406"/>
      <c r="H121" s="447"/>
      <c r="L121" s="401" t="s">
        <v>343</v>
      </c>
      <c r="M121" s="444">
        <f>SUM(M122:M124)</f>
        <v>536.47955011431634</v>
      </c>
      <c r="N121" s="444">
        <f t="shared" ref="N121:R121" si="68">SUM(N122:N124)</f>
        <v>3818.1842284768886</v>
      </c>
      <c r="O121" s="444">
        <f t="shared" si="68"/>
        <v>23703.86309442799</v>
      </c>
      <c r="P121" s="444">
        <f t="shared" si="68"/>
        <v>19690.228070175439</v>
      </c>
      <c r="Q121" s="444">
        <f t="shared" si="68"/>
        <v>19690.228070175439</v>
      </c>
      <c r="R121" s="444">
        <f t="shared" si="68"/>
        <v>0</v>
      </c>
      <c r="S121"/>
    </row>
    <row r="122" spans="1:19" ht="15">
      <c r="A122" s="448"/>
      <c r="B122" s="412"/>
      <c r="C122" s="412"/>
      <c r="D122" s="412"/>
      <c r="E122" s="412"/>
      <c r="F122" s="412"/>
      <c r="G122" s="412"/>
      <c r="H122" s="447"/>
      <c r="L122" s="374" t="s">
        <v>223</v>
      </c>
      <c r="M122" s="446">
        <f>C96+N97</f>
        <v>0</v>
      </c>
      <c r="N122" s="446">
        <f t="shared" ref="N122:R122" si="69">D96+O97</f>
        <v>0</v>
      </c>
      <c r="O122" s="446">
        <f t="shared" si="69"/>
        <v>3477.1554741382365</v>
      </c>
      <c r="P122" s="446">
        <f t="shared" si="69"/>
        <v>0</v>
      </c>
      <c r="Q122" s="446">
        <f t="shared" si="69"/>
        <v>0</v>
      </c>
      <c r="R122" s="446">
        <f t="shared" si="69"/>
        <v>0</v>
      </c>
      <c r="S122"/>
    </row>
    <row r="123" spans="1:19" ht="15">
      <c r="A123" s="449"/>
      <c r="B123" s="406"/>
      <c r="C123" s="406"/>
      <c r="D123" s="406"/>
      <c r="E123" s="406"/>
      <c r="F123" s="406"/>
      <c r="G123" s="406"/>
      <c r="H123" s="447"/>
      <c r="L123" s="374" t="s">
        <v>256</v>
      </c>
      <c r="M123" s="446">
        <f>C97+N98</f>
        <v>536.47955011431634</v>
      </c>
      <c r="N123" s="446">
        <f t="shared" ref="N123:R123" si="70">D97+O98</f>
        <v>536.47955011431634</v>
      </c>
      <c r="O123" s="446">
        <f t="shared" si="70"/>
        <v>536.47955011431634</v>
      </c>
      <c r="P123" s="446">
        <f t="shared" si="70"/>
        <v>0</v>
      </c>
      <c r="Q123" s="446">
        <f t="shared" si="70"/>
        <v>0</v>
      </c>
      <c r="R123" s="446">
        <f t="shared" si="70"/>
        <v>0</v>
      </c>
      <c r="S123"/>
    </row>
    <row r="124" spans="1:19" ht="15">
      <c r="A124" s="449"/>
      <c r="B124" s="406"/>
      <c r="C124" s="406"/>
      <c r="D124" s="406"/>
      <c r="E124" s="406"/>
      <c r="F124" s="406"/>
      <c r="G124" s="406"/>
      <c r="H124" s="447"/>
      <c r="L124" s="374" t="s">
        <v>247</v>
      </c>
      <c r="M124" s="446">
        <f>C98+N99</f>
        <v>0</v>
      </c>
      <c r="N124" s="446">
        <f>D98+O99</f>
        <v>3281.7046783625724</v>
      </c>
      <c r="O124" s="446">
        <f>E98+P99</f>
        <v>19690.228070175439</v>
      </c>
      <c r="P124" s="446">
        <f>F98+Q99</f>
        <v>19690.228070175439</v>
      </c>
      <c r="Q124" s="446">
        <f>G98+R99</f>
        <v>19690.228070175439</v>
      </c>
      <c r="R124" s="446">
        <f>H98+S99</f>
        <v>0</v>
      </c>
      <c r="S124"/>
    </row>
    <row r="125" spans="1:19" ht="15">
      <c r="A125" s="449"/>
      <c r="B125" s="406"/>
      <c r="C125" s="406"/>
      <c r="D125" s="406"/>
      <c r="E125" s="406"/>
      <c r="F125" s="406"/>
      <c r="G125" s="406"/>
      <c r="H125" s="447"/>
      <c r="L125" s="391" t="s">
        <v>341</v>
      </c>
      <c r="M125" s="452">
        <f>M107+M111+M115+M118+M121</f>
        <v>536.47955011431634</v>
      </c>
      <c r="N125" s="452">
        <f t="shared" ref="N125:R125" si="71">N107+N111+N115+N118+N121</f>
        <v>7315.6064068845244</v>
      </c>
      <c r="O125" s="452">
        <f t="shared" si="71"/>
        <v>47589.817140299536</v>
      </c>
      <c r="P125" s="452">
        <f t="shared" si="71"/>
        <v>36115.796497175455</v>
      </c>
      <c r="Q125" s="452">
        <f t="shared" si="71"/>
        <v>36682.426456389396</v>
      </c>
      <c r="R125" s="452">
        <f t="shared" si="71"/>
        <v>2409.1931216931216</v>
      </c>
      <c r="S125" s="445"/>
    </row>
    <row r="126" spans="1:19" ht="15">
      <c r="A126" s="55"/>
      <c r="B126" s="443"/>
      <c r="C126" s="443"/>
      <c r="D126" s="443"/>
      <c r="E126" s="443"/>
      <c r="F126" s="443"/>
      <c r="G126" s="443"/>
      <c r="H126" s="447"/>
      <c r="L126" s="374" t="s">
        <v>841</v>
      </c>
      <c r="M126" s="446">
        <f t="shared" ref="M126:R126" si="72">M125*$B$108/$B$110</f>
        <v>306.55974292246646</v>
      </c>
      <c r="N126" s="446">
        <f t="shared" si="72"/>
        <v>4180.3465182197278</v>
      </c>
      <c r="O126" s="446">
        <f t="shared" si="72"/>
        <v>27194.181223028307</v>
      </c>
      <c r="P126" s="446">
        <f t="shared" si="72"/>
        <v>20637.597998385976</v>
      </c>
      <c r="Q126" s="446">
        <f t="shared" si="72"/>
        <v>20961.386546508227</v>
      </c>
      <c r="R126" s="446">
        <f t="shared" si="72"/>
        <v>1376.6817838246411</v>
      </c>
      <c r="S126" s="445">
        <f>SUM(M126:R126)</f>
        <v>74656.753812889336</v>
      </c>
    </row>
    <row r="127" spans="1:19" ht="15">
      <c r="A127" s="449"/>
      <c r="B127" s="406"/>
      <c r="C127" s="406"/>
      <c r="D127" s="406"/>
      <c r="E127" s="406"/>
      <c r="F127" s="406"/>
      <c r="G127" s="406"/>
      <c r="H127" s="450"/>
      <c r="L127" s="374" t="s">
        <v>668</v>
      </c>
      <c r="M127" s="446">
        <f t="shared" ref="M127:R127" si="73">M125*$B$109/$B$110</f>
        <v>229.91980719184986</v>
      </c>
      <c r="N127" s="446">
        <f t="shared" si="73"/>
        <v>3135.2598886647961</v>
      </c>
      <c r="O127" s="446">
        <f t="shared" si="73"/>
        <v>20395.635917271229</v>
      </c>
      <c r="P127" s="446">
        <f t="shared" si="73"/>
        <v>15478.198498789481</v>
      </c>
      <c r="Q127" s="446">
        <f t="shared" si="73"/>
        <v>15721.03990988117</v>
      </c>
      <c r="R127" s="446">
        <f t="shared" si="73"/>
        <v>1032.5113378684807</v>
      </c>
      <c r="S127" s="445">
        <f>SUM(M127:R127)</f>
        <v>55992.565359667009</v>
      </c>
    </row>
    <row r="128" spans="1:19" ht="15">
      <c r="A128" s="449"/>
      <c r="B128" s="406"/>
      <c r="C128" s="406"/>
      <c r="D128" s="406"/>
      <c r="E128" s="406"/>
      <c r="F128" s="406"/>
      <c r="G128" s="406"/>
      <c r="H128" s="450"/>
      <c r="S128" s="36"/>
    </row>
    <row r="129" spans="1:19" ht="15">
      <c r="A129" s="28" t="s">
        <v>372</v>
      </c>
      <c r="B129"/>
      <c r="C129"/>
      <c r="D129"/>
      <c r="E129"/>
      <c r="F129"/>
      <c r="G129"/>
      <c r="H129"/>
      <c r="L129"/>
      <c r="M129"/>
      <c r="N129"/>
      <c r="O129"/>
      <c r="P129"/>
      <c r="Q129"/>
      <c r="R129"/>
    </row>
    <row r="130" spans="1:19" ht="15">
      <c r="L130"/>
      <c r="M130"/>
      <c r="N130"/>
      <c r="O130"/>
      <c r="P130"/>
      <c r="Q130"/>
      <c r="R130"/>
    </row>
    <row r="131" spans="1:19" ht="15">
      <c r="A131" s="399" t="s">
        <v>365</v>
      </c>
      <c r="B131" s="29" t="s">
        <v>892</v>
      </c>
      <c r="L131"/>
      <c r="M131"/>
      <c r="N131"/>
      <c r="O131"/>
      <c r="P131"/>
      <c r="Q131"/>
      <c r="R131"/>
    </row>
    <row r="132" spans="1:19" ht="15">
      <c r="L132" s="30" t="s">
        <v>372</v>
      </c>
      <c r="M132" s="30" t="s">
        <v>902</v>
      </c>
      <c r="N132"/>
      <c r="O132"/>
      <c r="P132"/>
      <c r="Q132"/>
      <c r="R132"/>
    </row>
    <row r="133" spans="1:19">
      <c r="A133" s="399" t="s">
        <v>844</v>
      </c>
      <c r="B133" s="29" t="s">
        <v>894</v>
      </c>
      <c r="C133" s="29" t="s">
        <v>895</v>
      </c>
      <c r="D133" s="29" t="s">
        <v>896</v>
      </c>
      <c r="E133" s="29" t="s">
        <v>897</v>
      </c>
      <c r="F133" s="29" t="s">
        <v>898</v>
      </c>
      <c r="G133" s="29" t="s">
        <v>899</v>
      </c>
      <c r="H133" s="29" t="s">
        <v>900</v>
      </c>
      <c r="I133" s="29" t="s">
        <v>901</v>
      </c>
      <c r="J133" s="29" t="s">
        <v>32</v>
      </c>
      <c r="L133" s="368" t="s">
        <v>7</v>
      </c>
      <c r="M133" s="368">
        <v>2011</v>
      </c>
      <c r="N133" s="368">
        <v>2012</v>
      </c>
      <c r="O133" s="368">
        <v>2013</v>
      </c>
      <c r="P133" s="368">
        <v>2014</v>
      </c>
      <c r="Q133" s="368">
        <v>2015</v>
      </c>
      <c r="R133" s="368">
        <v>2016</v>
      </c>
    </row>
    <row r="134" spans="1:19">
      <c r="A134" s="32" t="s">
        <v>338</v>
      </c>
      <c r="B134" s="400">
        <v>2104.78515625</v>
      </c>
      <c r="C134" s="400"/>
      <c r="D134" s="400">
        <v>0</v>
      </c>
      <c r="E134" s="400">
        <v>1</v>
      </c>
      <c r="F134" s="400">
        <v>12</v>
      </c>
      <c r="G134" s="400">
        <v>12</v>
      </c>
      <c r="H134" s="400">
        <v>12</v>
      </c>
      <c r="I134" s="400">
        <v>6</v>
      </c>
      <c r="J134" s="29">
        <f>SUM(D134:I134)</f>
        <v>43</v>
      </c>
      <c r="L134" s="369" t="s">
        <v>338</v>
      </c>
      <c r="M134" s="454">
        <f>8*30*GETPIVOTDATA("Máx. de 2011",$A$133,"Sector","Área El Volcán")</f>
        <v>0</v>
      </c>
      <c r="N134" s="454">
        <f>8*30*GETPIVOTDATA("Máx. de 2012",$A$133,"Sector","Área El Volcán")</f>
        <v>240</v>
      </c>
      <c r="O134" s="454">
        <f>8*30*GETPIVOTDATA("Máx. de 2013",$A$133,"Sector","Área El Volcán")</f>
        <v>2880</v>
      </c>
      <c r="P134" s="454">
        <f>8*30*GETPIVOTDATA("Máx. de 2014",$A$133,"Sector","Área El Volcán")</f>
        <v>2880</v>
      </c>
      <c r="Q134" s="454">
        <f>8*30*GETPIVOTDATA("Máx. de 2015",$A$133,"Sector","Área El Volcán")</f>
        <v>2880</v>
      </c>
      <c r="R134" s="454">
        <f>8*30*GETPIVOTDATA("Máx. de 2016",$A$133,"Sector","Área El Volcán")</f>
        <v>1440</v>
      </c>
    </row>
    <row r="135" spans="1:19">
      <c r="A135" s="374" t="s">
        <v>247</v>
      </c>
      <c r="B135" s="400">
        <v>2104.78515625</v>
      </c>
      <c r="C135" s="400"/>
      <c r="D135" s="400">
        <v>0</v>
      </c>
      <c r="E135" s="400">
        <v>1</v>
      </c>
      <c r="F135" s="400">
        <v>12</v>
      </c>
      <c r="G135" s="400">
        <v>12</v>
      </c>
      <c r="H135" s="400">
        <v>12</v>
      </c>
      <c r="I135" s="400">
        <v>6</v>
      </c>
      <c r="L135" s="369" t="s">
        <v>339</v>
      </c>
      <c r="M135" s="454">
        <f>8*30*GETPIVOTDATA("Máx. de 2011",$A$133,"Sector","Área Yeso")</f>
        <v>0</v>
      </c>
      <c r="N135" s="454">
        <f>8*30*GETPIVOTDATA("Máx. de 2012",$A$133,"Sector","Área Yeso")</f>
        <v>480</v>
      </c>
      <c r="O135" s="454">
        <f>8*30*GETPIVOTDATA("Máx. de 2013",$A$133,"Sector","Área Yeso")</f>
        <v>2880</v>
      </c>
      <c r="P135" s="454">
        <f>8*30*GETPIVOTDATA("Máx. de 2014",$A$133,"Sector","Área Yeso")</f>
        <v>2880</v>
      </c>
      <c r="Q135" s="454">
        <f>8*30*GETPIVOTDATA("Máx. de 2015",$A$133,"Sector","Área Yeso")</f>
        <v>2880</v>
      </c>
      <c r="R135" s="454">
        <f>8*30*GETPIVOTDATA("Máx. de 2016",$A$133,"Sector","Área Yeso")</f>
        <v>960</v>
      </c>
    </row>
    <row r="136" spans="1:19">
      <c r="A136" s="32" t="s">
        <v>339</v>
      </c>
      <c r="B136" s="400">
        <v>1514.3247133039356</v>
      </c>
      <c r="C136" s="400">
        <v>562007.09416498011</v>
      </c>
      <c r="D136" s="400">
        <v>0</v>
      </c>
      <c r="E136" s="400">
        <v>2</v>
      </c>
      <c r="F136" s="400">
        <v>12</v>
      </c>
      <c r="G136" s="400">
        <v>12</v>
      </c>
      <c r="H136" s="400">
        <v>12</v>
      </c>
      <c r="I136" s="400">
        <v>4</v>
      </c>
      <c r="J136" s="29">
        <f t="shared" ref="J136:J142" si="74">SUM(D136:I136)</f>
        <v>42</v>
      </c>
      <c r="L136" s="369" t="s">
        <v>340</v>
      </c>
      <c r="M136" s="454">
        <f>8*30*GETPIVOTDATA("Máx. de 2011",$A$133,"Sector","Área Aucayes Alto")</f>
        <v>0</v>
      </c>
      <c r="N136" s="454">
        <f>8*30*GETPIVOTDATA("Máx. de 2012",$A$133,"Sector","Área Aucayes Alto")</f>
        <v>0</v>
      </c>
      <c r="O136" s="454">
        <f>8*30*GETPIVOTDATA("Máx. de 2013",$A$133,"Sector","Área Aucayes Alto")</f>
        <v>1680</v>
      </c>
      <c r="P136" s="454">
        <f>8*30*GETPIVOTDATA("Máx. de 2014",$A$133,"Sector","Área Aucayes Alto")</f>
        <v>2880</v>
      </c>
      <c r="Q136" s="454">
        <f>8*30*GETPIVOTDATA("Máx. de 2015",$A$133,"Sector","Área Aucayes Alto")</f>
        <v>2400</v>
      </c>
      <c r="R136" s="454">
        <f>8*30*GETPIVOTDATA("Máx. de 2016",$A$133,"Sector","Área Aucayes Alto")</f>
        <v>0</v>
      </c>
    </row>
    <row r="137" spans="1:19">
      <c r="A137" s="374" t="s">
        <v>247</v>
      </c>
      <c r="B137" s="400">
        <v>1514.3247133039356</v>
      </c>
      <c r="C137" s="400">
        <v>562007.09416498011</v>
      </c>
      <c r="D137" s="400">
        <v>0</v>
      </c>
      <c r="E137" s="400">
        <v>2</v>
      </c>
      <c r="F137" s="400">
        <v>12</v>
      </c>
      <c r="G137" s="400">
        <v>12</v>
      </c>
      <c r="H137" s="400">
        <v>12</v>
      </c>
      <c r="I137" s="400">
        <v>4</v>
      </c>
      <c r="L137" s="369" t="s">
        <v>342</v>
      </c>
      <c r="M137" s="454">
        <f>8*30*GETPIVOTDATA("Máx. de 2011",$A$133,"Sector","Área Alfalfal II")</f>
        <v>0</v>
      </c>
      <c r="N137" s="454">
        <f>8*30*GETPIVOTDATA("Máx. de 2012",$A$133,"Sector","Área Alfalfal II")</f>
        <v>480</v>
      </c>
      <c r="O137" s="454">
        <f>8*30*GETPIVOTDATA("Máx. de 2013",$A$133,"Sector","Área Alfalfal II")</f>
        <v>2880</v>
      </c>
      <c r="P137" s="454">
        <f>8*30*GETPIVOTDATA("Máx. de 2014",$A$133,"Sector","Área Alfalfal II")</f>
        <v>1680</v>
      </c>
      <c r="Q137" s="454">
        <f>8*30*GETPIVOTDATA("Máx. de 2015",$A$133,"Sector","Área Alfalfal II")</f>
        <v>2400</v>
      </c>
      <c r="R137" s="454">
        <f>8*30*GETPIVOTDATA("Máx. de 2016",$A$133,"Sector","Área Alfalfal II")</f>
        <v>0</v>
      </c>
    </row>
    <row r="138" spans="1:19">
      <c r="A138" s="32" t="s">
        <v>340</v>
      </c>
      <c r="B138" s="400"/>
      <c r="C138" s="400">
        <v>710993.4</v>
      </c>
      <c r="D138" s="400">
        <v>0</v>
      </c>
      <c r="E138" s="400">
        <v>0</v>
      </c>
      <c r="F138" s="400">
        <v>7</v>
      </c>
      <c r="G138" s="400">
        <v>12</v>
      </c>
      <c r="H138" s="400">
        <v>10</v>
      </c>
      <c r="I138" s="400">
        <v>0</v>
      </c>
      <c r="J138" s="29">
        <f t="shared" si="74"/>
        <v>29</v>
      </c>
      <c r="L138" s="369" t="s">
        <v>343</v>
      </c>
      <c r="M138" s="454">
        <f>8*30*GETPIVOTDATA("Máx. de 2011",$A$133,"Sector","Área Las Lajas-Maipo")</f>
        <v>0</v>
      </c>
      <c r="N138" s="454">
        <f>8*30*GETPIVOTDATA("Máx. de 2012",$A$133,"Sector","Área Las Lajas-Maipo")</f>
        <v>480</v>
      </c>
      <c r="O138" s="454">
        <f>8*30*GETPIVOTDATA("Máx. de 2013",$A$133,"Sector","Área Las Lajas-Maipo")</f>
        <v>2880</v>
      </c>
      <c r="P138" s="454">
        <f>8*30*GETPIVOTDATA("Máx. de 2014",$A$133,"Sector","Área Las Lajas-Maipo")</f>
        <v>2880</v>
      </c>
      <c r="Q138" s="454">
        <f>8*30*GETPIVOTDATA("Máx. de 2015",$A$133,"Sector","Área Las Lajas-Maipo")</f>
        <v>2880</v>
      </c>
      <c r="R138" s="454">
        <f>8*30*GETPIVOTDATA("Máx. de 2016",$A$133,"Sector","Área Las Lajas-Maipo")</f>
        <v>0</v>
      </c>
    </row>
    <row r="139" spans="1:19">
      <c r="A139" s="374" t="s">
        <v>247</v>
      </c>
      <c r="B139" s="400"/>
      <c r="C139" s="400">
        <v>710993.4</v>
      </c>
      <c r="D139" s="400">
        <v>0</v>
      </c>
      <c r="E139" s="400">
        <v>0</v>
      </c>
      <c r="F139" s="400">
        <v>7</v>
      </c>
      <c r="G139" s="400">
        <v>12</v>
      </c>
      <c r="H139" s="400">
        <v>10</v>
      </c>
      <c r="I139" s="400">
        <v>0</v>
      </c>
      <c r="L139" s="370" t="s">
        <v>341</v>
      </c>
      <c r="M139" s="371">
        <f>SUM(M134:M138)</f>
        <v>0</v>
      </c>
      <c r="N139" s="371">
        <f t="shared" ref="N139:R139" si="75">SUM(N134:N138)</f>
        <v>1680</v>
      </c>
      <c r="O139" s="371">
        <f t="shared" si="75"/>
        <v>13200</v>
      </c>
      <c r="P139" s="371">
        <f t="shared" si="75"/>
        <v>13200</v>
      </c>
      <c r="Q139" s="371">
        <f t="shared" si="75"/>
        <v>13440</v>
      </c>
      <c r="R139" s="371">
        <f t="shared" si="75"/>
        <v>2400</v>
      </c>
      <c r="S139" s="353">
        <f>SUM(M139:R139)</f>
        <v>43920</v>
      </c>
    </row>
    <row r="140" spans="1:19" ht="15">
      <c r="A140" s="32" t="s">
        <v>342</v>
      </c>
      <c r="B140" s="400">
        <v>5864.6875</v>
      </c>
      <c r="C140" s="400"/>
      <c r="D140" s="400">
        <v>0</v>
      </c>
      <c r="E140" s="400">
        <v>2</v>
      </c>
      <c r="F140" s="400">
        <v>12</v>
      </c>
      <c r="G140" s="400">
        <v>7</v>
      </c>
      <c r="H140" s="400">
        <v>10</v>
      </c>
      <c r="I140" s="400">
        <v>0</v>
      </c>
      <c r="J140" s="29">
        <f t="shared" si="74"/>
        <v>31</v>
      </c>
      <c r="L140"/>
      <c r="M140"/>
      <c r="N140"/>
      <c r="O140"/>
      <c r="P140"/>
      <c r="Q140"/>
    </row>
    <row r="141" spans="1:19" ht="15">
      <c r="A141" s="374" t="s">
        <v>247</v>
      </c>
      <c r="B141" s="400">
        <v>5864.6875</v>
      </c>
      <c r="C141" s="400"/>
      <c r="D141" s="400">
        <v>0</v>
      </c>
      <c r="E141" s="400">
        <v>2</v>
      </c>
      <c r="F141" s="400">
        <v>12</v>
      </c>
      <c r="G141" s="400">
        <v>7</v>
      </c>
      <c r="H141" s="400">
        <v>10</v>
      </c>
      <c r="I141" s="400">
        <v>0</v>
      </c>
      <c r="L141"/>
      <c r="M141"/>
      <c r="N141"/>
      <c r="O141"/>
      <c r="P141"/>
      <c r="Q141"/>
    </row>
    <row r="142" spans="1:19" ht="15">
      <c r="A142" s="32" t="s">
        <v>343</v>
      </c>
      <c r="B142" s="400">
        <v>21920.76171875</v>
      </c>
      <c r="C142" s="400"/>
      <c r="D142" s="400">
        <v>0</v>
      </c>
      <c r="E142" s="400">
        <v>2</v>
      </c>
      <c r="F142" s="400">
        <v>12</v>
      </c>
      <c r="G142" s="400">
        <v>12</v>
      </c>
      <c r="H142" s="400">
        <v>12</v>
      </c>
      <c r="I142" s="400">
        <v>0</v>
      </c>
      <c r="J142" s="29">
        <f t="shared" si="74"/>
        <v>38</v>
      </c>
      <c r="L142"/>
      <c r="M142"/>
      <c r="N142"/>
      <c r="O142"/>
      <c r="P142"/>
      <c r="Q142"/>
    </row>
    <row r="143" spans="1:19" ht="15">
      <c r="A143" s="374" t="s">
        <v>247</v>
      </c>
      <c r="B143" s="400">
        <v>21920.76171875</v>
      </c>
      <c r="C143" s="400"/>
      <c r="D143" s="400">
        <v>0</v>
      </c>
      <c r="E143" s="400">
        <v>2</v>
      </c>
      <c r="F143" s="400">
        <v>12</v>
      </c>
      <c r="G143" s="400">
        <v>12</v>
      </c>
      <c r="H143" s="400">
        <v>12</v>
      </c>
      <c r="I143" s="400">
        <v>0</v>
      </c>
      <c r="L143"/>
      <c r="M143"/>
      <c r="N143"/>
      <c r="O143"/>
      <c r="P143"/>
      <c r="Q143"/>
    </row>
    <row r="144" spans="1:19" ht="15">
      <c r="A144" s="32" t="s">
        <v>341</v>
      </c>
      <c r="B144" s="400">
        <v>31404.559088303929</v>
      </c>
      <c r="C144" s="400">
        <v>1273000.49416498</v>
      </c>
      <c r="D144" s="400">
        <v>0</v>
      </c>
      <c r="E144" s="400">
        <v>2</v>
      </c>
      <c r="F144" s="400">
        <v>12</v>
      </c>
      <c r="G144" s="400">
        <v>12</v>
      </c>
      <c r="H144" s="400">
        <v>12</v>
      </c>
      <c r="I144" s="400">
        <v>6</v>
      </c>
      <c r="L144"/>
      <c r="M144"/>
      <c r="N144"/>
      <c r="O144"/>
      <c r="P144"/>
      <c r="Q144"/>
    </row>
    <row r="145" spans="1:29" ht="15">
      <c r="A145"/>
      <c r="B145"/>
      <c r="C145"/>
      <c r="D145"/>
      <c r="E145"/>
      <c r="F145"/>
      <c r="G145"/>
      <c r="H145"/>
      <c r="L145"/>
      <c r="M145"/>
      <c r="N145"/>
      <c r="O145"/>
      <c r="P145"/>
      <c r="Q145"/>
    </row>
    <row r="146" spans="1:29" ht="15">
      <c r="A146"/>
      <c r="B146"/>
      <c r="C146"/>
      <c r="D146"/>
      <c r="E146"/>
      <c r="F146"/>
      <c r="G146"/>
      <c r="H146"/>
      <c r="L146"/>
      <c r="M146"/>
      <c r="N146"/>
      <c r="O146"/>
      <c r="P146"/>
      <c r="Q146"/>
    </row>
    <row r="147" spans="1:29" ht="15">
      <c r="A147" s="28" t="s">
        <v>369</v>
      </c>
      <c r="B147" s="364" t="s">
        <v>907</v>
      </c>
      <c r="C147"/>
      <c r="D147"/>
      <c r="E147"/>
      <c r="F147"/>
      <c r="G147"/>
      <c r="H147"/>
      <c r="L147"/>
      <c r="M147"/>
      <c r="N147"/>
      <c r="O147"/>
      <c r="P147"/>
      <c r="Q147"/>
    </row>
    <row r="148" spans="1:29" ht="15">
      <c r="A148" s="399" t="s">
        <v>304</v>
      </c>
      <c r="B148" s="29" t="s">
        <v>892</v>
      </c>
      <c r="L148"/>
      <c r="M148"/>
      <c r="N148"/>
      <c r="O148"/>
      <c r="P148"/>
      <c r="Q148"/>
    </row>
    <row r="149" spans="1:29" ht="15">
      <c r="L149" s="28" t="s">
        <v>369</v>
      </c>
      <c r="M149" s="30" t="s">
        <v>907</v>
      </c>
      <c r="U149" s="55"/>
      <c r="V149" s="55"/>
      <c r="W149" s="447"/>
      <c r="X149" s="447"/>
      <c r="Y149" s="447"/>
      <c r="Z149" s="447"/>
      <c r="AA149" s="447"/>
      <c r="AB149" s="53"/>
      <c r="AC149" s="53"/>
    </row>
    <row r="150" spans="1:29">
      <c r="A150" s="399" t="s">
        <v>844</v>
      </c>
      <c r="B150" s="29" t="s">
        <v>908</v>
      </c>
      <c r="C150" s="29" t="s">
        <v>885</v>
      </c>
      <c r="D150" s="29" t="s">
        <v>886</v>
      </c>
      <c r="E150" s="29" t="s">
        <v>887</v>
      </c>
      <c r="F150" s="29" t="s">
        <v>888</v>
      </c>
      <c r="G150" s="29" t="s">
        <v>889</v>
      </c>
      <c r="H150" s="29" t="s">
        <v>890</v>
      </c>
      <c r="L150" s="391" t="s">
        <v>844</v>
      </c>
      <c r="M150" s="391">
        <v>2011</v>
      </c>
      <c r="N150" s="391">
        <v>2012</v>
      </c>
      <c r="O150" s="391">
        <v>2013</v>
      </c>
      <c r="P150" s="391">
        <v>2014</v>
      </c>
      <c r="Q150" s="391">
        <v>2015</v>
      </c>
      <c r="R150" s="391">
        <v>2016</v>
      </c>
      <c r="U150" s="455"/>
      <c r="V150" s="455"/>
      <c r="W150" s="455"/>
      <c r="X150" s="455"/>
      <c r="Y150" s="455"/>
      <c r="Z150" s="455"/>
      <c r="AA150" s="455"/>
      <c r="AB150" s="53"/>
      <c r="AC150" s="53"/>
    </row>
    <row r="151" spans="1:29">
      <c r="A151" s="32" t="s">
        <v>338</v>
      </c>
      <c r="B151" s="400">
        <v>1736.9712</v>
      </c>
      <c r="C151" s="400">
        <v>0</v>
      </c>
      <c r="D151" s="400">
        <v>4</v>
      </c>
      <c r="E151" s="400">
        <v>12</v>
      </c>
      <c r="F151" s="400">
        <v>12</v>
      </c>
      <c r="G151" s="400">
        <v>12</v>
      </c>
      <c r="H151" s="400">
        <v>6</v>
      </c>
      <c r="I151" s="29">
        <f>SUM(C151:H151)</f>
        <v>46</v>
      </c>
      <c r="L151" s="401" t="s">
        <v>338</v>
      </c>
      <c r="M151" s="451">
        <f>SUM(M152:M154)</f>
        <v>0</v>
      </c>
      <c r="N151" s="451">
        <f t="shared" ref="N151:R151" si="76">SUM(N152:N154)</f>
        <v>50.211869767441861</v>
      </c>
      <c r="O151" s="451">
        <f t="shared" si="76"/>
        <v>149.17043720930229</v>
      </c>
      <c r="P151" s="451">
        <f t="shared" si="76"/>
        <v>151.74043720930231</v>
      </c>
      <c r="Q151" s="451">
        <f t="shared" si="76"/>
        <v>151.74043720930231</v>
      </c>
      <c r="R151" s="451">
        <f t="shared" si="76"/>
        <v>76.127218604651148</v>
      </c>
      <c r="U151" s="448"/>
      <c r="V151" s="456"/>
      <c r="W151" s="456"/>
      <c r="X151" s="456"/>
      <c r="Y151" s="456"/>
      <c r="Z151" s="456"/>
      <c r="AA151" s="456"/>
      <c r="AB151" s="53"/>
      <c r="AC151" s="53"/>
    </row>
    <row r="152" spans="1:29">
      <c r="A152" s="374" t="s">
        <v>223</v>
      </c>
      <c r="B152" s="400">
        <v>30.840000000000003</v>
      </c>
      <c r="C152" s="400">
        <v>0</v>
      </c>
      <c r="D152" s="400">
        <v>0</v>
      </c>
      <c r="E152" s="400">
        <v>2</v>
      </c>
      <c r="F152" s="400">
        <v>7</v>
      </c>
      <c r="G152" s="400">
        <v>7</v>
      </c>
      <c r="H152" s="400">
        <v>4</v>
      </c>
      <c r="I152" s="29">
        <f t="shared" ref="I152:I168" si="77">SUM(C152:H152)</f>
        <v>20</v>
      </c>
      <c r="L152" s="374" t="s">
        <v>223</v>
      </c>
      <c r="M152" s="446">
        <f>(GETPIVOTDATA("Suma de VKTNivelación",$A$150,"Sector","Área El Volcán","Tipo de obra","Obras Civiles")/$E$5)*(GETPIVOTDATA("Máx. de MM2011",$A$150,"Sector","Área El Volcán","Tipo de obra","Obras Civiles")/$I$152)</f>
        <v>0</v>
      </c>
      <c r="N152" s="446">
        <f>(GETPIVOTDATA("Suma de VKTNivelación",$A$150,"Sector","Área El Volcán","Tipo de obra","Obras Civiles")/$E$5)*(GETPIVOTDATA("Máx. de MM2012",$A$150,"Sector","Área El Volcán","Tipo de obra","Obras Civiles")/$I$152)</f>
        <v>0</v>
      </c>
      <c r="O152" s="446">
        <f>(GETPIVOTDATA("Suma de VKTNivelación",$A$150,"Sector","Área El Volcán","Tipo de obra","Obras Civiles")/$E$5)*(GETPIVOTDATA("Máx. de MM2013",$A$150,"Sector","Área El Volcán","Tipo de obra","Obras Civiles")/$I$152)</f>
        <v>1.0280000000000002</v>
      </c>
      <c r="P152" s="446">
        <f>(GETPIVOTDATA("Suma de VKTNivelación",$A$150,"Sector","Área El Volcán","Tipo de obra","Obras Civiles")/$E$5)*(GETPIVOTDATA("Máx. de MM2014",$A$150,"Sector","Área El Volcán","Tipo de obra","Obras Civiles")/$I$152)</f>
        <v>3.5980000000000003</v>
      </c>
      <c r="Q152" s="446">
        <f>(GETPIVOTDATA("Suma de VKTNivelación",$A$150,"Sector","Área El Volcán","Tipo de obra","Obras Civiles")/$E$5)*(GETPIVOTDATA("Máx. de MM2015",$A$150,"Sector","Área El Volcán","Tipo de obra","Obras Civiles")/$I$152)</f>
        <v>3.5980000000000003</v>
      </c>
      <c r="R152" s="446">
        <f>(GETPIVOTDATA("Suma de VKTNivelación",$A$150,"Sector","Área El Volcán","Tipo de obra","Obras Civiles")/$E$5)*(GETPIVOTDATA("Máx. de MM2016",$A$150,"Sector","Área El Volcán","Tipo de obra","Obras Civiles")/$I$152)</f>
        <v>2.0560000000000005</v>
      </c>
      <c r="U152" s="448"/>
      <c r="V152" s="456"/>
      <c r="W152" s="456"/>
      <c r="X152" s="456"/>
      <c r="Y152" s="456"/>
      <c r="Z152" s="456"/>
      <c r="AA152" s="456"/>
      <c r="AB152" s="53"/>
      <c r="AC152" s="53"/>
    </row>
    <row r="153" spans="1:29">
      <c r="A153" s="374" t="s">
        <v>256</v>
      </c>
      <c r="B153" s="400">
        <v>113.6</v>
      </c>
      <c r="C153" s="400">
        <v>0</v>
      </c>
      <c r="D153" s="400">
        <v>4</v>
      </c>
      <c r="E153" s="400">
        <v>0</v>
      </c>
      <c r="F153" s="400">
        <v>0</v>
      </c>
      <c r="G153" s="400">
        <v>0</v>
      </c>
      <c r="H153" s="400">
        <v>0</v>
      </c>
      <c r="I153" s="29">
        <f t="shared" si="77"/>
        <v>4</v>
      </c>
      <c r="L153" s="374" t="s">
        <v>256</v>
      </c>
      <c r="M153" s="446">
        <f>(GETPIVOTDATA("Suma de VKTNivelación",$A$150,"Sector","Área El Volcán","Tipo de obra","Obras Previas")/$E$5)*(GETPIVOTDATA("Máx. de MM2011",$A$150,"Sector","Área El Volcán","Tipo de obra","Obras Previas")/$I$153)</f>
        <v>0</v>
      </c>
      <c r="N153" s="446">
        <f>(GETPIVOTDATA("Suma de VKTNivelación",$A$150,"Sector","Área El Volcán","Tipo de obra","Obras Previas")/$E$5)*(GETPIVOTDATA("Máx. de MM2012",$A$150,"Sector","Área El Volcán","Tipo de obra","Obras Previas")/$I$153)</f>
        <v>37.866666666666667</v>
      </c>
      <c r="O153" s="446">
        <f>(GETPIVOTDATA("Suma de VKTNivelación",$A$150,"Sector","Área El Volcán","Tipo de obra","Obras Previas")/$E$5)*(GETPIVOTDATA("Máx. de MM2013",$A$150,"Sector","Área El Volcán","Tipo de obra","Obras Previas")/$I$153)</f>
        <v>0</v>
      </c>
      <c r="P153" s="446">
        <f>(GETPIVOTDATA("Suma de VKTNivelación",$A$150,"Sector","Área El Volcán","Tipo de obra","Obras Previas")/$E$5)*(GETPIVOTDATA("Máx. de MM2014",$A$150,"Sector","Área El Volcán","Tipo de obra","Obras Previas")/$I$153)</f>
        <v>0</v>
      </c>
      <c r="Q153" s="446">
        <f>(GETPIVOTDATA("Suma de VKTNivelación",$A$150,"Sector","Área El Volcán","Tipo de obra","Obras Previas")/$E$5)*(GETPIVOTDATA("Máx. de MM2015",$A$150,"Sector","Área El Volcán","Tipo de obra","Obras Previas")/$I$153)</f>
        <v>0</v>
      </c>
      <c r="R153" s="446">
        <f>(GETPIVOTDATA("Suma de VKTNivelación",$A$150,"Sector","Área El Volcán","Tipo de obra","Obras Previas")/$E$5)*(GETPIVOTDATA("Máx. de MM2016",$A$150,"Sector","Área El Volcán","Tipo de obra","Obras Previas")/$I$153)</f>
        <v>0</v>
      </c>
      <c r="U153" s="448"/>
      <c r="V153" s="456"/>
      <c r="W153" s="456"/>
      <c r="X153" s="456"/>
      <c r="Y153" s="456"/>
      <c r="Z153" s="456"/>
      <c r="AA153" s="456"/>
      <c r="AB153" s="53"/>
      <c r="AC153" s="53"/>
    </row>
    <row r="154" spans="1:29">
      <c r="A154" s="374" t="s">
        <v>247</v>
      </c>
      <c r="B154" s="400">
        <v>1592.5311999999999</v>
      </c>
      <c r="C154" s="400">
        <v>0</v>
      </c>
      <c r="D154" s="400">
        <v>1</v>
      </c>
      <c r="E154" s="400">
        <v>12</v>
      </c>
      <c r="F154" s="400">
        <v>12</v>
      </c>
      <c r="G154" s="400">
        <v>12</v>
      </c>
      <c r="H154" s="400">
        <v>6</v>
      </c>
      <c r="I154" s="29">
        <f t="shared" si="77"/>
        <v>43</v>
      </c>
      <c r="L154" s="374" t="s">
        <v>247</v>
      </c>
      <c r="M154" s="446">
        <f>(GETPIVOTDATA("Suma de VKTNivelación",$A$150,"Sector","Área El Volcán","Tipo de obra","Túneles, cavernas  y chimeneas")/$E$5)*(GETPIVOTDATA("Máx. de MM2011",$A$150,"Sector","Área El Volcán","Tipo de obra","Túneles, cavernas  y chimeneas")/$I$154)</f>
        <v>0</v>
      </c>
      <c r="N154" s="446">
        <f>(GETPIVOTDATA("Suma de VKTNivelación",$A$150,"Sector","Área El Volcán","Tipo de obra","Túneles, cavernas  y chimeneas")/$E$5)*(GETPIVOTDATA("Máx. de MM2012",$A$150,"Sector","Área El Volcán","Tipo de obra","Túneles, cavernas  y chimeneas")/$I$154)</f>
        <v>12.345203100775192</v>
      </c>
      <c r="O154" s="446">
        <f>(GETPIVOTDATA("Suma de VKTNivelación",$A$150,"Sector","Área El Volcán","Tipo de obra","Túneles, cavernas  y chimeneas")/$E$5)*(GETPIVOTDATA("Máx. de MM2013",$A$150,"Sector","Área El Volcán","Tipo de obra","Túneles, cavernas  y chimeneas")/$I$154)</f>
        <v>148.1424372093023</v>
      </c>
      <c r="P154" s="446">
        <f>(GETPIVOTDATA("Suma de VKTNivelación",$A$150,"Sector","Área El Volcán","Tipo de obra","Túneles, cavernas  y chimeneas")/$E$5)*(GETPIVOTDATA("Máx. de MM2014",$A$150,"Sector","Área El Volcán","Tipo de obra","Túneles, cavernas  y chimeneas")/$I$154)</f>
        <v>148.1424372093023</v>
      </c>
      <c r="Q154" s="446">
        <f>(GETPIVOTDATA("Suma de VKTNivelación",$A$150,"Sector","Área El Volcán","Tipo de obra","Túneles, cavernas  y chimeneas")/$E$5)*(GETPIVOTDATA("Máx. de MM2015",$A$150,"Sector","Área El Volcán","Tipo de obra","Túneles, cavernas  y chimeneas")/$I$154)</f>
        <v>148.1424372093023</v>
      </c>
      <c r="R154" s="446">
        <f>(GETPIVOTDATA("Suma de VKTNivelación",$A$150,"Sector","Área El Volcán","Tipo de obra","Túneles, cavernas  y chimeneas")/$E$5)*(GETPIVOTDATA("Máx. de MM2016",$A$150,"Sector","Área El Volcán","Tipo de obra","Túneles, cavernas  y chimeneas")/$I$154)</f>
        <v>74.07121860465115</v>
      </c>
      <c r="U154" s="448"/>
      <c r="V154" s="456"/>
      <c r="W154" s="456"/>
      <c r="X154" s="456"/>
      <c r="Y154" s="456"/>
      <c r="Z154" s="456"/>
      <c r="AA154" s="456"/>
      <c r="AB154" s="53"/>
      <c r="AC154" s="53"/>
    </row>
    <row r="155" spans="1:29">
      <c r="A155" s="32" t="s">
        <v>339</v>
      </c>
      <c r="B155" s="400">
        <v>2936.9744000000001</v>
      </c>
      <c r="C155" s="400">
        <v>0</v>
      </c>
      <c r="D155" s="400">
        <v>2</v>
      </c>
      <c r="E155" s="400">
        <v>12</v>
      </c>
      <c r="F155" s="400">
        <v>12</v>
      </c>
      <c r="G155" s="400">
        <v>12</v>
      </c>
      <c r="H155" s="400">
        <v>4</v>
      </c>
      <c r="I155" s="29">
        <f t="shared" si="77"/>
        <v>42</v>
      </c>
      <c r="L155" s="401" t="s">
        <v>339</v>
      </c>
      <c r="M155" s="444">
        <f>SUM(M156:M158)</f>
        <v>0</v>
      </c>
      <c r="N155" s="444">
        <f>SUM(N156:N158)</f>
        <v>45.510035772357732</v>
      </c>
      <c r="O155" s="444">
        <f t="shared" ref="O155:R155" si="78">SUM(O156:O158)</f>
        <v>278.45542926829268</v>
      </c>
      <c r="P155" s="444">
        <f t="shared" si="78"/>
        <v>281.29292926829271</v>
      </c>
      <c r="Q155" s="444">
        <f t="shared" si="78"/>
        <v>281.29292926829271</v>
      </c>
      <c r="R155" s="444">
        <f t="shared" si="78"/>
        <v>92.440143089430919</v>
      </c>
      <c r="U155" s="448"/>
      <c r="V155" s="456"/>
      <c r="W155" s="456"/>
      <c r="X155" s="456"/>
      <c r="Y155" s="456"/>
      <c r="Z155" s="456"/>
      <c r="AA155" s="456"/>
      <c r="AB155" s="53"/>
      <c r="AC155" s="53"/>
    </row>
    <row r="156" spans="1:29">
      <c r="A156" s="374" t="s">
        <v>223</v>
      </c>
      <c r="B156" s="400">
        <v>27.240000000000002</v>
      </c>
      <c r="C156" s="400">
        <v>0</v>
      </c>
      <c r="D156" s="400">
        <v>0</v>
      </c>
      <c r="E156" s="400">
        <v>2</v>
      </c>
      <c r="F156" s="400">
        <v>7</v>
      </c>
      <c r="G156" s="400">
        <v>7</v>
      </c>
      <c r="H156" s="400">
        <v>0</v>
      </c>
      <c r="I156" s="29">
        <f t="shared" si="77"/>
        <v>16</v>
      </c>
      <c r="L156" s="374" t="s">
        <v>223</v>
      </c>
      <c r="M156" s="446">
        <f>(GETPIVOTDATA("Suma de VKTNivelación",$A$150,"Sector","Área Yeso","Tipo de obra","Obras Civiles")/$E$5)*(GETPIVOTDATA("Máx. de MM2011",$A$150,"Sector","Área Yeso","Tipo de obra","Obras Civiles")/$I$156)</f>
        <v>0</v>
      </c>
      <c r="N156" s="446">
        <f>(GETPIVOTDATA("Suma de VKTNivelación",$A$150,"Sector","Área Yeso","Tipo de obra","Obras Civiles")/$E$5)*(GETPIVOTDATA("Máx. de MM2012",$A$150,"Sector","Área Yeso","Tipo de obra","Obras Civiles")/$I$156)</f>
        <v>0</v>
      </c>
      <c r="O156" s="446">
        <f>(GETPIVOTDATA("Suma de VKTNivelación",$A$150,"Sector","Área Yeso","Tipo de obra","Obras Civiles")/$E$5)*(GETPIVOTDATA("Máx. de MM2013",$A$150,"Sector","Área Yeso","Tipo de obra","Obras Civiles")/$I$156)</f>
        <v>1.135</v>
      </c>
      <c r="P156" s="446">
        <f>(GETPIVOTDATA("Suma de VKTNivelación",$A$150,"Sector","Área Yeso","Tipo de obra","Obras Civiles")/$E$5)*(GETPIVOTDATA("Máx. de MM2014",$A$150,"Sector","Área Yeso","Tipo de obra","Obras Civiles")/$I$156)</f>
        <v>3.9725000000000001</v>
      </c>
      <c r="Q156" s="446">
        <f>(GETPIVOTDATA("Suma de VKTNivelación",$A$150,"Sector","Área Yeso","Tipo de obra","Obras Civiles")/$E$5)*(GETPIVOTDATA("Máx. de MM2015",$A$150,"Sector","Área Yeso","Tipo de obra","Obras Civiles")/$I$156)</f>
        <v>3.9725000000000001</v>
      </c>
      <c r="R156" s="446">
        <f>(GETPIVOTDATA("Suma de VKTNivelación",$A$150,"Sector","Área Yeso","Tipo de obra","Obras Civiles")/$E$5)*(GETPIVOTDATA("Máx. de MM2016",$A$150,"Sector","Área Yeso","Tipo de obra","Obras Civiles")/$I$156)</f>
        <v>0</v>
      </c>
      <c r="U156" s="448"/>
      <c r="V156" s="457"/>
      <c r="W156" s="457"/>
      <c r="X156" s="457"/>
      <c r="Y156" s="457"/>
      <c r="Z156" s="457"/>
      <c r="AA156" s="457"/>
      <c r="AB156" s="387"/>
      <c r="AC156" s="53"/>
    </row>
    <row r="157" spans="1:29">
      <c r="A157" s="374" t="s">
        <v>256</v>
      </c>
      <c r="B157" s="400">
        <v>67.2</v>
      </c>
      <c r="C157" s="400">
        <v>0</v>
      </c>
      <c r="D157" s="400">
        <v>2</v>
      </c>
      <c r="E157" s="400">
        <v>0</v>
      </c>
      <c r="F157" s="400">
        <v>0</v>
      </c>
      <c r="G157" s="400">
        <v>0</v>
      </c>
      <c r="H157" s="400">
        <v>0</v>
      </c>
      <c r="I157" s="29">
        <f t="shared" si="77"/>
        <v>2</v>
      </c>
      <c r="L157" s="374" t="s">
        <v>256</v>
      </c>
      <c r="M157" s="446">
        <f>(GETPIVOTDATA("Suma de VKTNivelación",$A$150,"Sector","Área Yeso","Tipo de obra","Obras Previas")/$E$5)*(GETPIVOTDATA("Máx. de MM2011",$A$150,"Sector","Área Yeso","Tipo de obra","Obras Previas")/$I$157)</f>
        <v>0</v>
      </c>
      <c r="N157" s="446">
        <f>(GETPIVOTDATA("Suma de VKTNivelación",$A$150,"Sector","Área Yeso","Tipo de obra","Obras Previas")/$E$5)*(GETPIVOTDATA("Máx. de MM2012",$A$150,"Sector","Área Yeso","Tipo de obra","Obras Previas")/$I$157)</f>
        <v>22.400000000000002</v>
      </c>
      <c r="O157" s="446">
        <f>(GETPIVOTDATA("Suma de VKTNivelación",$A$150,"Sector","Área Yeso","Tipo de obra","Obras Previas")/$E$5)*(GETPIVOTDATA("Máx. de MM2013",$A$150,"Sector","Área Yeso","Tipo de obra","Obras Previas")/$I$157)</f>
        <v>0</v>
      </c>
      <c r="P157" s="446">
        <f>(GETPIVOTDATA("Suma de VKTNivelación",$A$150,"Sector","Área Yeso","Tipo de obra","Obras Previas")/$E$5)*(GETPIVOTDATA("Máx. de MM2014",$A$150,"Sector","Área Yeso","Tipo de obra","Obras Previas")/$I$157)</f>
        <v>0</v>
      </c>
      <c r="Q157" s="446">
        <f>(GETPIVOTDATA("Suma de VKTNivelación",$A$150,"Sector","Área Yeso","Tipo de obra","Obras Previas")/$E$5)*(GETPIVOTDATA("Máx. de MM2015",$A$150,"Sector","Área Yeso","Tipo de obra","Obras Previas")/$I$157)</f>
        <v>0</v>
      </c>
      <c r="R157" s="446">
        <f>(GETPIVOTDATA("Suma de VKTNivelación",$A$150,"Sector","Área Yeso","Tipo de obra","Obras Previas")/$E$5)*(GETPIVOTDATA("Máx. de MM2016",$A$150,"Sector","Área Yeso","Tipo de obra","Obras Previas")/$I$157)</f>
        <v>0</v>
      </c>
      <c r="U157" s="53"/>
      <c r="V157" s="53"/>
      <c r="W157" s="53"/>
      <c r="X157" s="53"/>
      <c r="Y157" s="53"/>
      <c r="Z157" s="53"/>
      <c r="AA157" s="53"/>
      <c r="AB157" s="53"/>
      <c r="AC157" s="53"/>
    </row>
    <row r="158" spans="1:29">
      <c r="A158" s="374" t="s">
        <v>247</v>
      </c>
      <c r="B158" s="400">
        <v>2842.5344000000005</v>
      </c>
      <c r="C158" s="400">
        <v>0</v>
      </c>
      <c r="D158" s="400">
        <v>1</v>
      </c>
      <c r="E158" s="400">
        <v>12</v>
      </c>
      <c r="F158" s="400">
        <v>12</v>
      </c>
      <c r="G158" s="400">
        <v>12</v>
      </c>
      <c r="H158" s="400">
        <v>4</v>
      </c>
      <c r="I158" s="29">
        <f t="shared" si="77"/>
        <v>41</v>
      </c>
      <c r="L158" s="374" t="s">
        <v>247</v>
      </c>
      <c r="M158" s="446">
        <f>(GETPIVOTDATA("Suma de VKTNivelación",$A$150,"Sector","Área Yeso","Tipo de obra","Túneles, cavernas  y chimeneas")/$E$5)*(GETPIVOTDATA("Máx. de MM2011",$A$150,"Sector","Área Yeso","Tipo de obra","Túneles, cavernas  y chimeneas")/$I$158)</f>
        <v>0</v>
      </c>
      <c r="N158" s="446">
        <f>(GETPIVOTDATA("Suma de VKTNivelación",$A$150,"Sector","Área Yeso","Tipo de obra","Túneles, cavernas  y chimeneas")/$E$5)*(GETPIVOTDATA("Máx. de MM2012",$A$150,"Sector","Área Yeso","Tipo de obra","Túneles, cavernas  y chimeneas")/$I$158)</f>
        <v>23.11003577235773</v>
      </c>
      <c r="O158" s="446">
        <f>(GETPIVOTDATA("Suma de VKTNivelación",$A$150,"Sector","Área Yeso","Tipo de obra","Túneles, cavernas  y chimeneas")/$E$5)*(GETPIVOTDATA("Máx. de MM2013",$A$150,"Sector","Área Yeso","Tipo de obra","Túneles, cavernas  y chimeneas")/$I$158)</f>
        <v>277.32042926829268</v>
      </c>
      <c r="P158" s="446">
        <f>(GETPIVOTDATA("Suma de VKTNivelación",$A$150,"Sector","Área Yeso","Tipo de obra","Túneles, cavernas  y chimeneas")/$E$5)*(GETPIVOTDATA("Máx. de MM2014",$A$150,"Sector","Área Yeso","Tipo de obra","Túneles, cavernas  y chimeneas")/$I$158)</f>
        <v>277.32042926829268</v>
      </c>
      <c r="Q158" s="446">
        <f>(GETPIVOTDATA("Suma de VKTNivelación",$A$150,"Sector","Área Yeso","Tipo de obra","Túneles, cavernas  y chimeneas")/$E$5)*(GETPIVOTDATA("Máx. de MM2015",$A$150,"Sector","Área Yeso","Tipo de obra","Túneles, cavernas  y chimeneas")/$I$158)</f>
        <v>277.32042926829268</v>
      </c>
      <c r="R158" s="446">
        <f>(GETPIVOTDATA("Suma de VKTNivelación",$A$150,"Sector","Área Yeso","Tipo de obra","Túneles, cavernas  y chimeneas")/$E$5)*(GETPIVOTDATA("Máx. de MM2016",$A$150,"Sector","Área Yeso","Tipo de obra","Túneles, cavernas  y chimeneas")/$I$158)</f>
        <v>92.440143089430919</v>
      </c>
      <c r="U158" s="53"/>
      <c r="V158" s="53"/>
      <c r="W158" s="53"/>
      <c r="X158" s="53"/>
      <c r="Y158" s="53"/>
      <c r="Z158" s="53"/>
      <c r="AA158" s="53"/>
      <c r="AB158" s="53"/>
      <c r="AC158" s="53"/>
    </row>
    <row r="159" spans="1:29">
      <c r="A159" s="32" t="s">
        <v>340</v>
      </c>
      <c r="B159" s="400">
        <v>1232</v>
      </c>
      <c r="C159" s="400">
        <v>0</v>
      </c>
      <c r="D159" s="400">
        <v>0</v>
      </c>
      <c r="E159" s="400">
        <v>4</v>
      </c>
      <c r="F159" s="400">
        <v>0</v>
      </c>
      <c r="G159" s="400">
        <v>0</v>
      </c>
      <c r="H159" s="400">
        <v>0</v>
      </c>
      <c r="I159" s="29">
        <f t="shared" si="77"/>
        <v>4</v>
      </c>
      <c r="L159" s="401" t="s">
        <v>340</v>
      </c>
      <c r="M159" s="444">
        <f>SUM(M160:M161)</f>
        <v>0</v>
      </c>
      <c r="N159" s="444">
        <f t="shared" ref="N159" si="79">SUM(N160:N161)</f>
        <v>-125.15555555555557</v>
      </c>
      <c r="O159" s="444">
        <f t="shared" ref="O159" si="80">SUM(O160:O161)</f>
        <v>535.82222222222231</v>
      </c>
      <c r="P159" s="444">
        <f t="shared" ref="P159" si="81">SUM(P160:P161)</f>
        <v>0</v>
      </c>
      <c r="Q159" s="444">
        <f t="shared" ref="Q159" si="82">SUM(Q160:Q161)</f>
        <v>0</v>
      </c>
      <c r="R159" s="444">
        <f t="shared" ref="R159" si="83">SUM(R160:R161)</f>
        <v>0</v>
      </c>
      <c r="U159" s="53"/>
      <c r="V159" s="53"/>
      <c r="W159" s="53"/>
      <c r="X159" s="53"/>
      <c r="Y159" s="53"/>
      <c r="Z159" s="53"/>
      <c r="AA159" s="53"/>
      <c r="AB159" s="53"/>
      <c r="AC159" s="53"/>
    </row>
    <row r="160" spans="1:29">
      <c r="A160" s="374" t="s">
        <v>256</v>
      </c>
      <c r="B160" s="400">
        <v>105.6</v>
      </c>
      <c r="C160" s="400">
        <v>0</v>
      </c>
      <c r="D160" s="400">
        <v>0</v>
      </c>
      <c r="E160" s="400">
        <v>3</v>
      </c>
      <c r="F160" s="400">
        <v>0</v>
      </c>
      <c r="G160" s="400">
        <v>0</v>
      </c>
      <c r="H160" s="400">
        <v>0</v>
      </c>
      <c r="I160" s="29">
        <f t="shared" si="77"/>
        <v>3</v>
      </c>
      <c r="L160" s="374" t="s">
        <v>256</v>
      </c>
      <c r="M160" s="446">
        <f>(GETPIVOTDATA("Suma de VKTNivelación",$A$150,"Sector","Área Aucayes Alto","Tipo de obra","Obras Previas")/$E$5)*(GETPIVOTDATA("Máx. de MM2011",$A$150,"Sector","Área Aucayes Alto","Tipo de obra","Obras Previas")/$I$160)</f>
        <v>0</v>
      </c>
      <c r="N160" s="446">
        <f>(GETPIVOTDATA("Suma de VKTNivelación",$A$150,"Sector","Área Aucayes Alto","Tipo de obra","Obras Previas")/$E$5)*(GETPIVOTDATA("Máx. de MM2012",$A$150,"Sector","Área Aucayes Alto","Tipo de obra","Obras Previas")/$I$160)</f>
        <v>0</v>
      </c>
      <c r="O160" s="446">
        <f>(GETPIVOTDATA("Suma de VKTNivelación",$A$150,"Sector","Área Aucayes Alto","Tipo de obra","Obras Previas")/$E$5)*(GETPIVOTDATA("Máx. de MM2013",$A$150,"Sector","Área Aucayes Alto","Tipo de obra","Obras Previas")/$I$160)</f>
        <v>35.199999999999996</v>
      </c>
      <c r="P160" s="446">
        <f>(GETPIVOTDATA("Suma de VKTNivelación",$A$150,"Sector","Área Aucayes Alto","Tipo de obra","Obras Previas")/$E$5)*(GETPIVOTDATA("Máx. de MM2014",$A$150,"Sector","Área Aucayes Alto","Tipo de obra","Obras Previas")/$I$160)</f>
        <v>0</v>
      </c>
      <c r="Q160" s="446">
        <f>(GETPIVOTDATA("Suma de VKTNivelación",$A$150,"Sector","Área Aucayes Alto","Tipo de obra","Obras Previas")/$E$5)*(GETPIVOTDATA("Máx. de MM2015",$A$150,"Sector","Área Aucayes Alto","Tipo de obra","Obras Previas")/$I$160)</f>
        <v>0</v>
      </c>
      <c r="R160" s="446">
        <f>(GETPIVOTDATA("Suma de VKTNivelación",$A$150,"Sector","Área Aucayes Alto","Tipo de obra","Obras Previas")/$E$5)*(GETPIVOTDATA("Máx. de MM2016",$A$150,"Sector","Área Aucayes Alto","Tipo de obra","Obras Previas")/$I$160)</f>
        <v>0</v>
      </c>
    </row>
    <row r="161" spans="1:19">
      <c r="A161" s="374" t="s">
        <v>247</v>
      </c>
      <c r="B161" s="400">
        <v>1126.4000000000001</v>
      </c>
      <c r="C161" s="400">
        <v>0</v>
      </c>
      <c r="D161" s="400">
        <v>-1</v>
      </c>
      <c r="E161" s="400">
        <v>4</v>
      </c>
      <c r="F161" s="400">
        <v>0</v>
      </c>
      <c r="G161" s="400">
        <v>0</v>
      </c>
      <c r="H161" s="400">
        <v>0</v>
      </c>
      <c r="I161" s="29">
        <f t="shared" si="77"/>
        <v>3</v>
      </c>
      <c r="L161" s="374" t="s">
        <v>247</v>
      </c>
      <c r="M161" s="446">
        <f>(GETPIVOTDATA("Suma de VKTNivelación",$A$150,"Sector","Área Aucayes Alto","Tipo de obra","Túneles, cavernas  y chimeneas")/$E$5)*(GETPIVOTDATA("Máx. de MM2011",$A$150,"Sector","Área Aucayes Alto","Tipo de obra","Túneles, cavernas  y chimeneas")/$I$161)</f>
        <v>0</v>
      </c>
      <c r="N161" s="446">
        <f>(GETPIVOTDATA("Suma de VKTNivelación",$A$150,"Sector","Área Aucayes Alto","Tipo de obra","Túneles, cavernas  y chimeneas")/$E$5)*(GETPIVOTDATA("Máx. de MM2012",$A$150,"Sector","Área Aucayes Alto","Tipo de obra","Túneles, cavernas  y chimeneas")/$I$161)</f>
        <v>-125.15555555555557</v>
      </c>
      <c r="O161" s="446">
        <f>(GETPIVOTDATA("Suma de VKTNivelación",$A$150,"Sector","Área Aucayes Alto","Tipo de obra","Túneles, cavernas  y chimeneas")/$E$5)*(GETPIVOTDATA("Máx. de MM2013",$A$150,"Sector","Área Aucayes Alto","Tipo de obra","Túneles, cavernas  y chimeneas")/$I$161)</f>
        <v>500.62222222222226</v>
      </c>
      <c r="P161" s="446">
        <f>(GETPIVOTDATA("Suma de VKTNivelación",$A$150,"Sector","Área Aucayes Alto","Tipo de obra","Túneles, cavernas  y chimeneas")/$E$5)*(GETPIVOTDATA("Máx. de MM2014",$A$150,"Sector","Área Aucayes Alto","Tipo de obra","Túneles, cavernas  y chimeneas")/$I$161)</f>
        <v>0</v>
      </c>
      <c r="Q161" s="446">
        <f>(GETPIVOTDATA("Suma de VKTNivelación",$A$150,"Sector","Área Aucayes Alto","Tipo de obra","Túneles, cavernas  y chimeneas")/$E$5)*(GETPIVOTDATA("Máx. de MM2015",$A$150,"Sector","Área Aucayes Alto","Tipo de obra","Túneles, cavernas  y chimeneas")/$I$161)</f>
        <v>0</v>
      </c>
      <c r="R161" s="446">
        <f>(GETPIVOTDATA("Suma de VKTNivelación",$A$150,"Sector","Área Aucayes Alto","Tipo de obra","Túneles, cavernas  y chimeneas")/$E$5)*(GETPIVOTDATA("Máx. de MM2016",$A$150,"Sector","Área Aucayes Alto","Tipo de obra","Túneles, cavernas  y chimeneas")/$I$161)</f>
        <v>0</v>
      </c>
    </row>
    <row r="162" spans="1:19">
      <c r="A162" s="32" t="s">
        <v>342</v>
      </c>
      <c r="B162" s="400">
        <v>4161.6000000000004</v>
      </c>
      <c r="C162" s="400">
        <v>0</v>
      </c>
      <c r="D162" s="400">
        <v>4</v>
      </c>
      <c r="E162" s="400">
        <v>6</v>
      </c>
      <c r="F162" s="400">
        <v>0</v>
      </c>
      <c r="G162" s="400">
        <v>0</v>
      </c>
      <c r="H162" s="400">
        <v>0</v>
      </c>
      <c r="I162" s="29">
        <f t="shared" si="77"/>
        <v>10</v>
      </c>
      <c r="L162" s="401" t="s">
        <v>342</v>
      </c>
      <c r="M162" s="444">
        <f>SUM(M163:M164)</f>
        <v>0</v>
      </c>
      <c r="N162" s="444">
        <f t="shared" ref="N162" si="84">SUM(N163:N164)</f>
        <v>1348.48</v>
      </c>
      <c r="O162" s="444">
        <f t="shared" ref="O162" si="85">SUM(O163:O164)</f>
        <v>38.72</v>
      </c>
      <c r="P162" s="444">
        <f t="shared" ref="P162" si="86">SUM(P163:P164)</f>
        <v>0</v>
      </c>
      <c r="Q162" s="444">
        <f t="shared" ref="Q162" si="87">SUM(Q163:Q164)</f>
        <v>0</v>
      </c>
      <c r="R162" s="444">
        <f t="shared" ref="R162" si="88">SUM(R163:R164)</f>
        <v>0</v>
      </c>
    </row>
    <row r="163" spans="1:19">
      <c r="A163" s="374" t="s">
        <v>256</v>
      </c>
      <c r="B163" s="400">
        <v>193.6</v>
      </c>
      <c r="C163" s="400">
        <v>0</v>
      </c>
      <c r="D163" s="400">
        <v>4</v>
      </c>
      <c r="E163" s="400">
        <v>6</v>
      </c>
      <c r="F163" s="400">
        <v>0</v>
      </c>
      <c r="G163" s="400">
        <v>0</v>
      </c>
      <c r="H163" s="400">
        <v>0</v>
      </c>
      <c r="I163" s="29">
        <f t="shared" si="77"/>
        <v>10</v>
      </c>
      <c r="L163" s="374" t="s">
        <v>256</v>
      </c>
      <c r="M163" s="446">
        <f>(GETPIVOTDATA("Suma de VKTNivelación",$A$150,"Sector","Área Alfalfal II","Tipo de obra","Obras Previas")/$E$5)*(GETPIVOTDATA("Máx. de MM2011",$A$150,"Sector","Área Alfalfal II","Tipo de obra","Obras Previas")/$I$163)</f>
        <v>0</v>
      </c>
      <c r="N163" s="446">
        <f>(GETPIVOTDATA("Suma de VKTNivelación",$A$150,"Sector","Área Alfalfal II","Tipo de obra","Obras Previas")/$E$5)*(GETPIVOTDATA("Máx. de MM2012",$A$150,"Sector","Área Alfalfal II","Tipo de obra","Obras Previas")/$I$163)</f>
        <v>25.813333333333333</v>
      </c>
      <c r="O163" s="446">
        <f>(GETPIVOTDATA("Suma de VKTNivelación",$A$150,"Sector","Área Alfalfal II","Tipo de obra","Obras Previas")/$E$5)*(GETPIVOTDATA("Máx. de MM2013",$A$150,"Sector","Área Alfalfal II","Tipo de obra","Obras Previas")/$I$163)</f>
        <v>38.72</v>
      </c>
      <c r="P163" s="446">
        <f>(GETPIVOTDATA("Suma de VKTNivelación",$A$150,"Sector","Área Alfalfal II","Tipo de obra","Obras Previas")/$E$5)*(GETPIVOTDATA("Máx. de MM2014",$A$150,"Sector","Área Alfalfal II","Tipo de obra","Obras Previas")/$I$163)</f>
        <v>0</v>
      </c>
      <c r="Q163" s="446">
        <f>(GETPIVOTDATA("Suma de VKTNivelación",$A$150,"Sector","Área Alfalfal II","Tipo de obra","Obras Previas")/$E$5)*(GETPIVOTDATA("Máx. de MM2015",$A$150,"Sector","Área Alfalfal II","Tipo de obra","Obras Previas")/$I$163)</f>
        <v>0</v>
      </c>
      <c r="R163" s="446">
        <f>(GETPIVOTDATA("Suma de VKTNivelación",$A$150,"Sector","Área Alfalfal II","Tipo de obra","Obras Previas")/$E$5)*(GETPIVOTDATA("Máx. de MM2016",$A$150,"Sector","Área Alfalfal II","Tipo de obra","Obras Previas")/$I$163)</f>
        <v>0</v>
      </c>
    </row>
    <row r="164" spans="1:19">
      <c r="A164" s="374" t="s">
        <v>247</v>
      </c>
      <c r="B164" s="400">
        <v>3968</v>
      </c>
      <c r="C164" s="400">
        <v>0</v>
      </c>
      <c r="D164" s="400">
        <v>4</v>
      </c>
      <c r="E164" s="400">
        <v>0</v>
      </c>
      <c r="F164" s="400">
        <v>0</v>
      </c>
      <c r="G164" s="400">
        <v>0</v>
      </c>
      <c r="H164" s="400">
        <v>0</v>
      </c>
      <c r="I164" s="29">
        <f t="shared" si="77"/>
        <v>4</v>
      </c>
      <c r="L164" s="374" t="s">
        <v>247</v>
      </c>
      <c r="M164" s="446">
        <f>(GETPIVOTDATA("Suma de VKTNivelación",$A$150,"Sector","Área Alfalfal II","Tipo de obra","Túneles, cavernas  y chimeneas")/$E$5)*(GETPIVOTDATA("Máx. de MM2011",$A$150,"Sector","Área Alfalfal II","Tipo de obra","Túneles, cavernas  y chimeneas")/$I$164)</f>
        <v>0</v>
      </c>
      <c r="N164" s="446">
        <f>(GETPIVOTDATA("Suma de VKTNivelación",$A$150,"Sector","Área Alfalfal II","Tipo de obra","Túneles, cavernas  y chimeneas")/$E$5)*(GETPIVOTDATA("Máx. de MM2012",$A$150,"Sector","Área Alfalfal II","Tipo de obra","Túneles, cavernas  y chimeneas")/$I$164)</f>
        <v>1322.6666666666667</v>
      </c>
      <c r="O164" s="446">
        <f>(GETPIVOTDATA("Suma de VKTNivelación",$A$150,"Sector","Área Alfalfal II","Tipo de obra","Túneles, cavernas  y chimeneas")/$E$5)*(GETPIVOTDATA("Máx. de MM2013",$A$150,"Sector","Área Alfalfal II","Tipo de obra","Túneles, cavernas  y chimeneas")/$I$164)</f>
        <v>0</v>
      </c>
      <c r="P164" s="446">
        <f>(GETPIVOTDATA("Suma de VKTNivelación",$A$150,"Sector","Área Alfalfal II","Tipo de obra","Túneles, cavernas  y chimeneas")/$E$5)*(GETPIVOTDATA("Máx. de MM2014",$A$150,"Sector","Área Alfalfal II","Tipo de obra","Túneles, cavernas  y chimeneas")/$I$164)</f>
        <v>0</v>
      </c>
      <c r="Q164" s="446">
        <f>(GETPIVOTDATA("Suma de VKTNivelación",$A$150,"Sector","Área Alfalfal II","Tipo de obra","Túneles, cavernas  y chimeneas")/$E$5)*(GETPIVOTDATA("Máx. de MM2015",$A$150,"Sector","Área Alfalfal II","Tipo de obra","Túneles, cavernas  y chimeneas")/$I$164)</f>
        <v>0</v>
      </c>
      <c r="R164" s="446">
        <f>(GETPIVOTDATA("Suma de VKTNivelación",$A$150,"Sector","Área Alfalfal II","Tipo de obra","Túneles, cavernas  y chimeneas")/$E$5)*(GETPIVOTDATA("Máx. de MM2016",$A$150,"Sector","Área Alfalfal II","Tipo de obra","Túneles, cavernas  y chimeneas")/$I$164)</f>
        <v>0</v>
      </c>
    </row>
    <row r="165" spans="1:19">
      <c r="A165" s="32" t="s">
        <v>343</v>
      </c>
      <c r="B165" s="400">
        <v>4056.2719999999999</v>
      </c>
      <c r="C165" s="400">
        <v>1</v>
      </c>
      <c r="D165" s="400">
        <v>8</v>
      </c>
      <c r="E165" s="400">
        <v>12</v>
      </c>
      <c r="F165" s="400">
        <v>12</v>
      </c>
      <c r="G165" s="400">
        <v>9</v>
      </c>
      <c r="H165" s="400">
        <v>0</v>
      </c>
      <c r="I165" s="29">
        <f t="shared" si="77"/>
        <v>42</v>
      </c>
      <c r="L165" s="401" t="s">
        <v>343</v>
      </c>
      <c r="M165" s="444">
        <f>SUM(M166:M168)</f>
        <v>2.1333333333333333</v>
      </c>
      <c r="N165" s="444">
        <f t="shared" ref="N165" si="89">SUM(N166:N168)</f>
        <v>247.21899186991871</v>
      </c>
      <c r="O165" s="444">
        <f t="shared" ref="O165" si="90">SUM(O166:O168)</f>
        <v>408.41071002710027</v>
      </c>
      <c r="P165" s="444">
        <f t="shared" ref="P165" si="91">SUM(P166:P168)</f>
        <v>418.60626558265579</v>
      </c>
      <c r="Q165" s="444">
        <f t="shared" ref="Q165" si="92">SUM(Q166:Q168)</f>
        <v>275.72136585365854</v>
      </c>
      <c r="R165" s="444">
        <f t="shared" ref="R165" si="93">SUM(R166:R168)</f>
        <v>0</v>
      </c>
    </row>
    <row r="166" spans="1:19">
      <c r="A166" s="374" t="s">
        <v>223</v>
      </c>
      <c r="B166" s="400">
        <v>275.27999999999997</v>
      </c>
      <c r="C166" s="400">
        <v>0</v>
      </c>
      <c r="D166" s="400">
        <v>0</v>
      </c>
      <c r="E166" s="400">
        <v>8</v>
      </c>
      <c r="F166" s="400">
        <v>10</v>
      </c>
      <c r="G166" s="400">
        <v>0</v>
      </c>
      <c r="H166" s="400">
        <v>0</v>
      </c>
      <c r="I166" s="29">
        <f t="shared" si="77"/>
        <v>18</v>
      </c>
      <c r="L166" s="374" t="s">
        <v>223</v>
      </c>
      <c r="M166" s="446">
        <f>(GETPIVOTDATA("Suma de VKTNivelación",$A$150,"Sector","Área Las Lajas-Maipo","Tipo de obra","Obras Civiles")/$E$5)*(GETPIVOTDATA("Máx. de MM2011",$A$150,"Sector","Área Las Lajas-Maipo","Tipo de obra","Obras Civiles")/$I$166)</f>
        <v>0</v>
      </c>
      <c r="N166" s="446">
        <f>(GETPIVOTDATA("Suma de VKTNivelación",$A$150,"Sector","Área Las Lajas-Maipo","Tipo de obra","Obras Civiles")/$E$5)*(GETPIVOTDATA("Máx. de MM2012",$A$150,"Sector","Área Las Lajas-Maipo","Tipo de obra","Obras Civiles")/$I$166)</f>
        <v>0</v>
      </c>
      <c r="O166" s="446">
        <f>(GETPIVOTDATA("Suma de VKTNivelación",$A$150,"Sector","Área Las Lajas-Maipo","Tipo de obra","Obras Civiles")/$E$5)*(GETPIVOTDATA("Máx. de MM2013",$A$150,"Sector","Área Las Lajas-Maipo","Tipo de obra","Obras Civiles")/$I$166)</f>
        <v>40.782222222222217</v>
      </c>
      <c r="P166" s="446">
        <f>(GETPIVOTDATA("Suma de VKTNivelación",$A$150,"Sector","Área Las Lajas-Maipo","Tipo de obra","Obras Civiles")/$E$5)*(GETPIVOTDATA("Máx. de MM2014",$A$150,"Sector","Área Las Lajas-Maipo","Tipo de obra","Obras Civiles")/$I$166)</f>
        <v>50.977777777777774</v>
      </c>
      <c r="Q166" s="446">
        <f>(GETPIVOTDATA("Suma de VKTNivelación",$A$150,"Sector","Área Las Lajas-Maipo","Tipo de obra","Obras Civiles")/$E$5)*(GETPIVOTDATA("Máx. de MM2015",$A$150,"Sector","Área Las Lajas-Maipo","Tipo de obra","Obras Civiles")/$I$166)</f>
        <v>0</v>
      </c>
      <c r="R166" s="446">
        <f>(GETPIVOTDATA("Suma de VKTNivelación",$A$150,"Sector","Área Las Lajas-Maipo","Tipo de obra","Obras Civiles")/$E$5)*(GETPIVOTDATA("Máx. de MM2016",$A$150,"Sector","Área Las Lajas-Maipo","Tipo de obra","Obras Civiles")/$I$166)</f>
        <v>0</v>
      </c>
    </row>
    <row r="167" spans="1:19">
      <c r="A167" s="374" t="s">
        <v>256</v>
      </c>
      <c r="B167" s="400">
        <v>12.8</v>
      </c>
      <c r="C167" s="400">
        <v>1</v>
      </c>
      <c r="D167" s="400">
        <v>1</v>
      </c>
      <c r="E167" s="400">
        <v>0</v>
      </c>
      <c r="F167" s="400">
        <v>0</v>
      </c>
      <c r="G167" s="400">
        <v>0</v>
      </c>
      <c r="H167" s="400">
        <v>0</v>
      </c>
      <c r="I167" s="29">
        <f t="shared" si="77"/>
        <v>2</v>
      </c>
      <c r="L167" s="374" t="s">
        <v>256</v>
      </c>
      <c r="M167" s="446">
        <f>(GETPIVOTDATA("Suma de VKTNivelación",$A$150,"Sector","Área Las Lajas-Maipo","Tipo de obra","Obras Previas")/$E$5)*(GETPIVOTDATA("Máx. de MM2011",$A$150,"Sector","Área Las Lajas-Maipo","Tipo de obra","Obras Previas")/$I$167)</f>
        <v>2.1333333333333333</v>
      </c>
      <c r="N167" s="446">
        <f>(GETPIVOTDATA("Suma de VKTNivelación",$A$150,"Sector","Área Las Lajas-Maipo","Tipo de obra","Obras Previas")/$E$5)*(GETPIVOTDATA("Máx. de MM2012",$A$150,"Sector","Área Las Lajas-Maipo","Tipo de obra","Obras Previas")/$I$167)</f>
        <v>2.1333333333333333</v>
      </c>
      <c r="O167" s="446">
        <f>(GETPIVOTDATA("Suma de VKTNivelación",$A$150,"Sector","Área Las Lajas-Maipo","Tipo de obra","Obras Previas")/$E$5)*(GETPIVOTDATA("Máx. de MM2013",$A$150,"Sector","Área Las Lajas-Maipo","Tipo de obra","Obras Previas")/$I$167)</f>
        <v>0</v>
      </c>
      <c r="P167" s="446">
        <f>(GETPIVOTDATA("Suma de VKTNivelación",$A$150,"Sector","Área Las Lajas-Maipo","Tipo de obra","Obras Previas")/$E$5)*(GETPIVOTDATA("Máx. de MM2014",$A$150,"Sector","Área Las Lajas-Maipo","Tipo de obra","Obras Previas")/$I$167)</f>
        <v>0</v>
      </c>
      <c r="Q167" s="446">
        <f>(GETPIVOTDATA("Suma de VKTNivelación",$A$150,"Sector","Área Las Lajas-Maipo","Tipo de obra","Obras Previas")/$E$5)*(GETPIVOTDATA("Máx. de MM2015",$A$150,"Sector","Área Las Lajas-Maipo","Tipo de obra","Obras Previas")/$I$167)</f>
        <v>0</v>
      </c>
      <c r="R167" s="446">
        <f>(GETPIVOTDATA("Suma de VKTNivelación",$A$150,"Sector","Área Las Lajas-Maipo","Tipo de obra","Obras Previas")/$E$5)*(GETPIVOTDATA("Máx. de MM2016",$A$150,"Sector","Área Las Lajas-Maipo","Tipo de obra","Obras Previas")/$I$167)</f>
        <v>0</v>
      </c>
    </row>
    <row r="168" spans="1:19">
      <c r="A168" s="374" t="s">
        <v>247</v>
      </c>
      <c r="B168" s="462">
        <v>3768.192</v>
      </c>
      <c r="C168" s="400">
        <v>0</v>
      </c>
      <c r="D168" s="400">
        <v>8</v>
      </c>
      <c r="E168" s="400">
        <v>12</v>
      </c>
      <c r="F168" s="400">
        <v>12</v>
      </c>
      <c r="G168" s="400">
        <v>9</v>
      </c>
      <c r="H168" s="400">
        <v>0</v>
      </c>
      <c r="I168" s="29">
        <f t="shared" si="77"/>
        <v>41</v>
      </c>
      <c r="L168" s="374" t="s">
        <v>247</v>
      </c>
      <c r="M168" s="446">
        <f>(GETPIVOTDATA("Suma de VKTNivelación",$A$150,"Sector","Área Las Lajas-Maipo","Tipo de obra","Túneles, cavernas  y chimeneas")/$E$5)*(GETPIVOTDATA("Máx. de MM2011",$A$150,"Sector","Área Las Lajas-Maipo","Tipo de obra","Túneles, cavernas  y chimeneas")/$I$168)</f>
        <v>0</v>
      </c>
      <c r="N168" s="446">
        <f>(GETPIVOTDATA("Suma de VKTNivelación",$A$150,"Sector","Área Las Lajas-Maipo","Tipo de obra","Túneles, cavernas  y chimeneas")/$E$5)*(GETPIVOTDATA("Máx. de MM2012",$A$150,"Sector","Área Las Lajas-Maipo","Tipo de obra","Túneles, cavernas  y chimeneas")/$I$168)</f>
        <v>245.08565853658538</v>
      </c>
      <c r="O168" s="446">
        <f>(GETPIVOTDATA("Suma de VKTNivelación",$A$150,"Sector","Área Las Lajas-Maipo","Tipo de obra","Túneles, cavernas  y chimeneas")/$E$5)*(GETPIVOTDATA("Máx. de MM2013",$A$150,"Sector","Área Las Lajas-Maipo","Tipo de obra","Túneles, cavernas  y chimeneas")/$I$168)</f>
        <v>367.62848780487803</v>
      </c>
      <c r="P168" s="446">
        <f>(GETPIVOTDATA("Suma de VKTNivelación",$A$150,"Sector","Área Las Lajas-Maipo","Tipo de obra","Túneles, cavernas  y chimeneas")/$E$5)*(GETPIVOTDATA("Máx. de MM2014",$A$150,"Sector","Área Las Lajas-Maipo","Tipo de obra","Túneles, cavernas  y chimeneas")/$I$168)</f>
        <v>367.62848780487803</v>
      </c>
      <c r="Q168" s="446">
        <f>(GETPIVOTDATA("Suma de VKTNivelación",$A$150,"Sector","Área Las Lajas-Maipo","Tipo de obra","Túneles, cavernas  y chimeneas")/$E$5)*(GETPIVOTDATA("Máx. de MM2015",$A$150,"Sector","Área Las Lajas-Maipo","Tipo de obra","Túneles, cavernas  y chimeneas")/$I$168)</f>
        <v>275.72136585365854</v>
      </c>
      <c r="R168" s="446">
        <f>(GETPIVOTDATA("Suma de VKTNivelación",$A$150,"Sector","Área Las Lajas-Maipo","Tipo de obra","Túneles, cavernas  y chimeneas")/$E$5)*(GETPIVOTDATA("Máx. de MM2016",$A$150,"Sector","Área Las Lajas-Maipo","Tipo de obra","Túneles, cavernas  y chimeneas")/$I$168)</f>
        <v>0</v>
      </c>
      <c r="S168" s="463" t="s">
        <v>909</v>
      </c>
    </row>
    <row r="169" spans="1:19">
      <c r="A169" s="32" t="s">
        <v>341</v>
      </c>
      <c r="B169" s="400">
        <v>14123.8176</v>
      </c>
      <c r="C169" s="400">
        <v>1</v>
      </c>
      <c r="D169" s="400">
        <v>8</v>
      </c>
      <c r="E169" s="400">
        <v>12</v>
      </c>
      <c r="F169" s="400">
        <v>12</v>
      </c>
      <c r="G169" s="400">
        <v>12</v>
      </c>
      <c r="H169" s="400">
        <v>6</v>
      </c>
      <c r="L169" s="391" t="s">
        <v>341</v>
      </c>
      <c r="M169" s="458">
        <f>M151+M155+M159+M162+M165</f>
        <v>2.1333333333333333</v>
      </c>
      <c r="N169" s="458">
        <f t="shared" ref="N169:R169" si="94">N151+N155+N159+N162+N165</f>
        <v>1566.2653418541627</v>
      </c>
      <c r="O169" s="458">
        <f t="shared" si="94"/>
        <v>1410.5787987269175</v>
      </c>
      <c r="P169" s="458">
        <f t="shared" si="94"/>
        <v>851.63963206025073</v>
      </c>
      <c r="Q169" s="458">
        <f t="shared" si="94"/>
        <v>708.75473233125354</v>
      </c>
      <c r="R169" s="458">
        <f t="shared" si="94"/>
        <v>168.56736169408208</v>
      </c>
      <c r="S169" s="464">
        <f>SUM(M169:R169)</f>
        <v>4707.9391999999998</v>
      </c>
    </row>
    <row r="170" spans="1:19" ht="15">
      <c r="A170"/>
      <c r="B170"/>
      <c r="C170"/>
      <c r="D170"/>
      <c r="E170"/>
      <c r="F170"/>
      <c r="G170"/>
      <c r="H170"/>
      <c r="L170"/>
      <c r="M170"/>
      <c r="N170"/>
      <c r="O170"/>
      <c r="P170"/>
      <c r="Q170"/>
    </row>
    <row r="171" spans="1:19" ht="15">
      <c r="A171"/>
      <c r="B171"/>
      <c r="C171"/>
      <c r="D171"/>
      <c r="E171"/>
      <c r="F171"/>
      <c r="G171"/>
      <c r="H171"/>
      <c r="L171"/>
      <c r="M171"/>
      <c r="N171"/>
      <c r="O171"/>
      <c r="P171"/>
      <c r="Q171"/>
    </row>
    <row r="172" spans="1:19" ht="15">
      <c r="A172"/>
      <c r="B172"/>
      <c r="C172"/>
      <c r="D172"/>
      <c r="E172"/>
      <c r="F172"/>
      <c r="G172"/>
      <c r="H172"/>
      <c r="L172"/>
      <c r="M172"/>
      <c r="N172"/>
      <c r="O172"/>
      <c r="P172"/>
      <c r="Q172"/>
    </row>
    <row r="173" spans="1:19" ht="15">
      <c r="A173"/>
      <c r="B173"/>
      <c r="C173"/>
      <c r="D173"/>
      <c r="E173"/>
      <c r="F173"/>
      <c r="G173"/>
      <c r="L173"/>
      <c r="M173"/>
      <c r="N173"/>
      <c r="O173"/>
      <c r="P173"/>
      <c r="Q173"/>
    </row>
    <row r="174" spans="1:19" ht="15">
      <c r="A174" s="28" t="s">
        <v>911</v>
      </c>
      <c r="B174" s="364" t="s">
        <v>912</v>
      </c>
      <c r="C174"/>
      <c r="D174"/>
      <c r="E174"/>
      <c r="F174" s="459"/>
      <c r="G174"/>
      <c r="L174"/>
      <c r="M174"/>
      <c r="N174"/>
      <c r="O174"/>
      <c r="P174"/>
      <c r="Q174"/>
    </row>
    <row r="175" spans="1:19" ht="15">
      <c r="A175"/>
      <c r="B175"/>
      <c r="C175"/>
      <c r="D175"/>
      <c r="E175"/>
      <c r="F175"/>
      <c r="G175"/>
      <c r="L175"/>
      <c r="M175"/>
      <c r="N175"/>
      <c r="O175"/>
      <c r="P175"/>
      <c r="Q175"/>
    </row>
    <row r="176" spans="1:19" ht="15">
      <c r="A176" t="s">
        <v>923</v>
      </c>
      <c r="B176"/>
      <c r="C176"/>
      <c r="D176"/>
      <c r="E176"/>
      <c r="F176"/>
      <c r="G176"/>
      <c r="L176" s="30" t="s">
        <v>911</v>
      </c>
      <c r="M176" s="30" t="s">
        <v>924</v>
      </c>
      <c r="N176"/>
      <c r="O176"/>
      <c r="P176"/>
      <c r="Q176"/>
      <c r="R176"/>
    </row>
    <row r="177" spans="1:19">
      <c r="A177" s="399" t="s">
        <v>844</v>
      </c>
      <c r="B177" s="29" t="s">
        <v>915</v>
      </c>
      <c r="C177" s="29" t="s">
        <v>916</v>
      </c>
      <c r="D177" s="29" t="s">
        <v>917</v>
      </c>
      <c r="E177" s="29" t="s">
        <v>918</v>
      </c>
      <c r="F177" s="29" t="s">
        <v>919</v>
      </c>
      <c r="G177" s="29" t="s">
        <v>920</v>
      </c>
      <c r="H177" s="29" t="s">
        <v>852</v>
      </c>
      <c r="L177" s="368" t="s">
        <v>7</v>
      </c>
      <c r="M177" s="368">
        <v>2011</v>
      </c>
      <c r="N177" s="368">
        <v>2012</v>
      </c>
      <c r="O177" s="368">
        <v>2013</v>
      </c>
      <c r="P177" s="368">
        <v>2014</v>
      </c>
      <c r="Q177" s="368">
        <v>2015</v>
      </c>
      <c r="R177" s="368">
        <v>2016</v>
      </c>
    </row>
    <row r="178" spans="1:19">
      <c r="A178" s="32" t="s">
        <v>338</v>
      </c>
      <c r="B178" s="400">
        <v>0</v>
      </c>
      <c r="C178" s="400">
        <v>0</v>
      </c>
      <c r="D178" s="400">
        <v>2</v>
      </c>
      <c r="E178" s="400">
        <v>14</v>
      </c>
      <c r="F178" s="400">
        <v>14</v>
      </c>
      <c r="G178" s="400">
        <v>8</v>
      </c>
      <c r="H178" s="29">
        <f>SUM(B178:G178)</f>
        <v>38</v>
      </c>
      <c r="L178" s="369" t="s">
        <v>338</v>
      </c>
      <c r="M178" s="454">
        <f>GETPIVOTDATA("Suma de CO2011",$A$177,"Sector","Área El Volcán")*8*30</f>
        <v>0</v>
      </c>
      <c r="N178" s="454">
        <f>GETPIVOTDATA("Suma de CO2012",$A$177,"Sector","Área El Volcán")*8*30</f>
        <v>0</v>
      </c>
      <c r="O178" s="454">
        <f>GETPIVOTDATA("Suma de CO2013",$A$177,"Sector","Área El Volcán")*8*30</f>
        <v>480</v>
      </c>
      <c r="P178" s="454">
        <f>GETPIVOTDATA("Suma de CO2014",$A$177,"Sector","Área El Volcán")*8*30</f>
        <v>3360</v>
      </c>
      <c r="Q178" s="454">
        <f>GETPIVOTDATA("Suma de CO2015",$A$177,"Sector","Área El Volcán")*8*30</f>
        <v>3360</v>
      </c>
      <c r="R178" s="454">
        <f>GETPIVOTDATA("Suma de CO2016",$A$177,"Sector","Área El Volcán")*8*30</f>
        <v>1920</v>
      </c>
    </row>
    <row r="179" spans="1:19">
      <c r="A179" s="32" t="s">
        <v>339</v>
      </c>
      <c r="B179" s="400">
        <v>0</v>
      </c>
      <c r="C179" s="400">
        <v>8</v>
      </c>
      <c r="D179" s="400">
        <v>2</v>
      </c>
      <c r="E179" s="400">
        <v>14</v>
      </c>
      <c r="F179" s="400">
        <v>14</v>
      </c>
      <c r="G179" s="400">
        <v>0</v>
      </c>
      <c r="H179" s="29">
        <f t="shared" ref="H179:H183" si="95">SUM(B179:G179)</f>
        <v>38</v>
      </c>
      <c r="L179" s="369" t="s">
        <v>339</v>
      </c>
      <c r="M179" s="454">
        <f>GETPIVOTDATA("Suma de CO2011",$A$177,"Sector","Área Yeso")*8*30</f>
        <v>0</v>
      </c>
      <c r="N179" s="454">
        <f>GETPIVOTDATA("Suma de CO2012",$A$177,"Sector","Área Yeso")*8*30</f>
        <v>1920</v>
      </c>
      <c r="O179" s="454">
        <f>GETPIVOTDATA("Suma de CO2013",$A$177,"Sector","Área Yeso")*8*30</f>
        <v>480</v>
      </c>
      <c r="P179" s="454">
        <f>GETPIVOTDATA("Suma de CO2014",$A$177,"Sector","Área Yeso")*8*30</f>
        <v>3360</v>
      </c>
      <c r="Q179" s="454">
        <f>GETPIVOTDATA("Suma de CO2015",$A$177,"Sector","Área Yeso")*8*30</f>
        <v>3360</v>
      </c>
      <c r="R179" s="454">
        <f>GETPIVOTDATA("Suma de CO2016",$A$177,"Sector","Área Yeso")*8*30</f>
        <v>0</v>
      </c>
    </row>
    <row r="180" spans="1:19">
      <c r="A180" s="32" t="s">
        <v>340</v>
      </c>
      <c r="B180" s="400">
        <v>0</v>
      </c>
      <c r="C180" s="400">
        <v>3</v>
      </c>
      <c r="D180" s="400">
        <v>0</v>
      </c>
      <c r="E180" s="400">
        <v>0</v>
      </c>
      <c r="F180" s="400">
        <v>0</v>
      </c>
      <c r="G180" s="400">
        <v>0</v>
      </c>
      <c r="H180" s="29">
        <f t="shared" si="95"/>
        <v>3</v>
      </c>
      <c r="L180" s="369" t="s">
        <v>340</v>
      </c>
      <c r="M180" s="454">
        <f>GETPIVOTDATA("Suma de CO2011",$A$177,"Sector","Área Aucayes Alto")*8*30</f>
        <v>0</v>
      </c>
      <c r="N180" s="454">
        <f>GETPIVOTDATA("Suma de CO2012",$A$177,"Sector","Área Aucayes Alto")*8*30</f>
        <v>720</v>
      </c>
      <c r="O180" s="454">
        <f>GETPIVOTDATA("Suma de CO2013",$A$177,"Sector","Área Aucayes Alto")*8*30</f>
        <v>0</v>
      </c>
      <c r="P180" s="454">
        <f>GETPIVOTDATA("Suma de CO2014",$A$177,"Sector","Área Aucayes Alto")*8*30</f>
        <v>0</v>
      </c>
      <c r="Q180" s="454">
        <f>GETPIVOTDATA("Suma de CO2015",$A$177,"Sector","Área Aucayes Alto")*8*30</f>
        <v>0</v>
      </c>
      <c r="R180" s="454">
        <f>GETPIVOTDATA("Suma de CO2016",$A$177,"Sector","Área Aucayes Alto")*8*30</f>
        <v>0</v>
      </c>
    </row>
    <row r="181" spans="1:19">
      <c r="A181" s="32" t="s">
        <v>342</v>
      </c>
      <c r="B181" s="400"/>
      <c r="C181" s="400"/>
      <c r="D181" s="400"/>
      <c r="E181" s="400"/>
      <c r="F181" s="400"/>
      <c r="G181" s="400"/>
      <c r="H181" s="29">
        <f t="shared" si="95"/>
        <v>0</v>
      </c>
      <c r="L181" s="369" t="s">
        <v>342</v>
      </c>
      <c r="M181" s="454">
        <f>GETPIVOTDATA("Suma de CO2011",$A$177,"Sector","Área Alfalfal II")*8*30</f>
        <v>0</v>
      </c>
      <c r="N181" s="454">
        <f>GETPIVOTDATA("Suma de CO2012",$A$177,"Sector","Área Alfalfal II")*8*30</f>
        <v>0</v>
      </c>
      <c r="O181" s="454">
        <f>GETPIVOTDATA("Suma de CO2013",$A$177,"Sector","Área Alfalfal II")*8*30</f>
        <v>0</v>
      </c>
      <c r="P181" s="454">
        <f>GETPIVOTDATA("Suma de CO2014",$A$177,"Sector","Área Alfalfal II")*8*30</f>
        <v>0</v>
      </c>
      <c r="Q181" s="454">
        <f>GETPIVOTDATA("Suma de CO2015",$A$177,"Sector","Área Alfalfal II")*8*30</f>
        <v>0</v>
      </c>
      <c r="R181" s="454">
        <f>GETPIVOTDATA("Suma de CO2016",$A$177,"Sector","Área Alfalfal II")*8*30</f>
        <v>0</v>
      </c>
    </row>
    <row r="182" spans="1:19">
      <c r="A182" s="32" t="s">
        <v>343</v>
      </c>
      <c r="B182" s="400">
        <v>0</v>
      </c>
      <c r="C182" s="400">
        <v>0</v>
      </c>
      <c r="D182" s="400">
        <v>14</v>
      </c>
      <c r="E182" s="400">
        <v>16</v>
      </c>
      <c r="F182" s="400">
        <v>29</v>
      </c>
      <c r="G182" s="400">
        <v>0</v>
      </c>
      <c r="H182" s="29">
        <f t="shared" si="95"/>
        <v>59</v>
      </c>
      <c r="L182" s="369" t="s">
        <v>343</v>
      </c>
      <c r="M182" s="454">
        <f>GETPIVOTDATA("Suma de CO2011",$A$177,"Sector","Área Las Lajas-Maipo")*8*30</f>
        <v>0</v>
      </c>
      <c r="N182" s="454">
        <f>GETPIVOTDATA("Suma de CO2012",$A$177,"Sector","Área Las Lajas-Maipo")*8*30</f>
        <v>0</v>
      </c>
      <c r="O182" s="454">
        <f>GETPIVOTDATA("Suma de CO2013",$A$177,"Sector","Área Las Lajas-Maipo")*8*30</f>
        <v>3360</v>
      </c>
      <c r="P182" s="454">
        <f>GETPIVOTDATA("Suma de CO2014",$A$177,"Sector","Área Las Lajas-Maipo")*8*30</f>
        <v>3840</v>
      </c>
      <c r="Q182" s="454">
        <f>GETPIVOTDATA("Suma de CO2015",$A$177,"Sector","Área Las Lajas-Maipo")*8*30</f>
        <v>6960</v>
      </c>
      <c r="R182" s="454">
        <f>GETPIVOTDATA("Suma de CO2016",$A$177,"Sector","Área Las Lajas-Maipo")*8*30</f>
        <v>0</v>
      </c>
    </row>
    <row r="183" spans="1:19">
      <c r="A183" s="32" t="s">
        <v>341</v>
      </c>
      <c r="B183" s="400">
        <v>0</v>
      </c>
      <c r="C183" s="400">
        <v>11</v>
      </c>
      <c r="D183" s="400">
        <v>18</v>
      </c>
      <c r="E183" s="400">
        <v>44</v>
      </c>
      <c r="F183" s="400">
        <v>57</v>
      </c>
      <c r="G183" s="400">
        <v>8</v>
      </c>
      <c r="H183" s="29">
        <f t="shared" si="95"/>
        <v>138</v>
      </c>
      <c r="I183" s="30"/>
      <c r="L183" s="370" t="s">
        <v>341</v>
      </c>
      <c r="M183" s="371">
        <f>SUM(M178:M182)</f>
        <v>0</v>
      </c>
      <c r="N183" s="371">
        <f t="shared" ref="N183:R183" si="96">SUM(N178:N182)</f>
        <v>2640</v>
      </c>
      <c r="O183" s="371">
        <f t="shared" si="96"/>
        <v>4320</v>
      </c>
      <c r="P183" s="371">
        <f t="shared" si="96"/>
        <v>10560</v>
      </c>
      <c r="Q183" s="371">
        <f t="shared" si="96"/>
        <v>13680</v>
      </c>
      <c r="R183" s="371">
        <f t="shared" si="96"/>
        <v>1920</v>
      </c>
      <c r="S183" s="353">
        <f>SUM(M183:R183)</f>
        <v>33120</v>
      </c>
    </row>
    <row r="184" spans="1:19" ht="15">
      <c r="A184"/>
      <c r="B184"/>
      <c r="C184"/>
      <c r="D184"/>
      <c r="E184"/>
      <c r="F184"/>
      <c r="G184"/>
      <c r="L184"/>
      <c r="M184"/>
      <c r="N184"/>
      <c r="O184"/>
      <c r="P184"/>
      <c r="Q184"/>
    </row>
    <row r="185" spans="1:19" ht="15">
      <c r="A185"/>
      <c r="B185"/>
      <c r="C185"/>
      <c r="D185"/>
      <c r="E185"/>
      <c r="F185"/>
      <c r="G185"/>
      <c r="L185" s="29" t="s">
        <v>929</v>
      </c>
    </row>
    <row r="186" spans="1:19" ht="15">
      <c r="A186" s="470"/>
      <c r="B186" s="470"/>
      <c r="C186" s="470"/>
      <c r="D186" s="470"/>
      <c r="E186" s="470"/>
      <c r="F186" s="470"/>
      <c r="G186" s="470"/>
      <c r="H186" s="471"/>
      <c r="I186" s="471"/>
      <c r="J186" s="471"/>
      <c r="K186" s="471"/>
      <c r="L186" s="481" t="s">
        <v>930</v>
      </c>
      <c r="M186" s="471"/>
      <c r="N186" s="471"/>
      <c r="O186" s="471"/>
      <c r="P186" s="471"/>
      <c r="Q186" s="471"/>
      <c r="R186" s="471"/>
      <c r="S186" s="471"/>
    </row>
    <row r="187" spans="1:19">
      <c r="A187" s="471"/>
      <c r="B187" s="471"/>
      <c r="C187" s="471"/>
      <c r="D187" s="471"/>
      <c r="E187" s="471"/>
      <c r="F187" s="471"/>
      <c r="G187" s="471"/>
      <c r="H187" s="471"/>
      <c r="I187" s="471"/>
      <c r="J187" s="471"/>
      <c r="K187" s="471"/>
      <c r="L187" s="471"/>
      <c r="M187" s="471"/>
      <c r="N187" s="471"/>
      <c r="O187" s="471"/>
      <c r="P187" s="471"/>
      <c r="Q187" s="471"/>
      <c r="R187" s="471"/>
      <c r="S187" s="471"/>
    </row>
    <row r="188" spans="1:19" ht="15">
      <c r="A188" s="471"/>
      <c r="B188" s="471"/>
      <c r="C188" s="471"/>
      <c r="D188" s="471"/>
      <c r="E188" s="471"/>
      <c r="F188" s="471"/>
      <c r="G188" s="471"/>
      <c r="H188" s="471"/>
      <c r="I188" s="471"/>
      <c r="J188" s="471"/>
      <c r="K188" s="471"/>
      <c r="L188" s="472"/>
      <c r="M188" s="472"/>
      <c r="N188" s="470"/>
      <c r="O188" s="470"/>
      <c r="P188" s="470"/>
      <c r="Q188" s="470"/>
      <c r="R188" s="470"/>
      <c r="S188" s="471"/>
    </row>
    <row r="189" spans="1:19" ht="15">
      <c r="A189" s="471"/>
      <c r="B189" s="471"/>
      <c r="C189" s="471"/>
      <c r="D189" s="471"/>
      <c r="E189" s="471"/>
      <c r="F189" s="471"/>
      <c r="G189" s="471"/>
      <c r="H189" s="470"/>
      <c r="I189" s="471"/>
      <c r="J189" s="471"/>
      <c r="K189" s="471"/>
      <c r="L189" s="473"/>
      <c r="M189" s="473"/>
      <c r="N189" s="473"/>
      <c r="O189" s="473"/>
      <c r="P189" s="473"/>
      <c r="Q189" s="473"/>
      <c r="R189" s="473"/>
      <c r="S189" s="471"/>
    </row>
    <row r="190" spans="1:19" ht="15">
      <c r="A190" s="474"/>
      <c r="B190" s="475"/>
      <c r="C190" s="475"/>
      <c r="D190" s="475"/>
      <c r="E190" s="475"/>
      <c r="F190" s="475"/>
      <c r="G190" s="475"/>
      <c r="H190" s="470"/>
      <c r="I190" s="471"/>
      <c r="J190" s="471"/>
      <c r="K190" s="471"/>
      <c r="L190" s="468"/>
      <c r="M190" s="476"/>
      <c r="N190" s="476"/>
      <c r="O190" s="476"/>
      <c r="P190" s="476"/>
      <c r="Q190" s="476"/>
      <c r="R190" s="476"/>
      <c r="S190" s="471"/>
    </row>
    <row r="191" spans="1:19" ht="15">
      <c r="A191" s="474"/>
      <c r="B191" s="475"/>
      <c r="C191" s="475"/>
      <c r="D191" s="475"/>
      <c r="E191" s="475"/>
      <c r="F191" s="475"/>
      <c r="G191" s="475"/>
      <c r="H191" s="470"/>
      <c r="I191" s="471"/>
      <c r="J191" s="471"/>
      <c r="K191" s="471"/>
      <c r="L191" s="468"/>
      <c r="M191" s="476"/>
      <c r="N191" s="476"/>
      <c r="O191" s="476"/>
      <c r="P191" s="476"/>
      <c r="Q191" s="476"/>
      <c r="R191" s="476"/>
      <c r="S191" s="471"/>
    </row>
    <row r="192" spans="1:19" ht="15">
      <c r="A192" s="474"/>
      <c r="B192" s="475"/>
      <c r="C192" s="475"/>
      <c r="D192" s="475"/>
      <c r="E192" s="475"/>
      <c r="F192" s="475"/>
      <c r="G192" s="475"/>
      <c r="H192" s="470"/>
      <c r="I192" s="471"/>
      <c r="J192" s="471"/>
      <c r="K192" s="471"/>
      <c r="L192" s="468"/>
      <c r="M192" s="476"/>
      <c r="N192" s="476"/>
      <c r="O192" s="476"/>
      <c r="P192" s="476"/>
      <c r="Q192" s="476"/>
      <c r="R192" s="476"/>
      <c r="S192" s="471"/>
    </row>
    <row r="193" spans="1:19" ht="15">
      <c r="A193" s="474"/>
      <c r="B193" s="475"/>
      <c r="C193" s="475"/>
      <c r="D193" s="475"/>
      <c r="E193" s="475"/>
      <c r="F193" s="475"/>
      <c r="G193" s="475"/>
      <c r="H193" s="470"/>
      <c r="I193" s="471"/>
      <c r="J193" s="471"/>
      <c r="K193" s="471"/>
      <c r="L193" s="468"/>
      <c r="M193" s="476"/>
      <c r="N193" s="476"/>
      <c r="O193" s="476"/>
      <c r="P193" s="476"/>
      <c r="Q193" s="476"/>
      <c r="R193" s="476"/>
      <c r="S193" s="471"/>
    </row>
    <row r="194" spans="1:19" ht="15">
      <c r="A194" s="474"/>
      <c r="B194" s="475"/>
      <c r="C194" s="475"/>
      <c r="D194" s="475"/>
      <c r="E194" s="475"/>
      <c r="F194" s="475"/>
      <c r="G194" s="475"/>
      <c r="H194" s="470"/>
      <c r="I194" s="471"/>
      <c r="J194" s="471"/>
      <c r="K194" s="471"/>
      <c r="L194" s="468"/>
      <c r="M194" s="476"/>
      <c r="N194" s="476"/>
      <c r="O194" s="476"/>
      <c r="P194" s="476"/>
      <c r="Q194" s="476"/>
      <c r="R194" s="476"/>
      <c r="S194" s="471"/>
    </row>
    <row r="195" spans="1:19" ht="15">
      <c r="A195" s="474"/>
      <c r="B195" s="475"/>
      <c r="C195" s="475"/>
      <c r="D195" s="475"/>
      <c r="E195" s="475"/>
      <c r="F195" s="475"/>
      <c r="G195" s="475"/>
      <c r="H195" s="470"/>
      <c r="I195" s="471"/>
      <c r="J195" s="471"/>
      <c r="K195" s="471"/>
      <c r="L195" s="468"/>
      <c r="M195" s="469"/>
      <c r="N195" s="469"/>
      <c r="O195" s="469"/>
      <c r="P195" s="469"/>
      <c r="Q195" s="469"/>
      <c r="R195" s="469"/>
      <c r="S195" s="477"/>
    </row>
    <row r="196" spans="1:19" ht="15">
      <c r="A196" s="470"/>
      <c r="B196" s="470"/>
      <c r="C196" s="470"/>
      <c r="D196" s="470"/>
      <c r="E196" s="470"/>
      <c r="F196" s="470"/>
      <c r="G196" s="470"/>
      <c r="H196" s="471"/>
      <c r="I196" s="471"/>
      <c r="J196" s="471"/>
      <c r="K196" s="471"/>
      <c r="L196" s="468"/>
      <c r="M196" s="469"/>
      <c r="N196" s="469"/>
      <c r="O196" s="469"/>
      <c r="P196" s="469"/>
      <c r="Q196" s="469"/>
      <c r="R196" s="469"/>
      <c r="S196" s="471"/>
    </row>
    <row r="197" spans="1:19" ht="15">
      <c r="A197" s="470"/>
      <c r="B197" s="470"/>
      <c r="C197" s="470"/>
      <c r="D197" s="470"/>
      <c r="E197" s="470"/>
      <c r="F197" s="470"/>
      <c r="G197" s="470"/>
      <c r="H197" s="471"/>
      <c r="I197" s="471"/>
      <c r="J197" s="471"/>
      <c r="K197" s="471"/>
      <c r="L197" s="470"/>
      <c r="M197" s="470"/>
      <c r="N197" s="470"/>
      <c r="O197" s="470"/>
      <c r="P197" s="470"/>
      <c r="Q197" s="471"/>
      <c r="R197" s="471"/>
      <c r="S197" s="471"/>
    </row>
    <row r="198" spans="1:19" ht="15">
      <c r="A198"/>
      <c r="B198"/>
      <c r="C198"/>
      <c r="D198"/>
      <c r="E198"/>
      <c r="F198"/>
      <c r="G198"/>
      <c r="L198"/>
      <c r="M198"/>
      <c r="N198"/>
      <c r="O198"/>
      <c r="P198"/>
    </row>
    <row r="199" spans="1:19" ht="15">
      <c r="A199"/>
      <c r="B199"/>
      <c r="C199"/>
      <c r="D199"/>
      <c r="E199"/>
      <c r="F199"/>
      <c r="G199"/>
      <c r="L199"/>
      <c r="M199"/>
      <c r="N199"/>
      <c r="O199"/>
      <c r="P199"/>
    </row>
    <row r="200" spans="1:19" ht="15">
      <c r="A200"/>
      <c r="B200"/>
      <c r="C200"/>
      <c r="D200"/>
      <c r="E200"/>
      <c r="F200"/>
      <c r="G200"/>
      <c r="L200"/>
      <c r="M200"/>
      <c r="N200"/>
      <c r="O200"/>
      <c r="P200"/>
    </row>
    <row r="201" spans="1:19" ht="15">
      <c r="A201"/>
      <c r="B201"/>
      <c r="C201"/>
      <c r="D201"/>
      <c r="E201"/>
      <c r="F201"/>
      <c r="G201"/>
      <c r="L201"/>
      <c r="M201"/>
      <c r="N201"/>
      <c r="O201"/>
      <c r="P201"/>
    </row>
    <row r="202" spans="1:19" ht="15">
      <c r="A202"/>
      <c r="B202"/>
      <c r="C202"/>
      <c r="D202"/>
      <c r="E202"/>
      <c r="F202"/>
      <c r="G202"/>
      <c r="L202"/>
      <c r="M202"/>
      <c r="N202"/>
      <c r="O202"/>
      <c r="P202"/>
    </row>
    <row r="203" spans="1:19" ht="15">
      <c r="A203"/>
      <c r="B203"/>
      <c r="C203"/>
      <c r="D203"/>
      <c r="E203"/>
      <c r="F203"/>
      <c r="G203"/>
      <c r="L203"/>
      <c r="M203"/>
      <c r="N203"/>
      <c r="O203"/>
      <c r="P203"/>
    </row>
    <row r="204" spans="1:19" ht="15">
      <c r="A204"/>
      <c r="B204"/>
      <c r="C204"/>
      <c r="D204"/>
      <c r="E204"/>
      <c r="F204"/>
      <c r="G204"/>
      <c r="L204"/>
      <c r="M204"/>
      <c r="N204"/>
      <c r="O204"/>
      <c r="P204"/>
    </row>
    <row r="205" spans="1:19" ht="15">
      <c r="A205"/>
      <c r="B205"/>
      <c r="C205"/>
      <c r="D205"/>
      <c r="E205"/>
      <c r="F205"/>
      <c r="G205"/>
      <c r="L205"/>
      <c r="M205"/>
      <c r="N205"/>
      <c r="O205"/>
      <c r="P205"/>
    </row>
    <row r="206" spans="1:19" ht="15">
      <c r="A206"/>
      <c r="B206"/>
      <c r="C206"/>
      <c r="D206"/>
      <c r="E206"/>
      <c r="F206"/>
      <c r="G206"/>
      <c r="L206"/>
      <c r="M206"/>
      <c r="N206"/>
      <c r="O206"/>
      <c r="P206"/>
    </row>
    <row r="207" spans="1:19" ht="15">
      <c r="A207"/>
      <c r="B207"/>
      <c r="C207"/>
      <c r="D207"/>
      <c r="E207"/>
      <c r="F207"/>
      <c r="G207"/>
      <c r="L207"/>
      <c r="M207"/>
      <c r="N207"/>
      <c r="O207"/>
      <c r="P207"/>
    </row>
    <row r="208" spans="1:19" ht="15">
      <c r="A208"/>
      <c r="B208"/>
      <c r="C208"/>
      <c r="D208"/>
      <c r="E208"/>
      <c r="F208"/>
      <c r="G208"/>
      <c r="L208"/>
      <c r="M208"/>
      <c r="N208"/>
      <c r="O208"/>
      <c r="P208"/>
    </row>
    <row r="209" spans="1:16" ht="15">
      <c r="A209"/>
      <c r="B209"/>
      <c r="C209"/>
      <c r="D209"/>
      <c r="E209"/>
      <c r="F209"/>
      <c r="G209"/>
      <c r="L209"/>
      <c r="M209"/>
      <c r="N209"/>
      <c r="O209"/>
      <c r="P209"/>
    </row>
    <row r="210" spans="1:16" ht="15">
      <c r="A210"/>
      <c r="B210"/>
      <c r="C210"/>
      <c r="D210"/>
      <c r="E210"/>
      <c r="F210"/>
      <c r="G210"/>
      <c r="L210"/>
      <c r="M210"/>
      <c r="N210"/>
      <c r="O210"/>
      <c r="P210"/>
    </row>
    <row r="211" spans="1:16" ht="15">
      <c r="A211"/>
      <c r="B211"/>
      <c r="C211"/>
      <c r="D211"/>
      <c r="E211"/>
      <c r="F211"/>
      <c r="G211"/>
      <c r="L211"/>
      <c r="M211"/>
      <c r="N211"/>
      <c r="O211"/>
      <c r="P211"/>
    </row>
    <row r="212" spans="1:16" ht="15">
      <c r="A212"/>
      <c r="B212"/>
      <c r="C212"/>
      <c r="D212"/>
      <c r="E212"/>
      <c r="F212"/>
      <c r="G212"/>
      <c r="L212"/>
      <c r="M212"/>
      <c r="N212"/>
      <c r="O212"/>
      <c r="P212"/>
    </row>
    <row r="213" spans="1:16" ht="15">
      <c r="A213"/>
      <c r="B213"/>
      <c r="C213"/>
      <c r="D213"/>
      <c r="E213"/>
      <c r="F213"/>
      <c r="G213"/>
      <c r="L213"/>
      <c r="M213"/>
      <c r="N213"/>
      <c r="O213"/>
      <c r="P213"/>
    </row>
    <row r="214" spans="1:16" ht="15">
      <c r="A214"/>
      <c r="B214"/>
      <c r="C214"/>
      <c r="D214"/>
      <c r="E214"/>
      <c r="F214"/>
      <c r="G214"/>
      <c r="L214"/>
      <c r="M214"/>
      <c r="N214"/>
      <c r="O214"/>
      <c r="P214"/>
    </row>
    <row r="215" spans="1:16" ht="15">
      <c r="A215"/>
      <c r="B215"/>
      <c r="C215"/>
      <c r="D215"/>
      <c r="E215"/>
      <c r="F215"/>
      <c r="G215"/>
      <c r="L215"/>
      <c r="M215"/>
      <c r="N215"/>
      <c r="O215"/>
      <c r="P215"/>
    </row>
    <row r="216" spans="1:16" ht="15">
      <c r="A216"/>
      <c r="B216"/>
      <c r="C216"/>
      <c r="D216"/>
      <c r="E216"/>
      <c r="F216"/>
      <c r="L216"/>
      <c r="M216"/>
      <c r="N216"/>
      <c r="O216"/>
      <c r="P216"/>
    </row>
    <row r="217" spans="1:16" ht="15">
      <c r="A217"/>
      <c r="B217"/>
      <c r="C217"/>
      <c r="D217"/>
      <c r="E217"/>
      <c r="F217"/>
      <c r="L217"/>
      <c r="M217"/>
      <c r="N217"/>
      <c r="O217"/>
      <c r="P217"/>
    </row>
    <row r="218" spans="1:16" ht="15">
      <c r="A218"/>
      <c r="B218"/>
      <c r="C218"/>
      <c r="D218"/>
      <c r="E218"/>
      <c r="F218"/>
      <c r="L218"/>
      <c r="M218"/>
      <c r="N218"/>
      <c r="O218"/>
      <c r="P218"/>
    </row>
    <row r="219" spans="1:16" ht="15">
      <c r="A219"/>
      <c r="B219"/>
      <c r="C219"/>
      <c r="D219"/>
      <c r="E219"/>
      <c r="F219"/>
      <c r="L219"/>
      <c r="M219"/>
      <c r="N219"/>
      <c r="O219"/>
      <c r="P219"/>
    </row>
    <row r="220" spans="1:16" ht="15">
      <c r="A220"/>
      <c r="B220"/>
      <c r="C220"/>
      <c r="D220"/>
      <c r="E220"/>
      <c r="F220"/>
      <c r="L220"/>
      <c r="M220"/>
      <c r="N220"/>
      <c r="O220"/>
      <c r="P220"/>
    </row>
    <row r="221" spans="1:16" ht="15">
      <c r="A221"/>
      <c r="B221"/>
      <c r="C221"/>
      <c r="D221"/>
      <c r="E221"/>
      <c r="F221"/>
      <c r="L221"/>
      <c r="M221"/>
      <c r="N221"/>
      <c r="O221"/>
      <c r="P221"/>
    </row>
    <row r="222" spans="1:16" ht="15">
      <c r="A222"/>
      <c r="B222"/>
      <c r="C222"/>
      <c r="D222"/>
      <c r="E222"/>
      <c r="F222"/>
      <c r="L222"/>
      <c r="M222"/>
      <c r="N222"/>
      <c r="O222"/>
      <c r="P222"/>
    </row>
    <row r="223" spans="1:16" ht="15">
      <c r="A223"/>
      <c r="B223"/>
      <c r="C223"/>
      <c r="D223"/>
      <c r="E223"/>
      <c r="F223"/>
      <c r="L223"/>
      <c r="M223"/>
      <c r="N223"/>
      <c r="O223"/>
      <c r="P223"/>
    </row>
    <row r="224" spans="1:16" ht="15">
      <c r="A224"/>
      <c r="B224"/>
      <c r="C224"/>
      <c r="D224"/>
      <c r="E224"/>
      <c r="L224"/>
      <c r="M224"/>
      <c r="N224"/>
      <c r="O224"/>
      <c r="P224"/>
    </row>
    <row r="225" spans="1:16" ht="15">
      <c r="A225"/>
      <c r="B225"/>
      <c r="C225"/>
      <c r="D225"/>
      <c r="E225"/>
      <c r="L225"/>
      <c r="M225"/>
      <c r="N225"/>
      <c r="O225"/>
      <c r="P225"/>
    </row>
    <row r="226" spans="1:16" ht="15">
      <c r="A226"/>
      <c r="B226"/>
      <c r="C226"/>
      <c r="D226"/>
      <c r="E226"/>
      <c r="L226"/>
      <c r="M226"/>
      <c r="N226"/>
      <c r="O226"/>
      <c r="P226"/>
    </row>
    <row r="227" spans="1:16" ht="15">
      <c r="A227"/>
      <c r="B227"/>
      <c r="C227"/>
      <c r="D227"/>
      <c r="E227"/>
      <c r="L227"/>
      <c r="M227"/>
      <c r="N227"/>
      <c r="O227"/>
      <c r="P227"/>
    </row>
    <row r="228" spans="1:16" ht="15">
      <c r="A228"/>
      <c r="B228"/>
      <c r="C228"/>
      <c r="D228"/>
      <c r="E228"/>
      <c r="L228"/>
      <c r="M228"/>
      <c r="N228"/>
      <c r="O228"/>
      <c r="P228"/>
    </row>
    <row r="229" spans="1:16" ht="15">
      <c r="A229"/>
      <c r="B229"/>
      <c r="C229"/>
      <c r="D229"/>
      <c r="E229"/>
      <c r="L229"/>
      <c r="M229"/>
      <c r="N229"/>
      <c r="O229"/>
      <c r="P229"/>
    </row>
    <row r="230" spans="1:16" ht="15">
      <c r="A230"/>
      <c r="B230"/>
      <c r="C230"/>
      <c r="D230"/>
      <c r="E230"/>
      <c r="L230"/>
      <c r="M230"/>
      <c r="N230"/>
      <c r="O230"/>
      <c r="P230"/>
    </row>
    <row r="231" spans="1:16" ht="15">
      <c r="A231"/>
      <c r="B231"/>
      <c r="C231"/>
      <c r="D231"/>
      <c r="E231"/>
      <c r="L231"/>
      <c r="M231"/>
      <c r="N231"/>
      <c r="O231"/>
      <c r="P231"/>
    </row>
    <row r="232" spans="1:16" ht="15">
      <c r="A232"/>
      <c r="B232"/>
      <c r="C232"/>
      <c r="D232"/>
      <c r="E232"/>
      <c r="L232"/>
      <c r="M232"/>
      <c r="N232"/>
      <c r="O232"/>
      <c r="P232"/>
    </row>
    <row r="233" spans="1:16" ht="15">
      <c r="A233"/>
      <c r="B233"/>
      <c r="C233"/>
      <c r="D233"/>
      <c r="E233"/>
      <c r="L233"/>
      <c r="M233"/>
      <c r="N233"/>
      <c r="O233"/>
      <c r="P233"/>
    </row>
    <row r="234" spans="1:16" ht="15">
      <c r="A234"/>
      <c r="B234"/>
      <c r="C234"/>
      <c r="D234"/>
      <c r="E234"/>
      <c r="L234"/>
      <c r="M234"/>
      <c r="N234"/>
      <c r="O234"/>
      <c r="P234"/>
    </row>
    <row r="235" spans="1:16" ht="15">
      <c r="A235"/>
      <c r="B235"/>
      <c r="C235"/>
      <c r="D235"/>
      <c r="E235"/>
      <c r="L235"/>
      <c r="M235"/>
      <c r="N235"/>
      <c r="O235"/>
      <c r="P235"/>
    </row>
    <row r="236" spans="1:16" ht="15">
      <c r="A236"/>
      <c r="B236"/>
      <c r="C236"/>
      <c r="D236"/>
      <c r="E236"/>
      <c r="L236"/>
      <c r="M236"/>
      <c r="N236"/>
      <c r="O236"/>
      <c r="P236"/>
    </row>
    <row r="237" spans="1:16" ht="15">
      <c r="A237"/>
      <c r="B237"/>
      <c r="C237"/>
      <c r="D237"/>
      <c r="E237"/>
      <c r="L237"/>
      <c r="M237"/>
      <c r="N237"/>
      <c r="O237"/>
      <c r="P237"/>
    </row>
    <row r="238" spans="1:16" ht="15">
      <c r="A238"/>
      <c r="B238"/>
      <c r="C238"/>
      <c r="D238"/>
      <c r="E238"/>
      <c r="L238"/>
      <c r="M238"/>
      <c r="N238"/>
      <c r="O238"/>
      <c r="P238"/>
    </row>
    <row r="239" spans="1:16" ht="15">
      <c r="A239"/>
      <c r="B239"/>
      <c r="C239"/>
      <c r="D239"/>
      <c r="E239"/>
      <c r="L239"/>
      <c r="M239"/>
      <c r="N239"/>
      <c r="O239"/>
      <c r="P239"/>
    </row>
    <row r="240" spans="1:16" ht="15">
      <c r="A240"/>
      <c r="B240"/>
      <c r="C240"/>
      <c r="D240"/>
      <c r="E240"/>
      <c r="L240"/>
      <c r="M240"/>
      <c r="N240"/>
      <c r="O240"/>
    </row>
    <row r="241" spans="1:15" ht="15">
      <c r="A241"/>
      <c r="B241"/>
      <c r="C241"/>
      <c r="D241"/>
      <c r="E241"/>
      <c r="L241"/>
      <c r="M241"/>
      <c r="N241"/>
      <c r="O241"/>
    </row>
    <row r="242" spans="1:15" ht="15">
      <c r="A242"/>
      <c r="B242"/>
      <c r="C242"/>
      <c r="D242"/>
      <c r="E242"/>
      <c r="L242"/>
      <c r="M242"/>
      <c r="N242"/>
      <c r="O242"/>
    </row>
    <row r="243" spans="1:15" ht="15">
      <c r="A243"/>
      <c r="B243"/>
      <c r="C243"/>
      <c r="D243"/>
      <c r="E243"/>
      <c r="L243"/>
      <c r="M243"/>
      <c r="N243"/>
      <c r="O243"/>
    </row>
    <row r="244" spans="1:15" ht="15">
      <c r="A244"/>
      <c r="B244"/>
      <c r="C244"/>
      <c r="D244"/>
      <c r="E244"/>
      <c r="L244"/>
      <c r="M244"/>
      <c r="N244"/>
      <c r="O244"/>
    </row>
    <row r="245" spans="1:15" ht="15">
      <c r="A245"/>
      <c r="B245"/>
      <c r="C245"/>
      <c r="D245"/>
      <c r="E245"/>
      <c r="L245"/>
      <c r="M245"/>
      <c r="N245"/>
      <c r="O245"/>
    </row>
    <row r="246" spans="1:15" ht="15">
      <c r="A246"/>
      <c r="B246"/>
      <c r="C246"/>
      <c r="D246"/>
      <c r="E246"/>
      <c r="L246"/>
      <c r="M246"/>
      <c r="N246"/>
      <c r="O246"/>
    </row>
    <row r="247" spans="1:15" ht="15">
      <c r="A247"/>
      <c r="B247"/>
      <c r="C247"/>
      <c r="D247"/>
      <c r="E247"/>
      <c r="L247"/>
      <c r="M247"/>
      <c r="N247"/>
      <c r="O247"/>
    </row>
    <row r="248" spans="1:15" ht="15">
      <c r="A248"/>
      <c r="B248"/>
      <c r="C248"/>
      <c r="D248"/>
      <c r="E248"/>
      <c r="L248"/>
      <c r="M248"/>
      <c r="N248"/>
      <c r="O248"/>
    </row>
    <row r="249" spans="1:15" ht="15">
      <c r="A249"/>
      <c r="B249"/>
      <c r="C249"/>
      <c r="D249"/>
      <c r="E249"/>
      <c r="L249"/>
      <c r="M249"/>
      <c r="N249"/>
      <c r="O249"/>
    </row>
    <row r="250" spans="1:15" ht="15">
      <c r="A250"/>
      <c r="B250"/>
      <c r="C250"/>
      <c r="D250"/>
      <c r="E250"/>
      <c r="L250"/>
      <c r="M250"/>
      <c r="N250"/>
      <c r="O250"/>
    </row>
    <row r="251" spans="1:15" ht="15">
      <c r="A251"/>
      <c r="B251"/>
      <c r="C251"/>
      <c r="D251"/>
      <c r="E251"/>
      <c r="L251"/>
      <c r="M251"/>
      <c r="N251"/>
      <c r="O251"/>
    </row>
    <row r="252" spans="1:15" ht="15">
      <c r="A252"/>
      <c r="B252"/>
      <c r="C252"/>
      <c r="D252"/>
      <c r="E252"/>
      <c r="L252"/>
      <c r="M252"/>
      <c r="N252"/>
      <c r="O252"/>
    </row>
    <row r="253" spans="1:15" ht="15">
      <c r="A253"/>
      <c r="B253"/>
      <c r="C253"/>
      <c r="D253"/>
      <c r="E253"/>
      <c r="L253"/>
      <c r="M253"/>
      <c r="N253"/>
      <c r="O253"/>
    </row>
    <row r="254" spans="1:15" ht="15">
      <c r="A254"/>
      <c r="B254"/>
      <c r="C254"/>
      <c r="D254"/>
      <c r="E254"/>
      <c r="L254"/>
      <c r="M254"/>
      <c r="N254"/>
      <c r="O254"/>
    </row>
    <row r="255" spans="1:15" ht="15">
      <c r="A255"/>
      <c r="B255"/>
      <c r="C255"/>
      <c r="D255"/>
      <c r="E255"/>
      <c r="L255"/>
      <c r="M255"/>
      <c r="N255"/>
      <c r="O255"/>
    </row>
    <row r="256" spans="1:15" ht="15">
      <c r="A256"/>
      <c r="B256"/>
      <c r="C256"/>
      <c r="D256"/>
      <c r="E256"/>
      <c r="L256"/>
      <c r="M256"/>
      <c r="N256"/>
      <c r="O256"/>
    </row>
    <row r="257" spans="1:15" ht="15">
      <c r="A257"/>
      <c r="B257"/>
      <c r="C257"/>
      <c r="D257"/>
      <c r="E257"/>
      <c r="L257"/>
      <c r="M257"/>
      <c r="N257"/>
      <c r="O257"/>
    </row>
    <row r="258" spans="1:15" ht="15">
      <c r="A258"/>
      <c r="B258"/>
      <c r="C258"/>
      <c r="D258"/>
      <c r="E258"/>
      <c r="L258"/>
      <c r="M258"/>
      <c r="N258"/>
      <c r="O258"/>
    </row>
    <row r="259" spans="1:15" ht="15">
      <c r="A259"/>
      <c r="B259"/>
      <c r="C259"/>
      <c r="D259"/>
      <c r="E259"/>
      <c r="L259"/>
      <c r="M259"/>
      <c r="N259"/>
      <c r="O259"/>
    </row>
    <row r="260" spans="1:15" ht="15">
      <c r="A260"/>
      <c r="B260"/>
      <c r="C260"/>
      <c r="D260"/>
      <c r="E260"/>
      <c r="L260"/>
      <c r="M260"/>
      <c r="N260"/>
      <c r="O260"/>
    </row>
    <row r="261" spans="1:15" ht="15">
      <c r="A261"/>
      <c r="B261"/>
      <c r="C261"/>
      <c r="D261"/>
      <c r="E261"/>
      <c r="L261"/>
      <c r="M261"/>
      <c r="N261"/>
      <c r="O261"/>
    </row>
    <row r="262" spans="1:15" ht="15">
      <c r="A262"/>
      <c r="B262"/>
      <c r="C262"/>
      <c r="D262"/>
      <c r="E262"/>
      <c r="L262"/>
      <c r="M262"/>
      <c r="N262"/>
      <c r="O262"/>
    </row>
    <row r="263" spans="1:15" ht="15">
      <c r="A263"/>
      <c r="B263"/>
      <c r="C263"/>
      <c r="D263"/>
      <c r="E263"/>
      <c r="L263"/>
      <c r="M263"/>
      <c r="N263"/>
      <c r="O263"/>
    </row>
    <row r="264" spans="1:15" ht="15">
      <c r="A264"/>
      <c r="B264"/>
      <c r="C264"/>
      <c r="D264"/>
      <c r="E264"/>
      <c r="L264"/>
      <c r="M264"/>
      <c r="N264"/>
      <c r="O264"/>
    </row>
    <row r="265" spans="1:15" ht="15">
      <c r="A265"/>
      <c r="B265"/>
      <c r="C265"/>
      <c r="D265"/>
      <c r="E265"/>
      <c r="L265"/>
      <c r="M265"/>
      <c r="N265"/>
      <c r="O265"/>
    </row>
    <row r="266" spans="1:15" ht="15">
      <c r="A266"/>
      <c r="B266"/>
      <c r="C266"/>
      <c r="D266"/>
      <c r="E266"/>
      <c r="L266"/>
      <c r="M266"/>
      <c r="N266"/>
      <c r="O266"/>
    </row>
    <row r="267" spans="1:15" ht="15">
      <c r="A267"/>
      <c r="B267"/>
      <c r="C267"/>
      <c r="D267"/>
      <c r="E267"/>
      <c r="L267"/>
      <c r="M267"/>
      <c r="N267"/>
      <c r="O267"/>
    </row>
    <row r="268" spans="1:15" ht="15">
      <c r="A268"/>
      <c r="B268"/>
      <c r="C268"/>
      <c r="D268"/>
      <c r="E268"/>
      <c r="L268"/>
      <c r="M268"/>
      <c r="N268"/>
      <c r="O268"/>
    </row>
    <row r="269" spans="1:15" ht="15">
      <c r="A269"/>
      <c r="B269"/>
      <c r="C269"/>
      <c r="D269"/>
      <c r="E269"/>
      <c r="L269"/>
      <c r="M269"/>
      <c r="N269"/>
      <c r="O269"/>
    </row>
    <row r="270" spans="1:15" ht="15">
      <c r="A270"/>
      <c r="B270"/>
      <c r="C270"/>
      <c r="D270"/>
      <c r="E270"/>
      <c r="L270"/>
      <c r="M270"/>
      <c r="N270"/>
      <c r="O270"/>
    </row>
    <row r="271" spans="1:15" ht="15">
      <c r="A271"/>
      <c r="B271"/>
      <c r="C271"/>
      <c r="D271"/>
      <c r="E271"/>
      <c r="L271"/>
      <c r="M271"/>
      <c r="N271"/>
      <c r="O271"/>
    </row>
    <row r="272" spans="1:15" ht="15">
      <c r="A272"/>
      <c r="B272"/>
      <c r="C272"/>
      <c r="D272"/>
      <c r="E272"/>
      <c r="L272"/>
      <c r="M272"/>
      <c r="N272"/>
      <c r="O272"/>
    </row>
    <row r="273" spans="1:15" ht="15">
      <c r="A273"/>
      <c r="B273"/>
      <c r="C273"/>
      <c r="D273"/>
      <c r="E273"/>
      <c r="L273"/>
      <c r="M273"/>
      <c r="N273"/>
      <c r="O273"/>
    </row>
    <row r="274" spans="1:15" ht="15">
      <c r="A274"/>
      <c r="B274"/>
      <c r="C274"/>
      <c r="D274"/>
      <c r="E274"/>
      <c r="L274"/>
      <c r="M274"/>
      <c r="N274"/>
      <c r="O274"/>
    </row>
    <row r="275" spans="1:15" ht="15">
      <c r="A275"/>
      <c r="B275"/>
      <c r="C275"/>
      <c r="D275"/>
      <c r="E275"/>
      <c r="L275"/>
      <c r="M275"/>
      <c r="N275"/>
      <c r="O275"/>
    </row>
    <row r="276" spans="1:15" ht="15">
      <c r="A276"/>
      <c r="B276"/>
      <c r="C276"/>
      <c r="D276"/>
      <c r="E276"/>
      <c r="L276"/>
      <c r="M276"/>
      <c r="N276"/>
      <c r="O276"/>
    </row>
    <row r="277" spans="1:15" ht="15">
      <c r="A277"/>
      <c r="B277"/>
      <c r="C277"/>
      <c r="D277"/>
      <c r="E277"/>
      <c r="L277"/>
      <c r="M277"/>
      <c r="N277"/>
      <c r="O277"/>
    </row>
    <row r="278" spans="1:15" ht="15">
      <c r="A278"/>
      <c r="B278"/>
      <c r="C278"/>
      <c r="D278"/>
      <c r="E278"/>
      <c r="L278"/>
      <c r="M278"/>
      <c r="N278"/>
      <c r="O278"/>
    </row>
    <row r="279" spans="1:15" ht="15">
      <c r="A279"/>
      <c r="B279"/>
      <c r="C279"/>
      <c r="D279"/>
      <c r="E279"/>
      <c r="L279"/>
      <c r="M279"/>
      <c r="N279"/>
      <c r="O279"/>
    </row>
    <row r="280" spans="1:15" ht="15">
      <c r="A280"/>
      <c r="B280"/>
      <c r="C280"/>
      <c r="D280"/>
      <c r="E280"/>
      <c r="L280"/>
      <c r="M280"/>
      <c r="N280"/>
      <c r="O280"/>
    </row>
    <row r="281" spans="1:15" ht="15">
      <c r="A281"/>
      <c r="B281"/>
      <c r="C281"/>
      <c r="D281"/>
      <c r="L281"/>
      <c r="M281"/>
      <c r="N281"/>
      <c r="O281"/>
    </row>
    <row r="282" spans="1:15" ht="15">
      <c r="A282"/>
      <c r="B282"/>
      <c r="C282"/>
      <c r="D282"/>
      <c r="L282"/>
      <c r="M282"/>
      <c r="N282"/>
      <c r="O282"/>
    </row>
    <row r="283" spans="1:15" ht="15">
      <c r="A283"/>
      <c r="B283"/>
      <c r="C283"/>
      <c r="D283"/>
      <c r="L283"/>
      <c r="M283"/>
      <c r="N283"/>
      <c r="O283"/>
    </row>
    <row r="284" spans="1:15" ht="15">
      <c r="A284"/>
      <c r="B284"/>
      <c r="C284"/>
      <c r="D284"/>
      <c r="L284"/>
      <c r="M284"/>
      <c r="N284"/>
      <c r="O284"/>
    </row>
    <row r="285" spans="1:15" ht="15">
      <c r="A285"/>
      <c r="B285"/>
      <c r="C285"/>
      <c r="D285"/>
      <c r="L285"/>
      <c r="M285"/>
      <c r="N285"/>
      <c r="O285"/>
    </row>
    <row r="286" spans="1:15" ht="15">
      <c r="A286"/>
      <c r="B286"/>
      <c r="C286"/>
      <c r="D286"/>
      <c r="L286"/>
      <c r="M286"/>
      <c r="N286"/>
      <c r="O286"/>
    </row>
    <row r="287" spans="1:15" ht="15">
      <c r="A287"/>
      <c r="B287"/>
      <c r="C287"/>
      <c r="D287"/>
      <c r="L287"/>
      <c r="M287"/>
      <c r="N287"/>
      <c r="O287"/>
    </row>
    <row r="288" spans="1:15" ht="15">
      <c r="A288"/>
      <c r="B288"/>
      <c r="C288"/>
      <c r="D288"/>
      <c r="L288"/>
      <c r="M288"/>
      <c r="N288"/>
      <c r="O288"/>
    </row>
    <row r="289" spans="1:15" ht="15">
      <c r="A289"/>
      <c r="B289"/>
      <c r="C289"/>
      <c r="D289"/>
      <c r="L289"/>
      <c r="M289"/>
      <c r="N289"/>
      <c r="O289"/>
    </row>
    <row r="290" spans="1:15" ht="15">
      <c r="A290"/>
      <c r="B290"/>
      <c r="C290"/>
      <c r="D290"/>
      <c r="L290"/>
      <c r="M290"/>
      <c r="N290"/>
      <c r="O290"/>
    </row>
    <row r="291" spans="1:15" ht="15">
      <c r="A291"/>
      <c r="B291"/>
      <c r="C291"/>
      <c r="D291"/>
      <c r="L291"/>
      <c r="M291"/>
      <c r="N291"/>
      <c r="O291"/>
    </row>
    <row r="292" spans="1:15" ht="15">
      <c r="A292"/>
      <c r="B292"/>
      <c r="C292"/>
      <c r="D292"/>
      <c r="L292"/>
      <c r="M292"/>
      <c r="N292"/>
      <c r="O292"/>
    </row>
    <row r="293" spans="1:15" ht="15">
      <c r="A293"/>
      <c r="B293"/>
      <c r="C293"/>
      <c r="D293"/>
      <c r="L293"/>
      <c r="M293"/>
      <c r="N293"/>
      <c r="O293"/>
    </row>
    <row r="294" spans="1:15" ht="15">
      <c r="A294"/>
      <c r="B294"/>
      <c r="C294"/>
      <c r="D294"/>
      <c r="L294"/>
      <c r="M294"/>
      <c r="N294"/>
      <c r="O294"/>
    </row>
    <row r="295" spans="1:15" ht="15">
      <c r="A295"/>
      <c r="B295"/>
      <c r="C295"/>
      <c r="D295"/>
      <c r="L295"/>
      <c r="M295"/>
      <c r="N295"/>
      <c r="O295"/>
    </row>
    <row r="296" spans="1:15" ht="15">
      <c r="A296"/>
      <c r="B296"/>
      <c r="C296"/>
      <c r="D296"/>
      <c r="L296"/>
      <c r="M296"/>
      <c r="N296"/>
    </row>
    <row r="297" spans="1:15" ht="15">
      <c r="A297"/>
      <c r="B297"/>
      <c r="C297"/>
      <c r="D297"/>
      <c r="L297"/>
      <c r="M297"/>
      <c r="N297"/>
    </row>
    <row r="298" spans="1:15" ht="15">
      <c r="A298"/>
      <c r="B298"/>
      <c r="C298"/>
      <c r="D298"/>
      <c r="L298"/>
      <c r="M298"/>
      <c r="N298"/>
    </row>
    <row r="299" spans="1:15" ht="15">
      <c r="A299"/>
      <c r="B299"/>
      <c r="C299"/>
      <c r="D299"/>
      <c r="L299"/>
      <c r="M299"/>
      <c r="N299"/>
    </row>
    <row r="300" spans="1:15" ht="15">
      <c r="A300"/>
      <c r="B300"/>
      <c r="C300"/>
      <c r="D300"/>
      <c r="L300"/>
      <c r="M300"/>
      <c r="N300"/>
    </row>
    <row r="301" spans="1:15" ht="15">
      <c r="A301"/>
      <c r="B301"/>
      <c r="C301"/>
      <c r="D301"/>
      <c r="L301"/>
      <c r="M301"/>
      <c r="N301"/>
    </row>
    <row r="302" spans="1:15" ht="15">
      <c r="A302"/>
      <c r="B302"/>
      <c r="C302"/>
      <c r="D302"/>
      <c r="L302"/>
      <c r="M302"/>
      <c r="N302"/>
    </row>
    <row r="303" spans="1:15" ht="15">
      <c r="A303"/>
      <c r="B303"/>
      <c r="C303"/>
      <c r="D303"/>
      <c r="L303"/>
      <c r="M303"/>
      <c r="N303"/>
    </row>
    <row r="304" spans="1:15" ht="15">
      <c r="A304"/>
      <c r="B304"/>
      <c r="C304"/>
      <c r="D304"/>
      <c r="L304"/>
      <c r="M304"/>
      <c r="N304"/>
    </row>
    <row r="305" spans="1:14" ht="15">
      <c r="A305"/>
      <c r="B305"/>
      <c r="C305"/>
      <c r="D305"/>
      <c r="L305"/>
      <c r="M305"/>
      <c r="N305"/>
    </row>
    <row r="306" spans="1:14" ht="15">
      <c r="A306"/>
      <c r="B306"/>
      <c r="C306"/>
      <c r="D306"/>
      <c r="L306"/>
      <c r="M306"/>
      <c r="N306"/>
    </row>
    <row r="307" spans="1:14" ht="15">
      <c r="A307"/>
      <c r="B307"/>
      <c r="C307"/>
      <c r="D307"/>
      <c r="L307"/>
      <c r="M307"/>
      <c r="N307"/>
    </row>
    <row r="308" spans="1:14" ht="15">
      <c r="A308"/>
      <c r="B308"/>
      <c r="C308"/>
      <c r="D308"/>
      <c r="L308"/>
      <c r="M308"/>
      <c r="N308"/>
    </row>
    <row r="309" spans="1:14" ht="15">
      <c r="A309"/>
      <c r="B309"/>
      <c r="C309"/>
      <c r="D309"/>
      <c r="L309"/>
      <c r="M309"/>
      <c r="N309"/>
    </row>
    <row r="310" spans="1:14" ht="15">
      <c r="A310"/>
      <c r="B310"/>
      <c r="C310"/>
      <c r="D310"/>
      <c r="L310"/>
      <c r="M310"/>
      <c r="N310"/>
    </row>
    <row r="311" spans="1:14" ht="15">
      <c r="A311"/>
      <c r="B311"/>
      <c r="C311"/>
      <c r="D311"/>
      <c r="L311"/>
      <c r="M311"/>
      <c r="N311"/>
    </row>
    <row r="312" spans="1:14" ht="15">
      <c r="A312"/>
      <c r="B312"/>
      <c r="C312"/>
      <c r="D312"/>
      <c r="L312"/>
      <c r="M312"/>
      <c r="N312"/>
    </row>
    <row r="313" spans="1:14" ht="15">
      <c r="A313"/>
      <c r="B313"/>
      <c r="C313"/>
      <c r="D313"/>
      <c r="L313"/>
      <c r="M313"/>
      <c r="N313"/>
    </row>
    <row r="314" spans="1:14" ht="15">
      <c r="A314"/>
      <c r="B314"/>
      <c r="C314"/>
      <c r="D314"/>
      <c r="L314"/>
      <c r="M314"/>
      <c r="N314"/>
    </row>
    <row r="315" spans="1:14" ht="15">
      <c r="A315"/>
      <c r="B315"/>
      <c r="C315"/>
      <c r="D315"/>
      <c r="L315"/>
      <c r="M315"/>
      <c r="N315"/>
    </row>
    <row r="316" spans="1:14" ht="15">
      <c r="A316"/>
      <c r="B316"/>
      <c r="C316"/>
      <c r="D316"/>
      <c r="L316"/>
      <c r="M316"/>
      <c r="N316"/>
    </row>
    <row r="317" spans="1:14" ht="15">
      <c r="A317"/>
      <c r="B317"/>
      <c r="C317"/>
      <c r="D317"/>
      <c r="L317"/>
      <c r="M317"/>
      <c r="N317"/>
    </row>
    <row r="318" spans="1:14" ht="15">
      <c r="A318"/>
      <c r="B318"/>
      <c r="C318"/>
      <c r="D318"/>
      <c r="L318"/>
      <c r="M318"/>
      <c r="N318"/>
    </row>
    <row r="319" spans="1:14" ht="15">
      <c r="A319"/>
      <c r="B319"/>
      <c r="C319"/>
      <c r="D319"/>
      <c r="L319"/>
      <c r="M319"/>
      <c r="N319"/>
    </row>
    <row r="320" spans="1:14" ht="15">
      <c r="A320"/>
      <c r="B320"/>
      <c r="C320"/>
      <c r="D320"/>
      <c r="L320"/>
      <c r="M320"/>
      <c r="N320"/>
    </row>
    <row r="321" spans="1:14" ht="15">
      <c r="A321"/>
      <c r="B321"/>
      <c r="C321"/>
      <c r="D321"/>
      <c r="L321"/>
      <c r="M321"/>
      <c r="N321"/>
    </row>
    <row r="322" spans="1:14" ht="15">
      <c r="A322"/>
      <c r="B322"/>
      <c r="C322"/>
      <c r="D322"/>
      <c r="L322"/>
      <c r="M322"/>
      <c r="N322"/>
    </row>
    <row r="323" spans="1:14" ht="15">
      <c r="A323"/>
      <c r="B323"/>
      <c r="C323"/>
      <c r="D323"/>
      <c r="L323"/>
      <c r="M323"/>
      <c r="N323"/>
    </row>
    <row r="324" spans="1:14" ht="15">
      <c r="A324"/>
      <c r="B324"/>
      <c r="C324"/>
      <c r="D324"/>
      <c r="L324"/>
      <c r="M324"/>
      <c r="N324"/>
    </row>
    <row r="325" spans="1:14" ht="15">
      <c r="A325"/>
      <c r="B325"/>
      <c r="C325"/>
      <c r="D325"/>
      <c r="L325"/>
      <c r="M325"/>
      <c r="N325"/>
    </row>
    <row r="326" spans="1:14" ht="15">
      <c r="A326"/>
      <c r="B326"/>
      <c r="C326"/>
      <c r="D326"/>
      <c r="L326"/>
      <c r="M326"/>
      <c r="N326"/>
    </row>
    <row r="327" spans="1:14" ht="15">
      <c r="A327"/>
      <c r="B327"/>
      <c r="C327"/>
      <c r="D327"/>
      <c r="L327"/>
      <c r="M327"/>
      <c r="N327"/>
    </row>
    <row r="328" spans="1:14" ht="15">
      <c r="A328"/>
      <c r="B328"/>
      <c r="C328"/>
      <c r="D328"/>
      <c r="L328"/>
      <c r="M328"/>
      <c r="N328"/>
    </row>
    <row r="329" spans="1:14" ht="15">
      <c r="A329"/>
      <c r="B329"/>
      <c r="C329"/>
      <c r="L329"/>
      <c r="M329"/>
      <c r="N329"/>
    </row>
    <row r="330" spans="1:14" ht="15">
      <c r="A330"/>
      <c r="B330"/>
      <c r="C330"/>
      <c r="L330"/>
      <c r="M330"/>
      <c r="N330"/>
    </row>
    <row r="331" spans="1:14" ht="15">
      <c r="A331"/>
      <c r="B331"/>
      <c r="C331"/>
      <c r="L331"/>
      <c r="M331"/>
      <c r="N331"/>
    </row>
    <row r="332" spans="1:14" ht="15">
      <c r="A332"/>
      <c r="B332"/>
      <c r="C332"/>
      <c r="L332"/>
      <c r="M332"/>
      <c r="N332"/>
    </row>
    <row r="333" spans="1:14" ht="15">
      <c r="A333"/>
      <c r="B333"/>
      <c r="C333"/>
      <c r="L333"/>
      <c r="M333"/>
      <c r="N333"/>
    </row>
    <row r="334" spans="1:14" ht="15">
      <c r="A334"/>
      <c r="B334"/>
      <c r="C334"/>
      <c r="L334"/>
      <c r="M334"/>
      <c r="N334"/>
    </row>
    <row r="335" spans="1:14" ht="15">
      <c r="A335"/>
      <c r="B335"/>
      <c r="C335"/>
      <c r="L335"/>
      <c r="M335"/>
      <c r="N335"/>
    </row>
    <row r="336" spans="1:14" ht="15">
      <c r="A336"/>
      <c r="B336"/>
      <c r="C336"/>
      <c r="L336"/>
      <c r="M336"/>
      <c r="N336"/>
    </row>
    <row r="337" spans="1:14" ht="15">
      <c r="A337"/>
      <c r="B337"/>
      <c r="C337"/>
      <c r="L337"/>
      <c r="M337"/>
      <c r="N337"/>
    </row>
    <row r="338" spans="1:14" ht="15">
      <c r="A338"/>
      <c r="B338"/>
      <c r="C338"/>
      <c r="L338"/>
      <c r="M338"/>
      <c r="N338"/>
    </row>
    <row r="339" spans="1:14" ht="15">
      <c r="A339"/>
      <c r="B339"/>
      <c r="C339"/>
      <c r="L339"/>
      <c r="M339"/>
      <c r="N339"/>
    </row>
    <row r="340" spans="1:14" ht="15">
      <c r="A340"/>
      <c r="B340"/>
      <c r="C340"/>
      <c r="L340"/>
      <c r="M340"/>
      <c r="N340"/>
    </row>
    <row r="341" spans="1:14" ht="15">
      <c r="A341"/>
      <c r="B341"/>
      <c r="C341"/>
      <c r="L341"/>
      <c r="M341"/>
      <c r="N341"/>
    </row>
    <row r="342" spans="1:14" ht="15">
      <c r="A342"/>
      <c r="B342"/>
      <c r="C342"/>
      <c r="L342"/>
      <c r="M342"/>
      <c r="N342"/>
    </row>
    <row r="343" spans="1:14" ht="15">
      <c r="A343"/>
      <c r="B343"/>
      <c r="C343"/>
      <c r="L343"/>
      <c r="M343"/>
      <c r="N343"/>
    </row>
    <row r="344" spans="1:14" ht="15">
      <c r="A344"/>
      <c r="B344"/>
      <c r="C344"/>
      <c r="L344"/>
      <c r="M344"/>
      <c r="N344"/>
    </row>
    <row r="345" spans="1:14" ht="15">
      <c r="A345"/>
      <c r="B345"/>
      <c r="C345"/>
      <c r="L345"/>
      <c r="M345"/>
      <c r="N345"/>
    </row>
    <row r="346" spans="1:14" ht="15">
      <c r="A346"/>
      <c r="B346"/>
      <c r="C346"/>
      <c r="L346"/>
      <c r="M346"/>
      <c r="N346"/>
    </row>
    <row r="347" spans="1:14" ht="15">
      <c r="A347"/>
      <c r="B347"/>
      <c r="C347"/>
      <c r="L347"/>
      <c r="M347"/>
      <c r="N347"/>
    </row>
    <row r="348" spans="1:14" ht="15">
      <c r="A348"/>
      <c r="B348"/>
      <c r="C348"/>
      <c r="L348"/>
      <c r="M348"/>
      <c r="N348"/>
    </row>
    <row r="349" spans="1:14" ht="15">
      <c r="A349"/>
      <c r="B349"/>
      <c r="C349"/>
      <c r="L349"/>
      <c r="M349"/>
      <c r="N349"/>
    </row>
    <row r="350" spans="1:14" ht="15">
      <c r="A350"/>
      <c r="B350"/>
      <c r="C350"/>
      <c r="L350"/>
      <c r="M350"/>
      <c r="N350"/>
    </row>
    <row r="351" spans="1:14" ht="15">
      <c r="A351"/>
      <c r="B351"/>
      <c r="C351"/>
      <c r="L351"/>
      <c r="M351"/>
      <c r="N351"/>
    </row>
    <row r="352" spans="1:14" ht="15">
      <c r="A352"/>
      <c r="B352"/>
      <c r="C352"/>
      <c r="L352"/>
      <c r="M352"/>
    </row>
    <row r="353" spans="1:13" ht="15">
      <c r="A353"/>
      <c r="B353"/>
      <c r="C353"/>
      <c r="L353"/>
      <c r="M353"/>
    </row>
    <row r="354" spans="1:13" ht="15">
      <c r="A354"/>
      <c r="B354"/>
      <c r="C354"/>
      <c r="L354"/>
      <c r="M354"/>
    </row>
    <row r="355" spans="1:13" ht="15">
      <c r="A355"/>
      <c r="B355"/>
      <c r="C355"/>
      <c r="L355"/>
      <c r="M355"/>
    </row>
    <row r="356" spans="1:13" ht="15">
      <c r="A356"/>
      <c r="B356"/>
      <c r="C356"/>
      <c r="L356"/>
      <c r="M356"/>
    </row>
    <row r="357" spans="1:13" ht="15">
      <c r="A357"/>
      <c r="B357"/>
      <c r="C357"/>
      <c r="L357"/>
      <c r="M357"/>
    </row>
    <row r="358" spans="1:13" ht="15">
      <c r="A358"/>
      <c r="B358"/>
      <c r="C358"/>
      <c r="L358"/>
      <c r="M358"/>
    </row>
    <row r="359" spans="1:13" ht="15">
      <c r="A359"/>
      <c r="B359"/>
      <c r="C359"/>
      <c r="L359"/>
      <c r="M359"/>
    </row>
    <row r="360" spans="1:13" ht="15">
      <c r="A360"/>
      <c r="B360"/>
      <c r="C360"/>
      <c r="L360"/>
      <c r="M360"/>
    </row>
    <row r="361" spans="1:13" ht="15">
      <c r="A361"/>
      <c r="B361"/>
      <c r="C361"/>
      <c r="L361"/>
      <c r="M361"/>
    </row>
    <row r="362" spans="1:13" ht="15">
      <c r="A362"/>
      <c r="B362"/>
      <c r="C362"/>
      <c r="L362"/>
      <c r="M362"/>
    </row>
    <row r="363" spans="1:13" ht="15">
      <c r="A363"/>
      <c r="B363"/>
      <c r="C363"/>
      <c r="L363"/>
      <c r="M363"/>
    </row>
    <row r="364" spans="1:13" ht="15">
      <c r="A364"/>
      <c r="B364"/>
      <c r="C364"/>
      <c r="L364"/>
      <c r="M364"/>
    </row>
    <row r="365" spans="1:13" ht="15">
      <c r="A365"/>
      <c r="B365"/>
      <c r="C365"/>
      <c r="L365"/>
      <c r="M365"/>
    </row>
    <row r="366" spans="1:13" ht="15">
      <c r="A366"/>
      <c r="B366"/>
      <c r="C366"/>
      <c r="L366"/>
      <c r="M366"/>
    </row>
    <row r="367" spans="1:13" ht="15">
      <c r="A367"/>
      <c r="B367"/>
      <c r="C367"/>
      <c r="L367"/>
      <c r="M367"/>
    </row>
    <row r="368" spans="1:13" ht="15">
      <c r="A368"/>
      <c r="B368"/>
      <c r="C368"/>
      <c r="L368"/>
      <c r="M368"/>
    </row>
    <row r="369" spans="1:13" ht="15">
      <c r="A369"/>
      <c r="B369"/>
      <c r="C369"/>
      <c r="L369"/>
      <c r="M369"/>
    </row>
    <row r="370" spans="1:13" ht="15">
      <c r="A370"/>
      <c r="B370"/>
      <c r="C370"/>
      <c r="L370"/>
      <c r="M370"/>
    </row>
    <row r="371" spans="1:13" ht="15">
      <c r="A371"/>
      <c r="B371"/>
      <c r="C371"/>
      <c r="L371"/>
      <c r="M371"/>
    </row>
    <row r="372" spans="1:13" ht="15">
      <c r="A372"/>
      <c r="B372"/>
      <c r="C372"/>
      <c r="L372"/>
      <c r="M372"/>
    </row>
    <row r="373" spans="1:13" ht="15">
      <c r="A373"/>
      <c r="B373"/>
      <c r="C373"/>
      <c r="L373"/>
      <c r="M373"/>
    </row>
    <row r="374" spans="1:13" ht="15">
      <c r="A374"/>
      <c r="B374"/>
      <c r="C374"/>
      <c r="L374"/>
      <c r="M374"/>
    </row>
    <row r="375" spans="1:13" ht="15">
      <c r="A375"/>
      <c r="B375"/>
      <c r="C375"/>
      <c r="L375"/>
      <c r="M375"/>
    </row>
    <row r="376" spans="1:13" ht="15">
      <c r="A376"/>
      <c r="B376"/>
      <c r="C376"/>
      <c r="L376"/>
      <c r="M376"/>
    </row>
    <row r="377" spans="1:13" ht="15">
      <c r="A377"/>
      <c r="B377"/>
      <c r="C377"/>
      <c r="L377"/>
      <c r="M377"/>
    </row>
    <row r="378" spans="1:13" ht="15">
      <c r="A378"/>
      <c r="B378"/>
      <c r="C378"/>
      <c r="L378"/>
      <c r="M378"/>
    </row>
    <row r="379" spans="1:13" ht="15">
      <c r="A379"/>
      <c r="B379"/>
      <c r="C379"/>
      <c r="L379"/>
      <c r="M379"/>
    </row>
    <row r="380" spans="1:13" ht="15">
      <c r="A380"/>
      <c r="B380"/>
      <c r="C380"/>
      <c r="L380"/>
      <c r="M380"/>
    </row>
    <row r="381" spans="1:13" ht="15">
      <c r="A381"/>
      <c r="B381"/>
      <c r="C381"/>
      <c r="L381"/>
      <c r="M381"/>
    </row>
    <row r="382" spans="1:13" ht="15">
      <c r="A382"/>
      <c r="B382"/>
      <c r="C382"/>
      <c r="L382"/>
      <c r="M382"/>
    </row>
    <row r="383" spans="1:13" ht="15">
      <c r="A383"/>
      <c r="B383"/>
      <c r="C383"/>
      <c r="L383"/>
      <c r="M383"/>
    </row>
    <row r="384" spans="1:13" ht="15">
      <c r="A384"/>
      <c r="B384"/>
      <c r="C384"/>
      <c r="L384"/>
      <c r="M384"/>
    </row>
    <row r="385" spans="1:13" ht="15">
      <c r="A385"/>
      <c r="B385"/>
      <c r="C385"/>
      <c r="L385"/>
      <c r="M385"/>
    </row>
    <row r="386" spans="1:13" ht="15">
      <c r="A386"/>
      <c r="B386"/>
      <c r="C386"/>
      <c r="L386"/>
      <c r="M386"/>
    </row>
    <row r="387" spans="1:13" ht="15">
      <c r="A387"/>
      <c r="B387"/>
      <c r="C387"/>
      <c r="L387"/>
      <c r="M387"/>
    </row>
    <row r="388" spans="1:13" ht="15">
      <c r="A388"/>
      <c r="B388"/>
      <c r="C388"/>
      <c r="L388"/>
      <c r="M388"/>
    </row>
    <row r="389" spans="1:13" ht="15">
      <c r="A389"/>
      <c r="B389"/>
      <c r="C389"/>
      <c r="L389"/>
      <c r="M389"/>
    </row>
    <row r="390" spans="1:13" ht="15">
      <c r="A390"/>
      <c r="B390"/>
      <c r="C390"/>
      <c r="L390"/>
      <c r="M390"/>
    </row>
    <row r="391" spans="1:13" ht="15">
      <c r="A391"/>
      <c r="B391"/>
      <c r="C391"/>
      <c r="L391"/>
      <c r="M391"/>
    </row>
    <row r="392" spans="1:13" ht="15">
      <c r="A392"/>
      <c r="B392"/>
      <c r="C392"/>
      <c r="L392"/>
      <c r="M392"/>
    </row>
    <row r="393" spans="1:13" ht="15">
      <c r="A393"/>
      <c r="B393"/>
      <c r="C393"/>
      <c r="L393"/>
      <c r="M393"/>
    </row>
    <row r="394" spans="1:13" ht="15">
      <c r="A394"/>
      <c r="B394"/>
      <c r="C394"/>
      <c r="L394"/>
      <c r="M394"/>
    </row>
    <row r="395" spans="1:13" ht="15">
      <c r="A395"/>
      <c r="B395"/>
      <c r="C395"/>
      <c r="L395"/>
      <c r="M395"/>
    </row>
    <row r="396" spans="1:13" ht="15">
      <c r="A396"/>
      <c r="B396"/>
      <c r="C396"/>
      <c r="L396"/>
      <c r="M396"/>
    </row>
    <row r="397" spans="1:13" ht="15">
      <c r="A397"/>
      <c r="B397"/>
      <c r="C397"/>
      <c r="L397"/>
      <c r="M397"/>
    </row>
    <row r="398" spans="1:13" ht="15">
      <c r="A398"/>
      <c r="B398"/>
      <c r="C398"/>
      <c r="L398"/>
      <c r="M398"/>
    </row>
    <row r="399" spans="1:13" ht="15">
      <c r="A399"/>
      <c r="B399"/>
      <c r="C399"/>
      <c r="L399"/>
      <c r="M399"/>
    </row>
    <row r="400" spans="1:13" ht="15">
      <c r="A400"/>
      <c r="B400"/>
      <c r="C400"/>
      <c r="L400"/>
      <c r="M400"/>
    </row>
    <row r="401" spans="1:13" ht="15">
      <c r="A401"/>
      <c r="B401"/>
      <c r="C401"/>
      <c r="L401"/>
      <c r="M401"/>
    </row>
    <row r="402" spans="1:13" ht="15">
      <c r="A402"/>
      <c r="B402"/>
      <c r="C402"/>
      <c r="L402"/>
      <c r="M402"/>
    </row>
    <row r="403" spans="1:13" ht="15">
      <c r="A403"/>
      <c r="B403"/>
      <c r="C403"/>
      <c r="L403"/>
      <c r="M403"/>
    </row>
    <row r="404" spans="1:13" ht="15">
      <c r="A404"/>
      <c r="B404"/>
      <c r="C404"/>
      <c r="L404"/>
      <c r="M404"/>
    </row>
    <row r="405" spans="1:13" ht="15">
      <c r="A405"/>
      <c r="B405"/>
      <c r="C405"/>
      <c r="L405"/>
      <c r="M405"/>
    </row>
    <row r="406" spans="1:13" ht="15">
      <c r="A406"/>
      <c r="B406"/>
      <c r="C406"/>
      <c r="L406"/>
      <c r="M406"/>
    </row>
    <row r="407" spans="1:13" ht="15">
      <c r="A407"/>
      <c r="B407"/>
      <c r="C407"/>
      <c r="L407"/>
      <c r="M407"/>
    </row>
    <row r="408" spans="1:13" ht="15">
      <c r="A408"/>
      <c r="B408"/>
      <c r="C408"/>
      <c r="L408"/>
    </row>
    <row r="409" spans="1:13" ht="15">
      <c r="A409"/>
      <c r="B409"/>
      <c r="C409"/>
      <c r="L409"/>
    </row>
    <row r="410" spans="1:13" ht="15">
      <c r="A410"/>
      <c r="B410"/>
      <c r="C410"/>
      <c r="L410"/>
    </row>
    <row r="411" spans="1:13" ht="15">
      <c r="A411"/>
      <c r="B411"/>
      <c r="C411"/>
      <c r="L411"/>
    </row>
    <row r="412" spans="1:13" ht="15">
      <c r="A412"/>
      <c r="B412"/>
      <c r="L412"/>
    </row>
    <row r="413" spans="1:13" ht="15">
      <c r="A413"/>
      <c r="B413"/>
      <c r="L413"/>
    </row>
    <row r="414" spans="1:13" ht="15">
      <c r="A414"/>
      <c r="B414"/>
      <c r="L414"/>
    </row>
    <row r="415" spans="1:13" ht="15">
      <c r="A415"/>
      <c r="B415"/>
      <c r="L415"/>
    </row>
    <row r="416" spans="1:13" ht="15">
      <c r="A416"/>
      <c r="B416"/>
      <c r="L416"/>
    </row>
    <row r="417" spans="1:12" ht="15">
      <c r="A417"/>
      <c r="B417"/>
      <c r="L417"/>
    </row>
    <row r="418" spans="1:12" ht="15">
      <c r="A418"/>
      <c r="B418"/>
      <c r="L418"/>
    </row>
    <row r="419" spans="1:12" ht="15">
      <c r="A419"/>
      <c r="B419"/>
      <c r="L419"/>
    </row>
    <row r="420" spans="1:12" ht="15">
      <c r="A420"/>
      <c r="B420"/>
      <c r="L420"/>
    </row>
    <row r="421" spans="1:12" ht="15">
      <c r="A421"/>
      <c r="B421"/>
      <c r="L421"/>
    </row>
    <row r="422" spans="1:12" ht="15">
      <c r="A422"/>
      <c r="B422"/>
      <c r="L422"/>
    </row>
    <row r="423" spans="1:12" ht="15">
      <c r="A423"/>
      <c r="B423"/>
      <c r="L423"/>
    </row>
    <row r="424" spans="1:12" ht="15">
      <c r="A424"/>
      <c r="B424"/>
      <c r="L424"/>
    </row>
    <row r="425" spans="1:12" ht="15">
      <c r="A425"/>
      <c r="B425"/>
      <c r="L425"/>
    </row>
    <row r="426" spans="1:12" ht="15">
      <c r="A426"/>
      <c r="B426"/>
      <c r="L426"/>
    </row>
    <row r="427" spans="1:12" ht="15">
      <c r="A427"/>
      <c r="B427"/>
      <c r="L427"/>
    </row>
    <row r="428" spans="1:12" ht="15">
      <c r="A428"/>
      <c r="B428"/>
      <c r="L428"/>
    </row>
    <row r="429" spans="1:12" ht="15">
      <c r="A429"/>
      <c r="B429"/>
      <c r="L429"/>
    </row>
    <row r="430" spans="1:12" ht="15">
      <c r="A430"/>
      <c r="B430"/>
      <c r="L430"/>
    </row>
    <row r="431" spans="1:12" ht="15">
      <c r="A431"/>
      <c r="B431"/>
      <c r="L431"/>
    </row>
    <row r="432" spans="1:12" ht="15">
      <c r="A432"/>
      <c r="B432"/>
      <c r="L432"/>
    </row>
    <row r="433" spans="1:12" ht="15">
      <c r="A433"/>
      <c r="B433"/>
      <c r="L433"/>
    </row>
    <row r="434" spans="1:12" ht="15">
      <c r="A434"/>
      <c r="B434"/>
      <c r="L434"/>
    </row>
    <row r="435" spans="1:12" ht="15">
      <c r="A435"/>
      <c r="B435"/>
      <c r="L435"/>
    </row>
    <row r="436" spans="1:12" ht="15">
      <c r="A436"/>
      <c r="B436"/>
      <c r="L436"/>
    </row>
    <row r="437" spans="1:12" ht="15">
      <c r="A437"/>
      <c r="B437"/>
      <c r="L437"/>
    </row>
    <row r="438" spans="1:12" ht="15">
      <c r="A438"/>
      <c r="B438"/>
      <c r="L438"/>
    </row>
    <row r="439" spans="1:12" ht="15">
      <c r="A439"/>
      <c r="B439"/>
      <c r="L439"/>
    </row>
    <row r="440" spans="1:12" ht="15">
      <c r="A440"/>
      <c r="B440"/>
      <c r="L440"/>
    </row>
    <row r="441" spans="1:12" ht="15">
      <c r="A441"/>
      <c r="B441"/>
      <c r="L441"/>
    </row>
    <row r="442" spans="1:12" ht="15">
      <c r="A442"/>
      <c r="B442"/>
      <c r="L442"/>
    </row>
    <row r="443" spans="1:12" ht="15">
      <c r="A443"/>
      <c r="B443"/>
      <c r="L443"/>
    </row>
    <row r="444" spans="1:12" ht="15">
      <c r="A444"/>
      <c r="B444"/>
      <c r="L444"/>
    </row>
    <row r="445" spans="1:12" ht="15">
      <c r="A445"/>
      <c r="B445"/>
      <c r="L445"/>
    </row>
    <row r="446" spans="1:12" ht="15">
      <c r="A446"/>
      <c r="B446"/>
      <c r="L446"/>
    </row>
    <row r="447" spans="1:12" ht="15">
      <c r="A447"/>
      <c r="B447"/>
      <c r="L447"/>
    </row>
    <row r="448" spans="1:12" ht="15">
      <c r="A448"/>
      <c r="B448"/>
      <c r="L448"/>
    </row>
    <row r="449" spans="1:12" ht="15">
      <c r="A449"/>
      <c r="B449"/>
      <c r="L449"/>
    </row>
    <row r="450" spans="1:12" ht="15">
      <c r="A450"/>
      <c r="B450"/>
      <c r="L450"/>
    </row>
    <row r="451" spans="1:12" ht="15">
      <c r="A451"/>
      <c r="B451"/>
      <c r="L451"/>
    </row>
    <row r="452" spans="1:12" ht="15">
      <c r="A452"/>
      <c r="B452"/>
      <c r="L452"/>
    </row>
    <row r="453" spans="1:12" ht="15">
      <c r="A453"/>
      <c r="B453"/>
      <c r="L453"/>
    </row>
    <row r="454" spans="1:12" ht="15">
      <c r="A454"/>
      <c r="B454"/>
      <c r="L454"/>
    </row>
    <row r="455" spans="1:12" ht="15">
      <c r="A455"/>
      <c r="B455"/>
      <c r="L455"/>
    </row>
    <row r="456" spans="1:12" ht="15">
      <c r="A456"/>
      <c r="B456"/>
      <c r="L456"/>
    </row>
    <row r="457" spans="1:12" ht="15">
      <c r="A457"/>
      <c r="B457"/>
      <c r="L457"/>
    </row>
    <row r="458" spans="1:12" ht="15">
      <c r="A458"/>
      <c r="B458"/>
      <c r="L458"/>
    </row>
    <row r="459" spans="1:12" ht="15">
      <c r="A459"/>
      <c r="B459"/>
      <c r="L459"/>
    </row>
    <row r="460" spans="1:12" ht="15">
      <c r="A460"/>
      <c r="B460"/>
      <c r="L460"/>
    </row>
    <row r="461" spans="1:12" ht="15">
      <c r="A461"/>
      <c r="B461"/>
      <c r="L461"/>
    </row>
    <row r="462" spans="1:12" ht="15">
      <c r="A462"/>
      <c r="B462"/>
      <c r="L462"/>
    </row>
    <row r="463" spans="1:12" ht="15">
      <c r="A463"/>
      <c r="B463"/>
      <c r="L463"/>
    </row>
    <row r="464" spans="1:12" ht="15">
      <c r="A464"/>
      <c r="B464"/>
      <c r="L464"/>
    </row>
    <row r="465" spans="1:12" ht="15">
      <c r="A465"/>
      <c r="B465"/>
      <c r="L465"/>
    </row>
    <row r="466" spans="1:12" ht="15">
      <c r="A466"/>
      <c r="B466"/>
      <c r="L466"/>
    </row>
    <row r="467" spans="1:12" ht="15">
      <c r="A467"/>
      <c r="B467"/>
    </row>
    <row r="468" spans="1:12" ht="15">
      <c r="A468"/>
      <c r="B468"/>
    </row>
    <row r="469" spans="1:12" ht="15">
      <c r="A469"/>
      <c r="B469"/>
    </row>
    <row r="470" spans="1:12" ht="15">
      <c r="A470"/>
      <c r="B470"/>
    </row>
    <row r="471" spans="1:12" ht="15">
      <c r="A471"/>
      <c r="B471"/>
    </row>
    <row r="472" spans="1:12" ht="15">
      <c r="A472"/>
      <c r="B472"/>
    </row>
    <row r="473" spans="1:12" ht="15">
      <c r="A473"/>
      <c r="B473"/>
    </row>
    <row r="474" spans="1:12" ht="15">
      <c r="A474"/>
      <c r="B474"/>
    </row>
    <row r="475" spans="1:12" ht="15">
      <c r="A475"/>
      <c r="B475"/>
    </row>
    <row r="476" spans="1:12" ht="15">
      <c r="A476"/>
      <c r="B476"/>
    </row>
    <row r="477" spans="1:12" ht="15">
      <c r="A477"/>
      <c r="B477"/>
    </row>
    <row r="478" spans="1:12" ht="15">
      <c r="A478"/>
    </row>
    <row r="479" spans="1:12" ht="15">
      <c r="A479"/>
    </row>
    <row r="480" spans="1:12" ht="15">
      <c r="A480"/>
    </row>
    <row r="481" spans="1:1" ht="15">
      <c r="A481"/>
    </row>
    <row r="482" spans="1:1" ht="15">
      <c r="A482"/>
    </row>
    <row r="483" spans="1:1" ht="15">
      <c r="A483"/>
    </row>
    <row r="484" spans="1:1" ht="15">
      <c r="A484"/>
    </row>
    <row r="485" spans="1:1" ht="15">
      <c r="A485"/>
    </row>
    <row r="486" spans="1:1" ht="15">
      <c r="A486"/>
    </row>
    <row r="487" spans="1:1" ht="15">
      <c r="A487"/>
    </row>
    <row r="488" spans="1:1" ht="15">
      <c r="A488"/>
    </row>
    <row r="489" spans="1:1" ht="15">
      <c r="A489"/>
    </row>
    <row r="490" spans="1:1" ht="15">
      <c r="A490"/>
    </row>
    <row r="491" spans="1:1" ht="15">
      <c r="A491"/>
    </row>
    <row r="492" spans="1:1" ht="15">
      <c r="A492"/>
    </row>
    <row r="493" spans="1:1" ht="15">
      <c r="A493"/>
    </row>
    <row r="494" spans="1:1" ht="15">
      <c r="A494"/>
    </row>
    <row r="495" spans="1:1" ht="15">
      <c r="A495"/>
    </row>
    <row r="496" spans="1:1" ht="15">
      <c r="A496"/>
    </row>
    <row r="497" spans="1:1" ht="15">
      <c r="A497"/>
    </row>
    <row r="498" spans="1:1" ht="15">
      <c r="A498"/>
    </row>
    <row r="499" spans="1:1" ht="15">
      <c r="A499"/>
    </row>
    <row r="500" spans="1:1" ht="15">
      <c r="A500"/>
    </row>
    <row r="501" spans="1:1" ht="15">
      <c r="A501"/>
    </row>
    <row r="502" spans="1:1" ht="15">
      <c r="A502"/>
    </row>
    <row r="503" spans="1:1" ht="15">
      <c r="A503"/>
    </row>
    <row r="504" spans="1:1" ht="15">
      <c r="A504"/>
    </row>
    <row r="505" spans="1:1" ht="15">
      <c r="A505"/>
    </row>
    <row r="506" spans="1:1" ht="15">
      <c r="A506"/>
    </row>
    <row r="507" spans="1:1" ht="15">
      <c r="A507"/>
    </row>
    <row r="508" spans="1:1" ht="15">
      <c r="A508"/>
    </row>
    <row r="509" spans="1:1" ht="15">
      <c r="A509"/>
    </row>
    <row r="510" spans="1:1" ht="15">
      <c r="A510"/>
    </row>
    <row r="511" spans="1:1" ht="15">
      <c r="A511"/>
    </row>
    <row r="512" spans="1:1" ht="15">
      <c r="A512"/>
    </row>
    <row r="513" spans="1:1" ht="15">
      <c r="A513"/>
    </row>
    <row r="514" spans="1:1" ht="15">
      <c r="A514"/>
    </row>
    <row r="515" spans="1:1" ht="15">
      <c r="A515"/>
    </row>
    <row r="516" spans="1:1" ht="15">
      <c r="A516"/>
    </row>
    <row r="517" spans="1:1" ht="15">
      <c r="A517"/>
    </row>
    <row r="518" spans="1:1" ht="15">
      <c r="A518"/>
    </row>
    <row r="519" spans="1:1" ht="15">
      <c r="A519"/>
    </row>
    <row r="520" spans="1:1" ht="15">
      <c r="A520"/>
    </row>
    <row r="521" spans="1:1" ht="15">
      <c r="A521"/>
    </row>
    <row r="522" spans="1:1" ht="15">
      <c r="A522"/>
    </row>
    <row r="523" spans="1:1" ht="15">
      <c r="A523"/>
    </row>
    <row r="524" spans="1:1" ht="15">
      <c r="A524"/>
    </row>
    <row r="525" spans="1:1" ht="15">
      <c r="A525"/>
    </row>
    <row r="526" spans="1:1" ht="15">
      <c r="A526"/>
    </row>
    <row r="527" spans="1:1" ht="15">
      <c r="A527"/>
    </row>
    <row r="528" spans="1:1" ht="15">
      <c r="A528"/>
    </row>
    <row r="529" spans="1:1" ht="15">
      <c r="A529"/>
    </row>
    <row r="530" spans="1:1" ht="15">
      <c r="A530"/>
    </row>
    <row r="531" spans="1:1" ht="15">
      <c r="A531"/>
    </row>
    <row r="532" spans="1:1" ht="15">
      <c r="A532"/>
    </row>
    <row r="533" spans="1:1" ht="15">
      <c r="A533"/>
    </row>
    <row r="534" spans="1:1" ht="15">
      <c r="A534"/>
    </row>
    <row r="535" spans="1:1" ht="15">
      <c r="A535"/>
    </row>
    <row r="536" spans="1:1" ht="15">
      <c r="A536"/>
    </row>
    <row r="537" spans="1:1" ht="15">
      <c r="A537"/>
    </row>
    <row r="538" spans="1:1" ht="15">
      <c r="A538"/>
    </row>
    <row r="539" spans="1:1" ht="15">
      <c r="A539"/>
    </row>
    <row r="540" spans="1:1" ht="15">
      <c r="A540"/>
    </row>
    <row r="541" spans="1:1" ht="15">
      <c r="A541"/>
    </row>
    <row r="542" spans="1:1" ht="15">
      <c r="A542"/>
    </row>
    <row r="543" spans="1:1" ht="15">
      <c r="A543"/>
    </row>
    <row r="544" spans="1:1" ht="15">
      <c r="A544"/>
    </row>
    <row r="545" spans="1:1" ht="15">
      <c r="A545"/>
    </row>
    <row r="546" spans="1:1" ht="15">
      <c r="A546"/>
    </row>
    <row r="547" spans="1:1" ht="15">
      <c r="A547"/>
    </row>
    <row r="548" spans="1:1" ht="15">
      <c r="A548"/>
    </row>
    <row r="549" spans="1:1" ht="15">
      <c r="A549"/>
    </row>
    <row r="550" spans="1:1" ht="15">
      <c r="A550"/>
    </row>
    <row r="551" spans="1:1" ht="15">
      <c r="A551"/>
    </row>
    <row r="552" spans="1:1" ht="15">
      <c r="A552"/>
    </row>
    <row r="553" spans="1:1" ht="15">
      <c r="A553"/>
    </row>
    <row r="554" spans="1:1" ht="15">
      <c r="A554"/>
    </row>
    <row r="555" spans="1:1" ht="15">
      <c r="A555"/>
    </row>
    <row r="556" spans="1:1" ht="15">
      <c r="A556"/>
    </row>
    <row r="557" spans="1:1" ht="15">
      <c r="A557"/>
    </row>
    <row r="558" spans="1:1" ht="15">
      <c r="A558"/>
    </row>
    <row r="559" spans="1:1" ht="15">
      <c r="A559"/>
    </row>
    <row r="560" spans="1:1" ht="15">
      <c r="A560"/>
    </row>
    <row r="561" spans="1:1" ht="15">
      <c r="A561"/>
    </row>
    <row r="562" spans="1:1" ht="15">
      <c r="A562"/>
    </row>
    <row r="563" spans="1:1" ht="15">
      <c r="A563"/>
    </row>
    <row r="564" spans="1:1" ht="15">
      <c r="A564"/>
    </row>
    <row r="565" spans="1:1" ht="15">
      <c r="A565"/>
    </row>
    <row r="566" spans="1:1" ht="15">
      <c r="A566"/>
    </row>
    <row r="567" spans="1:1" ht="15">
      <c r="A567"/>
    </row>
    <row r="568" spans="1:1" ht="15">
      <c r="A568"/>
    </row>
    <row r="569" spans="1:1" ht="15">
      <c r="A569"/>
    </row>
    <row r="570" spans="1:1" ht="15">
      <c r="A570"/>
    </row>
    <row r="571" spans="1:1" ht="15">
      <c r="A571"/>
    </row>
    <row r="572" spans="1:1" ht="15">
      <c r="A572"/>
    </row>
    <row r="573" spans="1:1" ht="15">
      <c r="A573"/>
    </row>
    <row r="574" spans="1:1" ht="15">
      <c r="A574"/>
    </row>
    <row r="575" spans="1:1" ht="15">
      <c r="A575"/>
    </row>
    <row r="576" spans="1:1" ht="15">
      <c r="A576"/>
    </row>
    <row r="577" spans="1:1" ht="15">
      <c r="A577"/>
    </row>
    <row r="578" spans="1:1" ht="15">
      <c r="A578"/>
    </row>
    <row r="579" spans="1:1" ht="15">
      <c r="A579"/>
    </row>
    <row r="580" spans="1:1" ht="15">
      <c r="A580"/>
    </row>
    <row r="581" spans="1:1" ht="15">
      <c r="A581"/>
    </row>
    <row r="582" spans="1:1" ht="15">
      <c r="A582"/>
    </row>
    <row r="583" spans="1:1" ht="15">
      <c r="A583"/>
    </row>
    <row r="584" spans="1:1" ht="15">
      <c r="A584"/>
    </row>
    <row r="585" spans="1:1" ht="15">
      <c r="A585"/>
    </row>
    <row r="586" spans="1:1" ht="15">
      <c r="A586"/>
    </row>
    <row r="587" spans="1:1" ht="15">
      <c r="A587"/>
    </row>
    <row r="588" spans="1:1" ht="15">
      <c r="A588"/>
    </row>
    <row r="589" spans="1:1" ht="15">
      <c r="A589"/>
    </row>
    <row r="590" spans="1:1" ht="15">
      <c r="A590"/>
    </row>
    <row r="591" spans="1:1" ht="15">
      <c r="A591"/>
    </row>
    <row r="592" spans="1:1" ht="15">
      <c r="A592"/>
    </row>
    <row r="593" spans="1:1" ht="15">
      <c r="A593"/>
    </row>
    <row r="594" spans="1:1" ht="15">
      <c r="A594"/>
    </row>
    <row r="595" spans="1:1" ht="15">
      <c r="A595"/>
    </row>
    <row r="596" spans="1:1" ht="15">
      <c r="A596"/>
    </row>
    <row r="597" spans="1:1" ht="15">
      <c r="A597"/>
    </row>
    <row r="598" spans="1:1" ht="15">
      <c r="A598"/>
    </row>
    <row r="599" spans="1:1" ht="15">
      <c r="A599"/>
    </row>
    <row r="600" spans="1:1" ht="15">
      <c r="A600"/>
    </row>
    <row r="601" spans="1:1" ht="15">
      <c r="A601"/>
    </row>
    <row r="602" spans="1:1" ht="15">
      <c r="A602"/>
    </row>
    <row r="603" spans="1:1" ht="15">
      <c r="A603"/>
    </row>
    <row r="604" spans="1:1" ht="15">
      <c r="A604"/>
    </row>
    <row r="605" spans="1:1" ht="15">
      <c r="A605"/>
    </row>
    <row r="606" spans="1:1" ht="15">
      <c r="A606"/>
    </row>
    <row r="607" spans="1:1" ht="15">
      <c r="A607"/>
    </row>
    <row r="608" spans="1:1" ht="15">
      <c r="A608"/>
    </row>
    <row r="609" spans="1:1" ht="15">
      <c r="A609"/>
    </row>
    <row r="610" spans="1:1" ht="15">
      <c r="A610"/>
    </row>
    <row r="611" spans="1:1" ht="15">
      <c r="A611"/>
    </row>
    <row r="612" spans="1:1" ht="15">
      <c r="A612"/>
    </row>
    <row r="613" spans="1:1" ht="15">
      <c r="A613"/>
    </row>
    <row r="614" spans="1:1" ht="15">
      <c r="A614"/>
    </row>
    <row r="615" spans="1:1" ht="15">
      <c r="A615"/>
    </row>
    <row r="616" spans="1:1" ht="15">
      <c r="A616"/>
    </row>
    <row r="617" spans="1:1" ht="15">
      <c r="A617"/>
    </row>
    <row r="618" spans="1:1" ht="15">
      <c r="A618"/>
    </row>
    <row r="619" spans="1:1" ht="15">
      <c r="A619"/>
    </row>
    <row r="620" spans="1:1" ht="15">
      <c r="A620"/>
    </row>
    <row r="621" spans="1:1" ht="15">
      <c r="A621"/>
    </row>
    <row r="622" spans="1:1" ht="15">
      <c r="A622"/>
    </row>
    <row r="623" spans="1:1" ht="15">
      <c r="A623"/>
    </row>
    <row r="624" spans="1:1" ht="15">
      <c r="A624"/>
    </row>
    <row r="625" spans="1:1" ht="15">
      <c r="A625"/>
    </row>
    <row r="626" spans="1:1" ht="15">
      <c r="A626"/>
    </row>
    <row r="627" spans="1:1" ht="15">
      <c r="A627"/>
    </row>
    <row r="628" spans="1:1" ht="15">
      <c r="A628"/>
    </row>
    <row r="629" spans="1:1" ht="15">
      <c r="A629"/>
    </row>
    <row r="630" spans="1:1" ht="15">
      <c r="A630"/>
    </row>
    <row r="631" spans="1:1" ht="15">
      <c r="A631"/>
    </row>
    <row r="632" spans="1:1" ht="15">
      <c r="A632"/>
    </row>
    <row r="633" spans="1:1" ht="15">
      <c r="A633"/>
    </row>
    <row r="634" spans="1:1" ht="15">
      <c r="A634"/>
    </row>
    <row r="635" spans="1:1" ht="15">
      <c r="A635"/>
    </row>
    <row r="636" spans="1:1" ht="15">
      <c r="A636"/>
    </row>
    <row r="637" spans="1:1" ht="15">
      <c r="A637"/>
    </row>
    <row r="638" spans="1:1" ht="15">
      <c r="A638"/>
    </row>
    <row r="639" spans="1:1" ht="15">
      <c r="A639"/>
    </row>
    <row r="640" spans="1:1" ht="15">
      <c r="A640"/>
    </row>
    <row r="641" spans="1:1" ht="15">
      <c r="A641"/>
    </row>
    <row r="642" spans="1:1" ht="15">
      <c r="A642"/>
    </row>
    <row r="643" spans="1:1" ht="15">
      <c r="A643"/>
    </row>
    <row r="644" spans="1:1" ht="15">
      <c r="A644"/>
    </row>
  </sheetData>
  <pageMargins left="0.7" right="0.7" top="0.75" bottom="0.75" header="0.3" footer="0.3"/>
  <pageSetup orientation="portrait" horizontalDpi="0" verticalDpi="0"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889DB"/>
  </sheetPr>
  <dimension ref="A1:X119"/>
  <sheetViews>
    <sheetView workbookViewId="0">
      <selection activeCell="B24" sqref="B24"/>
    </sheetView>
  </sheetViews>
  <sheetFormatPr baseColWidth="10" defaultRowHeight="12"/>
  <cols>
    <col min="1" max="1" width="26.85546875" style="29" customWidth="1"/>
    <col min="2" max="2" width="11.42578125" style="29"/>
    <col min="3" max="3" width="11.7109375" style="29" bestFit="1" customWidth="1"/>
    <col min="4" max="4" width="11.42578125" style="29"/>
    <col min="5" max="5" width="34.7109375" style="29" customWidth="1"/>
    <col min="6" max="6" width="13.140625" style="29" customWidth="1"/>
    <col min="7" max="7" width="9.7109375" style="29" customWidth="1"/>
    <col min="8" max="8" width="16" style="29" customWidth="1"/>
    <col min="9" max="9" width="15.7109375" style="29" customWidth="1"/>
    <col min="10" max="10" width="17.140625" style="29" customWidth="1"/>
    <col min="11" max="11" width="11.5703125" style="29" bestFit="1" customWidth="1"/>
    <col min="12" max="16384" width="11.42578125" style="29"/>
  </cols>
  <sheetData>
    <row r="1" spans="1:16">
      <c r="A1" s="30" t="s">
        <v>665</v>
      </c>
    </row>
    <row r="2" spans="1:16">
      <c r="A2" s="30"/>
    </row>
    <row r="3" spans="1:16">
      <c r="A3" s="28" t="s">
        <v>607</v>
      </c>
      <c r="B3" s="123"/>
      <c r="C3" s="123"/>
      <c r="D3" s="149"/>
    </row>
    <row r="4" spans="1:16">
      <c r="B4" s="123"/>
      <c r="C4" s="123"/>
      <c r="D4" s="123"/>
    </row>
    <row r="5" spans="1:16" ht="39.75" customHeight="1">
      <c r="B5" s="124"/>
      <c r="C5" s="124"/>
      <c r="D5" s="124"/>
      <c r="F5" s="905" t="s">
        <v>1135</v>
      </c>
      <c r="G5" s="906"/>
      <c r="H5" s="906"/>
      <c r="P5" s="38">
        <f>SUM(L4:N4)</f>
        <v>0</v>
      </c>
    </row>
    <row r="6" spans="1:16" ht="39.75" customHeight="1" thickBot="1">
      <c r="B6" s="124"/>
      <c r="C6" s="124"/>
      <c r="D6" s="124"/>
      <c r="F6" s="906" t="s">
        <v>1134</v>
      </c>
      <c r="G6" s="906"/>
      <c r="H6" s="906"/>
      <c r="J6" s="30" t="s">
        <v>710</v>
      </c>
      <c r="N6" s="30"/>
    </row>
    <row r="7" spans="1:16" ht="24">
      <c r="A7" s="40"/>
      <c r="B7" s="124"/>
      <c r="C7" s="124"/>
      <c r="D7" s="124"/>
      <c r="J7" s="907" t="s">
        <v>649</v>
      </c>
      <c r="K7" s="125" t="s">
        <v>680</v>
      </c>
    </row>
    <row r="8" spans="1:16">
      <c r="A8" s="40" t="s">
        <v>702</v>
      </c>
      <c r="B8" s="126" t="s">
        <v>512</v>
      </c>
      <c r="C8" s="124"/>
      <c r="D8" s="126" t="s">
        <v>295</v>
      </c>
      <c r="E8" s="34" t="s">
        <v>344</v>
      </c>
      <c r="F8" s="34" t="s">
        <v>718</v>
      </c>
      <c r="J8" s="908"/>
      <c r="K8" s="127" t="s">
        <v>681</v>
      </c>
    </row>
    <row r="9" spans="1:16" ht="21" customHeight="1">
      <c r="A9" s="29" t="s">
        <v>608</v>
      </c>
      <c r="B9" s="29" t="s">
        <v>609</v>
      </c>
      <c r="D9" s="114" t="s">
        <v>700</v>
      </c>
      <c r="E9" s="30">
        <v>1.18</v>
      </c>
      <c r="F9" s="906" t="s">
        <v>717</v>
      </c>
      <c r="G9" s="911"/>
      <c r="H9" s="911"/>
      <c r="J9" s="128" t="s">
        <v>712</v>
      </c>
      <c r="K9" s="129">
        <v>74100</v>
      </c>
    </row>
    <row r="10" spans="1:16" ht="21.75" customHeight="1">
      <c r="A10" s="29" t="s">
        <v>610</v>
      </c>
      <c r="B10" s="29" t="s">
        <v>606</v>
      </c>
      <c r="D10" s="114" t="s">
        <v>700</v>
      </c>
      <c r="E10" s="30">
        <v>0</v>
      </c>
      <c r="F10" s="906" t="s">
        <v>716</v>
      </c>
      <c r="G10" s="911"/>
      <c r="H10" s="911"/>
      <c r="J10" s="128" t="s">
        <v>713</v>
      </c>
      <c r="K10" s="129">
        <v>28.6</v>
      </c>
    </row>
    <row r="11" spans="1:16" ht="11.25" customHeight="1" thickBot="1">
      <c r="A11" s="29" t="s">
        <v>613</v>
      </c>
      <c r="B11" s="29" t="s">
        <v>614</v>
      </c>
      <c r="D11" s="114" t="s">
        <v>701</v>
      </c>
      <c r="E11" s="30"/>
      <c r="J11" s="130" t="s">
        <v>714</v>
      </c>
      <c r="K11" s="131">
        <v>4.1500000000000004</v>
      </c>
    </row>
    <row r="12" spans="1:16" ht="11.25" customHeight="1">
      <c r="A12" s="29" t="s">
        <v>615</v>
      </c>
      <c r="B12" s="29" t="s">
        <v>616</v>
      </c>
      <c r="D12" s="114" t="s">
        <v>700</v>
      </c>
      <c r="E12" s="30"/>
    </row>
    <row r="13" spans="1:16" ht="11.25" customHeight="1">
      <c r="A13" s="132" t="s">
        <v>699</v>
      </c>
      <c r="B13" s="53" t="s">
        <v>707</v>
      </c>
      <c r="C13" s="124"/>
      <c r="D13" s="124"/>
      <c r="E13" s="154">
        <f>1/(2.778*10^5)</f>
        <v>3.5997120230381568E-6</v>
      </c>
      <c r="J13" s="53"/>
      <c r="K13" s="53"/>
      <c r="L13" s="53"/>
      <c r="M13" s="53"/>
      <c r="N13" s="53"/>
    </row>
    <row r="14" spans="1:16" ht="11.25" customHeight="1">
      <c r="A14" s="29" t="s">
        <v>611</v>
      </c>
      <c r="B14" s="29" t="s">
        <v>612</v>
      </c>
      <c r="C14" s="124"/>
      <c r="D14" s="124" t="s">
        <v>703</v>
      </c>
      <c r="E14" s="30"/>
      <c r="J14" s="55"/>
      <c r="K14" s="53"/>
      <c r="L14" s="53"/>
      <c r="M14" s="53"/>
      <c r="N14" s="53"/>
    </row>
    <row r="15" spans="1:16" ht="11.25" customHeight="1">
      <c r="A15" s="29" t="s">
        <v>617</v>
      </c>
      <c r="B15" s="29" t="s">
        <v>370</v>
      </c>
      <c r="C15" s="124"/>
      <c r="D15" s="124" t="s">
        <v>704</v>
      </c>
      <c r="J15" s="643"/>
      <c r="K15" s="53"/>
      <c r="L15" s="53"/>
      <c r="M15" s="53"/>
      <c r="N15" s="53"/>
    </row>
    <row r="16" spans="1:16" ht="12" customHeight="1">
      <c r="A16" s="29" t="s">
        <v>618</v>
      </c>
      <c r="B16" s="29" t="s">
        <v>705</v>
      </c>
      <c r="C16" s="124"/>
      <c r="D16" s="124" t="s">
        <v>630</v>
      </c>
      <c r="J16" s="53"/>
      <c r="K16" s="53"/>
      <c r="L16" s="53"/>
      <c r="M16" s="53"/>
      <c r="N16" s="53"/>
    </row>
    <row r="17" spans="1:22">
      <c r="C17" s="124"/>
      <c r="D17" s="124"/>
    </row>
    <row r="18" spans="1:22">
      <c r="C18" s="124"/>
      <c r="D18" s="124"/>
    </row>
    <row r="19" spans="1:22">
      <c r="C19" s="124"/>
      <c r="D19" s="124"/>
    </row>
    <row r="20" spans="1:22">
      <c r="A20" s="53"/>
      <c r="B20" s="53"/>
      <c r="C20" s="53"/>
      <c r="D20" s="53"/>
      <c r="E20" s="53"/>
      <c r="F20" s="53"/>
      <c r="G20" s="53"/>
      <c r="H20" s="53"/>
      <c r="I20" s="53"/>
    </row>
    <row r="21" spans="1:22" ht="12.75" customHeight="1" thickBot="1">
      <c r="A21" s="30" t="s">
        <v>679</v>
      </c>
      <c r="E21" s="123"/>
      <c r="F21" s="123"/>
      <c r="G21" s="53"/>
      <c r="H21" s="53"/>
      <c r="I21" s="53"/>
    </row>
    <row r="22" spans="1:22" ht="35.25" customHeight="1">
      <c r="A22" s="133" t="s">
        <v>119</v>
      </c>
      <c r="B22" s="134" t="s">
        <v>381</v>
      </c>
      <c r="C22" s="134" t="s">
        <v>619</v>
      </c>
      <c r="D22" s="135" t="s">
        <v>677</v>
      </c>
      <c r="E22" s="134" t="s">
        <v>706</v>
      </c>
      <c r="F22" s="134" t="s">
        <v>623</v>
      </c>
      <c r="G22" s="135" t="s">
        <v>625</v>
      </c>
      <c r="H22" s="134" t="s">
        <v>624</v>
      </c>
      <c r="I22" s="53"/>
      <c r="J22"/>
      <c r="K22"/>
      <c r="L22"/>
      <c r="M22"/>
      <c r="N22"/>
      <c r="S22" s="352"/>
      <c r="T22" s="352"/>
      <c r="U22" s="352"/>
      <c r="V22" s="53"/>
    </row>
    <row r="23" spans="1:22" ht="9.75" customHeight="1">
      <c r="A23" s="136" t="s">
        <v>382</v>
      </c>
      <c r="B23" s="137">
        <f>'GEI Gral Combust'!G25</f>
        <v>112.31666666666666</v>
      </c>
      <c r="C23" s="138">
        <f>'GEI Gral Combust'!F25*0.74</f>
        <v>133.19999999999999</v>
      </c>
      <c r="D23" s="139">
        <v>0.5</v>
      </c>
      <c r="E23" s="138" t="s">
        <v>636</v>
      </c>
      <c r="F23" s="350">
        <f>B23*C23*D23*$K$9*$E$13*$E$9*(1+$E$10)</f>
        <v>2354.4333946004313</v>
      </c>
      <c r="G23" s="350">
        <f>B23*C23*D23*$K$10*$E$13*$E$9*(1+$E$10)</f>
        <v>0.90872867861771045</v>
      </c>
      <c r="H23" s="350">
        <f t="shared" ref="H23:H34" si="0">B23*C23*D23*$K$11*$E$13*$E$9*(1+$E$10)</f>
        <v>0.1318609795896328</v>
      </c>
      <c r="I23" s="121"/>
      <c r="J23"/>
      <c r="K23"/>
      <c r="L23"/>
      <c r="M23"/>
      <c r="N23"/>
      <c r="P23" s="354"/>
      <c r="Q23" s="354"/>
      <c r="R23" s="354"/>
      <c r="S23" s="355"/>
      <c r="T23" s="355"/>
      <c r="U23" s="355"/>
      <c r="V23" s="53"/>
    </row>
    <row r="24" spans="1:22" ht="9.75" customHeight="1">
      <c r="A24" s="136" t="s">
        <v>104</v>
      </c>
      <c r="B24" s="137">
        <f>'GEI Gral Combust'!G26</f>
        <v>15462.619999999999</v>
      </c>
      <c r="C24" s="138">
        <f>'GEI Gral Combust'!F26*0.74</f>
        <v>185</v>
      </c>
      <c r="D24" s="139">
        <v>0.6</v>
      </c>
      <c r="E24" s="138" t="s">
        <v>637</v>
      </c>
      <c r="F24" s="350">
        <f t="shared" ref="F24:F30" si="1">B24*C24*D24*$K$9*$E$13*$E$9*(1+$E$10)</f>
        <v>540224.20086090709</v>
      </c>
      <c r="G24" s="350">
        <f>B24*C24*D24*$K$10*$E$13*$E$9*(1+$E$10)</f>
        <v>208.5075862971922</v>
      </c>
      <c r="H24" s="350">
        <f t="shared" si="0"/>
        <v>30.255471438228941</v>
      </c>
      <c r="I24" s="121"/>
      <c r="J24"/>
      <c r="K24"/>
      <c r="L24"/>
      <c r="M24"/>
      <c r="N24"/>
      <c r="P24" s="354"/>
      <c r="Q24" s="354"/>
      <c r="R24" s="354"/>
      <c r="S24" s="355"/>
      <c r="T24" s="355"/>
      <c r="U24" s="355"/>
    </row>
    <row r="25" spans="1:22" ht="9.75" customHeight="1">
      <c r="A25" s="136" t="s">
        <v>105</v>
      </c>
      <c r="B25" s="137">
        <f>'GEI Gral Combust'!G27</f>
        <v>74656.753812889336</v>
      </c>
      <c r="C25" s="138">
        <f>'GEI Gral Combust'!F27*0.74</f>
        <v>185</v>
      </c>
      <c r="D25" s="139">
        <v>0.5</v>
      </c>
      <c r="E25" s="138" t="s">
        <v>638</v>
      </c>
      <c r="F25" s="350">
        <f t="shared" si="1"/>
        <v>2173595.913210785</v>
      </c>
      <c r="G25" s="350">
        <f>B25*C25*D25*$K$10*$E$13*$E$9*(1+$E$10)</f>
        <v>838.93175597609252</v>
      </c>
      <c r="H25" s="350">
        <f t="shared" si="0"/>
        <v>121.73310445107637</v>
      </c>
      <c r="I25" s="121"/>
      <c r="J25"/>
      <c r="K25"/>
      <c r="L25"/>
      <c r="M25"/>
      <c r="N25"/>
      <c r="P25" s="354"/>
      <c r="Q25" s="354"/>
      <c r="R25" s="354"/>
      <c r="S25" s="355"/>
      <c r="T25" s="355"/>
      <c r="U25" s="355"/>
    </row>
    <row r="26" spans="1:22" ht="9.75" customHeight="1">
      <c r="A26" s="136" t="s">
        <v>383</v>
      </c>
      <c r="B26" s="137">
        <f>'GEI Gral Combust'!G28</f>
        <v>55992.565359667009</v>
      </c>
      <c r="C26" s="138">
        <f>'GEI Gral Combust'!F28*0.74</f>
        <v>133.19999999999999</v>
      </c>
      <c r="D26" s="139">
        <v>0.5</v>
      </c>
      <c r="E26" s="138" t="s">
        <v>636</v>
      </c>
      <c r="F26" s="350">
        <f t="shared" si="1"/>
        <v>1173741.7931338239</v>
      </c>
      <c r="G26" s="350">
        <f t="shared" ref="G26:G34" si="2">B26*C26*D26*$K$10*$E$13*$E$9*(1+$E$10)</f>
        <v>453.02314822708996</v>
      </c>
      <c r="H26" s="350">
        <f t="shared" si="0"/>
        <v>65.73587640358123</v>
      </c>
      <c r="I26" s="121"/>
      <c r="J26"/>
      <c r="K26"/>
      <c r="L26"/>
      <c r="M26"/>
      <c r="N26"/>
      <c r="P26" s="354"/>
      <c r="Q26" s="354"/>
      <c r="R26" s="354"/>
      <c r="S26" s="355"/>
      <c r="T26" s="355"/>
      <c r="U26" s="355"/>
    </row>
    <row r="27" spans="1:22" ht="15">
      <c r="A27" s="136" t="s">
        <v>108</v>
      </c>
      <c r="B27" s="137">
        <f>'GEI Gral Combust'!G29</f>
        <v>43920</v>
      </c>
      <c r="C27" s="138">
        <f>'GEI Gral Combust'!F29*0.74</f>
        <v>111</v>
      </c>
      <c r="D27" s="139">
        <v>0.43</v>
      </c>
      <c r="E27" s="138" t="s">
        <v>643</v>
      </c>
      <c r="F27" s="350">
        <f t="shared" si="1"/>
        <v>659814.32433693297</v>
      </c>
      <c r="G27" s="350">
        <f t="shared" si="2"/>
        <v>254.66517781425483</v>
      </c>
      <c r="H27" s="350">
        <f t="shared" si="0"/>
        <v>36.953163913606907</v>
      </c>
      <c r="I27" s="121"/>
      <c r="J27"/>
      <c r="K27"/>
      <c r="L27"/>
      <c r="M27"/>
      <c r="N27"/>
      <c r="P27" s="354"/>
      <c r="Q27" s="354"/>
      <c r="R27" s="354"/>
      <c r="S27" s="355"/>
      <c r="T27" s="355"/>
      <c r="U27" s="355"/>
    </row>
    <row r="28" spans="1:22" ht="15">
      <c r="A28" s="136" t="s">
        <v>109</v>
      </c>
      <c r="B28" s="137">
        <f>'GEI Gral Combust'!G30</f>
        <v>43920</v>
      </c>
      <c r="C28" s="138">
        <f>'GEI Gral Combust'!F30*0.74</f>
        <v>125.8</v>
      </c>
      <c r="D28" s="139">
        <v>0.43</v>
      </c>
      <c r="E28" s="138" t="s">
        <v>643</v>
      </c>
      <c r="F28" s="350">
        <f t="shared" si="1"/>
        <v>747789.56758185732</v>
      </c>
      <c r="G28" s="350">
        <f t="shared" si="2"/>
        <v>288.62053485615547</v>
      </c>
      <c r="H28" s="350">
        <f t="shared" si="0"/>
        <v>41.880252435421163</v>
      </c>
      <c r="I28" s="121"/>
      <c r="J28"/>
      <c r="K28"/>
      <c r="L28"/>
      <c r="M28"/>
      <c r="N28"/>
      <c r="P28" s="354"/>
      <c r="Q28" s="354"/>
      <c r="R28" s="354"/>
      <c r="S28" s="355"/>
      <c r="T28" s="355"/>
      <c r="U28" s="355"/>
    </row>
    <row r="29" spans="1:22">
      <c r="A29" s="136" t="s">
        <v>110</v>
      </c>
      <c r="B29" s="137">
        <f>'GEI Gral Combust'!G31</f>
        <v>43920</v>
      </c>
      <c r="C29" s="138">
        <f>'GEI Gral Combust'!F31*0.74</f>
        <v>17.759999999999998</v>
      </c>
      <c r="D29" s="139">
        <v>0.4</v>
      </c>
      <c r="E29" s="138" t="s">
        <v>644</v>
      </c>
      <c r="F29" s="350">
        <f t="shared" si="1"/>
        <v>98204.922692008637</v>
      </c>
      <c r="G29" s="350">
        <f t="shared" si="2"/>
        <v>37.903654372354211</v>
      </c>
      <c r="H29" s="350">
        <f t="shared" si="0"/>
        <v>5.5000057917926561</v>
      </c>
      <c r="I29" s="121"/>
      <c r="P29" s="354"/>
      <c r="Q29" s="354"/>
      <c r="R29" s="354"/>
      <c r="S29" s="355"/>
      <c r="T29" s="355"/>
      <c r="U29" s="355"/>
    </row>
    <row r="30" spans="1:22">
      <c r="A30" s="136" t="s">
        <v>678</v>
      </c>
      <c r="B30" s="137">
        <f>'GEI Gral Combust'!G32</f>
        <v>43920</v>
      </c>
      <c r="C30" s="138">
        <f>'GEI Gral Combust'!F32*0.74</f>
        <v>362.6</v>
      </c>
      <c r="D30" s="139">
        <v>0.6</v>
      </c>
      <c r="E30" s="138" t="s">
        <v>639</v>
      </c>
      <c r="F30" s="350">
        <f t="shared" si="1"/>
        <v>3007525.7574427649</v>
      </c>
      <c r="G30" s="350">
        <f>B30*C30*D30*$K$10*$E$13*$E$9*(1+$E$10)</f>
        <v>1160.7994151533478</v>
      </c>
      <c r="H30" s="350">
        <f t="shared" si="0"/>
        <v>168.43767737365013</v>
      </c>
      <c r="I30" s="121"/>
      <c r="P30" s="354"/>
      <c r="Q30" s="354"/>
      <c r="R30" s="354"/>
      <c r="S30" s="355"/>
      <c r="T30" s="355"/>
      <c r="U30" s="355"/>
    </row>
    <row r="31" spans="1:22">
      <c r="A31" s="136" t="s">
        <v>115</v>
      </c>
      <c r="B31" s="465">
        <f>'GEI Gral Combust'!G33</f>
        <v>4707.9391999999998</v>
      </c>
      <c r="C31" s="138">
        <f>'GEI Gral Combust'!F33*0.74</f>
        <v>114.7</v>
      </c>
      <c r="D31" s="466">
        <v>0.4</v>
      </c>
      <c r="E31" s="138" t="s">
        <v>642</v>
      </c>
      <c r="F31" s="467">
        <f t="shared" ref="F31:F34" si="3">B31*C31*D31*$K$9*$E$13*$E$9*(1+$E$10)</f>
        <v>67986.428736030415</v>
      </c>
      <c r="G31" s="467">
        <f t="shared" si="2"/>
        <v>26.24037600338016</v>
      </c>
      <c r="H31" s="467">
        <f t="shared" si="0"/>
        <v>3.8076070074834849</v>
      </c>
      <c r="I31" s="121"/>
      <c r="P31" s="354"/>
      <c r="Q31" s="354"/>
      <c r="R31" s="354"/>
      <c r="S31" s="355"/>
      <c r="T31" s="355"/>
      <c r="U31" s="355"/>
    </row>
    <row r="32" spans="1:22" ht="15">
      <c r="A32" s="136" t="s">
        <v>116</v>
      </c>
      <c r="B32" s="465">
        <f>'GEI Gral Combust'!G34</f>
        <v>4707.9391999999998</v>
      </c>
      <c r="C32" s="138">
        <f>'GEI Gral Combust'!F34*0.74</f>
        <v>62.9</v>
      </c>
      <c r="D32" s="466">
        <v>0.45</v>
      </c>
      <c r="E32" s="138" t="s">
        <v>640</v>
      </c>
      <c r="F32" s="467">
        <f t="shared" si="3"/>
        <v>41943.240308921981</v>
      </c>
      <c r="G32" s="467">
        <f t="shared" si="2"/>
        <v>16.188619066601468</v>
      </c>
      <c r="H32" s="467">
        <f t="shared" si="0"/>
        <v>2.3490478715523113</v>
      </c>
      <c r="I32" s="121"/>
      <c r="J32"/>
      <c r="K32"/>
      <c r="L32"/>
      <c r="M32"/>
      <c r="N32"/>
      <c r="P32" s="354"/>
      <c r="Q32" s="354"/>
      <c r="R32" s="354"/>
      <c r="S32" s="355"/>
      <c r="T32" s="355"/>
      <c r="U32" s="355"/>
    </row>
    <row r="33" spans="1:24" ht="15">
      <c r="A33" s="136" t="s">
        <v>111</v>
      </c>
      <c r="B33" s="137">
        <f>'GEI Gral Combust'!G35</f>
        <v>33120</v>
      </c>
      <c r="C33" s="138">
        <f>'GEI Gral Combust'!F35*0.74</f>
        <v>11.1</v>
      </c>
      <c r="D33" s="139">
        <v>0.5</v>
      </c>
      <c r="E33" s="138" t="s">
        <v>641</v>
      </c>
      <c r="F33" s="350">
        <f t="shared" si="3"/>
        <v>57856.38375809935</v>
      </c>
      <c r="G33" s="350">
        <f t="shared" si="2"/>
        <v>22.330534082073434</v>
      </c>
      <c r="H33" s="350">
        <f t="shared" si="0"/>
        <v>3.2402698056155503</v>
      </c>
      <c r="I33" s="121"/>
      <c r="J33"/>
      <c r="K33"/>
      <c r="L33"/>
      <c r="M33"/>
      <c r="N33"/>
      <c r="P33" s="354"/>
      <c r="Q33" s="354"/>
      <c r="R33" s="354"/>
      <c r="S33" s="355"/>
      <c r="T33" s="355"/>
      <c r="U33" s="355"/>
    </row>
    <row r="34" spans="1:24" ht="15.75" thickBot="1">
      <c r="A34" s="140" t="s">
        <v>112</v>
      </c>
      <c r="B34" s="465">
        <f>'GEI Gral Combust'!G36</f>
        <v>33120</v>
      </c>
      <c r="C34" s="138">
        <f>'GEI Gral Combust'!F36*0.74</f>
        <v>29.6</v>
      </c>
      <c r="D34" s="141">
        <v>0.5</v>
      </c>
      <c r="E34" s="138" t="s">
        <v>645</v>
      </c>
      <c r="F34" s="350">
        <f t="shared" si="3"/>
        <v>154283.69002159825</v>
      </c>
      <c r="G34" s="350">
        <f t="shared" si="2"/>
        <v>59.548090885529156</v>
      </c>
      <c r="H34" s="350">
        <f t="shared" si="0"/>
        <v>8.6407194816414687</v>
      </c>
      <c r="I34" s="121"/>
      <c r="J34"/>
      <c r="K34"/>
      <c r="L34"/>
      <c r="M34"/>
      <c r="N34"/>
      <c r="P34" s="354"/>
      <c r="Q34" s="354"/>
      <c r="R34" s="354"/>
      <c r="S34" s="355"/>
      <c r="T34" s="355"/>
      <c r="U34" s="355"/>
    </row>
    <row r="35" spans="1:24" ht="33" customHeight="1" thickBot="1">
      <c r="A35" s="909" t="s">
        <v>1136</v>
      </c>
      <c r="B35" s="910"/>
      <c r="C35" s="910"/>
      <c r="D35" s="910"/>
      <c r="E35" s="142" t="s">
        <v>708</v>
      </c>
      <c r="F35" s="143">
        <f>SUM(F23:F34)</f>
        <v>8725320.6554783322</v>
      </c>
      <c r="G35" s="143">
        <f t="shared" ref="G35:H35" si="4">SUM(G23:G34)</f>
        <v>3367.6676214126892</v>
      </c>
      <c r="H35" s="143">
        <f t="shared" si="4"/>
        <v>488.66505695323985</v>
      </c>
      <c r="I35" s="39"/>
      <c r="J35" s="39"/>
      <c r="K35" s="39"/>
      <c r="L35" s="120"/>
      <c r="M35" s="53"/>
      <c r="N35" s="53"/>
      <c r="O35" s="53"/>
      <c r="P35" s="53"/>
    </row>
    <row r="36" spans="1:24" ht="33" customHeight="1">
      <c r="A36" s="144"/>
      <c r="B36" s="33"/>
      <c r="C36" s="33"/>
      <c r="D36" s="33"/>
      <c r="E36" s="145"/>
      <c r="F36" s="146"/>
      <c r="G36" s="146"/>
      <c r="H36" s="146"/>
      <c r="I36" s="39"/>
      <c r="J36" s="39"/>
      <c r="K36" s="39"/>
      <c r="L36" s="120"/>
      <c r="M36" s="53"/>
      <c r="N36" s="53"/>
      <c r="O36" s="53"/>
      <c r="P36" s="53"/>
    </row>
    <row r="37" spans="1:24">
      <c r="C37" s="152"/>
      <c r="J37" s="384"/>
      <c r="K37" s="384"/>
      <c r="L37" s="384"/>
      <c r="M37" s="384"/>
      <c r="N37" s="384"/>
      <c r="O37" s="384"/>
      <c r="P37" s="384"/>
      <c r="Q37" s="106"/>
      <c r="R37" s="106"/>
      <c r="S37" s="35"/>
      <c r="T37" s="35"/>
      <c r="U37" s="35"/>
      <c r="V37" s="35"/>
      <c r="W37" s="35"/>
      <c r="X37" s="35"/>
    </row>
    <row r="38" spans="1:24">
      <c r="A38" s="53"/>
      <c r="B38" s="53"/>
      <c r="C38" s="152"/>
      <c r="D38" s="53"/>
      <c r="J38" s="384"/>
      <c r="K38" s="384"/>
      <c r="L38" s="384"/>
      <c r="M38" s="384"/>
      <c r="N38" s="384"/>
      <c r="O38" s="384"/>
      <c r="P38" s="384"/>
      <c r="Q38" s="106"/>
      <c r="R38" s="106"/>
      <c r="S38" s="35"/>
      <c r="T38" s="35"/>
      <c r="U38" s="35"/>
      <c r="V38" s="35"/>
      <c r="W38" s="35"/>
      <c r="X38" s="35"/>
    </row>
    <row r="39" spans="1:24">
      <c r="A39" s="397" t="s">
        <v>862</v>
      </c>
      <c r="B39" s="53"/>
      <c r="C39" s="53"/>
      <c r="D39" s="53"/>
      <c r="J39" s="53"/>
      <c r="K39" s="53"/>
      <c r="L39" s="53"/>
      <c r="M39" s="53"/>
      <c r="N39" s="53"/>
      <c r="O39" s="53"/>
      <c r="P39" s="53"/>
      <c r="Q39" s="53"/>
      <c r="R39" s="53"/>
    </row>
    <row r="40" spans="1:24">
      <c r="A40" s="904"/>
      <c r="B40" s="904"/>
      <c r="C40" s="904"/>
      <c r="D40" s="904"/>
      <c r="J40" s="53"/>
      <c r="K40" s="53"/>
      <c r="L40" s="53"/>
      <c r="M40" s="53"/>
      <c r="N40" s="53"/>
      <c r="O40" s="53"/>
      <c r="P40" s="53"/>
      <c r="Q40" s="53"/>
      <c r="R40" s="53"/>
    </row>
    <row r="41" spans="1:24">
      <c r="A41" s="904"/>
      <c r="B41" s="149"/>
      <c r="C41" s="123"/>
      <c r="D41" s="123"/>
      <c r="J41" s="382"/>
      <c r="K41" s="383"/>
      <c r="L41" s="383"/>
      <c r="M41" s="383"/>
      <c r="N41" s="383"/>
      <c r="O41" s="383"/>
      <c r="P41" s="383"/>
      <c r="Q41" s="53"/>
      <c r="R41" s="53"/>
    </row>
    <row r="42" spans="1:24">
      <c r="A42" s="30" t="s">
        <v>303</v>
      </c>
      <c r="B42" s="30" t="s">
        <v>667</v>
      </c>
      <c r="J42" s="384"/>
      <c r="K42" s="386"/>
      <c r="L42" s="386"/>
      <c r="M42" s="386"/>
      <c r="N42" s="384"/>
      <c r="O42" s="384"/>
      <c r="P42" s="384"/>
      <c r="Q42" s="53"/>
      <c r="R42" s="53"/>
    </row>
    <row r="43" spans="1:24">
      <c r="A43" s="367"/>
      <c r="B43" s="391" t="s">
        <v>859</v>
      </c>
      <c r="C43" s="367"/>
      <c r="D43" s="367"/>
      <c r="E43" s="367"/>
      <c r="F43" s="367"/>
      <c r="G43" s="367"/>
      <c r="H43" s="391"/>
      <c r="I43" s="55"/>
      <c r="J43" s="384"/>
      <c r="K43" s="384"/>
      <c r="L43" s="384"/>
      <c r="M43" s="384"/>
      <c r="N43" s="384"/>
      <c r="O43" s="384"/>
      <c r="P43" s="384"/>
      <c r="Q43" s="53"/>
      <c r="R43" s="53"/>
    </row>
    <row r="44" spans="1:24" ht="34.5" customHeight="1">
      <c r="A44" s="388" t="s">
        <v>649</v>
      </c>
      <c r="B44" s="148">
        <v>2011</v>
      </c>
      <c r="C44" s="148">
        <v>2012</v>
      </c>
      <c r="D44" s="148">
        <v>2013</v>
      </c>
      <c r="E44" s="148">
        <v>2014</v>
      </c>
      <c r="F44" s="148">
        <v>2015</v>
      </c>
      <c r="G44" s="148">
        <v>2016</v>
      </c>
      <c r="H44" s="390" t="s">
        <v>1138</v>
      </c>
      <c r="I44" s="145"/>
      <c r="J44" s="384"/>
      <c r="K44" s="384"/>
      <c r="L44" s="384"/>
      <c r="M44" s="384"/>
      <c r="N44" s="384"/>
      <c r="O44" s="384"/>
      <c r="P44" s="384"/>
      <c r="Q44" s="53"/>
      <c r="R44" s="53"/>
    </row>
    <row r="45" spans="1:24">
      <c r="A45" s="147" t="s">
        <v>842</v>
      </c>
      <c r="B45" s="150">
        <f>'Combust Fija HRSaño'!L24*'Combust Fija Cálc'!$C$23*'Combust Fija Cálc'!$D$23*'Combust Fija Cálc'!$K$9*'Combust Fija Cálc'!$E$13*'Combust Fija Cálc'!$E$9*(1+'Combust Fija Cálc'!$E$10)</f>
        <v>418.08457667386597</v>
      </c>
      <c r="C45" s="150">
        <f>'Combust Fija HRSaño'!M24*'Combust Fija Cálc'!$C$23*'Combust Fija Cálc'!$D$23*'Combust Fija Cálc'!$K$9*'Combust Fija Cálc'!$E$13*'Combust Fija Cálc'!$E$9*(1+'Combust Fija Cálc'!$E$10)</f>
        <v>1065.1257766738656</v>
      </c>
      <c r="D45" s="150">
        <f>'Combust Fija HRSaño'!N24*'Combust Fija Cálc'!$C$23*'Combust Fija Cálc'!$D$23*'Combust Fija Cálc'!$K$9*'Combust Fija Cálc'!$E$13*'Combust Fija Cálc'!$E$9*(1+'Combust Fija Cálc'!$E$10)</f>
        <v>871.22304125269943</v>
      </c>
      <c r="E45" s="150">
        <f>'Combust Fija HRSaño'!O24*'Combust Fija Cálc'!$C$23*'Combust Fija Cálc'!$D$23*'Combust Fija Cálc'!$K$9*'Combust Fija Cálc'!$E$13*'Combust Fija Cálc'!$E$9*(1+'Combust Fija Cálc'!$E$10)</f>
        <v>0</v>
      </c>
      <c r="F45" s="150">
        <f>'Combust Fija HRSaño'!P24*'Combust Fija Cálc'!$C$23*'Combust Fija Cálc'!$D$23*'Combust Fija Cálc'!$K$9*'Combust Fija Cálc'!$E$13*'Combust Fija Cálc'!$E$9*(1+'Combust Fija Cálc'!$E$10)</f>
        <v>0</v>
      </c>
      <c r="G45" s="351">
        <f>'Combust Fija HRSaño'!Q24*'Combust Fija Cálc'!$C$23*'Combust Fija Cálc'!$D$23*'Combust Fija Cálc'!$K$9*'Combust Fija Cálc'!$E$13*'Combust Fija Cálc'!$E$9*(1+'Combust Fija Cálc'!$E$10)</f>
        <v>0</v>
      </c>
      <c r="H45" s="393">
        <f>SUM(B45:G45)/1000</f>
        <v>2.3544333946004308</v>
      </c>
      <c r="I45" s="361"/>
      <c r="J45" s="384"/>
      <c r="K45" s="384"/>
      <c r="L45" s="384"/>
      <c r="M45" s="384"/>
      <c r="N45" s="384"/>
      <c r="O45" s="384"/>
      <c r="P45" s="384"/>
      <c r="Q45" s="53"/>
      <c r="R45" s="53"/>
    </row>
    <row r="46" spans="1:24">
      <c r="A46" s="147" t="s">
        <v>858</v>
      </c>
      <c r="B46" s="150">
        <f>'Combust Fija HRSaño'!L24*'Combust Fija Cálc'!$C$23*'Combust Fija Cálc'!$D$23*'Combust Fija Cálc'!$K$10*'Combust Fija Cálc'!$E$13*'Combust Fija Cálc'!$E$9*(1+'Combust Fija Cálc'!$E$10)</f>
        <v>0.16136597696184299</v>
      </c>
      <c r="C46" s="150">
        <f>'Combust Fija HRSaño'!M24*'Combust Fija Cálc'!$C$23*'Combust Fija Cálc'!$D$23*'Combust Fija Cálc'!$K$10*'Combust Fija Cálc'!$E$13*'Combust Fija Cálc'!$E$9*(1+'Combust Fija Cálc'!$E$10)</f>
        <v>0.4111011769618429</v>
      </c>
      <c r="D46" s="150">
        <f>'Combust Fija HRSaño'!N24*'Combust Fija Cálc'!$C$23*'Combust Fija Cálc'!$D$23*'Combust Fija Cálc'!$K$10*'Combust Fija Cálc'!$E$13*'Combust Fija Cálc'!$E$9*(1+'Combust Fija Cálc'!$E$10)</f>
        <v>0.33626152469402437</v>
      </c>
      <c r="E46" s="150">
        <f>'Combust Fija HRSaño'!O24*'Combust Fija Cálc'!$C$23*'Combust Fija Cálc'!$D$23*'Combust Fija Cálc'!$K$10*'Combust Fija Cálc'!$E$13*'Combust Fija Cálc'!$E$9*(1+'Combust Fija Cálc'!$E$10)</f>
        <v>0</v>
      </c>
      <c r="F46" s="150">
        <f>'Combust Fija HRSaño'!P24*'Combust Fija Cálc'!$C$23*'Combust Fija Cálc'!$D$23*'Combust Fija Cálc'!$K$10*'Combust Fija Cálc'!$E$13*'Combust Fija Cálc'!$E$9*(1+'Combust Fija Cálc'!$E$10)</f>
        <v>0</v>
      </c>
      <c r="G46" s="351">
        <f>'Combust Fija HRSaño'!Q24*'Combust Fija Cálc'!$C$23*'Combust Fija Cálc'!$D$23*'Combust Fija Cálc'!$K$10*'Combust Fija Cálc'!$E$13*'Combust Fija Cálc'!$E$9*(1+'Combust Fija Cálc'!$E$10)</f>
        <v>0</v>
      </c>
      <c r="H46" s="651">
        <f t="shared" ref="H46" si="5">SUM(B46:G46)/1000</f>
        <v>9.0872867861771023E-4</v>
      </c>
      <c r="I46" s="361"/>
      <c r="J46" s="384"/>
      <c r="K46" s="384"/>
      <c r="L46" s="384"/>
      <c r="M46" s="384"/>
      <c r="N46" s="384"/>
      <c r="O46" s="384"/>
      <c r="P46" s="385"/>
      <c r="Q46" s="53"/>
      <c r="R46" s="53"/>
    </row>
    <row r="47" spans="1:24" ht="12.75" thickBot="1">
      <c r="A47" s="147" t="s">
        <v>857</v>
      </c>
      <c r="B47" s="652">
        <f>'Combust Fija HRSaño'!L24*'Combust Fija Cálc'!$C$23*'Combust Fija Cálc'!$D$23*'Combust Fija Cálc'!$K$11*'Combust Fija Cálc'!$E$13*'Combust Fija Cálc'!$E$9*(1+'Combust Fija Cálc'!$E$10)</f>
        <v>2.341499316054715E-2</v>
      </c>
      <c r="C47" s="653">
        <f>'Combust Fija HRSaño'!M24*'Combust Fija Cálc'!$C$23*'Combust Fija Cálc'!$D$23*'Combust Fija Cálc'!$K$11*'Combust Fija Cálc'!$E$13*'Combust Fija Cálc'!$E$9*(1+'Combust Fija Cálc'!$E$10)</f>
        <v>5.9652793160547134E-2</v>
      </c>
      <c r="D47" s="653">
        <f>'Combust Fija HRSaño'!N24*'Combust Fija Cálc'!$C$23*'Combust Fija Cálc'!$D$23*'Combust Fija Cálc'!$K$11*'Combust Fija Cálc'!$E$13*'Combust Fija Cálc'!$E$9*(1+'Combust Fija Cálc'!$E$10)</f>
        <v>4.8793193268538509E-2</v>
      </c>
      <c r="E47" s="653">
        <f>'Combust Fija HRSaño'!O24*'Combust Fija Cálc'!$C$23*'Combust Fija Cálc'!$D$23*'Combust Fija Cálc'!$K$11*'Combust Fija Cálc'!$E$13*'Combust Fija Cálc'!$E$9*(1+'Combust Fija Cálc'!$E$10)</f>
        <v>0</v>
      </c>
      <c r="F47" s="653">
        <f>'Combust Fija HRSaño'!P24*'Combust Fija Cálc'!$C$23*'Combust Fija Cálc'!$D$23*'Combust Fija Cálc'!$K$11*'Combust Fija Cálc'!$E$13*'Combust Fija Cálc'!$E$9*(1+'Combust Fija Cálc'!$E$10)</f>
        <v>0</v>
      </c>
      <c r="G47" s="654">
        <f>'Combust Fija HRSaño'!Q24*'Combust Fija Cálc'!$C$23*'Combust Fija Cálc'!$D$23*'Combust Fija Cálc'!$K$11*'Combust Fija Cálc'!$E$13*'Combust Fija Cálc'!$E$9*(1+'Combust Fija Cálc'!$E$10)</f>
        <v>0</v>
      </c>
      <c r="H47" s="655">
        <f>SUM(B47:G47)/1000</f>
        <v>1.3186097958963277E-4</v>
      </c>
      <c r="I47" s="361"/>
      <c r="J47" s="384"/>
      <c r="K47" s="384"/>
      <c r="L47" s="384"/>
      <c r="M47" s="384"/>
      <c r="N47" s="384"/>
      <c r="O47" s="384"/>
      <c r="P47" s="384"/>
      <c r="Q47" s="53"/>
      <c r="R47" s="53"/>
    </row>
    <row r="48" spans="1:24" ht="12.75" thickBot="1">
      <c r="A48" s="151" t="s">
        <v>1137</v>
      </c>
      <c r="B48" s="153">
        <f>(B45+(B46*'GEI Gral Combust'!$C$13)+('Combust Fija Cálc'!B47*'GEI Gral Combust'!$D$13))/1000</f>
        <v>0.46859974438840879</v>
      </c>
      <c r="C48" s="153">
        <f>(C45+(C46*'GEI Gral Combust'!$C$13)+('Combust Fija Cálc'!C47*'GEI Gral Combust'!$D$13))/1000</f>
        <v>1.1938198501884083</v>
      </c>
      <c r="D48" s="153">
        <f>(D45+(D46*'GEI Gral Combust'!$C$13)+('Combust Fija Cálc'!D47*'GEI Gral Combust'!$D$13))/1000</f>
        <v>0.97648877096648634</v>
      </c>
      <c r="E48" s="153">
        <f>(E45+(E46*'GEI Gral Combust'!$C$13)+('Combust Fija Cálc'!E47*'GEI Gral Combust'!$D$13))/1000</f>
        <v>0</v>
      </c>
      <c r="F48" s="153">
        <f>(F45+(F46*'GEI Gral Combust'!$C$13)+('Combust Fija Cálc'!F47*'GEI Gral Combust'!$D$13))/1000</f>
        <v>0</v>
      </c>
      <c r="G48" s="392">
        <f>(G45+(G46*'GEI Gral Combust'!$C$13)+('Combust Fija Cálc'!G47*'GEI Gral Combust'!$D$13))/1000</f>
        <v>0</v>
      </c>
      <c r="H48" s="396">
        <f>SUM(B48:G48)</f>
        <v>2.6389083655433034</v>
      </c>
      <c r="I48" s="362"/>
      <c r="J48" s="53"/>
      <c r="K48" s="53"/>
      <c r="L48" s="53"/>
      <c r="M48" s="53"/>
      <c r="N48" s="53"/>
      <c r="O48" s="53"/>
      <c r="P48" s="53"/>
      <c r="Q48" s="53"/>
      <c r="R48" s="53"/>
    </row>
    <row r="49" spans="1:18">
      <c r="J49" s="382"/>
      <c r="K49" s="383"/>
      <c r="L49" s="383"/>
      <c r="M49" s="383"/>
      <c r="N49" s="383"/>
      <c r="O49" s="383"/>
      <c r="P49" s="383"/>
      <c r="Q49" s="53"/>
      <c r="R49" s="53"/>
    </row>
    <row r="50" spans="1:18">
      <c r="J50" s="382"/>
      <c r="K50" s="383"/>
      <c r="L50" s="383"/>
      <c r="M50" s="383"/>
      <c r="N50" s="383"/>
      <c r="O50" s="383"/>
      <c r="P50" s="383"/>
      <c r="Q50" s="53"/>
      <c r="R50" s="53"/>
    </row>
    <row r="51" spans="1:18">
      <c r="J51" s="384"/>
      <c r="K51" s="386"/>
      <c r="L51" s="386"/>
      <c r="M51" s="386"/>
      <c r="N51" s="384"/>
      <c r="O51" s="384"/>
      <c r="P51" s="384"/>
      <c r="Q51" s="355"/>
      <c r="R51" s="53"/>
    </row>
    <row r="52" spans="1:18">
      <c r="A52" s="30" t="s">
        <v>864</v>
      </c>
      <c r="B52" s="30" t="s">
        <v>104</v>
      </c>
      <c r="J52" s="384"/>
      <c r="K52" s="384"/>
      <c r="L52" s="384"/>
      <c r="M52" s="384"/>
      <c r="N52" s="384"/>
      <c r="O52" s="384"/>
      <c r="P52" s="384"/>
      <c r="Q52" s="355"/>
      <c r="R52" s="53"/>
    </row>
    <row r="53" spans="1:18">
      <c r="A53" s="367"/>
      <c r="B53" s="391" t="s">
        <v>859</v>
      </c>
      <c r="C53" s="367"/>
      <c r="D53" s="367"/>
      <c r="E53" s="367"/>
      <c r="F53" s="367"/>
      <c r="G53" s="367"/>
      <c r="H53" s="391"/>
      <c r="J53" s="384"/>
      <c r="K53" s="384"/>
      <c r="L53" s="384"/>
      <c r="M53" s="384"/>
      <c r="N53" s="384"/>
      <c r="O53" s="384"/>
      <c r="P53" s="384"/>
      <c r="Q53" s="355"/>
      <c r="R53" s="53"/>
    </row>
    <row r="54" spans="1:18" ht="24">
      <c r="A54" s="388" t="s">
        <v>649</v>
      </c>
      <c r="B54" s="148">
        <v>2011</v>
      </c>
      <c r="C54" s="148">
        <v>2012</v>
      </c>
      <c r="D54" s="148">
        <v>2013</v>
      </c>
      <c r="E54" s="148">
        <v>2014</v>
      </c>
      <c r="F54" s="148">
        <v>2015</v>
      </c>
      <c r="G54" s="148">
        <v>2016</v>
      </c>
      <c r="H54" s="390" t="s">
        <v>1138</v>
      </c>
      <c r="J54" s="384"/>
      <c r="K54" s="384"/>
      <c r="L54" s="384"/>
      <c r="M54" s="384"/>
      <c r="N54" s="384"/>
      <c r="O54" s="384"/>
      <c r="P54" s="384"/>
      <c r="Q54" s="355"/>
      <c r="R54" s="53"/>
    </row>
    <row r="55" spans="1:18">
      <c r="A55" s="147" t="s">
        <v>842</v>
      </c>
      <c r="B55" s="150">
        <f>'Combust Fija HRSaño'!M50*'Combust Fija Cálc'!$C$24*'Combust Fija Cálc'!$D$24*'Combust Fija Cálc'!$K$9*'Combust Fija Cálc'!$E$13*'Combust Fija Cálc'!$E$9*(1+'Combust Fija Cálc'!$E$10)</f>
        <v>2933.5795226781856</v>
      </c>
      <c r="C55" s="150">
        <f>'Combust Fija HRSaño'!N50*'Combust Fija Cálc'!$C$24*'Combust Fija Cálc'!$D$24*'Combust Fija Cálc'!$K$9*'Combust Fija Cálc'!$E$13*'Combust Fija Cálc'!$E$9*(1+'Combust Fija Cálc'!$E$10)</f>
        <v>166910.83413099346</v>
      </c>
      <c r="D55" s="150">
        <f>'Combust Fija HRSaño'!O50*'Combust Fija Cálc'!$C$24*'Combust Fija Cálc'!$D$24*'Combust Fija Cálc'!$K$9*'Combust Fija Cálc'!$E$13*'Combust Fija Cálc'!$E$9*(1+'Combust Fija Cálc'!$E$10)</f>
        <v>370379.78720723541</v>
      </c>
      <c r="E55" s="150">
        <f>'Combust Fija HRSaño'!P50*'Combust Fija Cálc'!$C$24*'Combust Fija Cálc'!$D$24*'Combust Fija Cálc'!$K$9*'Combust Fija Cálc'!$E$13*'Combust Fija Cálc'!$E$9*(1+'Combust Fija Cálc'!$E$10)</f>
        <v>0</v>
      </c>
      <c r="F55" s="150">
        <f>'Combust Fija HRSaño'!Q50*'Combust Fija Cálc'!$C$24*'Combust Fija Cálc'!$D$24*'Combust Fija Cálc'!$K$9*'Combust Fija Cálc'!$E$13*'Combust Fija Cálc'!$E$9*(1+'Combust Fija Cálc'!$E$10)</f>
        <v>0</v>
      </c>
      <c r="G55" s="150">
        <f>'Combust Fija HRSaño'!R50*'Combust Fija Cálc'!$C$24*'Combust Fija Cálc'!$D$24*'Combust Fija Cálc'!$K$9*'Combust Fija Cálc'!$E$13*'Combust Fija Cálc'!$E$9*(1+'Combust Fija Cálc'!$E$10)</f>
        <v>0</v>
      </c>
      <c r="H55" s="393">
        <f>SUM(B55:G55)/1000</f>
        <v>540.2242008609071</v>
      </c>
      <c r="J55" s="384"/>
      <c r="K55" s="384"/>
      <c r="L55" s="384"/>
      <c r="M55" s="384"/>
      <c r="N55" s="384"/>
      <c r="O55" s="384"/>
      <c r="P55" s="385"/>
      <c r="Q55" s="355"/>
      <c r="R55" s="53"/>
    </row>
    <row r="56" spans="1:18">
      <c r="A56" s="147" t="s">
        <v>858</v>
      </c>
      <c r="B56" s="150">
        <f>'Combust Fija HRSaño'!M50*'Combust Fija Cálc'!$C$24*'Combust Fija Cálc'!$D$24*'Combust Fija Cálc'!$K$10*'Combust Fija Cálc'!$E$13*'Combust Fija Cálc'!$E$9*(1+'Combust Fija Cálc'!$E$10)</f>
        <v>1.1322587631389489</v>
      </c>
      <c r="C56" s="150">
        <f>'Combust Fija HRSaño'!N50*'Combust Fija Cálc'!$C$24*'Combust Fija Cálc'!$D$24*'Combust Fija Cálc'!$K$10*'Combust Fija Cálc'!$E$13*'Combust Fija Cálc'!$E$9*(1+'Combust Fija Cálc'!$E$10)</f>
        <v>64.421725454067669</v>
      </c>
      <c r="D56" s="150">
        <f>'Combust Fija HRSaño'!O50*'Combust Fija Cálc'!$C$24*'Combust Fija Cálc'!$D$24*'Combust Fija Cálc'!$K$10*'Combust Fija Cálc'!$E$13*'Combust Fija Cálc'!$E$9*(1+'Combust Fija Cálc'!$E$10)</f>
        <v>142.95360207998561</v>
      </c>
      <c r="E56" s="150">
        <f>'Combust Fija HRSaño'!P50*'Combust Fija Cálc'!$C$24*'Combust Fija Cálc'!$D$24*'Combust Fija Cálc'!$K$10*'Combust Fija Cálc'!$E$13*'Combust Fija Cálc'!$E$9*(1+'Combust Fija Cálc'!$E$10)</f>
        <v>0</v>
      </c>
      <c r="F56" s="150">
        <f>'Combust Fija HRSaño'!Q50*'Combust Fija Cálc'!$C$24*'Combust Fija Cálc'!$D$24*'Combust Fija Cálc'!$K$10*'Combust Fija Cálc'!$E$13*'Combust Fija Cálc'!$E$9*(1+'Combust Fija Cálc'!$E$10)</f>
        <v>0</v>
      </c>
      <c r="G56" s="150">
        <f>'Combust Fija HRSaño'!R50*'Combust Fija Cálc'!$C$24*'Combust Fija Cálc'!$D$24*'Combust Fija Cálc'!$K$10*'Combust Fija Cálc'!$E$13*'Combust Fija Cálc'!$E$9*(1+'Combust Fija Cálc'!$E$10)</f>
        <v>0</v>
      </c>
      <c r="H56" s="651">
        <f t="shared" ref="H56" si="6">SUM(B56:G56)/1000</f>
        <v>0.20850758629719224</v>
      </c>
      <c r="J56" s="384"/>
      <c r="K56" s="384"/>
      <c r="L56" s="384"/>
      <c r="M56" s="384"/>
      <c r="N56" s="384"/>
      <c r="O56" s="384"/>
      <c r="P56" s="384"/>
      <c r="Q56" s="355"/>
      <c r="R56" s="53"/>
    </row>
    <row r="57" spans="1:18" ht="12.75" thickBot="1">
      <c r="A57" s="147" t="s">
        <v>857</v>
      </c>
      <c r="B57" s="652">
        <f>'Combust Fija HRSaño'!M50*'Combust Fija Cálc'!$C$24*'Combust Fija Cálc'!$D$24*'Combust Fija Cálc'!$K$11*'Combust Fija Cálc'!$E$13*'Combust Fija Cálc'!$E$9*(1+'Combust Fija Cálc'!$E$10)</f>
        <v>0.16429628905687546</v>
      </c>
      <c r="C57" s="652">
        <f>'Combust Fija HRSaño'!N50*'Combust Fija Cálc'!$C$24*'Combust Fija Cálc'!$D$24*'Combust Fija Cálc'!$K$11*'Combust Fija Cálc'!$E$13*'Combust Fija Cálc'!$E$9*(1+'Combust Fija Cálc'!$E$10)</f>
        <v>9.3479077144888389</v>
      </c>
      <c r="D57" s="652">
        <f>'Combust Fija HRSaño'!O50*'Combust Fija Cálc'!$C$24*'Combust Fija Cálc'!$D$24*'Combust Fija Cálc'!$K$11*'Combust Fija Cálc'!$E$13*'Combust Fija Cálc'!$E$9*(1+'Combust Fija Cálc'!$E$10)</f>
        <v>20.743267434683229</v>
      </c>
      <c r="E57" s="652">
        <f>'Combust Fija HRSaño'!P50*'Combust Fija Cálc'!$C$24*'Combust Fija Cálc'!$D$24*'Combust Fija Cálc'!$K$11*'Combust Fija Cálc'!$E$13*'Combust Fija Cálc'!$E$9*(1+'Combust Fija Cálc'!$E$10)</f>
        <v>0</v>
      </c>
      <c r="F57" s="652">
        <f>'Combust Fija HRSaño'!Q50*'Combust Fija Cálc'!$C$24*'Combust Fija Cálc'!$D$24*'Combust Fija Cálc'!$K$11*'Combust Fija Cálc'!$E$13*'Combust Fija Cálc'!$E$9*(1+'Combust Fija Cálc'!$E$10)</f>
        <v>0</v>
      </c>
      <c r="G57" s="652">
        <f>'Combust Fija HRSaño'!R50*'Combust Fija Cálc'!$C$24*'Combust Fija Cálc'!$D$24*'Combust Fija Cálc'!$K$11*'Combust Fija Cálc'!$E$13*'Combust Fija Cálc'!$E$9*(1+'Combust Fija Cálc'!$E$10)</f>
        <v>0</v>
      </c>
      <c r="H57" s="655">
        <f>SUM(B57:G57)/1000</f>
        <v>3.0255471438228945E-2</v>
      </c>
      <c r="J57" s="384"/>
      <c r="K57" s="384"/>
      <c r="L57" s="384"/>
      <c r="M57" s="384"/>
      <c r="N57" s="384"/>
      <c r="O57" s="384"/>
      <c r="P57" s="384"/>
      <c r="Q57" s="355"/>
      <c r="R57" s="53"/>
    </row>
    <row r="58" spans="1:18" ht="12.75" thickBot="1">
      <c r="A58" s="151" t="s">
        <v>1137</v>
      </c>
      <c r="B58" s="153">
        <f>(B55+(B56*'GEI Gral Combust'!$C$13)+('Combust Fija Cálc'!B57*'GEI Gral Combust'!$D$13))/1000</f>
        <v>3.2880299613214543</v>
      </c>
      <c r="C58" s="153">
        <f>(C55+(C56*'GEI Gral Combust'!$C$13)+('Combust Fija Cálc'!C57*'GEI Gral Combust'!$D$13))/1000</f>
        <v>187.0778750837587</v>
      </c>
      <c r="D58" s="153">
        <f>(D55+(D56*'GEI Gral Combust'!$C$13)+('Combust Fija Cálc'!D57*'GEI Gral Combust'!$D$13))/1000</f>
        <v>415.13101246815927</v>
      </c>
      <c r="E58" s="153">
        <f>(E55+(E56*'GEI Gral Combust'!$C$13)+('Combust Fija Cálc'!E57*'GEI Gral Combust'!$D$13))/1000</f>
        <v>0</v>
      </c>
      <c r="F58" s="153">
        <f>(F55+(F56*'GEI Gral Combust'!$C$13)+('Combust Fija Cálc'!F57*'GEI Gral Combust'!$D$13))/1000</f>
        <v>0</v>
      </c>
      <c r="G58" s="392">
        <f>(G55+(G56*'GEI Gral Combust'!$C$13)+('Combust Fija Cálc'!G57*'GEI Gral Combust'!$D$13))/1000</f>
        <v>0</v>
      </c>
      <c r="H58" s="396">
        <f>SUM(B58:G58)</f>
        <v>605.4969175132394</v>
      </c>
      <c r="J58" s="53"/>
      <c r="K58" s="387"/>
      <c r="L58" s="387"/>
      <c r="M58" s="387"/>
      <c r="N58" s="387"/>
      <c r="O58" s="387"/>
      <c r="P58" s="387"/>
      <c r="Q58" s="53"/>
      <c r="R58" s="53"/>
    </row>
    <row r="59" spans="1:18">
      <c r="J59" s="53"/>
      <c r="K59" s="53"/>
      <c r="L59" s="53"/>
      <c r="M59" s="53"/>
      <c r="N59" s="53"/>
      <c r="O59" s="53"/>
      <c r="P59" s="53"/>
      <c r="Q59" s="53"/>
      <c r="R59" s="53"/>
    </row>
    <row r="60" spans="1:18">
      <c r="J60" s="53"/>
      <c r="K60" s="53"/>
      <c r="L60" s="53"/>
      <c r="M60" s="53"/>
      <c r="N60" s="53"/>
      <c r="O60" s="53"/>
      <c r="P60" s="53"/>
      <c r="Q60" s="53"/>
      <c r="R60" s="53"/>
    </row>
    <row r="61" spans="1:18">
      <c r="J61" s="53"/>
      <c r="K61" s="53"/>
      <c r="L61" s="53"/>
      <c r="M61" s="53"/>
      <c r="N61" s="53"/>
      <c r="O61" s="53"/>
      <c r="P61" s="53"/>
      <c r="Q61" s="53"/>
      <c r="R61" s="53"/>
    </row>
    <row r="62" spans="1:18">
      <c r="A62" s="30" t="s">
        <v>893</v>
      </c>
      <c r="B62" s="30" t="s">
        <v>841</v>
      </c>
      <c r="J62" s="30" t="s">
        <v>893</v>
      </c>
      <c r="K62" s="30" t="s">
        <v>668</v>
      </c>
    </row>
    <row r="63" spans="1:18">
      <c r="A63" s="367"/>
      <c r="B63" s="391" t="s">
        <v>859</v>
      </c>
      <c r="C63" s="367"/>
      <c r="D63" s="367"/>
      <c r="E63" s="367"/>
      <c r="F63" s="367"/>
      <c r="G63" s="367"/>
      <c r="H63" s="391"/>
      <c r="J63" s="367"/>
      <c r="K63" s="391" t="s">
        <v>859</v>
      </c>
      <c r="L63" s="367"/>
      <c r="M63" s="367"/>
      <c r="N63" s="367"/>
      <c r="O63" s="367"/>
      <c r="P63" s="367"/>
      <c r="Q63" s="391"/>
    </row>
    <row r="64" spans="1:18" ht="48">
      <c r="A64" s="388" t="s">
        <v>649</v>
      </c>
      <c r="B64" s="148">
        <v>2011</v>
      </c>
      <c r="C64" s="148">
        <v>2012</v>
      </c>
      <c r="D64" s="148">
        <v>2013</v>
      </c>
      <c r="E64" s="148">
        <v>2014</v>
      </c>
      <c r="F64" s="148">
        <v>2015</v>
      </c>
      <c r="G64" s="148">
        <v>2016</v>
      </c>
      <c r="H64" s="390" t="s">
        <v>1138</v>
      </c>
      <c r="J64" s="388" t="s">
        <v>649</v>
      </c>
      <c r="K64" s="148">
        <v>2011</v>
      </c>
      <c r="L64" s="148">
        <v>2012</v>
      </c>
      <c r="M64" s="148">
        <v>2013</v>
      </c>
      <c r="N64" s="148">
        <v>2014</v>
      </c>
      <c r="O64" s="148">
        <v>2015</v>
      </c>
      <c r="P64" s="148">
        <v>2016</v>
      </c>
      <c r="Q64" s="390" t="s">
        <v>1138</v>
      </c>
    </row>
    <row r="65" spans="1:17">
      <c r="A65" s="147" t="s">
        <v>842</v>
      </c>
      <c r="B65" s="150">
        <f>'Combust Fija HRSaño'!M126*'Combust Fija Cálc'!$C$25*'Combust Fija Cálc'!$D$25*'Combust Fija Cálc'!$K$9*'Combust Fija Cálc'!$E$13*'Combust Fija Cálc'!$E$9*(1+'Combust Fija Cálc'!$E$10)</f>
        <v>8925.3412496510155</v>
      </c>
      <c r="C65" s="150">
        <f>'Combust Fija HRSaño'!N126*'Combust Fija Cálc'!$C$25*'Combust Fija Cálc'!$D$25*'Combust Fija Cálc'!$K$9*'Combust Fija Cálc'!$E$13*'Combust Fija Cálc'!$E$9*(1+'Combust Fija Cálc'!$E$10)</f>
        <v>121708.80253620926</v>
      </c>
      <c r="D65" s="150">
        <f>'Combust Fija HRSaño'!O126*'Combust Fija Cálc'!$C$25*'Combust Fija Cálc'!$D$25*'Combust Fija Cálc'!$K$9*'Combust Fija Cálc'!$E$13*'Combust Fija Cálc'!$E$9*(1+'Combust Fija Cálc'!$E$10)</f>
        <v>791745.66466728307</v>
      </c>
      <c r="E65" s="150">
        <f>'Combust Fija HRSaño'!P126*'Combust Fija Cálc'!$C$25*'Combust Fija Cálc'!$D$25*'Combust Fija Cálc'!$K$9*'Combust Fija Cálc'!$E$13*'Combust Fija Cálc'!$E$9*(1+'Combust Fija Cálc'!$E$10)</f>
        <v>600853.85952093499</v>
      </c>
      <c r="F65" s="150">
        <f>'Combust Fija HRSaño'!Q126*'Combust Fija Cálc'!$C$25*'Combust Fija Cálc'!$D$25*'Combust Fija Cálc'!$K$9*'Combust Fija Cálc'!$E$13*'Combust Fija Cálc'!$E$9*(1+'Combust Fija Cálc'!$E$10)</f>
        <v>610280.80924750445</v>
      </c>
      <c r="G65" s="150">
        <f>'Combust Fija HRSaño'!R126*'Combust Fija Cálc'!$C$25*'Combust Fija Cálc'!$D$25*'Combust Fija Cálc'!$K$9*'Combust Fija Cálc'!$E$13*'Combust Fija Cálc'!$E$9*(1+'Combust Fija Cálc'!$E$10)</f>
        <v>40081.435989202495</v>
      </c>
      <c r="H65" s="393">
        <f>SUM(B65:G65)/1000</f>
        <v>2173.5959132107855</v>
      </c>
      <c r="J65" s="147" t="s">
        <v>842</v>
      </c>
      <c r="K65" s="150">
        <f>'Combust Fija HRSaño'!M127*'Combust Fija Cálc'!$C$26*'Combust Fija Cálc'!$D$26*'Combust Fija Cálc'!$K$9*'Combust Fija Cálc'!$E$13*'Combust Fija Cálc'!$E$9*(1+'Combust Fija Cálc'!$E$10)</f>
        <v>4819.6842748115496</v>
      </c>
      <c r="L65" s="150">
        <f>'Combust Fija HRSaño'!N127*'Combust Fija Cálc'!$C$26*'Combust Fija Cálc'!$D$26*'Combust Fija Cálc'!$K$9*'Combust Fija Cálc'!$E$13*'Combust Fija Cálc'!$E$9*(1+'Combust Fija Cálc'!$E$10)</f>
        <v>65722.753369552986</v>
      </c>
      <c r="M65" s="150">
        <f>'Combust Fija HRSaño'!O127*'Combust Fija Cálc'!$C$26*'Combust Fija Cálc'!$D$26*'Combust Fija Cálc'!$K$9*'Combust Fija Cálc'!$E$13*'Combust Fija Cálc'!$E$9*(1+'Combust Fija Cálc'!$E$10)</f>
        <v>427542.65892033291</v>
      </c>
      <c r="N65" s="150">
        <f>'Combust Fija HRSaño'!P127*'Combust Fija Cálc'!$C$26*'Combust Fija Cálc'!$D$26*'Combust Fija Cálc'!$K$9*'Combust Fija Cálc'!$E$13*'Combust Fija Cálc'!$E$9*(1+'Combust Fija Cálc'!$E$10)</f>
        <v>324461.08414130483</v>
      </c>
      <c r="O65" s="150">
        <f>'Combust Fija HRSaño'!Q127*'Combust Fija Cálc'!$C$26*'Combust Fija Cálc'!$D$26*'Combust Fija Cálc'!$K$9*'Combust Fija Cálc'!$E$13*'Combust Fija Cálc'!$E$9*(1+'Combust Fija Cálc'!$E$10)</f>
        <v>329551.63699365233</v>
      </c>
      <c r="P65" s="150">
        <f>'Combust Fija HRSaño'!R127*'Combust Fija Cálc'!$C$26*'Combust Fija Cálc'!$D$26*'Combust Fija Cálc'!$K$9*'Combust Fija Cálc'!$E$13*'Combust Fija Cálc'!$E$9*(1+'Combust Fija Cálc'!$E$10)</f>
        <v>21643.975434169344</v>
      </c>
      <c r="Q65" s="393">
        <f>SUM(K65:P65)/1000</f>
        <v>1173.7417931338239</v>
      </c>
    </row>
    <row r="66" spans="1:17">
      <c r="A66" s="147" t="s">
        <v>858</v>
      </c>
      <c r="B66" s="150">
        <f>'Combust Fija HRSaño'!M126*'Combust Fija Cálc'!$C$25*'Combust Fija Cálc'!$D$25*'Combust Fija Cálc'!$K$10*'Combust Fija Cálc'!$E$13*'Combust Fija Cálc'!$E$9*(1+'Combust Fija Cálc'!$E$10)</f>
        <v>3.444868552496883</v>
      </c>
      <c r="C66" s="150">
        <f>'Combust Fija HRSaño'!N126*'Combust Fija Cálc'!$C$25*'Combust Fija Cálc'!$D$25*'Combust Fija Cálc'!$K$10*'Combust Fija Cálc'!$E$13*'Combust Fija Cálc'!$E$9*(1+'Combust Fija Cálc'!$E$10)</f>
        <v>46.975327294677257</v>
      </c>
      <c r="D66" s="150">
        <f>'Combust Fija HRSaño'!O126*'Combust Fija Cálc'!$C$25*'Combust Fija Cálc'!$D$25*'Combust Fija Cálc'!$K$10*'Combust Fija Cálc'!$E$13*'Combust Fija Cálc'!$E$9*(1+'Combust Fija Cálc'!$E$10)</f>
        <v>305.58604601193389</v>
      </c>
      <c r="E66" s="150">
        <f>'Combust Fija HRSaño'!P126*'Combust Fija Cálc'!$C$25*'Combust Fija Cálc'!$D$25*'Combust Fija Cálc'!$K$10*'Combust Fija Cálc'!$E$13*'Combust Fija Cálc'!$E$9*(1+'Combust Fija Cálc'!$E$10)</f>
        <v>231.90850718351876</v>
      </c>
      <c r="F66" s="150">
        <f>'Combust Fija HRSaño'!Q126*'Combust Fija Cálc'!$C$25*'Combust Fija Cálc'!$D$25*'Combust Fija Cálc'!$K$10*'Combust Fija Cálc'!$E$13*'Combust Fija Cálc'!$E$9*(1+'Combust Fija Cálc'!$E$10)</f>
        <v>235.54697900780874</v>
      </c>
      <c r="G66" s="150">
        <f>'Combust Fija HRSaño'!R126*'Combust Fija Cálc'!$C$25*'Combust Fija Cálc'!$D$25*'Combust Fija Cálc'!$K$10*'Combust Fija Cálc'!$E$13*'Combust Fija Cálc'!$E$9*(1+'Combust Fija Cálc'!$E$10)</f>
        <v>15.470027925657105</v>
      </c>
      <c r="H66" s="651">
        <f t="shared" ref="H66" si="7">SUM(B66:G66)/1000</f>
        <v>0.8389317559760926</v>
      </c>
      <c r="J66" s="147" t="s">
        <v>858</v>
      </c>
      <c r="K66" s="150">
        <f>'Combust Fija HRSaño'!M127*'Combust Fija Cálc'!$C$26*'Combust Fija Cálc'!$D$26*'Combust Fija Cálc'!$K$10*'Combust Fija Cálc'!$E$13*'Combust Fija Cálc'!$E$9*(1+'Combust Fija Cálc'!$E$10)</f>
        <v>1.8602290183483172</v>
      </c>
      <c r="L66" s="150">
        <f>'Combust Fija HRSaño'!N127*'Combust Fija Cálc'!$C$26*'Combust Fija Cálc'!$D$26*'Combust Fija Cálc'!$K$10*'Combust Fija Cálc'!$E$13*'Combust Fija Cálc'!$E$9*(1+'Combust Fija Cálc'!$E$10)</f>
        <v>25.366676739125719</v>
      </c>
      <c r="M66" s="150">
        <f>'Combust Fija HRSaño'!O127*'Combust Fija Cálc'!$C$26*'Combust Fija Cálc'!$D$26*'Combust Fija Cálc'!$K$10*'Combust Fija Cálc'!$E$13*'Combust Fija Cálc'!$E$9*(1+'Combust Fija Cálc'!$E$10)</f>
        <v>165.01646484644428</v>
      </c>
      <c r="N66" s="150">
        <f>'Combust Fija HRSaño'!P127*'Combust Fija Cálc'!$C$26*'Combust Fija Cálc'!$D$26*'Combust Fija Cálc'!$K$10*'Combust Fija Cálc'!$E$13*'Combust Fija Cálc'!$E$9*(1+'Combust Fija Cálc'!$E$10)</f>
        <v>125.23059387910013</v>
      </c>
      <c r="O66" s="150">
        <f>'Combust Fija HRSaño'!Q127*'Combust Fija Cálc'!$C$26*'Combust Fija Cálc'!$D$26*'Combust Fija Cálc'!$K$10*'Combust Fija Cálc'!$E$13*'Combust Fija Cálc'!$E$9*(1+'Combust Fija Cálc'!$E$10)</f>
        <v>127.1953686642167</v>
      </c>
      <c r="P66" s="150">
        <f>'Combust Fija HRSaño'!R127*'Combust Fija Cálc'!$C$26*'Combust Fija Cálc'!$D$26*'Combust Fija Cálc'!$K$10*'Combust Fija Cálc'!$E$13*'Combust Fija Cálc'!$E$9*(1+'Combust Fija Cálc'!$E$10)</f>
        <v>8.3538150798548347</v>
      </c>
      <c r="Q66" s="651">
        <f t="shared" ref="Q66" si="8">SUM(K66:P66)/1000</f>
        <v>0.45302314822708994</v>
      </c>
    </row>
    <row r="67" spans="1:17" ht="12.75" thickBot="1">
      <c r="A67" s="147" t="s">
        <v>857</v>
      </c>
      <c r="B67" s="150">
        <f>'Combust Fija HRSaño'!M126*'Combust Fija Cálc'!$C$25*'Combust Fija Cálc'!$D$25*'Combust Fija Cálc'!$K$11*'Combust Fija Cálc'!$E$13*'Combust Fija Cálc'!$E$9*(1+'Combust Fija Cálc'!$E$10)</f>
        <v>0.49986728996021212</v>
      </c>
      <c r="C67" s="150">
        <f>'Combust Fija HRSaño'!N126*'Combust Fija Cálc'!$C$25*'Combust Fija Cálc'!$D$25*'Combust Fija Cálc'!$K$11*'Combust Fija Cálc'!$E$13*'Combust Fija Cálc'!$E$9*(1+'Combust Fija Cálc'!$E$10)</f>
        <v>6.8163499396122598</v>
      </c>
      <c r="D67" s="150">
        <f>'Combust Fija HRSaño'!O126*'Combust Fija Cálc'!$C$25*'Combust Fija Cálc'!$D$25*'Combust Fija Cálc'!$K$11*'Combust Fija Cálc'!$E$13*'Combust Fija Cálc'!$E$9*(1+'Combust Fija Cálc'!$E$10)</f>
        <v>44.342031152081319</v>
      </c>
      <c r="E67" s="150">
        <f>'Combust Fija HRSaño'!P126*'Combust Fija Cálc'!$C$25*'Combust Fija Cálc'!$D$25*'Combust Fija Cálc'!$K$11*'Combust Fija Cálc'!$E$13*'Combust Fija Cálc'!$E$9*(1+'Combust Fija Cálc'!$E$10)</f>
        <v>33.651059608797311</v>
      </c>
      <c r="F67" s="150">
        <f>'Combust Fija HRSaño'!Q126*'Combust Fija Cálc'!$C$25*'Combust Fija Cálc'!$D$25*'Combust Fija Cálc'!$K$11*'Combust Fija Cálc'!$E$13*'Combust Fija Cálc'!$E$9*(1+'Combust Fija Cálc'!$E$10)</f>
        <v>34.179019681203016</v>
      </c>
      <c r="G67" s="150">
        <f>'Combust Fija HRSaño'!R126*'Combust Fija Cálc'!$C$25*'Combust Fija Cálc'!$D$25*'Combust Fija Cálc'!$K$11*'Combust Fija Cálc'!$E$13*'Combust Fija Cálc'!$E$9*(1+'Combust Fija Cálc'!$E$10)</f>
        <v>2.2447767794222724</v>
      </c>
      <c r="H67" s="655">
        <f>SUM(B67:G67)/1000</f>
        <v>0.12173310445107638</v>
      </c>
      <c r="J67" s="147" t="s">
        <v>857</v>
      </c>
      <c r="K67" s="150">
        <f>'Combust Fija HRSaño'!M127*'Combust Fija Cálc'!$C$26*'Combust Fija Cálc'!$D$26*'Combust Fija Cálc'!$K$11*'Combust Fija Cálc'!$E$13*'Combust Fija Cálc'!$E$9*(1+'Combust Fija Cálc'!$E$10)</f>
        <v>0.26992833657851456</v>
      </c>
      <c r="L67" s="150">
        <f>'Combust Fija HRSaño'!N127*'Combust Fija Cálc'!$C$26*'Combust Fija Cálc'!$D$26*'Combust Fija Cálc'!$K$11*'Combust Fija Cálc'!$E$13*'Combust Fija Cálc'!$E$9*(1+'Combust Fija Cálc'!$E$10)</f>
        <v>3.68082896739062</v>
      </c>
      <c r="M67" s="150">
        <f>'Combust Fija HRSaño'!O127*'Combust Fija Cálc'!$C$26*'Combust Fija Cálc'!$D$26*'Combust Fija Cálc'!$K$11*'Combust Fija Cálc'!$E$13*'Combust Fija Cálc'!$E$9*(1+'Combust Fija Cálc'!$E$10)</f>
        <v>23.944696822123905</v>
      </c>
      <c r="N67" s="150">
        <f>'Combust Fija HRSaño'!P127*'Combust Fija Cálc'!$C$26*'Combust Fija Cálc'!$D$26*'Combust Fija Cálc'!$K$11*'Combust Fija Cálc'!$E$13*'Combust Fija Cálc'!$E$9*(1+'Combust Fija Cálc'!$E$10)</f>
        <v>18.171572188750542</v>
      </c>
      <c r="O67" s="150">
        <f>'Combust Fija HRSaño'!Q127*'Combust Fija Cálc'!$C$26*'Combust Fija Cálc'!$D$26*'Combust Fija Cálc'!$K$11*'Combust Fija Cálc'!$E$13*'Combust Fija Cálc'!$E$9*(1+'Combust Fija Cálc'!$E$10)</f>
        <v>18.456670627849626</v>
      </c>
      <c r="P67" s="150">
        <f>'Combust Fija HRSaño'!R127*'Combust Fija Cálc'!$C$26*'Combust Fija Cálc'!$D$26*'Combust Fija Cálc'!$K$11*'Combust Fija Cálc'!$E$13*'Combust Fija Cálc'!$E$9*(1+'Combust Fija Cálc'!$E$10)</f>
        <v>1.212179460888027</v>
      </c>
      <c r="Q67" s="655">
        <f>SUM(K67:P67)/1000</f>
        <v>6.5735876403581237E-2</v>
      </c>
    </row>
    <row r="68" spans="1:17" ht="12.75" thickBot="1">
      <c r="A68" s="151" t="s">
        <v>1137</v>
      </c>
      <c r="B68" s="153">
        <f>(B65+(B66*'GEI Gral Combust'!$C$13)+('Combust Fija Cálc'!B67*'GEI Gral Combust'!$D$13))/1000</f>
        <v>10.003747714014212</v>
      </c>
      <c r="C68" s="153">
        <f>(C65+(C66*'GEI Gral Combust'!$C$13)+('Combust Fija Cálc'!C67*'GEI Gral Combust'!$D$13))/1000</f>
        <v>136.41429734629108</v>
      </c>
      <c r="D68" s="153">
        <f>(D65+(D66*'GEI Gral Combust'!$C$13)+('Combust Fija Cálc'!D67*'GEI Gral Combust'!$D$13))/1000</f>
        <v>887.40852158517635</v>
      </c>
      <c r="E68" s="153">
        <f>(E65+(E66*'GEI Gral Combust'!$C$13)+('Combust Fija Cálc'!E67*'GEI Gral Combust'!$D$13))/1000</f>
        <v>673.45216899961042</v>
      </c>
      <c r="F68" s="153">
        <f>(F65+(F66*'GEI Gral Combust'!$C$13)+('Combust Fija Cálc'!F67*'GEI Gral Combust'!$D$13))/1000</f>
        <v>684.01813215323045</v>
      </c>
      <c r="G68" s="392">
        <f>(G65+(G66*'GEI Gral Combust'!$C$13)+('Combust Fija Cálc'!G67*'GEI Gral Combust'!$D$13))/1000</f>
        <v>44.924284958524069</v>
      </c>
      <c r="H68" s="396">
        <f>SUM(B68:G68)</f>
        <v>2436.2211527568465</v>
      </c>
      <c r="J68" s="151" t="s">
        <v>1137</v>
      </c>
      <c r="K68" s="153">
        <f>(K65+(K66*'GEI Gral Combust'!$C$13)+('Combust Fija Cálc'!K67*'GEI Gral Combust'!$D$13))/1000</f>
        <v>5.4020237655676775</v>
      </c>
      <c r="L68" s="153">
        <f>(L65+(L66*'GEI Gral Combust'!$C$13)+('Combust Fija Cálc'!L67*'GEI Gral Combust'!$D$13))/1000</f>
        <v>73.663720566997156</v>
      </c>
      <c r="M68" s="153">
        <f>(M65+(M66*'GEI Gral Combust'!$C$13)+('Combust Fija Cálc'!M67*'GEI Gral Combust'!$D$13))/1000</f>
        <v>479.20060165599523</v>
      </c>
      <c r="N68" s="153">
        <f>(N65+(N66*'GEI Gral Combust'!$C$13)+('Combust Fija Cálc'!N67*'GEI Gral Combust'!$D$13))/1000</f>
        <v>363.66417125978961</v>
      </c>
      <c r="O68" s="153">
        <f>(O65+(O66*'GEI Gral Combust'!$C$13)+('Combust Fija Cálc'!O67*'GEI Gral Combust'!$D$13))/1000</f>
        <v>369.36979136274437</v>
      </c>
      <c r="P68" s="392">
        <f>(P65+(P66*'GEI Gral Combust'!$C$13)+('Combust Fija Cálc'!P67*'GEI Gral Combust'!$D$13))/1000</f>
        <v>24.259113877602996</v>
      </c>
      <c r="Q68" s="396">
        <f>SUM(K68:P68)</f>
        <v>1315.5594224886968</v>
      </c>
    </row>
    <row r="72" spans="1:17">
      <c r="A72" s="30" t="s">
        <v>372</v>
      </c>
      <c r="B72" s="30" t="s">
        <v>903</v>
      </c>
      <c r="J72" s="30" t="s">
        <v>372</v>
      </c>
      <c r="K72" s="30" t="s">
        <v>904</v>
      </c>
    </row>
    <row r="73" spans="1:17">
      <c r="A73" s="367"/>
      <c r="B73" s="391" t="s">
        <v>859</v>
      </c>
      <c r="C73" s="367"/>
      <c r="D73" s="367"/>
      <c r="E73" s="367"/>
      <c r="F73" s="367"/>
      <c r="G73" s="367"/>
      <c r="H73" s="391"/>
      <c r="J73" s="367"/>
      <c r="K73" s="391" t="s">
        <v>859</v>
      </c>
      <c r="L73" s="367"/>
      <c r="M73" s="367"/>
      <c r="N73" s="367"/>
      <c r="O73" s="367"/>
      <c r="P73" s="367"/>
      <c r="Q73" s="391"/>
    </row>
    <row r="74" spans="1:17" ht="48">
      <c r="A74" s="388" t="s">
        <v>649</v>
      </c>
      <c r="B74" s="148">
        <v>2011</v>
      </c>
      <c r="C74" s="148">
        <v>2012</v>
      </c>
      <c r="D74" s="148">
        <v>2013</v>
      </c>
      <c r="E74" s="148">
        <v>2014</v>
      </c>
      <c r="F74" s="148">
        <v>2015</v>
      </c>
      <c r="G74" s="148">
        <v>2016</v>
      </c>
      <c r="H74" s="390" t="s">
        <v>1138</v>
      </c>
      <c r="J74" s="388" t="s">
        <v>649</v>
      </c>
      <c r="K74" s="148">
        <v>2011</v>
      </c>
      <c r="L74" s="148">
        <v>2012</v>
      </c>
      <c r="M74" s="148">
        <v>2013</v>
      </c>
      <c r="N74" s="148">
        <v>2014</v>
      </c>
      <c r="O74" s="148">
        <v>2015</v>
      </c>
      <c r="P74" s="148">
        <v>2016</v>
      </c>
      <c r="Q74" s="390" t="s">
        <v>1138</v>
      </c>
    </row>
    <row r="75" spans="1:17">
      <c r="A75" s="147" t="s">
        <v>842</v>
      </c>
      <c r="B75" s="150">
        <f>'Combust Fija HRSaño'!M139*'Combust Fija Cálc'!$C$27*'Combust Fija Cálc'!$D$27*'Combust Fija Cálc'!$K$9*'Combust Fija Cálc'!$E$13*'Combust Fija Cálc'!$E$9*(1+'Combust Fija Cálc'!$E$10)</f>
        <v>0</v>
      </c>
      <c r="C75" s="150">
        <f>'Combust Fija HRSaño'!N139*'Combust Fija Cálc'!$C$27*'Combust Fija Cálc'!$D$27*'Combust Fija Cálc'!$K$9*'Combust Fija Cálc'!$E$13*'Combust Fija Cálc'!$E$9*(1+'Combust Fija Cálc'!$E$10)</f>
        <v>25238.79929157667</v>
      </c>
      <c r="D75" s="150">
        <f>'Combust Fija HRSaño'!O139*'Combust Fija Cálc'!$C$27*'Combust Fija Cálc'!$D$27*'Combust Fija Cálc'!$K$9*'Combust Fija Cálc'!$E$13*'Combust Fija Cálc'!$E$9*(1+'Combust Fija Cálc'!$E$10)</f>
        <v>198304.85157667386</v>
      </c>
      <c r="E75" s="150">
        <f>'Combust Fija HRSaño'!P139*'Combust Fija Cálc'!$C$27*'Combust Fija Cálc'!$D$27*'Combust Fija Cálc'!$K$9*'Combust Fija Cálc'!$E$13*'Combust Fija Cálc'!$E$9*(1+'Combust Fija Cálc'!$E$10)</f>
        <v>198304.85157667386</v>
      </c>
      <c r="F75" s="150">
        <f>'Combust Fija HRSaño'!Q139*'Combust Fija Cálc'!$C$27*'Combust Fija Cálc'!$D$27*'Combust Fija Cálc'!$K$9*'Combust Fija Cálc'!$E$13*'Combust Fija Cálc'!$E$9*(1+'Combust Fija Cálc'!$E$10)</f>
        <v>201910.39433261336</v>
      </c>
      <c r="G75" s="150">
        <f>'Combust Fija HRSaño'!R139*'Combust Fija Cálc'!$C$27*'Combust Fija Cálc'!$D$27*'Combust Fija Cálc'!$K$9*'Combust Fija Cálc'!$E$13*'Combust Fija Cálc'!$E$9*(1+'Combust Fija Cálc'!$E$10)</f>
        <v>36055.427559395241</v>
      </c>
      <c r="H75" s="393">
        <f>SUM(B75:G75)/1000</f>
        <v>659.81432433693294</v>
      </c>
      <c r="J75" s="147" t="s">
        <v>842</v>
      </c>
      <c r="K75" s="150">
        <f>'Combust Fija HRSaño'!M139*'Combust Fija Cálc'!$C$28*'Combust Fija Cálc'!$D$28*'Combust Fija Cálc'!$K$9*'Combust Fija Cálc'!$E$13*'Combust Fija Cálc'!$E$9*(1+'Combust Fija Cálc'!$E$10)</f>
        <v>0</v>
      </c>
      <c r="L75" s="150">
        <f>'Combust Fija HRSaño'!N139*'Combust Fija Cálc'!$C$28*'Combust Fija Cálc'!$D$28*'Combust Fija Cálc'!$K$9*'Combust Fija Cálc'!$E$13*'Combust Fija Cálc'!$E$9*(1+'Combust Fija Cálc'!$E$10)</f>
        <v>28603.97253045356</v>
      </c>
      <c r="M75" s="150">
        <f>'Combust Fija HRSaño'!O139*'Combust Fija Cálc'!$C$28*'Combust Fija Cálc'!$D$28*'Combust Fija Cálc'!$K$9*'Combust Fija Cálc'!$E$13*'Combust Fija Cálc'!$E$9*(1+'Combust Fija Cálc'!$E$10)</f>
        <v>224745.49845356369</v>
      </c>
      <c r="N75" s="150">
        <f>'Combust Fija HRSaño'!P139*'Combust Fija Cálc'!$C$28*'Combust Fija Cálc'!$D$28*'Combust Fija Cálc'!$K$9*'Combust Fija Cálc'!$E$13*'Combust Fija Cálc'!$E$9*(1+'Combust Fija Cálc'!$E$10)</f>
        <v>224745.49845356369</v>
      </c>
      <c r="O75" s="150">
        <f>'Combust Fija HRSaño'!Q139*'Combust Fija Cálc'!$C$28*'Combust Fija Cálc'!$D$28*'Combust Fija Cálc'!$K$9*'Combust Fija Cálc'!$E$13*'Combust Fija Cálc'!$E$9*(1+'Combust Fija Cálc'!$E$10)</f>
        <v>228831.78024362848</v>
      </c>
      <c r="P75" s="150">
        <f>'Combust Fija HRSaño'!R139*'Combust Fija Cálc'!$C$28*'Combust Fija Cálc'!$D$28*'Combust Fija Cálc'!$K$9*'Combust Fija Cálc'!$E$13*'Combust Fija Cálc'!$E$9*(1+'Combust Fija Cálc'!$E$10)</f>
        <v>40862.817900647948</v>
      </c>
      <c r="Q75" s="393">
        <f>SUM(K75:P75)/1000</f>
        <v>747.78956758185745</v>
      </c>
    </row>
    <row r="76" spans="1:17">
      <c r="A76" s="147" t="s">
        <v>858</v>
      </c>
      <c r="B76" s="150">
        <f>'Combust Fija HRSaño'!M139*'Combust Fija Cálc'!$C$27*'Combust Fija Cálc'!$D$27*'Combust Fija Cálc'!$K$10*'Combust Fija Cálc'!$E$13*'Combust Fija Cálc'!$E$9*(1+'Combust Fija Cálc'!$E$10)</f>
        <v>0</v>
      </c>
      <c r="C76" s="150">
        <f>'Combust Fija HRSaño'!N139*'Combust Fija Cálc'!$C$27*'Combust Fija Cálc'!$D$27*'Combust Fija Cálc'!$K$10*'Combust Fija Cálc'!$E$13*'Combust Fija Cálc'!$E$9*(1+'Combust Fija Cálc'!$E$10)</f>
        <v>9.7412909546436275</v>
      </c>
      <c r="D76" s="150">
        <f>'Combust Fija HRSaño'!O139*'Combust Fija Cálc'!$C$27*'Combust Fija Cálc'!$D$27*'Combust Fija Cálc'!$K$10*'Combust Fija Cálc'!$E$13*'Combust Fija Cálc'!$E$9*(1+'Combust Fija Cálc'!$E$10)</f>
        <v>76.538714643628509</v>
      </c>
      <c r="E76" s="150">
        <f>'Combust Fija HRSaño'!P139*'Combust Fija Cálc'!$C$27*'Combust Fija Cálc'!$D$27*'Combust Fija Cálc'!$K$10*'Combust Fija Cálc'!$E$13*'Combust Fija Cálc'!$E$9*(1+'Combust Fija Cálc'!$E$10)</f>
        <v>76.538714643628509</v>
      </c>
      <c r="F76" s="150">
        <f>'Combust Fija HRSaño'!Q139*'Combust Fija Cálc'!$C$27*'Combust Fija Cálc'!$D$27*'Combust Fija Cálc'!$K$10*'Combust Fija Cálc'!$E$13*'Combust Fija Cálc'!$E$9*(1+'Combust Fija Cálc'!$E$10)</f>
        <v>77.93032763714902</v>
      </c>
      <c r="G76" s="150">
        <f>'Combust Fija HRSaño'!R139*'Combust Fija Cálc'!$C$27*'Combust Fija Cálc'!$D$27*'Combust Fija Cálc'!$K$10*'Combust Fija Cálc'!$E$13*'Combust Fija Cálc'!$E$9*(1+'Combust Fija Cálc'!$E$10)</f>
        <v>13.916129935205184</v>
      </c>
      <c r="H76" s="651">
        <f t="shared" ref="H76" si="9">SUM(B76:G76)/1000</f>
        <v>0.25466517781425485</v>
      </c>
      <c r="J76" s="147" t="s">
        <v>858</v>
      </c>
      <c r="K76" s="150">
        <f>'Combust Fija HRSaño'!M139*'Combust Fija Cálc'!$C$28*'Combust Fija Cálc'!$D$28*'Combust Fija Cálc'!$K$10*'Combust Fija Cálc'!$E$13*'Combust Fija Cálc'!$E$9*(1+'Combust Fija Cálc'!$E$10)</f>
        <v>0</v>
      </c>
      <c r="L76" s="150">
        <f>'Combust Fija HRSaño'!N139*'Combust Fija Cálc'!$C$28*'Combust Fija Cálc'!$D$28*'Combust Fija Cálc'!$K$10*'Combust Fija Cálc'!$E$13*'Combust Fija Cálc'!$E$9*(1+'Combust Fija Cálc'!$E$10)</f>
        <v>11.040129748596112</v>
      </c>
      <c r="M76" s="150">
        <f>'Combust Fija HRSaño'!O139*'Combust Fija Cálc'!$C$28*'Combust Fija Cálc'!$D$28*'Combust Fija Cálc'!$K$10*'Combust Fija Cálc'!$E$13*'Combust Fija Cálc'!$E$9*(1+'Combust Fija Cálc'!$E$10)</f>
        <v>86.743876596112329</v>
      </c>
      <c r="N76" s="150">
        <f>'Combust Fija HRSaño'!P139*'Combust Fija Cálc'!$C$28*'Combust Fija Cálc'!$D$28*'Combust Fija Cálc'!$K$10*'Combust Fija Cálc'!$E$13*'Combust Fija Cálc'!$E$9*(1+'Combust Fija Cálc'!$E$10)</f>
        <v>86.743876596112329</v>
      </c>
      <c r="O76" s="150">
        <f>'Combust Fija HRSaño'!Q139*'Combust Fija Cálc'!$C$28*'Combust Fija Cálc'!$D$28*'Combust Fija Cálc'!$K$10*'Combust Fija Cálc'!$E$13*'Combust Fija Cálc'!$E$9*(1+'Combust Fija Cálc'!$E$10)</f>
        <v>88.321037988768893</v>
      </c>
      <c r="P76" s="150">
        <f>'Combust Fija HRSaño'!R139*'Combust Fija Cálc'!$C$28*'Combust Fija Cálc'!$D$28*'Combust Fija Cálc'!$K$10*'Combust Fija Cálc'!$E$13*'Combust Fija Cálc'!$E$9*(1+'Combust Fija Cálc'!$E$10)</f>
        <v>15.771613926565875</v>
      </c>
      <c r="Q76" s="651">
        <f t="shared" ref="Q76" si="10">SUM(K76:P76)/1000</f>
        <v>0.28862053485615552</v>
      </c>
    </row>
    <row r="77" spans="1:17" ht="12.75" thickBot="1">
      <c r="A77" s="147" t="s">
        <v>857</v>
      </c>
      <c r="B77" s="150">
        <f>'Combust Fija HRSaño'!M139*'Combust Fija Cálc'!$C$27*'Combust Fija Cálc'!$D$27*'Combust Fija Cálc'!$K$11*'Combust Fija Cálc'!$E$13*'Combust Fija Cálc'!$E$9*(1+'Combust Fija Cálc'!$E$10)</f>
        <v>0</v>
      </c>
      <c r="C77" s="150">
        <f>'Combust Fija HRSaño'!N139*'Combust Fija Cálc'!$C$27*'Combust Fija Cálc'!$D$27*'Combust Fija Cálc'!$K$11*'Combust Fija Cálc'!$E$13*'Combust Fija Cálc'!$E$9*(1+'Combust Fija Cálc'!$E$10)</f>
        <v>1.4135090021598271</v>
      </c>
      <c r="D77" s="150">
        <f>'Combust Fija HRSaño'!O139*'Combust Fija Cálc'!$C$27*'Combust Fija Cálc'!$D$27*'Combust Fija Cálc'!$K$11*'Combust Fija Cálc'!$E$13*'Combust Fija Cálc'!$E$9*(1+'Combust Fija Cálc'!$E$10)</f>
        <v>11.106142159827215</v>
      </c>
      <c r="E77" s="150">
        <f>'Combust Fija HRSaño'!P139*'Combust Fija Cálc'!$C$27*'Combust Fija Cálc'!$D$27*'Combust Fija Cálc'!$K$11*'Combust Fija Cálc'!$E$13*'Combust Fija Cálc'!$E$9*(1+'Combust Fija Cálc'!$E$10)</f>
        <v>11.106142159827215</v>
      </c>
      <c r="F77" s="150">
        <f>'Combust Fija HRSaño'!Q139*'Combust Fija Cálc'!$C$27*'Combust Fija Cálc'!$D$27*'Combust Fija Cálc'!$K$11*'Combust Fija Cálc'!$E$13*'Combust Fija Cálc'!$E$9*(1+'Combust Fija Cálc'!$E$10)</f>
        <v>11.308072017278617</v>
      </c>
      <c r="G77" s="150">
        <f>'Combust Fija HRSaño'!R139*'Combust Fija Cálc'!$C$27*'Combust Fija Cálc'!$D$27*'Combust Fija Cálc'!$K$11*'Combust Fija Cálc'!$E$13*'Combust Fija Cálc'!$E$9*(1+'Combust Fija Cálc'!$E$10)</f>
        <v>2.019298574514039</v>
      </c>
      <c r="H77" s="655">
        <f>SUM(B77:G77)/1000</f>
        <v>3.6953163913606916E-2</v>
      </c>
      <c r="J77" s="147" t="s">
        <v>857</v>
      </c>
      <c r="K77" s="150">
        <f>'Combust Fija HRSaño'!M139*'Combust Fija Cálc'!$C$28*'Combust Fija Cálc'!$D$28*'Combust Fija Cálc'!$K$11*'Combust Fija Cálc'!$E$13*'Combust Fija Cálc'!$E$9*(1+'Combust Fija Cálc'!$E$10)</f>
        <v>0</v>
      </c>
      <c r="L77" s="150">
        <f>'Combust Fija HRSaño'!N139*'Combust Fija Cálc'!$C$28*'Combust Fija Cálc'!$D$28*'Combust Fija Cálc'!$K$11*'Combust Fija Cálc'!$E$13*'Combust Fija Cálc'!$E$9*(1+'Combust Fija Cálc'!$E$10)</f>
        <v>1.6019768691144709</v>
      </c>
      <c r="M77" s="150">
        <f>'Combust Fija HRSaño'!O139*'Combust Fija Cálc'!$C$28*'Combust Fija Cálc'!$D$28*'Combust Fija Cálc'!$K$11*'Combust Fija Cálc'!$E$13*'Combust Fija Cálc'!$E$9*(1+'Combust Fija Cálc'!$E$10)</f>
        <v>12.586961114470842</v>
      </c>
      <c r="N77" s="150">
        <f>'Combust Fija HRSaño'!P139*'Combust Fija Cálc'!$C$28*'Combust Fija Cálc'!$D$28*'Combust Fija Cálc'!$K$11*'Combust Fija Cálc'!$E$13*'Combust Fija Cálc'!$E$9*(1+'Combust Fija Cálc'!$E$10)</f>
        <v>12.586961114470842</v>
      </c>
      <c r="O77" s="150">
        <f>'Combust Fija HRSaño'!Q139*'Combust Fija Cálc'!$C$28*'Combust Fija Cálc'!$D$28*'Combust Fija Cálc'!$K$11*'Combust Fija Cálc'!$E$13*'Combust Fija Cálc'!$E$9*(1+'Combust Fija Cálc'!$E$10)</f>
        <v>12.815814952915767</v>
      </c>
      <c r="P77" s="150">
        <f>'Combust Fija HRSaño'!R139*'Combust Fija Cálc'!$C$28*'Combust Fija Cálc'!$D$28*'Combust Fija Cálc'!$K$11*'Combust Fija Cálc'!$E$13*'Combust Fija Cálc'!$E$9*(1+'Combust Fija Cálc'!$E$10)</f>
        <v>2.288538384449244</v>
      </c>
      <c r="Q77" s="655">
        <f>SUM(K77:P77)/1000</f>
        <v>4.1880252435421171E-2</v>
      </c>
    </row>
    <row r="78" spans="1:17" ht="12.75" thickBot="1">
      <c r="A78" s="151" t="s">
        <v>1137</v>
      </c>
      <c r="B78" s="153">
        <f>(B75+(B76*'GEI Gral Combust'!$C$13)+('Combust Fija Cálc'!B77*'GEI Gral Combust'!$D$13))/1000</f>
        <v>0</v>
      </c>
      <c r="C78" s="153">
        <f>(C75+(C76*'GEI Gral Combust'!$C$13)+('Combust Fija Cálc'!C77*'GEI Gral Combust'!$D$13))/1000</f>
        <v>28.288283176561553</v>
      </c>
      <c r="D78" s="153">
        <f>(D75+(D76*'GEI Gral Combust'!$C$13)+('Combust Fija Cálc'!D77*'GEI Gral Combust'!$D$13))/1000</f>
        <v>222.26508210155507</v>
      </c>
      <c r="E78" s="153">
        <f>(E75+(E76*'GEI Gral Combust'!$C$13)+('Combust Fija Cálc'!E77*'GEI Gral Combust'!$D$13))/1000</f>
        <v>222.26508210155507</v>
      </c>
      <c r="F78" s="153">
        <f>(F75+(F76*'GEI Gral Combust'!$C$13)+('Combust Fija Cálc'!F77*'GEI Gral Combust'!$D$13))/1000</f>
        <v>226.30626541249242</v>
      </c>
      <c r="G78" s="392">
        <f>(G75+(G76*'GEI Gral Combust'!$C$13)+('Combust Fija Cálc'!G77*'GEI Gral Combust'!$D$13))/1000</f>
        <v>40.411833109373639</v>
      </c>
      <c r="H78" s="396">
        <f>SUM(B78:G78)</f>
        <v>739.53654590153781</v>
      </c>
      <c r="J78" s="151" t="s">
        <v>1137</v>
      </c>
      <c r="K78" s="153">
        <f>(K75+(K76*'GEI Gral Combust'!$C$13)+('Combust Fija Cálc'!K77*'GEI Gral Combust'!$D$13))/1000</f>
        <v>0</v>
      </c>
      <c r="L78" s="153">
        <f>(L75+(L76*'GEI Gral Combust'!$C$13)+('Combust Fija Cálc'!L77*'GEI Gral Combust'!$D$13))/1000</f>
        <v>32.060054266769761</v>
      </c>
      <c r="M78" s="153">
        <f>(M75+(M76*'GEI Gral Combust'!$C$13)+('Combust Fija Cálc'!M77*'GEI Gral Combust'!$D$13))/1000</f>
        <v>251.9004263817624</v>
      </c>
      <c r="N78" s="153">
        <f>(N75+(N76*'GEI Gral Combust'!$C$13)+('Combust Fija Cálc'!N77*'GEI Gral Combust'!$D$13))/1000</f>
        <v>251.9004263817624</v>
      </c>
      <c r="O78" s="153">
        <f>(O75+(O76*'GEI Gral Combust'!$C$13)+('Combust Fija Cálc'!O77*'GEI Gral Combust'!$D$13))/1000</f>
        <v>256.48043413415809</v>
      </c>
      <c r="P78" s="392">
        <f>(P75+(P76*'GEI Gral Combust'!$C$13)+('Combust Fija Cálc'!P77*'GEI Gral Combust'!$D$13))/1000</f>
        <v>45.800077523956801</v>
      </c>
      <c r="Q78" s="396">
        <f>SUM(K78:P78)</f>
        <v>838.14141868840943</v>
      </c>
    </row>
    <row r="80" spans="1:17">
      <c r="A80" s="30" t="s">
        <v>372</v>
      </c>
      <c r="B80" s="30" t="s">
        <v>905</v>
      </c>
      <c r="J80" s="30" t="s">
        <v>372</v>
      </c>
      <c r="K80" s="30" t="s">
        <v>906</v>
      </c>
    </row>
    <row r="81" spans="1:17">
      <c r="A81" s="367"/>
      <c r="B81" s="391" t="s">
        <v>859</v>
      </c>
      <c r="C81" s="367"/>
      <c r="D81" s="367"/>
      <c r="E81" s="367"/>
      <c r="F81" s="367"/>
      <c r="G81" s="367"/>
      <c r="H81" s="391"/>
      <c r="J81" s="367"/>
      <c r="K81" s="391" t="s">
        <v>859</v>
      </c>
      <c r="L81" s="367"/>
      <c r="M81" s="367"/>
      <c r="N81" s="367"/>
      <c r="O81" s="367"/>
      <c r="P81" s="367"/>
      <c r="Q81" s="391"/>
    </row>
    <row r="82" spans="1:17" ht="48">
      <c r="A82" s="388" t="s">
        <v>649</v>
      </c>
      <c r="B82" s="148">
        <v>2011</v>
      </c>
      <c r="C82" s="148">
        <v>2012</v>
      </c>
      <c r="D82" s="148">
        <v>2013</v>
      </c>
      <c r="E82" s="148">
        <v>2014</v>
      </c>
      <c r="F82" s="148">
        <v>2015</v>
      </c>
      <c r="G82" s="148">
        <v>2016</v>
      </c>
      <c r="H82" s="390" t="s">
        <v>1138</v>
      </c>
      <c r="J82" s="388" t="s">
        <v>649</v>
      </c>
      <c r="K82" s="148">
        <v>2011</v>
      </c>
      <c r="L82" s="148">
        <v>2012</v>
      </c>
      <c r="M82" s="148">
        <v>2013</v>
      </c>
      <c r="N82" s="148">
        <v>2014</v>
      </c>
      <c r="O82" s="148">
        <v>2015</v>
      </c>
      <c r="P82" s="148">
        <v>2016</v>
      </c>
      <c r="Q82" s="390" t="s">
        <v>1138</v>
      </c>
    </row>
    <row r="83" spans="1:17">
      <c r="A83" s="147" t="s">
        <v>842</v>
      </c>
      <c r="B83" s="150">
        <f>'Combust Fija HRSaño'!M139*'Combust Fija Cálc'!$C$29*'Combust Fija Cálc'!$D$29*'Combust Fija Cálc'!$K$9*'Combust Fija Cálc'!$E$13*'Combust Fija Cálc'!$E$9*(1+'Combust Fija Cálc'!$E$10)</f>
        <v>0</v>
      </c>
      <c r="C83" s="150">
        <f>'Combust Fija HRSaño'!N139*'Combust Fija Cálc'!$C$29*'Combust Fija Cálc'!$D$29*'Combust Fija Cálc'!$K$9*'Combust Fija Cálc'!$E$13*'Combust Fija Cálc'!$E$9*(1+'Combust Fija Cálc'!$E$10)</f>
        <v>3756.4724526997838</v>
      </c>
      <c r="D83" s="150">
        <f>'Combust Fija HRSaño'!O139*'Combust Fija Cálc'!$C$29*'Combust Fija Cálc'!$D$29*'Combust Fija Cálc'!$K$9*'Combust Fija Cálc'!$E$13*'Combust Fija Cálc'!$E$9*(1+'Combust Fija Cálc'!$E$10)</f>
        <v>29515.140699784009</v>
      </c>
      <c r="E83" s="150">
        <f>'Combust Fija HRSaño'!P139*'Combust Fija Cálc'!$C$29*'Combust Fija Cálc'!$D$29*'Combust Fija Cálc'!$K$9*'Combust Fija Cálc'!$E$13*'Combust Fija Cálc'!$E$9*(1+'Combust Fija Cálc'!$E$10)</f>
        <v>29515.140699784009</v>
      </c>
      <c r="F83" s="150">
        <f>'Combust Fija HRSaño'!Q139*'Combust Fija Cálc'!$C$29*'Combust Fija Cálc'!$D$29*'Combust Fija Cálc'!$K$9*'Combust Fija Cálc'!$E$13*'Combust Fija Cálc'!$E$9*(1+'Combust Fija Cálc'!$E$10)</f>
        <v>30051.779621598271</v>
      </c>
      <c r="G83" s="150">
        <f>'Combust Fija HRSaño'!R139*'Combust Fija Cálc'!$C$29*'Combust Fija Cálc'!$D$29*'Combust Fija Cálc'!$K$9*'Combust Fija Cálc'!$E$13*'Combust Fija Cálc'!$E$9*(1+'Combust Fija Cálc'!$E$10)</f>
        <v>5366.3892181425481</v>
      </c>
      <c r="H83" s="393">
        <f>SUM(B83:G83)/1000</f>
        <v>98.204922692008623</v>
      </c>
      <c r="J83" s="147" t="s">
        <v>842</v>
      </c>
      <c r="K83" s="150">
        <f>'Combust Fija HRSaño'!M139*'Combust Fija Cálc'!$C$30*'Combust Fija Cálc'!$D$30*'Combust Fija Cálc'!$K$9*'Combust Fija Cálc'!$E$13*'Combust Fija Cálc'!$E$9*(1+'Combust Fija Cálc'!$E$10)</f>
        <v>0</v>
      </c>
      <c r="L83" s="150">
        <f>'Combust Fija HRSaño'!N139*'Combust Fija Cálc'!$C$30*'Combust Fija Cálc'!$D$30*'Combust Fija Cálc'!$K$9*'Combust Fija Cálc'!$E$13*'Combust Fija Cálc'!$E$9*(1+'Combust Fija Cálc'!$E$10)</f>
        <v>115041.96886393087</v>
      </c>
      <c r="M83" s="150">
        <f>'Combust Fija HRSaño'!O139*'Combust Fija Cálc'!$C$30*'Combust Fija Cálc'!$D$30*'Combust Fija Cálc'!$K$9*'Combust Fija Cálc'!$E$13*'Combust Fija Cálc'!$E$9*(1+'Combust Fija Cálc'!$E$10)</f>
        <v>903901.18393088551</v>
      </c>
      <c r="N83" s="150">
        <f>'Combust Fija HRSaño'!P139*'Combust Fija Cálc'!$C$30*'Combust Fija Cálc'!$D$30*'Combust Fija Cálc'!$K$9*'Combust Fija Cálc'!$E$13*'Combust Fija Cálc'!$E$9*(1+'Combust Fija Cálc'!$E$10)</f>
        <v>903901.18393088551</v>
      </c>
      <c r="O83" s="150">
        <f>'Combust Fija HRSaño'!Q139*'Combust Fija Cálc'!$C$30*'Combust Fija Cálc'!$D$30*'Combust Fija Cálc'!$K$9*'Combust Fija Cálc'!$E$13*'Combust Fija Cálc'!$E$9*(1+'Combust Fija Cálc'!$E$10)</f>
        <v>920335.75091144699</v>
      </c>
      <c r="P83" s="150">
        <f>'Combust Fija HRSaño'!R139*'Combust Fija Cálc'!$C$30*'Combust Fija Cálc'!$D$30*'Combust Fija Cálc'!$K$9*'Combust Fija Cálc'!$E$13*'Combust Fija Cálc'!$E$9*(1+'Combust Fija Cálc'!$E$10)</f>
        <v>164345.66980561553</v>
      </c>
      <c r="Q83" s="393">
        <f>SUM(K83:P83)/1000</f>
        <v>3007.5257574427646</v>
      </c>
    </row>
    <row r="84" spans="1:17">
      <c r="A84" s="147" t="s">
        <v>858</v>
      </c>
      <c r="B84" s="150">
        <f>'Combust Fija HRSaño'!M139*'Combust Fija Cálc'!$C$29*'Combust Fija Cálc'!$D$29*'Combust Fija Cálc'!$K$10*'Combust Fija Cálc'!$E$13*'Combust Fija Cálc'!$E$9*(1+'Combust Fija Cálc'!$E$10)</f>
        <v>0</v>
      </c>
      <c r="C84" s="150">
        <f>'Combust Fija HRSaño'!N139*'Combust Fija Cálc'!$C$29*'Combust Fija Cálc'!$D$29*'Combust Fija Cálc'!$K$10*'Combust Fija Cálc'!$E$13*'Combust Fija Cálc'!$E$9*(1+'Combust Fija Cálc'!$E$10)</f>
        <v>1.4498665606911445</v>
      </c>
      <c r="D84" s="150">
        <f>'Combust Fija HRSaño'!O139*'Combust Fija Cálc'!$C$29*'Combust Fija Cálc'!$D$29*'Combust Fija Cálc'!$K$10*'Combust Fija Cálc'!$E$13*'Combust Fija Cálc'!$E$9*(1+'Combust Fija Cálc'!$E$10)</f>
        <v>11.391808691144705</v>
      </c>
      <c r="E84" s="150">
        <f>'Combust Fija HRSaño'!P139*'Combust Fija Cálc'!$C$29*'Combust Fija Cálc'!$D$29*'Combust Fija Cálc'!$K$10*'Combust Fija Cálc'!$E$13*'Combust Fija Cálc'!$E$9*(1+'Combust Fija Cálc'!$E$10)</f>
        <v>11.391808691144705</v>
      </c>
      <c r="F84" s="150">
        <f>'Combust Fija HRSaño'!Q139*'Combust Fija Cálc'!$C$29*'Combust Fija Cálc'!$D$29*'Combust Fija Cálc'!$K$10*'Combust Fija Cálc'!$E$13*'Combust Fija Cálc'!$E$9*(1+'Combust Fija Cálc'!$E$10)</f>
        <v>11.598932485529156</v>
      </c>
      <c r="G84" s="150">
        <f>'Combust Fija HRSaño'!R139*'Combust Fija Cálc'!$C$29*'Combust Fija Cálc'!$D$29*'Combust Fija Cálc'!$K$10*'Combust Fija Cálc'!$E$13*'Combust Fija Cálc'!$E$9*(1+'Combust Fija Cálc'!$E$10)</f>
        <v>2.0712379438444923</v>
      </c>
      <c r="H84" s="651">
        <f t="shared" ref="H84" si="11">SUM(B84:G84)/1000</f>
        <v>3.7903654372354205E-2</v>
      </c>
      <c r="J84" s="147" t="s">
        <v>858</v>
      </c>
      <c r="K84" s="150">
        <f>'Combust Fija HRSaño'!M139*'Combust Fija Cálc'!$C$30*'Combust Fija Cálc'!$D$30*'Combust Fija Cálc'!$K$10*'Combust Fija Cálc'!$E$13*'Combust Fija Cálc'!$E$9*(1+'Combust Fija Cálc'!$E$10)</f>
        <v>0</v>
      </c>
      <c r="L84" s="150">
        <f>'Combust Fija HRSaño'!N139*'Combust Fija Cálc'!$C$30*'Combust Fija Cálc'!$D$30*'Combust Fija Cálc'!$K$10*'Combust Fija Cálc'!$E$13*'Combust Fija Cálc'!$E$9*(1+'Combust Fija Cálc'!$E$10)</f>
        <v>44.402163421166307</v>
      </c>
      <c r="M84" s="150">
        <f>'Combust Fija HRSaño'!O139*'Combust Fija Cálc'!$C$30*'Combust Fija Cálc'!$D$30*'Combust Fija Cálc'!$K$10*'Combust Fija Cálc'!$E$13*'Combust Fija Cálc'!$E$9*(1+'Combust Fija Cálc'!$E$10)</f>
        <v>348.87414116630669</v>
      </c>
      <c r="N84" s="150">
        <f>'Combust Fija HRSaño'!P139*'Combust Fija Cálc'!$C$30*'Combust Fija Cálc'!$D$30*'Combust Fija Cálc'!$K$10*'Combust Fija Cálc'!$E$13*'Combust Fija Cálc'!$E$9*(1+'Combust Fija Cálc'!$E$10)</f>
        <v>348.87414116630669</v>
      </c>
      <c r="O84" s="150">
        <f>'Combust Fija HRSaño'!Q139*'Combust Fija Cálc'!$C$30*'Combust Fija Cálc'!$D$30*'Combust Fija Cálc'!$K$10*'Combust Fija Cálc'!$E$13*'Combust Fija Cálc'!$E$9*(1+'Combust Fija Cálc'!$E$10)</f>
        <v>355.21730736933046</v>
      </c>
      <c r="P84" s="150">
        <f>'Combust Fija HRSaño'!R139*'Combust Fija Cálc'!$C$30*'Combust Fija Cálc'!$D$30*'Combust Fija Cálc'!$K$10*'Combust Fija Cálc'!$E$13*'Combust Fija Cálc'!$E$9*(1+'Combust Fija Cálc'!$E$10)</f>
        <v>63.431662030237582</v>
      </c>
      <c r="Q84" s="651">
        <f t="shared" ref="Q84" si="12">SUM(K84:P84)/1000</f>
        <v>1.1607994151533476</v>
      </c>
    </row>
    <row r="85" spans="1:17" ht="12.75" thickBot="1">
      <c r="A85" s="147" t="s">
        <v>857</v>
      </c>
      <c r="B85" s="150">
        <f>'Combust Fija HRSaño'!M139*'Combust Fija Cálc'!$C$29*'Combust Fija Cálc'!$D$29*'Combust Fija Cálc'!$K$11*'Combust Fija Cálc'!$E$13*'Combust Fija Cálc'!$E$9*(1+'Combust Fija Cálc'!$E$10)</f>
        <v>0</v>
      </c>
      <c r="C85" s="150">
        <f>'Combust Fija HRSaño'!N139*'Combust Fija Cálc'!$C$29*'Combust Fija Cálc'!$D$29*'Combust Fija Cálc'!$K$11*'Combust Fija Cálc'!$E$13*'Combust Fija Cálc'!$E$9*(1+'Combust Fija Cálc'!$E$10)</f>
        <v>0.21038273520518361</v>
      </c>
      <c r="D85" s="150">
        <f>'Combust Fija HRSaño'!O139*'Combust Fija Cálc'!$C$29*'Combust Fija Cálc'!$D$29*'Combust Fija Cálc'!$K$11*'Combust Fija Cálc'!$E$13*'Combust Fija Cálc'!$E$9*(1+'Combust Fija Cálc'!$E$10)</f>
        <v>1.6530072051835851</v>
      </c>
      <c r="E85" s="150">
        <f>'Combust Fija HRSaño'!P139*'Combust Fija Cálc'!$C$29*'Combust Fija Cálc'!$D$29*'Combust Fija Cálc'!$K$11*'Combust Fija Cálc'!$E$13*'Combust Fija Cálc'!$E$9*(1+'Combust Fija Cálc'!$E$10)</f>
        <v>1.6530072051835851</v>
      </c>
      <c r="F85" s="150">
        <f>'Combust Fija HRSaño'!Q139*'Combust Fija Cálc'!$C$29*'Combust Fija Cálc'!$D$29*'Combust Fija Cálc'!$K$11*'Combust Fija Cálc'!$E$13*'Combust Fija Cálc'!$E$9*(1+'Combust Fija Cálc'!$E$10)</f>
        <v>1.6830618816414689</v>
      </c>
      <c r="G85" s="150">
        <f>'Combust Fija HRSaño'!R139*'Combust Fija Cálc'!$C$29*'Combust Fija Cálc'!$D$29*'Combust Fija Cálc'!$K$11*'Combust Fija Cálc'!$E$13*'Combust Fija Cálc'!$E$9*(1+'Combust Fija Cálc'!$E$10)</f>
        <v>0.30054676457883361</v>
      </c>
      <c r="H85" s="655">
        <f>SUM(B85:G85)/1000</f>
        <v>5.5000057917926563E-3</v>
      </c>
      <c r="J85" s="147" t="s">
        <v>857</v>
      </c>
      <c r="K85" s="150">
        <f>'Combust Fija HRSaño'!M139*'Combust Fija Cálc'!$C$30*'Combust Fija Cálc'!$D$30*'Combust Fija Cálc'!$K$11*'Combust Fija Cálc'!$E$13*'Combust Fija Cálc'!$E$9*(1+'Combust Fija Cálc'!$E$10)</f>
        <v>0</v>
      </c>
      <c r="L85" s="150">
        <f>'Combust Fija HRSaño'!N139*'Combust Fija Cálc'!$C$30*'Combust Fija Cálc'!$D$30*'Combust Fija Cálc'!$K$11*'Combust Fija Cálc'!$E$13*'Combust Fija Cálc'!$E$9*(1+'Combust Fija Cálc'!$E$10)</f>
        <v>6.4429712656587466</v>
      </c>
      <c r="M85" s="150">
        <f>'Combust Fija HRSaño'!O139*'Combust Fija Cálc'!$C$30*'Combust Fija Cálc'!$D$30*'Combust Fija Cálc'!$K$11*'Combust Fija Cálc'!$E$13*'Combust Fija Cálc'!$E$9*(1+'Combust Fija Cálc'!$E$10)</f>
        <v>50.623345658747304</v>
      </c>
      <c r="N85" s="150">
        <f>'Combust Fija HRSaño'!P139*'Combust Fija Cálc'!$C$30*'Combust Fija Cálc'!$D$30*'Combust Fija Cálc'!$K$11*'Combust Fija Cálc'!$E$13*'Combust Fija Cálc'!$E$9*(1+'Combust Fija Cálc'!$E$10)</f>
        <v>50.623345658747304</v>
      </c>
      <c r="O85" s="150">
        <f>'Combust Fija HRSaño'!Q139*'Combust Fija Cálc'!$C$30*'Combust Fija Cálc'!$D$30*'Combust Fija Cálc'!$K$11*'Combust Fija Cálc'!$E$13*'Combust Fija Cálc'!$E$9*(1+'Combust Fija Cálc'!$E$10)</f>
        <v>51.543770125269972</v>
      </c>
      <c r="P85" s="150">
        <f>'Combust Fija HRSaño'!R139*'Combust Fija Cálc'!$C$30*'Combust Fija Cálc'!$D$30*'Combust Fija Cálc'!$K$11*'Combust Fija Cálc'!$E$13*'Combust Fija Cálc'!$E$9*(1+'Combust Fija Cálc'!$E$10)</f>
        <v>9.2042446652267813</v>
      </c>
      <c r="Q85" s="655">
        <f>SUM(K85:P85)/1000</f>
        <v>0.16843767737365009</v>
      </c>
    </row>
    <row r="86" spans="1:17" ht="12.75" thickBot="1">
      <c r="A86" s="151" t="s">
        <v>1137</v>
      </c>
      <c r="B86" s="153">
        <f>(B83+(B84*'GEI Gral Combust'!$C$13)+('Combust Fija Cálc'!B85*'GEI Gral Combust'!$D$13))/1000</f>
        <v>0</v>
      </c>
      <c r="C86" s="153">
        <f>(C83+(C84*'GEI Gral Combust'!$C$13)+('Combust Fija Cálc'!C85*'GEI Gral Combust'!$D$13))/1000</f>
        <v>4.2103491239533479</v>
      </c>
      <c r="D86" s="153">
        <f>(D83+(D84*'GEI Gral Combust'!$C$13)+('Combust Fija Cálc'!D85*'GEI Gral Combust'!$D$13))/1000</f>
        <v>33.081314545347716</v>
      </c>
      <c r="E86" s="153">
        <f>(E83+(E84*'GEI Gral Combust'!$C$13)+('Combust Fija Cálc'!E85*'GEI Gral Combust'!$D$13))/1000</f>
        <v>33.081314545347716</v>
      </c>
      <c r="F86" s="153">
        <f>(F83+(F84*'GEI Gral Combust'!$C$13)+('Combust Fija Cálc'!F85*'GEI Gral Combust'!$D$13))/1000</f>
        <v>33.682792991626783</v>
      </c>
      <c r="G86" s="392">
        <f>(G83+(G84*'GEI Gral Combust'!$C$13)+('Combust Fija Cálc'!G85*'GEI Gral Combust'!$D$13))/1000</f>
        <v>6.0147844627904972</v>
      </c>
      <c r="H86" s="396">
        <f>SUM(B86:G86)</f>
        <v>110.07055566906607</v>
      </c>
      <c r="J86" s="151" t="s">
        <v>1137</v>
      </c>
      <c r="K86" s="153">
        <f>(K83+(K84*'GEI Gral Combust'!$C$13)+('Combust Fija Cálc'!K85*'GEI Gral Combust'!$D$13))/1000</f>
        <v>0</v>
      </c>
      <c r="L86" s="153">
        <f>(L83+(L84*'GEI Gral Combust'!$C$13)+('Combust Fija Cálc'!L85*'GEI Gral Combust'!$D$13))/1000</f>
        <v>128.94194192107128</v>
      </c>
      <c r="M86" s="153">
        <f>(M83+(M84*'GEI Gral Combust'!$C$13)+('Combust Fija Cálc'!M85*'GEI Gral Combust'!$D$13))/1000</f>
        <v>1013.1152579512743</v>
      </c>
      <c r="N86" s="153">
        <f>(N83+(N84*'GEI Gral Combust'!$C$13)+('Combust Fija Cálc'!N85*'GEI Gral Combust'!$D$13))/1000</f>
        <v>1013.1152579512743</v>
      </c>
      <c r="O86" s="153">
        <f>(O83+(O84*'GEI Gral Combust'!$C$13)+('Combust Fija Cálc'!O85*'GEI Gral Combust'!$D$13))/1000</f>
        <v>1031.5355353685702</v>
      </c>
      <c r="P86" s="392">
        <f>(P83+(P84*'GEI Gral Combust'!$C$13)+('Combust Fija Cálc'!P85*'GEI Gral Combust'!$D$13))/1000</f>
        <v>184.20277417295895</v>
      </c>
      <c r="Q86" s="396">
        <f>SUM(K86:P86)</f>
        <v>3370.9107673651488</v>
      </c>
    </row>
    <row r="90" spans="1:17">
      <c r="A90" s="30" t="s">
        <v>369</v>
      </c>
      <c r="B90" s="30" t="s">
        <v>1139</v>
      </c>
      <c r="J90" s="30" t="s">
        <v>369</v>
      </c>
      <c r="K90" s="30" t="s">
        <v>910</v>
      </c>
    </row>
    <row r="91" spans="1:17">
      <c r="A91" s="367"/>
      <c r="B91" s="391" t="s">
        <v>859</v>
      </c>
      <c r="C91" s="367"/>
      <c r="D91" s="367"/>
      <c r="E91" s="367"/>
      <c r="F91" s="367"/>
      <c r="G91" s="367"/>
      <c r="H91" s="391"/>
      <c r="J91" s="367"/>
      <c r="K91" s="391" t="s">
        <v>859</v>
      </c>
      <c r="L91" s="367"/>
      <c r="M91" s="367"/>
      <c r="N91" s="367"/>
      <c r="O91" s="367"/>
      <c r="P91" s="367"/>
      <c r="Q91" s="391"/>
    </row>
    <row r="92" spans="1:17" ht="48">
      <c r="A92" s="388" t="s">
        <v>649</v>
      </c>
      <c r="B92" s="148">
        <v>2011</v>
      </c>
      <c r="C92" s="148">
        <v>2012</v>
      </c>
      <c r="D92" s="148">
        <v>2013</v>
      </c>
      <c r="E92" s="148">
        <v>2014</v>
      </c>
      <c r="F92" s="148">
        <v>2015</v>
      </c>
      <c r="G92" s="148">
        <v>2016</v>
      </c>
      <c r="H92" s="390" t="s">
        <v>1138</v>
      </c>
      <c r="J92" s="388" t="s">
        <v>649</v>
      </c>
      <c r="K92" s="148">
        <v>2011</v>
      </c>
      <c r="L92" s="148">
        <v>2012</v>
      </c>
      <c r="M92" s="148">
        <v>2013</v>
      </c>
      <c r="N92" s="148">
        <v>2014</v>
      </c>
      <c r="O92" s="148">
        <v>2015</v>
      </c>
      <c r="P92" s="148">
        <v>2016</v>
      </c>
      <c r="Q92" s="390" t="s">
        <v>1138</v>
      </c>
    </row>
    <row r="93" spans="1:17">
      <c r="A93" s="147" t="s">
        <v>842</v>
      </c>
      <c r="B93" s="150">
        <f>'Combust Fija HRSaño'!M169*'Combust Fija Cálc'!$C$31*'Combust Fija Cálc'!$D$31*'Combust Fija Cálc'!$K$9*'Combust Fija Cálc'!$E$13*'Combust Fija Cálc'!$E$9*(1+'Combust Fija Cálc'!$E$10)</f>
        <v>30.807049215262779</v>
      </c>
      <c r="C93" s="150">
        <f>'Combust Fija HRSaño'!N169*'Combust Fija Cálc'!$C$31*'Combust Fija Cálc'!$D$31*'Combust Fija Cálc'!$K$9*'Combust Fija Cálc'!$E$13*'Combust Fija Cálc'!$E$9*(1+'Combust Fija Cálc'!$E$10)</f>
        <v>22618.131314372607</v>
      </c>
      <c r="D93" s="150">
        <f>'Combust Fija HRSaño'!O169*'Combust Fija Cálc'!$C$31*'Combust Fija Cálc'!$D$31*'Combust Fija Cálc'!$K$9*'Combust Fija Cálc'!$E$13*'Combust Fija Cálc'!$E$9*(1+'Combust Fija Cálc'!$E$10)</f>
        <v>20369.892409868622</v>
      </c>
      <c r="E93" s="150">
        <f>'Combust Fija HRSaño'!P169*'Combust Fija Cálc'!$C$31*'Combust Fija Cálc'!$D$31*'Combust Fija Cálc'!$K$9*'Combust Fija Cálc'!$E$13*'Combust Fija Cálc'!$E$9*(1+'Combust Fija Cálc'!$E$10)</f>
        <v>12298.361277444574</v>
      </c>
      <c r="F93" s="150">
        <f>'Combust Fija HRSaño'!Q169*'Combust Fija Cálc'!$C$31*'Combust Fija Cálc'!$D$31*'Combust Fija Cálc'!$K$9*'Combust Fija Cálc'!$E$13*'Combust Fija Cálc'!$E$9*(1+'Combust Fija Cálc'!$E$10)</f>
        <v>10234.988400224685</v>
      </c>
      <c r="G93" s="150">
        <f>'Combust Fija HRSaño'!R169*'Combust Fija Cálc'!$C$31*'Combust Fija Cálc'!$D$31*'Combust Fija Cálc'!$K$9*'Combust Fija Cálc'!$E$13*'Combust Fija Cálc'!$E$9*(1+'Combust Fija Cálc'!$E$10)</f>
        <v>2434.2482849046505</v>
      </c>
      <c r="H93" s="393">
        <f>SUM(B93:G93)/1000</f>
        <v>67.986428736030405</v>
      </c>
      <c r="J93" s="147" t="s">
        <v>842</v>
      </c>
      <c r="K93" s="150">
        <f>'Combust Fija HRSaño'!M169*'Combust Fija Cálc'!$C$32*'Combust Fija Cálc'!$D$32*'Combust Fija Cálc'!$K$9*'Combust Fija Cálc'!$E$13*'Combust Fija Cálc'!$E$9*(1+'Combust Fija Cálc'!$E$10)</f>
        <v>19.005961814254857</v>
      </c>
      <c r="L93" s="150">
        <f>'Combust Fija HRSaño'!N169*'Combust Fija Cálc'!$C$32*'Combust Fija Cálc'!$D$32*'Combust Fija Cálc'!$K$9*'Combust Fija Cálc'!$E$13*'Combust Fija Cálc'!$E$9*(1+'Combust Fija Cálc'!$E$10)</f>
        <v>13953.927786689555</v>
      </c>
      <c r="M93" s="150">
        <f>'Combust Fija HRSaño'!O169*'Combust Fija Cálc'!$C$32*'Combust Fija Cálc'!$D$32*'Combust Fija Cálc'!$K$9*'Combust Fija Cálc'!$E$13*'Combust Fija Cálc'!$E$9*(1+'Combust Fija Cálc'!$E$10)</f>
        <v>12566.909430281852</v>
      </c>
      <c r="N93" s="150">
        <f>'Combust Fija HRSaño'!P169*'Combust Fija Cálc'!$C$32*'Combust Fija Cálc'!$D$32*'Combust Fija Cálc'!$K$9*'Combust Fija Cálc'!$E$13*'Combust Fija Cálc'!$E$9*(1+'Combust Fija Cálc'!$E$10)</f>
        <v>7587.2954655202429</v>
      </c>
      <c r="O93" s="150">
        <f>'Combust Fija HRSaño'!Q169*'Combust Fija Cálc'!$C$32*'Combust Fija Cálc'!$D$32*'Combust Fija Cálc'!$K$9*'Combust Fija Cálc'!$E$13*'Combust Fija Cálc'!$E$9*(1+'Combust Fija Cálc'!$E$10)</f>
        <v>6314.3275211063565</v>
      </c>
      <c r="P93" s="150">
        <f>'Combust Fija HRSaño'!R169*'Combust Fija Cálc'!$C$32*'Combust Fija Cálc'!$D$32*'Combust Fija Cálc'!$K$9*'Combust Fija Cálc'!$E$13*'Combust Fija Cálc'!$E$9*(1+'Combust Fija Cálc'!$E$10)</f>
        <v>1501.7741435097241</v>
      </c>
      <c r="Q93" s="393">
        <f>SUM(K93:P93)/1000</f>
        <v>41.943240308921986</v>
      </c>
    </row>
    <row r="94" spans="1:17">
      <c r="A94" s="147" t="s">
        <v>858</v>
      </c>
      <c r="B94" s="150">
        <f>'Combust Fija HRSaño'!M169*'Combust Fija Cálc'!$C$31*'Combust Fija Cálc'!$D$31*'Combust Fija Cálc'!$K$10*'Combust Fija Cálc'!$E$13*'Combust Fija Cálc'!$E$9*(1+'Combust Fija Cálc'!$E$10)</f>
        <v>1.1890440047996161E-2</v>
      </c>
      <c r="C94" s="150">
        <f>'Combust Fija HRSaño'!N169*'Combust Fija Cálc'!$C$31*'Combust Fija Cálc'!$D$31*'Combust Fija Cálc'!$K$10*'Combust Fija Cálc'!$E$13*'Combust Fija Cálc'!$E$9*(1+'Combust Fija Cálc'!$E$10)</f>
        <v>8.7298050687052182</v>
      </c>
      <c r="D94" s="150">
        <f>'Combust Fija HRSaño'!O169*'Combust Fija Cálc'!$C$31*'Combust Fija Cálc'!$D$31*'Combust Fija Cálc'!$K$10*'Combust Fija Cálc'!$E$13*'Combust Fija Cálc'!$E$9*(1+'Combust Fija Cálc'!$E$10)</f>
        <v>7.8620637371422761</v>
      </c>
      <c r="E94" s="150">
        <f>'Combust Fija HRSaño'!P169*'Combust Fija Cálc'!$C$31*'Combust Fija Cálc'!$D$31*'Combust Fija Cálc'!$K$10*'Combust Fija Cálc'!$E$13*'Combust Fija Cálc'!$E$9*(1+'Combust Fija Cálc'!$E$10)</f>
        <v>4.7467359316452749</v>
      </c>
      <c r="F94" s="150">
        <f>'Combust Fija HRSaño'!Q169*'Combust Fija Cálc'!$C$31*'Combust Fija Cálc'!$D$31*'Combust Fija Cálc'!$K$10*'Combust Fija Cálc'!$E$13*'Combust Fija Cálc'!$E$9*(1+'Combust Fija Cálc'!$E$10)</f>
        <v>3.9503464000867203</v>
      </c>
      <c r="G94" s="150">
        <f>'Combust Fija HRSaño'!R169*'Combust Fija Cálc'!$C$31*'Combust Fija Cálc'!$D$31*'Combust Fija Cálc'!$K$10*'Combust Fija Cálc'!$E$13*'Combust Fija Cálc'!$E$9*(1+'Combust Fija Cálc'!$E$10)</f>
        <v>0.9395344257526721</v>
      </c>
      <c r="H94" s="651">
        <f t="shared" ref="H94" si="13">SUM(B94:G94)/1000</f>
        <v>2.6240376003380157E-2</v>
      </c>
      <c r="J94" s="147" t="s">
        <v>858</v>
      </c>
      <c r="K94" s="150">
        <f>'Combust Fija HRSaño'!M169*'Combust Fija Cálc'!$C$32*'Combust Fija Cálc'!$D$32*'Combust Fija Cálc'!$K$10*'Combust Fija Cálc'!$E$13*'Combust Fija Cálc'!$E$9*(1+'Combust Fija Cálc'!$E$10)</f>
        <v>7.3356343844492439E-3</v>
      </c>
      <c r="L94" s="150">
        <f>'Combust Fija HRSaño'!N169*'Combust Fija Cálc'!$C$32*'Combust Fija Cálc'!$D$32*'Combust Fija Cálc'!$K$10*'Combust Fija Cálc'!$E$13*'Combust Fija Cálc'!$E$9*(1+'Combust Fija Cálc'!$E$10)</f>
        <v>5.385726514160881</v>
      </c>
      <c r="M94" s="150">
        <f>'Combust Fija HRSaño'!O169*'Combust Fija Cálc'!$C$32*'Combust Fija Cálc'!$D$32*'Combust Fija Cálc'!$K$10*'Combust Fija Cálc'!$E$13*'Combust Fija Cálc'!$E$9*(1+'Combust Fija Cálc'!$E$10)</f>
        <v>4.8503860958982594</v>
      </c>
      <c r="N94" s="150">
        <f>'Combust Fija HRSaño'!P169*'Combust Fija Cálc'!$C$32*'Combust Fija Cálc'!$D$32*'Combust Fija Cálc'!$K$10*'Combust Fija Cálc'!$E$13*'Combust Fija Cálc'!$E$9*(1+'Combust Fija Cálc'!$E$10)</f>
        <v>2.9284298287972872</v>
      </c>
      <c r="O94" s="150">
        <f>'Combust Fija HRSaño'!Q169*'Combust Fija Cálc'!$C$32*'Combust Fija Cálc'!$D$32*'Combust Fija Cálc'!$K$10*'Combust Fija Cálc'!$E$13*'Combust Fija Cálc'!$E$9*(1+'Combust Fija Cálc'!$E$10)</f>
        <v>2.4371088677954362</v>
      </c>
      <c r="P94" s="150">
        <f>'Combust Fija HRSaño'!R169*'Combust Fija Cálc'!$C$32*'Combust Fija Cálc'!$D$32*'Combust Fija Cálc'!$K$10*'Combust Fija Cálc'!$E$13*'Combust Fija Cálc'!$E$9*(1+'Combust Fija Cálc'!$E$10)</f>
        <v>0.57963212556515664</v>
      </c>
      <c r="Q94" s="651">
        <f t="shared" ref="Q94" si="14">SUM(K94:P94)/1000</f>
        <v>1.6188619066601469E-2</v>
      </c>
    </row>
    <row r="95" spans="1:17" ht="12.75" thickBot="1">
      <c r="A95" s="147" t="s">
        <v>857</v>
      </c>
      <c r="B95" s="150">
        <f>'Combust Fija HRSaño'!M169*'Combust Fija Cálc'!$C$31*'Combust Fija Cálc'!$D$31*'Combust Fija Cálc'!$K$11*'Combust Fija Cálc'!$E$13*'Combust Fija Cálc'!$E$9*(1+'Combust Fija Cálc'!$E$10)</f>
        <v>1.7253610559155269E-3</v>
      </c>
      <c r="C95" s="150">
        <f>'Combust Fija HRSaño'!N169*'Combust Fija Cálc'!$C$31*'Combust Fija Cálc'!$D$31*'Combust Fija Cálc'!$K$11*'Combust Fija Cálc'!$E$13*'Combust Fija Cálc'!$E$9*(1+'Combust Fija Cálc'!$E$10)</f>
        <v>1.2667374487806524</v>
      </c>
      <c r="D95" s="150">
        <f>'Combust Fija HRSaño'!O169*'Combust Fija Cálc'!$C$31*'Combust Fija Cálc'!$D$31*'Combust Fija Cálc'!$K$11*'Combust Fija Cálc'!$E$13*'Combust Fija Cálc'!$E$9*(1+'Combust Fija Cálc'!$E$10)</f>
        <v>1.1408239338860295</v>
      </c>
      <c r="E95" s="150">
        <f>'Combust Fija HRSaño'!P169*'Combust Fija Cálc'!$C$31*'Combust Fija Cálc'!$D$31*'Combust Fija Cálc'!$K$11*'Combust Fija Cálc'!$E$13*'Combust Fija Cálc'!$E$9*(1+'Combust Fija Cálc'!$E$10)</f>
        <v>0.68877461945202412</v>
      </c>
      <c r="F95" s="150">
        <f>'Combust Fija HRSaño'!Q169*'Combust Fija Cálc'!$C$31*'Combust Fija Cálc'!$D$31*'Combust Fija Cálc'!$K$11*'Combust Fija Cálc'!$E$13*'Combust Fija Cálc'!$E$9*(1+'Combust Fija Cálc'!$E$10)</f>
        <v>0.57321460001258362</v>
      </c>
      <c r="G95" s="150">
        <f>'Combust Fija HRSaño'!R169*'Combust Fija Cálc'!$C$31*'Combust Fija Cálc'!$D$31*'Combust Fija Cálc'!$K$11*'Combust Fija Cálc'!$E$13*'Combust Fija Cálc'!$E$9*(1+'Combust Fija Cálc'!$E$10)</f>
        <v>0.13633104429627935</v>
      </c>
      <c r="H95" s="655">
        <f>SUM(B95:G95)/1000</f>
        <v>3.8076070074834845E-3</v>
      </c>
      <c r="J95" s="147" t="s">
        <v>857</v>
      </c>
      <c r="K95" s="150">
        <f>'Combust Fija HRSaño'!M169*'Combust Fija Cálc'!$C$32*'Combust Fija Cálc'!$D$32*'Combust Fija Cálc'!$K$11*'Combust Fija Cálc'!$E$13*'Combust Fija Cálc'!$E$9*(1+'Combust Fija Cálc'!$E$10)</f>
        <v>1.0644364578833692E-3</v>
      </c>
      <c r="L95" s="150">
        <f>'Combust Fija HRSaño'!N169*'Combust Fija Cálc'!$C$32*'Combust Fija Cálc'!$D$32*'Combust Fija Cálc'!$K$11*'Combust Fija Cálc'!$E$13*'Combust Fija Cálc'!$E$9*(1+'Combust Fija Cálc'!$E$10)</f>
        <v>0.78149528090096709</v>
      </c>
      <c r="M95" s="150">
        <f>'Combust Fija HRSaño'!O169*'Combust Fija Cálc'!$C$32*'Combust Fija Cálc'!$D$32*'Combust Fija Cálc'!$K$11*'Combust Fija Cálc'!$E$13*'Combust Fija Cálc'!$E$9*(1+'Combust Fija Cálc'!$E$10)</f>
        <v>0.70381476566355849</v>
      </c>
      <c r="N95" s="150">
        <f>'Combust Fija HRSaño'!P169*'Combust Fija Cálc'!$C$32*'Combust Fija Cálc'!$D$32*'Combust Fija Cálc'!$K$11*'Combust Fija Cálc'!$E$13*'Combust Fija Cálc'!$E$9*(1+'Combust Fija Cálc'!$E$10)</f>
        <v>0.42492950312967626</v>
      </c>
      <c r="O95" s="150">
        <f>'Combust Fija HRSaño'!Q169*'Combust Fija Cálc'!$C$32*'Combust Fija Cálc'!$D$32*'Combust Fija Cálc'!$K$11*'Combust Fija Cálc'!$E$13*'Combust Fija Cálc'!$E$9*(1+'Combust Fija Cálc'!$E$10)</f>
        <v>0.35363642662066636</v>
      </c>
      <c r="P95" s="150">
        <f>'Combust Fija HRSaño'!R169*'Combust Fija Cálc'!$C$32*'Combust Fija Cálc'!$D$32*'Combust Fija Cálc'!$K$11*'Combust Fija Cálc'!$E$13*'Combust Fija Cálc'!$E$9*(1+'Combust Fija Cálc'!$E$10)</f>
        <v>8.4107458779559441E-2</v>
      </c>
      <c r="Q95" s="655">
        <f>SUM(K95:P95)/1000</f>
        <v>2.3490478715523107E-3</v>
      </c>
    </row>
    <row r="96" spans="1:17" ht="12.75" thickBot="1">
      <c r="A96" s="151" t="s">
        <v>1137</v>
      </c>
      <c r="B96" s="153">
        <f>(B93+(B94*'GEI Gral Combust'!$C$13)+('Combust Fija Cálc'!B95*'GEI Gral Combust'!$D$13))/1000</f>
        <v>3.4529318212315821E-2</v>
      </c>
      <c r="C96" s="153">
        <f>(C93+(C94*'GEI Gral Combust'!$C$13)+('Combust Fija Cálc'!C95*'GEI Gral Combust'!$D$13))/1000</f>
        <v>25.350972372095622</v>
      </c>
      <c r="D96" s="153">
        <f>(D93+(D94*'GEI Gral Combust'!$C$13)+('Combust Fija Cálc'!D95*'GEI Gral Combust'!$D$13))/1000</f>
        <v>22.831089470994332</v>
      </c>
      <c r="E96" s="153">
        <f>(E93+(E94*'GEI Gral Combust'!$C$13)+('Combust Fija Cálc'!E95*'GEI Gral Combust'!$D$13))/1000</f>
        <v>13.7843136832631</v>
      </c>
      <c r="F96" s="153">
        <f>(F93+(F94*'GEI Gral Combust'!$C$13)+('Combust Fija Cálc'!F95*'GEI Gral Combust'!$D$13))/1000</f>
        <v>11.471633290851832</v>
      </c>
      <c r="G96" s="392">
        <f>(G93+(G94*'GEI Gral Combust'!$C$13)+('Combust Fija Cálc'!G95*'GEI Gral Combust'!$D$13))/1000</f>
        <v>2.7283669088182005</v>
      </c>
      <c r="H96" s="396">
        <f>SUM(B96:G96)</f>
        <v>76.200905044235398</v>
      </c>
      <c r="J96" s="151" t="s">
        <v>1137</v>
      </c>
      <c r="K96" s="153">
        <f>(K93+(K94*'GEI Gral Combust'!$C$13)+('Combust Fija Cálc'!K95*'GEI Gral Combust'!$D$13))/1000</f>
        <v>2.1302361639049673E-2</v>
      </c>
      <c r="L96" s="153">
        <f>(L93+(L94*'GEI Gral Combust'!$C$13)+('Combust Fija Cálc'!L95*'GEI Gral Combust'!$D$13))/1000</f>
        <v>15.639914406978349</v>
      </c>
      <c r="M96" s="153">
        <f>(M93+(M94*'GEI Gral Combust'!$C$13)+('Combust Fija Cálc'!M95*'GEI Gral Combust'!$D$13))/1000</f>
        <v>14.085309230089248</v>
      </c>
      <c r="N96" s="153">
        <f>(N93+(N94*'GEI Gral Combust'!$C$13)+('Combust Fija Cálc'!N95*'GEI Gral Combust'!$D$13))/1000</f>
        <v>8.5040322320131256</v>
      </c>
      <c r="O96" s="153">
        <f>(O93+(O94*'GEI Gral Combust'!$C$13)+('Combust Fija Cálc'!O95*'GEI Gral Combust'!$D$13))/1000</f>
        <v>7.0772576350819758</v>
      </c>
      <c r="P96" s="392">
        <f>(P93+(P94*'GEI Gral Combust'!$C$13)+('Combust Fija Cálc'!P95*'GEI Gral Combust'!$D$13))/1000</f>
        <v>1.6832263590692935</v>
      </c>
      <c r="Q96" s="396">
        <f>SUM(K96:P96)</f>
        <v>47.011042224871041</v>
      </c>
    </row>
    <row r="100" spans="1:17">
      <c r="A100" s="30" t="s">
        <v>921</v>
      </c>
      <c r="B100" s="30" t="s">
        <v>914</v>
      </c>
      <c r="J100" s="30" t="s">
        <v>921</v>
      </c>
      <c r="K100" s="30" t="s">
        <v>922</v>
      </c>
    </row>
    <row r="101" spans="1:17" ht="48">
      <c r="A101" s="388" t="s">
        <v>649</v>
      </c>
      <c r="B101" s="148">
        <v>2011</v>
      </c>
      <c r="C101" s="148">
        <v>2012</v>
      </c>
      <c r="D101" s="148">
        <v>2013</v>
      </c>
      <c r="E101" s="148">
        <v>2014</v>
      </c>
      <c r="F101" s="148">
        <v>2015</v>
      </c>
      <c r="G101" s="148">
        <v>2016</v>
      </c>
      <c r="H101" s="390" t="s">
        <v>1138</v>
      </c>
      <c r="J101" s="388" t="s">
        <v>649</v>
      </c>
      <c r="K101" s="148">
        <v>2011</v>
      </c>
      <c r="L101" s="148">
        <v>2012</v>
      </c>
      <c r="M101" s="148">
        <v>2013</v>
      </c>
      <c r="N101" s="148">
        <v>2014</v>
      </c>
      <c r="O101" s="148">
        <v>2015</v>
      </c>
      <c r="P101" s="148">
        <v>2016</v>
      </c>
      <c r="Q101" s="390" t="s">
        <v>1138</v>
      </c>
    </row>
    <row r="102" spans="1:17">
      <c r="A102" s="147" t="s">
        <v>842</v>
      </c>
      <c r="B102" s="150">
        <f>'Combust Fija HRSaño'!M183*'Combust Fija Cálc'!$C$33*'Combust Fija Cálc'!$D$33*'Combust Fija Cálc'!$K$9*'Combust Fija Cálc'!$E$13*'Combust Fija Cálc'!$E$9*(1+'Combust Fija Cálc'!$E$10)</f>
        <v>0</v>
      </c>
      <c r="C102" s="150">
        <f>'Combust Fija HRSaño'!N183*'Combust Fija Cálc'!$C$33*'Combust Fija Cálc'!$D$33*'Combust Fija Cálc'!$K$9*'Combust Fija Cálc'!$E$13*'Combust Fija Cálc'!$E$9*(1+'Combust Fija Cálc'!$E$10)</f>
        <v>4611.7407343412524</v>
      </c>
      <c r="D102" s="150">
        <f>'Combust Fija HRSaño'!O183*'Combust Fija Cálc'!$C$33*'Combust Fija Cálc'!$D$33*'Combust Fija Cálc'!$K$9*'Combust Fija Cálc'!$E$13*'Combust Fija Cálc'!$E$9*(1+'Combust Fija Cálc'!$E$10)</f>
        <v>7546.4848380129579</v>
      </c>
      <c r="E102" s="150">
        <f>'Combust Fija HRSaño'!P183*'Combust Fija Cálc'!$C$33*'Combust Fija Cálc'!$D$33*'Combust Fija Cálc'!$K$9*'Combust Fija Cálc'!$E$13*'Combust Fija Cálc'!$E$9*(1+'Combust Fija Cálc'!$E$10)</f>
        <v>18446.96293736501</v>
      </c>
      <c r="F102" s="150">
        <f>'Combust Fija HRSaño'!Q183*'Combust Fija Cálc'!$C$33*'Combust Fija Cálc'!$D$33*'Combust Fija Cálc'!$K$9*'Combust Fija Cálc'!$E$13*'Combust Fija Cálc'!$E$9*(1+'Combust Fija Cálc'!$E$10)</f>
        <v>23897.201987041033</v>
      </c>
      <c r="G102" s="150">
        <f>'Combust Fija HRSaño'!R183*'Combust Fija Cálc'!$C$33*'Combust Fija Cálc'!$D$33*'Combust Fija Cálc'!$K$9*'Combust Fija Cálc'!$E$13*'Combust Fija Cálc'!$E$9*(1+'Combust Fija Cálc'!$E$10)</f>
        <v>3353.9932613390929</v>
      </c>
      <c r="H102" s="393">
        <f>SUM(B102:G102)/1000</f>
        <v>57.856383758099348</v>
      </c>
      <c r="J102" s="147" t="s">
        <v>842</v>
      </c>
      <c r="K102" s="150">
        <f>'Combust Fija HRSaño'!M183*'Combust Fija Cálc'!$C$34*'Combust Fija Cálc'!$D$34*'Combust Fija Cálc'!$K$9*'Combust Fija Cálc'!$E$13*'Combust Fija Cálc'!$E$9*(1+'Combust Fija Cálc'!$E$10)</f>
        <v>0</v>
      </c>
      <c r="L102" s="150">
        <f>'Combust Fija HRSaño'!N183*'Combust Fija Cálc'!$C$34*'Combust Fija Cálc'!$D$34*'Combust Fija Cálc'!$K$9*'Combust Fija Cálc'!$E$13*'Combust Fija Cálc'!$E$9*(1+'Combust Fija Cálc'!$E$10)</f>
        <v>12297.975291576673</v>
      </c>
      <c r="M102" s="150">
        <f>'Combust Fija HRSaño'!O183*'Combust Fija Cálc'!$C$34*'Combust Fija Cálc'!$D$34*'Combust Fija Cálc'!$K$9*'Combust Fija Cálc'!$E$13*'Combust Fija Cálc'!$E$9*(1+'Combust Fija Cálc'!$E$10)</f>
        <v>20123.959568034556</v>
      </c>
      <c r="N102" s="150">
        <f>'Combust Fija HRSaño'!P183*'Combust Fija Cálc'!$C$34*'Combust Fija Cálc'!$D$34*'Combust Fija Cálc'!$K$9*'Combust Fija Cálc'!$E$13*'Combust Fija Cálc'!$E$9*(1+'Combust Fija Cálc'!$E$10)</f>
        <v>49191.901166306692</v>
      </c>
      <c r="O102" s="150">
        <f>'Combust Fija HRSaño'!Q183*'Combust Fija Cálc'!$C$34*'Combust Fija Cálc'!$D$34*'Combust Fija Cálc'!$K$9*'Combust Fija Cálc'!$E$13*'Combust Fija Cálc'!$E$9*(1+'Combust Fija Cálc'!$E$10)</f>
        <v>63725.871965442755</v>
      </c>
      <c r="P102" s="150">
        <f>'Combust Fija HRSaño'!R183*'Combust Fija Cálc'!$C$34*'Combust Fija Cálc'!$D$34*'Combust Fija Cálc'!$K$9*'Combust Fija Cálc'!$E$13*'Combust Fija Cálc'!$E$9*(1+'Combust Fija Cálc'!$E$10)</f>
        <v>8943.9820302375811</v>
      </c>
      <c r="Q102" s="393">
        <f>SUM(K102:P102)/1000</f>
        <v>154.28369002159826</v>
      </c>
    </row>
    <row r="103" spans="1:17">
      <c r="A103" s="147" t="s">
        <v>858</v>
      </c>
      <c r="B103" s="150">
        <f>'Combust Fija HRSaño'!M183*'Combust Fija Cálc'!$C$33*'Combust Fija Cálc'!$D$33*'Combust Fija Cálc'!$K$10*'Combust Fija Cálc'!$E$13*'Combust Fija Cálc'!$E$9*(1+'Combust Fija Cálc'!$E$10)</f>
        <v>0</v>
      </c>
      <c r="C103" s="150">
        <f>'Combust Fija HRSaño'!N183*'Combust Fija Cálc'!$C$33*'Combust Fija Cálc'!$D$33*'Combust Fija Cálc'!$K$10*'Combust Fija Cálc'!$E$13*'Combust Fija Cálc'!$E$9*(1+'Combust Fija Cálc'!$E$10)</f>
        <v>1.7799701079913606</v>
      </c>
      <c r="D103" s="150">
        <f>'Combust Fija HRSaño'!O183*'Combust Fija Cálc'!$C$33*'Combust Fija Cálc'!$D$33*'Combust Fija Cálc'!$K$10*'Combust Fija Cálc'!$E$13*'Combust Fija Cálc'!$E$9*(1+'Combust Fija Cálc'!$E$10)</f>
        <v>2.9126783585313167</v>
      </c>
      <c r="E103" s="150">
        <f>'Combust Fija HRSaño'!P183*'Combust Fija Cálc'!$C$33*'Combust Fija Cálc'!$D$33*'Combust Fija Cálc'!$K$10*'Combust Fija Cálc'!$E$13*'Combust Fija Cálc'!$E$9*(1+'Combust Fija Cálc'!$E$10)</f>
        <v>7.1198804319654423</v>
      </c>
      <c r="F103" s="150">
        <f>'Combust Fija HRSaño'!Q183*'Combust Fija Cálc'!$C$33*'Combust Fija Cálc'!$D$33*'Combust Fija Cálc'!$K$10*'Combust Fija Cálc'!$E$13*'Combust Fija Cálc'!$E$9*(1+'Combust Fija Cálc'!$E$10)</f>
        <v>9.223481468682504</v>
      </c>
      <c r="G103" s="150">
        <f>'Combust Fija HRSaño'!R183*'Combust Fija Cálc'!$C$33*'Combust Fija Cálc'!$D$33*'Combust Fija Cálc'!$K$10*'Combust Fija Cálc'!$E$13*'Combust Fija Cálc'!$E$9*(1+'Combust Fija Cálc'!$E$10)</f>
        <v>1.2945237149028077</v>
      </c>
      <c r="H103" s="651">
        <f t="shared" ref="H103" si="15">SUM(B103:G103)/1000</f>
        <v>2.2330534082073434E-2</v>
      </c>
      <c r="J103" s="147" t="s">
        <v>858</v>
      </c>
      <c r="K103" s="150">
        <f>'Combust Fija HRSaño'!M183*'Combust Fija Cálc'!$C$34*'Combust Fija Cálc'!$D$34*'Combust Fija Cálc'!$K$10*'Combust Fija Cálc'!$E$13*'Combust Fija Cálc'!$E$9*(1+'Combust Fija Cálc'!$E$10)</f>
        <v>0</v>
      </c>
      <c r="L103" s="150">
        <f>'Combust Fija HRSaño'!N183*'Combust Fija Cálc'!$C$34*'Combust Fija Cálc'!$D$34*'Combust Fija Cálc'!$K$10*'Combust Fija Cálc'!$E$13*'Combust Fija Cálc'!$E$9*(1+'Combust Fija Cálc'!$E$10)</f>
        <v>4.7465869546436279</v>
      </c>
      <c r="M103" s="150">
        <f>'Combust Fija HRSaño'!O183*'Combust Fija Cálc'!$C$34*'Combust Fija Cálc'!$D$34*'Combust Fija Cálc'!$K$10*'Combust Fija Cálc'!$E$13*'Combust Fija Cálc'!$E$9*(1+'Combust Fija Cálc'!$E$10)</f>
        <v>7.7671422894168458</v>
      </c>
      <c r="N103" s="150">
        <f>'Combust Fija HRSaño'!P183*'Combust Fija Cálc'!$C$34*'Combust Fija Cálc'!$D$34*'Combust Fija Cálc'!$K$10*'Combust Fija Cálc'!$E$13*'Combust Fija Cálc'!$E$9*(1+'Combust Fija Cálc'!$E$10)</f>
        <v>18.986347818574512</v>
      </c>
      <c r="O103" s="150">
        <f>'Combust Fija HRSaño'!Q183*'Combust Fija Cálc'!$C$34*'Combust Fija Cálc'!$D$34*'Combust Fija Cálc'!$K$10*'Combust Fija Cálc'!$E$13*'Combust Fija Cálc'!$E$9*(1+'Combust Fija Cálc'!$E$10)</f>
        <v>24.595950583153346</v>
      </c>
      <c r="P103" s="150">
        <f>'Combust Fija HRSaño'!R183*'Combust Fija Cálc'!$C$34*'Combust Fija Cálc'!$D$34*'Combust Fija Cálc'!$K$10*'Combust Fija Cálc'!$E$13*'Combust Fija Cálc'!$E$9*(1+'Combust Fija Cálc'!$E$10)</f>
        <v>3.4520632397408209</v>
      </c>
      <c r="Q103" s="651">
        <f t="shared" ref="Q103" si="16">SUM(K103:P103)/1000</f>
        <v>5.9548090885529155E-2</v>
      </c>
    </row>
    <row r="104" spans="1:17" ht="12.75" thickBot="1">
      <c r="A104" s="147" t="s">
        <v>857</v>
      </c>
      <c r="B104" s="150">
        <f>'Combust Fija HRSaño'!M183*'Combust Fija Cálc'!$C$33*'Combust Fija Cálc'!$D$33*'Combust Fija Cálc'!$K$11*'Combust Fija Cálc'!$E$13*'Combust Fija Cálc'!$E$9*(1+'Combust Fija Cálc'!$E$10)</f>
        <v>0</v>
      </c>
      <c r="C104" s="150">
        <f>'Combust Fija HRSaño'!N183*'Combust Fija Cálc'!$C$33*'Combust Fija Cálc'!$D$33*'Combust Fija Cálc'!$K$11*'Combust Fija Cálc'!$E$13*'Combust Fija Cálc'!$E$9*(1+'Combust Fija Cálc'!$E$10)</f>
        <v>0.25828237580993518</v>
      </c>
      <c r="D104" s="150">
        <f>'Combust Fija HRSaño'!O183*'Combust Fija Cálc'!$C$33*'Combust Fija Cálc'!$D$33*'Combust Fija Cálc'!$K$11*'Combust Fija Cálc'!$E$13*'Combust Fija Cálc'!$E$9*(1+'Combust Fija Cálc'!$E$10)</f>
        <v>0.42264388768898487</v>
      </c>
      <c r="E104" s="150">
        <f>'Combust Fija HRSaño'!P183*'Combust Fija Cálc'!$C$33*'Combust Fija Cálc'!$D$33*'Combust Fija Cálc'!$K$11*'Combust Fija Cálc'!$E$13*'Combust Fija Cálc'!$E$9*(1+'Combust Fija Cálc'!$E$10)</f>
        <v>1.0331295032397407</v>
      </c>
      <c r="F104" s="150">
        <f>'Combust Fija HRSaño'!Q183*'Combust Fija Cálc'!$C$33*'Combust Fija Cálc'!$D$33*'Combust Fija Cálc'!$K$11*'Combust Fija Cálc'!$E$13*'Combust Fija Cálc'!$E$9*(1+'Combust Fija Cálc'!$E$10)</f>
        <v>1.3383723110151187</v>
      </c>
      <c r="G104" s="150">
        <f>'Combust Fija HRSaño'!R183*'Combust Fija Cálc'!$C$33*'Combust Fija Cálc'!$D$33*'Combust Fija Cálc'!$K$11*'Combust Fija Cálc'!$E$13*'Combust Fija Cálc'!$E$9*(1+'Combust Fija Cálc'!$E$10)</f>
        <v>0.18784172786177106</v>
      </c>
      <c r="H104" s="655">
        <f>SUM(B104:G104)/1000</f>
        <v>3.2402698056155504E-3</v>
      </c>
      <c r="J104" s="147" t="s">
        <v>857</v>
      </c>
      <c r="K104" s="150">
        <f>'Combust Fija HRSaño'!M183*'Combust Fija Cálc'!$C$34*'Combust Fija Cálc'!$D$34*'Combust Fija Cálc'!$K$11*'Combust Fija Cálc'!$E$13*'Combust Fija Cálc'!$E$9*(1+'Combust Fija Cálc'!$E$10)</f>
        <v>0</v>
      </c>
      <c r="L104" s="150">
        <f>'Combust Fija HRSaño'!N183*'Combust Fija Cálc'!$C$34*'Combust Fija Cálc'!$D$34*'Combust Fija Cálc'!$K$11*'Combust Fija Cálc'!$E$13*'Combust Fija Cálc'!$E$9*(1+'Combust Fija Cálc'!$E$10)</f>
        <v>0.68875300215982727</v>
      </c>
      <c r="M104" s="150">
        <f>'Combust Fija HRSaño'!O183*'Combust Fija Cálc'!$C$34*'Combust Fija Cálc'!$D$34*'Combust Fija Cálc'!$K$11*'Combust Fija Cálc'!$E$13*'Combust Fija Cálc'!$E$9*(1+'Combust Fija Cálc'!$E$10)</f>
        <v>1.1270503671706265</v>
      </c>
      <c r="N104" s="150">
        <f>'Combust Fija HRSaño'!P183*'Combust Fija Cálc'!$C$34*'Combust Fija Cálc'!$D$34*'Combust Fija Cálc'!$K$11*'Combust Fija Cálc'!$E$13*'Combust Fija Cálc'!$E$9*(1+'Combust Fija Cálc'!$E$10)</f>
        <v>2.7550120086393091</v>
      </c>
      <c r="O104" s="150">
        <f>'Combust Fija HRSaño'!Q183*'Combust Fija Cálc'!$C$34*'Combust Fija Cálc'!$D$34*'Combust Fija Cálc'!$K$11*'Combust Fija Cálc'!$E$13*'Combust Fija Cálc'!$E$9*(1+'Combust Fija Cálc'!$E$10)</f>
        <v>3.5689928293736504</v>
      </c>
      <c r="P104" s="150">
        <f>'Combust Fija HRSaño'!R183*'Combust Fija Cálc'!$C$34*'Combust Fija Cálc'!$D$34*'Combust Fija Cálc'!$K$11*'Combust Fija Cálc'!$E$13*'Combust Fija Cálc'!$E$9*(1+'Combust Fija Cálc'!$E$10)</f>
        <v>0.50091127429805615</v>
      </c>
      <c r="Q104" s="655">
        <f>SUM(K104:P104)/1000</f>
        <v>8.6407194816414713E-3</v>
      </c>
    </row>
    <row r="105" spans="1:17" ht="12.75" thickBot="1">
      <c r="A105" s="151" t="s">
        <v>1137</v>
      </c>
      <c r="B105" s="153">
        <f>(B102+(B103*'GEI Gral Combust'!$C$13)+('Combust Fija Cálc'!B104*'GEI Gral Combust'!$D$13))/1000</f>
        <v>0</v>
      </c>
      <c r="C105" s="153">
        <f>(C102+(C103*'GEI Gral Combust'!$C$13)+('Combust Fija Cálc'!C104*'GEI Gral Combust'!$D$13))/1000</f>
        <v>5.1689553977105822</v>
      </c>
      <c r="D105" s="153">
        <f>(D102+(D103*'GEI Gral Combust'!$C$13)+('Combust Fija Cálc'!D104*'GEI Gral Combust'!$D$13))/1000</f>
        <v>8.4582906507991336</v>
      </c>
      <c r="E105" s="153">
        <f>(E102+(E103*'GEI Gral Combust'!$C$13)+('Combust Fija Cálc'!E104*'GEI Gral Combust'!$D$13))/1000</f>
        <v>20.675821590842329</v>
      </c>
      <c r="F105" s="153">
        <f>(F102+(F103*'GEI Gral Combust'!$C$13)+('Combust Fija Cálc'!F104*'GEI Gral Combust'!$D$13))/1000</f>
        <v>26.784587060863924</v>
      </c>
      <c r="G105" s="392">
        <f>(G102+(G103*'GEI Gral Combust'!$C$13)+('Combust Fija Cálc'!G104*'GEI Gral Combust'!$D$13))/1000</f>
        <v>3.7592402892440604</v>
      </c>
      <c r="H105" s="396">
        <f>SUM(B105:G105)</f>
        <v>64.846894989460026</v>
      </c>
      <c r="J105" s="151" t="s">
        <v>1137</v>
      </c>
      <c r="K105" s="153">
        <f>(K102+(K103*'GEI Gral Combust'!$C$13)+('Combust Fija Cálc'!K104*'GEI Gral Combust'!$D$13))/1000</f>
        <v>0</v>
      </c>
      <c r="L105" s="153">
        <f>(L102+(L103*'GEI Gral Combust'!$C$13)+('Combust Fija Cálc'!L104*'GEI Gral Combust'!$D$13))/1000</f>
        <v>13.783881060561555</v>
      </c>
      <c r="M105" s="153">
        <f>(M102+(M103*'GEI Gral Combust'!$C$13)+('Combust Fija Cálc'!M104*'GEI Gral Combust'!$D$13))/1000</f>
        <v>22.555441735464363</v>
      </c>
      <c r="N105" s="153">
        <f>(N102+(N103*'GEI Gral Combust'!$C$13)+('Combust Fija Cálc'!N104*'GEI Gral Combust'!$D$13))/1000</f>
        <v>55.13552424224622</v>
      </c>
      <c r="O105" s="153">
        <f>(O102+(O103*'GEI Gral Combust'!$C$13)+('Combust Fija Cálc'!O104*'GEI Gral Combust'!$D$13))/1000</f>
        <v>71.425565495637144</v>
      </c>
      <c r="P105" s="392">
        <f>(P102+(P103*'GEI Gral Combust'!$C$13)+('Combust Fija Cálc'!P104*'GEI Gral Combust'!$D$13))/1000</f>
        <v>10.024640771317493</v>
      </c>
      <c r="Q105" s="396">
        <f>SUM(K105:P105)</f>
        <v>172.92505330522675</v>
      </c>
    </row>
    <row r="110" spans="1:17" ht="43.5" customHeight="1" thickBot="1">
      <c r="A110" s="902" t="s">
        <v>711</v>
      </c>
      <c r="B110" s="903"/>
      <c r="C110" s="903"/>
      <c r="D110" s="903"/>
      <c r="E110" s="29" t="s">
        <v>1140</v>
      </c>
    </row>
    <row r="111" spans="1:17" ht="24">
      <c r="A111" s="388" t="s">
        <v>649</v>
      </c>
      <c r="B111" s="148">
        <v>2011</v>
      </c>
      <c r="C111" s="148">
        <v>2012</v>
      </c>
      <c r="D111" s="148">
        <v>2013</v>
      </c>
      <c r="E111" s="148">
        <v>2014</v>
      </c>
      <c r="F111" s="148">
        <v>2015</v>
      </c>
      <c r="G111" s="148">
        <v>2016</v>
      </c>
      <c r="H111" s="390" t="s">
        <v>1138</v>
      </c>
    </row>
    <row r="112" spans="1:17">
      <c r="A112" s="147" t="s">
        <v>842</v>
      </c>
      <c r="B112" s="150">
        <f>(B45+B55+B65+K65+B75+K75+B83+K83+B93+K93+B102+K102)/1000</f>
        <v>17.146502634844133</v>
      </c>
      <c r="C112" s="150">
        <f>(C45+C55+C65+L65+C75+L75+C83+L83+C93+L93+C102+L102)/1000</f>
        <v>581.53050407907062</v>
      </c>
      <c r="D112" s="150">
        <f t="shared" ref="D112:G112" si="17">(D45+D55+D65+M65+D75+M75+D83+M83+D93+M93+D102+M102)/1000</f>
        <v>3007.6132547432089</v>
      </c>
      <c r="E112" s="150">
        <f t="shared" si="17"/>
        <v>2369.3061391697838</v>
      </c>
      <c r="F112" s="150">
        <f t="shared" si="17"/>
        <v>2425.134541224259</v>
      </c>
      <c r="G112" s="150">
        <f t="shared" si="17"/>
        <v>324.58971362716414</v>
      </c>
      <c r="H112" s="393">
        <f>SUM(B112:G112)</f>
        <v>8725.3206554783301</v>
      </c>
    </row>
    <row r="113" spans="1:9">
      <c r="A113" s="147" t="s">
        <v>858</v>
      </c>
      <c r="B113" s="150">
        <f>(B46+B56+B66+K66+B76+K76+B84+K84+B94+K94+B103+K103)/1000</f>
        <v>6.6179483853784377E-3</v>
      </c>
      <c r="C113" s="150">
        <f t="shared" ref="C113:G113" si="18">(C46+C56+C66+L66+C76+L76+C84+L84+C94+L94+C103+L103)/1000</f>
        <v>0.22445036999543078</v>
      </c>
      <c r="D113" s="150">
        <f t="shared" si="18"/>
        <v>1.1608331860412386</v>
      </c>
      <c r="E113" s="150">
        <f t="shared" si="18"/>
        <v>0.91446903617079378</v>
      </c>
      <c r="F113" s="150">
        <f t="shared" si="18"/>
        <v>0.93601684047252109</v>
      </c>
      <c r="G113" s="150">
        <f t="shared" si="18"/>
        <v>0.12528024034732654</v>
      </c>
      <c r="H113" s="651">
        <f>SUM(B113:G113)</f>
        <v>3.3676676214126897</v>
      </c>
    </row>
    <row r="114" spans="1:9" ht="12.75" thickBot="1">
      <c r="A114" s="147" t="s">
        <v>857</v>
      </c>
      <c r="B114" s="150">
        <f>(B47+B57+B67+K67+B77+K77+B85+K85+B95+K95+B104+K104)/1000</f>
        <v>9.6029670626994815E-4</v>
      </c>
      <c r="C114" s="150">
        <f t="shared" ref="C114:G114" si="19">(C47+C57+C67+L67+C77+L77+C85+L85+C95+L95+C104+L104)/1000</f>
        <v>3.2568847394441866E-2</v>
      </c>
      <c r="D114" s="150">
        <f t="shared" si="19"/>
        <v>0.16844257769479515</v>
      </c>
      <c r="E114" s="150">
        <f t="shared" si="19"/>
        <v>0.13269393357023757</v>
      </c>
      <c r="F114" s="150">
        <f t="shared" si="19"/>
        <v>0.13582062545318047</v>
      </c>
      <c r="G114" s="150">
        <f t="shared" si="19"/>
        <v>1.8178776134314862E-2</v>
      </c>
      <c r="H114" s="655">
        <f>SUM(B114:G114)</f>
        <v>0.48866505695323986</v>
      </c>
    </row>
    <row r="115" spans="1:9" ht="12.75" thickBot="1">
      <c r="A115" s="478" t="s">
        <v>1137</v>
      </c>
      <c r="B115" s="153">
        <f>(B112+(B113*'GEI Gral Combust'!$C$13)+('Combust Fija Cálc'!B114*'GEI Gral Combust'!$D$13))</f>
        <v>19.218232865143118</v>
      </c>
      <c r="C115" s="153">
        <f>(C112+(C113*'GEI Gral Combust'!$C$13)+('Combust Fija Cálc'!C114*'GEI Gral Combust'!$D$13))</f>
        <v>651.79406457293749</v>
      </c>
      <c r="D115" s="153">
        <f>(D112+(D113*'GEI Gral Combust'!$C$13)+('Combust Fija Cálc'!D114*'GEI Gral Combust'!$D$13))</f>
        <v>3371.008836547584</v>
      </c>
      <c r="E115" s="153">
        <f>(E112+(E113*'GEI Gral Combust'!$C$13)+('Combust Fija Cálc'!E114*'GEI Gral Combust'!$D$13))</f>
        <v>2655.578112987705</v>
      </c>
      <c r="F115" s="153">
        <f>(F112+(F113*'GEI Gral Combust'!$C$13)+('Combust Fija Cálc'!F114*'GEI Gral Combust'!$D$13))</f>
        <v>2718.1519949052572</v>
      </c>
      <c r="G115" s="392">
        <f>(G112+(G113*'GEI Gral Combust'!$C$13)+('Combust Fija Cálc'!G114*'GEI Gral Combust'!$D$13))</f>
        <v>363.80834243365598</v>
      </c>
      <c r="H115" s="396">
        <f>SUM(B115:G115)</f>
        <v>9779.5595843122846</v>
      </c>
      <c r="I115" s="480" t="s">
        <v>1141</v>
      </c>
    </row>
    <row r="116" spans="1:9">
      <c r="A116" s="479"/>
      <c r="B116" s="362"/>
      <c r="C116" s="362"/>
      <c r="D116" s="362"/>
      <c r="I116" s="29" t="s">
        <v>926</v>
      </c>
    </row>
    <row r="117" spans="1:9" ht="44.25" customHeight="1" thickBot="1">
      <c r="A117" s="902" t="s">
        <v>928</v>
      </c>
      <c r="B117" s="903"/>
      <c r="C117" s="903"/>
      <c r="D117" s="903"/>
    </row>
    <row r="118" spans="1:9" ht="24">
      <c r="A118" s="388" t="s">
        <v>649</v>
      </c>
      <c r="B118" s="148">
        <v>2011</v>
      </c>
      <c r="C118" s="148">
        <v>2012</v>
      </c>
      <c r="D118" s="148">
        <v>2013</v>
      </c>
      <c r="E118" s="148">
        <v>2014</v>
      </c>
      <c r="F118" s="148">
        <v>2015</v>
      </c>
      <c r="G118" s="148">
        <v>2016</v>
      </c>
      <c r="H118" s="390" t="s">
        <v>1142</v>
      </c>
    </row>
    <row r="119" spans="1:9" ht="12.75" thickBot="1">
      <c r="A119" s="478" t="s">
        <v>1137</v>
      </c>
      <c r="B119" s="150">
        <f t="shared" ref="B119:G119" si="20">B48+B58+B68+B78+B86+B96+B105+K105+K96+K86+K78+K68</f>
        <v>19.218232865143118</v>
      </c>
      <c r="C119" s="150">
        <f t="shared" si="20"/>
        <v>651.79406457293737</v>
      </c>
      <c r="D119" s="150">
        <f t="shared" si="20"/>
        <v>3371.008836547584</v>
      </c>
      <c r="E119" s="150">
        <f t="shared" si="20"/>
        <v>2655.5781129877046</v>
      </c>
      <c r="F119" s="150">
        <f>F48+F58+F68+F78+F86+F96+F105+O105+O96+O86+O78+O68</f>
        <v>2718.1519949052572</v>
      </c>
      <c r="G119" s="150">
        <f t="shared" si="20"/>
        <v>363.80834243365604</v>
      </c>
      <c r="H119" s="396">
        <f>SUM(B119:G119)</f>
        <v>9779.5595843122828</v>
      </c>
      <c r="I119" s="480"/>
    </row>
  </sheetData>
  <mergeCells count="10">
    <mergeCell ref="J7:J8"/>
    <mergeCell ref="A35:D35"/>
    <mergeCell ref="F10:H10"/>
    <mergeCell ref="F9:H9"/>
    <mergeCell ref="A110:D110"/>
    <mergeCell ref="A117:D117"/>
    <mergeCell ref="A40:A41"/>
    <mergeCell ref="B40:D40"/>
    <mergeCell ref="F5:H5"/>
    <mergeCell ref="F6:H6"/>
  </mergeCells>
  <pageMargins left="0.7" right="0.7" top="0.75" bottom="0.75" header="0.3" footer="0.3"/>
  <pageSetup orientation="portrait" horizontalDpi="0"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889DB"/>
  </sheetPr>
  <dimension ref="A1:W361"/>
  <sheetViews>
    <sheetView workbookViewId="0">
      <selection activeCell="K62" sqref="K62"/>
    </sheetView>
  </sheetViews>
  <sheetFormatPr baseColWidth="10" defaultRowHeight="12"/>
  <cols>
    <col min="1" max="1" width="29.7109375" style="29" customWidth="1"/>
    <col min="2" max="2" width="18.42578125" style="29" customWidth="1"/>
    <col min="3" max="10" width="10.140625" style="29" customWidth="1"/>
    <col min="11" max="11" width="28.28515625" style="29" customWidth="1"/>
    <col min="12" max="12" width="24.28515625" style="29" customWidth="1"/>
    <col min="13" max="13" width="17.7109375" style="29" customWidth="1"/>
    <col min="14" max="14" width="13.85546875" style="29" customWidth="1"/>
    <col min="15" max="15" width="12" style="29" customWidth="1"/>
    <col min="16" max="16" width="16.42578125" style="29" customWidth="1"/>
    <col min="17" max="22" width="10.140625" style="29" customWidth="1"/>
    <col min="23" max="16384" width="11.42578125" style="29"/>
  </cols>
  <sheetData>
    <row r="1" spans="1:16">
      <c r="A1" s="263" t="s">
        <v>731</v>
      </c>
    </row>
    <row r="2" spans="1:16">
      <c r="A2" s="264"/>
    </row>
    <row r="3" spans="1:16">
      <c r="A3" s="264" t="s">
        <v>735</v>
      </c>
    </row>
    <row r="4" spans="1:16">
      <c r="A4" s="264" t="s">
        <v>736</v>
      </c>
    </row>
    <row r="5" spans="1:16" ht="12.75" thickBot="1">
      <c r="A5" s="265" t="s">
        <v>737</v>
      </c>
    </row>
    <row r="6" spans="1:16">
      <c r="A6" s="30"/>
    </row>
    <row r="7" spans="1:16" ht="12.75" thickBot="1">
      <c r="A7" s="30"/>
    </row>
    <row r="8" spans="1:16">
      <c r="A8" s="163" t="s">
        <v>607</v>
      </c>
      <c r="B8" s="164"/>
      <c r="C8" s="164"/>
      <c r="D8" s="164"/>
      <c r="E8" s="165"/>
      <c r="F8" s="165"/>
      <c r="G8" s="165"/>
      <c r="H8" s="165"/>
      <c r="I8" s="165"/>
      <c r="J8" s="165"/>
      <c r="K8" s="165"/>
      <c r="L8" s="165"/>
      <c r="M8" s="165"/>
      <c r="N8" s="165"/>
      <c r="O8" s="165"/>
      <c r="P8" s="166"/>
    </row>
    <row r="9" spans="1:16">
      <c r="A9" s="167"/>
      <c r="B9" s="360"/>
      <c r="C9" s="360"/>
      <c r="D9" s="360"/>
      <c r="E9" s="162"/>
      <c r="F9" s="162"/>
      <c r="G9" s="162"/>
      <c r="H9" s="162"/>
      <c r="I9" s="162"/>
      <c r="J9" s="162"/>
      <c r="K9" s="162"/>
      <c r="L9" s="162"/>
      <c r="M9" s="162"/>
      <c r="N9" s="162"/>
      <c r="O9" s="162"/>
      <c r="P9" s="168"/>
    </row>
    <row r="10" spans="1:16" ht="39.75" customHeight="1">
      <c r="A10" s="169"/>
      <c r="B10" s="156"/>
      <c r="C10" s="1008" t="s">
        <v>719</v>
      </c>
      <c r="D10" s="1009"/>
      <c r="E10" s="1009"/>
      <c r="F10" s="162"/>
      <c r="G10" s="162"/>
      <c r="H10" s="162"/>
      <c r="I10" s="162"/>
      <c r="J10" s="162"/>
      <c r="K10" s="162"/>
      <c r="L10" s="162"/>
      <c r="M10" s="162"/>
      <c r="N10" s="162"/>
      <c r="O10" s="162"/>
      <c r="P10" s="170"/>
    </row>
    <row r="11" spans="1:16" ht="17.25" customHeight="1" thickBot="1">
      <c r="A11" s="167"/>
      <c r="B11" s="156"/>
      <c r="C11" s="171"/>
      <c r="D11" s="156"/>
      <c r="E11" s="162"/>
      <c r="F11" s="162" t="s">
        <v>840</v>
      </c>
      <c r="G11" s="162"/>
      <c r="H11" s="162"/>
      <c r="I11" s="162"/>
      <c r="J11" s="172" t="s">
        <v>732</v>
      </c>
      <c r="K11" s="162"/>
      <c r="L11" s="162"/>
      <c r="M11" s="162"/>
      <c r="N11" s="172"/>
      <c r="O11" s="162"/>
      <c r="P11" s="168"/>
    </row>
    <row r="12" spans="1:16" ht="15.75">
      <c r="A12" s="358"/>
      <c r="B12" s="156"/>
      <c r="C12" s="156"/>
      <c r="D12" s="156"/>
      <c r="E12" s="162"/>
      <c r="F12" s="162"/>
      <c r="G12" s="162"/>
      <c r="H12" s="162"/>
      <c r="I12" s="162"/>
      <c r="J12" s="907" t="s">
        <v>649</v>
      </c>
      <c r="K12" s="125" t="s">
        <v>680</v>
      </c>
      <c r="L12" s="162"/>
      <c r="M12" s="162"/>
      <c r="N12" s="162"/>
      <c r="O12" s="1010"/>
      <c r="P12" s="174"/>
    </row>
    <row r="13" spans="1:16" ht="15.75">
      <c r="A13" s="358" t="s">
        <v>702</v>
      </c>
      <c r="B13" s="157" t="s">
        <v>512</v>
      </c>
      <c r="C13" s="156"/>
      <c r="D13" s="157" t="s">
        <v>295</v>
      </c>
      <c r="E13" s="175" t="s">
        <v>344</v>
      </c>
      <c r="F13" s="175" t="s">
        <v>718</v>
      </c>
      <c r="G13" s="162"/>
      <c r="H13" s="162"/>
      <c r="I13" s="162"/>
      <c r="J13" s="908"/>
      <c r="K13" s="127" t="s">
        <v>681</v>
      </c>
      <c r="L13" s="162"/>
      <c r="M13" s="162"/>
      <c r="N13" s="162"/>
      <c r="O13" s="1010"/>
      <c r="P13" s="174"/>
    </row>
    <row r="14" spans="1:16" ht="21" customHeight="1">
      <c r="A14" s="176" t="s">
        <v>646</v>
      </c>
      <c r="B14" s="158" t="s">
        <v>723</v>
      </c>
      <c r="C14" s="158"/>
      <c r="D14" s="177" t="s">
        <v>726</v>
      </c>
      <c r="E14" s="178"/>
      <c r="F14" s="1009"/>
      <c r="G14" s="927"/>
      <c r="H14" s="927"/>
      <c r="I14" s="162"/>
      <c r="J14" s="128" t="s">
        <v>712</v>
      </c>
      <c r="K14" s="129">
        <v>74100</v>
      </c>
      <c r="L14" s="162"/>
      <c r="M14" s="162"/>
      <c r="N14" s="162"/>
      <c r="O14" s="161"/>
      <c r="P14" s="179"/>
    </row>
    <row r="15" spans="1:16" ht="21.75" customHeight="1">
      <c r="A15" s="176" t="s">
        <v>617</v>
      </c>
      <c r="B15" s="158" t="s">
        <v>370</v>
      </c>
      <c r="C15" s="158"/>
      <c r="D15" s="177" t="s">
        <v>728</v>
      </c>
      <c r="E15" s="178"/>
      <c r="F15" s="1009"/>
      <c r="G15" s="927"/>
      <c r="H15" s="927"/>
      <c r="I15" s="162"/>
      <c r="J15" s="128" t="s">
        <v>713</v>
      </c>
      <c r="K15" s="129">
        <v>3.9</v>
      </c>
      <c r="L15" s="162"/>
      <c r="M15" s="162"/>
      <c r="N15" s="162"/>
      <c r="O15" s="161"/>
      <c r="P15" s="180"/>
    </row>
    <row r="16" spans="1:16" ht="16.5" customHeight="1" thickBot="1">
      <c r="A16" s="176" t="s">
        <v>720</v>
      </c>
      <c r="B16" s="158" t="s">
        <v>724</v>
      </c>
      <c r="C16" s="158"/>
      <c r="D16" s="177" t="s">
        <v>729</v>
      </c>
      <c r="E16" s="181">
        <f>G16*4.187*10^-9</f>
        <v>4.3013051000000003E-5</v>
      </c>
      <c r="F16" s="158" t="s">
        <v>734</v>
      </c>
      <c r="G16" s="162">
        <v>10273</v>
      </c>
      <c r="H16" s="162"/>
      <c r="I16" s="162"/>
      <c r="J16" s="130" t="s">
        <v>714</v>
      </c>
      <c r="K16" s="131">
        <v>3.9</v>
      </c>
      <c r="L16" s="162"/>
      <c r="M16" s="162"/>
      <c r="N16" s="162"/>
      <c r="O16" s="161"/>
      <c r="P16" s="180"/>
    </row>
    <row r="17" spans="1:20" ht="20.25" customHeight="1">
      <c r="A17" s="176" t="s">
        <v>721</v>
      </c>
      <c r="B17" s="158" t="s">
        <v>738</v>
      </c>
      <c r="C17" s="158"/>
      <c r="D17" s="177" t="s">
        <v>730</v>
      </c>
      <c r="E17" s="178"/>
      <c r="F17" s="162"/>
      <c r="G17" s="162"/>
      <c r="H17" s="162"/>
      <c r="I17" s="162"/>
      <c r="J17" s="1011" t="s">
        <v>733</v>
      </c>
      <c r="K17" s="1009"/>
      <c r="L17" s="1009"/>
      <c r="M17" s="1009"/>
      <c r="N17" s="1009"/>
      <c r="O17" s="1009"/>
      <c r="P17" s="168"/>
    </row>
    <row r="18" spans="1:20" ht="11.25" customHeight="1">
      <c r="A18" s="182" t="s">
        <v>722</v>
      </c>
      <c r="B18" s="158" t="s">
        <v>725</v>
      </c>
      <c r="C18" s="159"/>
      <c r="D18" s="160" t="s">
        <v>368</v>
      </c>
      <c r="E18" s="181"/>
      <c r="F18" s="162"/>
      <c r="G18" s="162"/>
      <c r="H18" s="162"/>
      <c r="I18" s="162"/>
      <c r="J18" s="162"/>
      <c r="K18" s="162"/>
      <c r="L18" s="162"/>
      <c r="M18" s="162"/>
      <c r="N18" s="162"/>
      <c r="O18" s="162"/>
      <c r="P18" s="168"/>
    </row>
    <row r="19" spans="1:20" ht="11.25" customHeight="1">
      <c r="A19" s="176" t="s">
        <v>699</v>
      </c>
      <c r="B19" s="158" t="s">
        <v>727</v>
      </c>
      <c r="C19" s="159"/>
      <c r="D19" s="160"/>
      <c r="E19" s="178"/>
      <c r="F19" s="162"/>
      <c r="G19" s="162"/>
      <c r="H19" s="162"/>
      <c r="I19" s="162"/>
      <c r="J19" s="172" t="s">
        <v>709</v>
      </c>
      <c r="K19" s="162"/>
      <c r="L19" s="162"/>
      <c r="M19" s="162"/>
      <c r="N19" s="162"/>
      <c r="O19" s="162"/>
      <c r="P19" s="168"/>
    </row>
    <row r="20" spans="1:20" ht="11.25" customHeight="1">
      <c r="A20" s="167"/>
      <c r="B20" s="162"/>
      <c r="C20" s="156"/>
      <c r="D20" s="156"/>
      <c r="E20" s="162"/>
      <c r="F20" s="162"/>
      <c r="G20" s="162"/>
      <c r="H20" s="162"/>
      <c r="I20" s="162"/>
      <c r="J20" s="268">
        <v>5</v>
      </c>
      <c r="K20" s="162" t="s">
        <v>605</v>
      </c>
      <c r="L20" s="162"/>
      <c r="M20" s="162"/>
      <c r="N20" s="162"/>
      <c r="O20" s="162"/>
      <c r="P20" s="168"/>
    </row>
    <row r="21" spans="1:20" ht="12" customHeight="1" thickBot="1">
      <c r="A21" s="183"/>
      <c r="B21" s="184"/>
      <c r="C21" s="185"/>
      <c r="D21" s="185"/>
      <c r="E21" s="184"/>
      <c r="F21" s="184"/>
      <c r="G21" s="184"/>
      <c r="H21" s="184"/>
      <c r="I21" s="184"/>
      <c r="J21" s="184"/>
      <c r="K21" s="184"/>
      <c r="L21" s="184"/>
      <c r="M21" s="184"/>
      <c r="N21" s="184"/>
      <c r="O21" s="184"/>
      <c r="P21" s="186"/>
    </row>
    <row r="22" spans="1:20" ht="12" customHeight="1" thickBot="1">
      <c r="C22" s="124"/>
      <c r="D22" s="124"/>
    </row>
    <row r="23" spans="1:20" ht="12" customHeight="1">
      <c r="A23" s="163" t="s">
        <v>735</v>
      </c>
      <c r="B23" s="165"/>
      <c r="C23" s="200"/>
      <c r="D23" s="200"/>
      <c r="E23" s="165"/>
      <c r="F23" s="165"/>
      <c r="G23" s="165"/>
      <c r="H23" s="165"/>
      <c r="I23" s="165"/>
      <c r="J23" s="165"/>
      <c r="K23" s="165"/>
      <c r="L23" s="165"/>
      <c r="M23" s="165"/>
      <c r="N23" s="165"/>
      <c r="O23" s="165"/>
      <c r="P23" s="165"/>
      <c r="Q23" s="165"/>
      <c r="R23" s="165"/>
      <c r="S23" s="166"/>
      <c r="T23" s="37"/>
    </row>
    <row r="24" spans="1:20" ht="12" customHeight="1">
      <c r="A24" s="167"/>
      <c r="B24" s="162"/>
      <c r="C24" s="156"/>
      <c r="D24" s="156"/>
      <c r="E24" s="162"/>
      <c r="F24" s="162"/>
      <c r="G24" s="162"/>
      <c r="H24" s="162"/>
      <c r="I24" s="162"/>
      <c r="J24" s="162"/>
      <c r="K24" s="162"/>
      <c r="L24" s="162"/>
      <c r="M24" s="162"/>
      <c r="N24" s="162"/>
      <c r="O24" s="162"/>
      <c r="P24" s="162"/>
      <c r="Q24" s="162"/>
      <c r="R24" s="162"/>
      <c r="S24" s="168"/>
      <c r="T24" s="37"/>
    </row>
    <row r="25" spans="1:20" ht="12" customHeight="1" thickBot="1">
      <c r="A25" s="926" t="s">
        <v>741</v>
      </c>
      <c r="B25" s="927"/>
      <c r="C25" s="927"/>
      <c r="D25" s="156"/>
      <c r="E25" s="187"/>
      <c r="F25" s="162"/>
      <c r="G25" s="162"/>
      <c r="H25" s="162"/>
      <c r="I25" s="162"/>
      <c r="J25" s="162"/>
      <c r="K25" s="162"/>
      <c r="L25" s="162"/>
      <c r="M25" s="162"/>
      <c r="N25" s="162"/>
      <c r="O25" s="162"/>
      <c r="P25" s="162"/>
      <c r="Q25" s="162"/>
      <c r="R25" s="162"/>
      <c r="S25" s="168"/>
      <c r="T25" s="37"/>
    </row>
    <row r="26" spans="1:20" ht="12" customHeight="1" thickBot="1">
      <c r="A26" s="1012" t="s">
        <v>740</v>
      </c>
      <c r="B26" s="1014" t="s">
        <v>739</v>
      </c>
      <c r="C26" s="1015"/>
      <c r="D26" s="156"/>
      <c r="E26" s="187"/>
      <c r="F26" s="360"/>
      <c r="G26" s="360"/>
      <c r="H26" s="162"/>
      <c r="I26" s="162"/>
      <c r="J26" s="162"/>
      <c r="K26" s="162"/>
      <c r="L26" s="162"/>
      <c r="M26" s="162"/>
      <c r="N26" s="162"/>
      <c r="O26" s="162"/>
      <c r="P26" s="162"/>
      <c r="Q26" s="162"/>
      <c r="R26" s="162"/>
      <c r="S26" s="168"/>
      <c r="T26" s="37"/>
    </row>
    <row r="27" spans="1:20" ht="24.75" customHeight="1">
      <c r="A27" s="1013"/>
      <c r="B27" s="356" t="s">
        <v>621</v>
      </c>
      <c r="C27" s="356" t="s">
        <v>622</v>
      </c>
      <c r="D27" s="156"/>
      <c r="E27" s="187"/>
      <c r="F27" s="195"/>
      <c r="G27" s="195"/>
      <c r="H27" s="162"/>
      <c r="I27" s="162"/>
      <c r="J27" s="162"/>
      <c r="K27" s="162"/>
      <c r="L27" s="162"/>
      <c r="M27" s="162"/>
      <c r="N27" s="162"/>
      <c r="O27" s="162"/>
      <c r="P27" s="162"/>
      <c r="Q27" s="162"/>
      <c r="R27" s="162"/>
      <c r="S27" s="168"/>
      <c r="T27" s="37"/>
    </row>
    <row r="28" spans="1:20" ht="24.75" thickBot="1">
      <c r="A28" s="201" t="s">
        <v>620</v>
      </c>
      <c r="B28" s="131">
        <v>251</v>
      </c>
      <c r="C28" s="131">
        <f>B28/1000</f>
        <v>0.251</v>
      </c>
      <c r="D28" s="156"/>
      <c r="E28" s="187"/>
      <c r="F28" s="162"/>
      <c r="G28" s="162"/>
      <c r="H28" s="162"/>
      <c r="I28" s="162"/>
      <c r="J28" s="162"/>
      <c r="K28" s="162"/>
      <c r="L28" s="162"/>
      <c r="M28" s="162"/>
      <c r="N28" s="162"/>
      <c r="O28" s="162"/>
      <c r="P28" s="162"/>
      <c r="Q28" s="162"/>
      <c r="R28" s="162"/>
      <c r="S28" s="168"/>
      <c r="T28" s="37"/>
    </row>
    <row r="29" spans="1:20">
      <c r="A29" s="167"/>
      <c r="B29" s="162"/>
      <c r="C29" s="156"/>
      <c r="D29" s="156"/>
      <c r="E29" s="187"/>
      <c r="F29" s="162"/>
      <c r="G29" s="162"/>
      <c r="H29" s="162"/>
      <c r="I29" s="162"/>
      <c r="J29" s="162"/>
      <c r="K29" s="162"/>
      <c r="L29" s="162"/>
      <c r="M29" s="162"/>
      <c r="N29" s="162"/>
      <c r="O29" s="162"/>
      <c r="P29" s="162"/>
      <c r="Q29" s="162"/>
      <c r="R29" s="162"/>
      <c r="S29" s="168"/>
      <c r="T29" s="37"/>
    </row>
    <row r="30" spans="1:20">
      <c r="A30" s="167"/>
      <c r="B30" s="162"/>
      <c r="C30" s="156"/>
      <c r="D30" s="156"/>
      <c r="E30" s="187"/>
      <c r="F30" s="162"/>
      <c r="G30" s="162"/>
      <c r="H30" s="162"/>
      <c r="I30" s="162"/>
      <c r="J30" s="162"/>
      <c r="K30" s="162"/>
      <c r="L30" s="162"/>
      <c r="M30" s="162"/>
      <c r="N30" s="162"/>
      <c r="O30" s="162"/>
      <c r="P30" s="162"/>
      <c r="Q30" s="162"/>
      <c r="R30" s="162"/>
      <c r="S30" s="168"/>
      <c r="T30" s="37"/>
    </row>
    <row r="31" spans="1:20" ht="15">
      <c r="A31" s="926" t="s">
        <v>742</v>
      </c>
      <c r="B31" s="927"/>
      <c r="C31" s="927"/>
      <c r="D31" s="162"/>
      <c r="E31" s="187"/>
      <c r="F31" s="162"/>
      <c r="G31" s="162"/>
      <c r="H31" s="162"/>
      <c r="I31" s="162"/>
      <c r="J31" s="162"/>
      <c r="K31" s="162"/>
      <c r="L31" s="162"/>
      <c r="M31" s="162"/>
      <c r="N31" s="162"/>
      <c r="O31" s="162"/>
      <c r="P31" s="162"/>
      <c r="Q31" s="162"/>
      <c r="R31" s="162"/>
      <c r="S31" s="168"/>
      <c r="T31" s="37"/>
    </row>
    <row r="32" spans="1:20" ht="15">
      <c r="A32" s="358"/>
      <c r="B32" s="357"/>
      <c r="C32" s="357"/>
      <c r="D32" s="162"/>
      <c r="E32" s="187"/>
      <c r="F32" s="162"/>
      <c r="G32" s="162"/>
      <c r="H32" s="162"/>
      <c r="I32" s="162"/>
      <c r="J32" s="162"/>
      <c r="K32" s="162"/>
      <c r="L32" s="162"/>
      <c r="M32" s="162"/>
      <c r="N32" s="162"/>
      <c r="O32" s="162"/>
      <c r="P32" s="162"/>
      <c r="Q32" s="162"/>
      <c r="R32" s="162"/>
      <c r="S32" s="168"/>
      <c r="T32" s="37"/>
    </row>
    <row r="33" spans="1:20" s="53" customFormat="1" ht="12.75" customHeight="1">
      <c r="A33" s="167" t="s">
        <v>743</v>
      </c>
      <c r="B33" s="162">
        <v>14</v>
      </c>
      <c r="C33" s="162" t="s">
        <v>224</v>
      </c>
      <c r="D33" s="162">
        <v>30</v>
      </c>
      <c r="E33" s="187" t="s">
        <v>629</v>
      </c>
      <c r="F33" s="360"/>
      <c r="G33" s="162"/>
      <c r="H33" s="162"/>
      <c r="I33" s="162"/>
      <c r="J33" s="162"/>
      <c r="K33" s="162"/>
      <c r="L33" s="162"/>
      <c r="M33" s="162"/>
      <c r="N33" s="162"/>
      <c r="O33" s="162"/>
      <c r="P33" s="162"/>
      <c r="Q33" s="162"/>
      <c r="R33" s="162"/>
      <c r="S33" s="168"/>
      <c r="T33" s="162"/>
    </row>
    <row r="34" spans="1:20" s="53" customFormat="1" ht="12.75" customHeight="1">
      <c r="A34" s="167"/>
      <c r="B34" s="162"/>
      <c r="C34" s="162"/>
      <c r="D34" s="162"/>
      <c r="E34" s="187"/>
      <c r="F34" s="360"/>
      <c r="G34" s="162"/>
      <c r="H34" s="162"/>
      <c r="I34" s="162"/>
      <c r="J34" s="162"/>
      <c r="K34" s="162"/>
      <c r="L34" s="162"/>
      <c r="M34" s="162"/>
      <c r="N34" s="162"/>
      <c r="O34" s="162"/>
      <c r="P34" s="162"/>
      <c r="Q34" s="162"/>
      <c r="R34" s="162"/>
      <c r="S34" s="168"/>
      <c r="T34" s="162"/>
    </row>
    <row r="35" spans="1:20" s="53" customFormat="1" ht="9.75" customHeight="1">
      <c r="A35" s="202"/>
      <c r="B35" s="189"/>
      <c r="C35" s="187"/>
      <c r="D35" s="190"/>
      <c r="E35" s="187"/>
      <c r="F35" s="191"/>
      <c r="G35" s="192"/>
      <c r="H35" s="192"/>
      <c r="I35" s="193"/>
      <c r="J35" s="193"/>
      <c r="K35" s="193"/>
      <c r="L35" s="162"/>
      <c r="M35" s="194"/>
      <c r="N35" s="162"/>
      <c r="O35" s="162"/>
      <c r="P35" s="162"/>
      <c r="Q35" s="162"/>
      <c r="R35" s="162"/>
      <c r="S35" s="168"/>
      <c r="T35" s="162"/>
    </row>
    <row r="36" spans="1:20" s="53" customFormat="1" ht="9.75" customHeight="1">
      <c r="A36" s="990"/>
      <c r="B36" s="991"/>
      <c r="C36" s="991"/>
      <c r="D36" s="991"/>
      <c r="E36" s="991"/>
      <c r="F36" s="991"/>
      <c r="G36" s="991"/>
      <c r="H36" s="991"/>
      <c r="I36" s="193"/>
      <c r="J36" s="193"/>
      <c r="K36" s="193"/>
      <c r="L36" s="162"/>
      <c r="M36" s="158"/>
      <c r="N36" s="162"/>
      <c r="O36" s="162"/>
      <c r="P36" s="162"/>
      <c r="Q36" s="162"/>
      <c r="R36" s="162"/>
      <c r="S36" s="168"/>
      <c r="T36" s="162"/>
    </row>
    <row r="37" spans="1:20" s="53" customFormat="1" ht="15" customHeight="1" thickBot="1">
      <c r="A37" s="912" t="s">
        <v>944</v>
      </c>
      <c r="B37" s="913"/>
      <c r="C37" s="913"/>
      <c r="D37" s="913"/>
      <c r="E37" s="913"/>
      <c r="F37" s="913"/>
      <c r="G37" s="913"/>
      <c r="H37" s="913"/>
      <c r="I37" s="484"/>
      <c r="J37" s="484"/>
      <c r="K37" s="484"/>
      <c r="L37" s="272"/>
      <c r="M37" s="359"/>
      <c r="N37" s="272"/>
      <c r="O37" s="162"/>
      <c r="P37" s="162"/>
      <c r="Q37" s="162"/>
      <c r="R37" s="162"/>
      <c r="S37" s="168"/>
      <c r="T37" s="162"/>
    </row>
    <row r="38" spans="1:20" s="53" customFormat="1" ht="15" customHeight="1" thickBot="1">
      <c r="A38" s="482"/>
      <c r="B38" s="483"/>
      <c r="C38" s="483"/>
      <c r="D38" s="483"/>
      <c r="E38" s="483"/>
      <c r="F38" s="483"/>
      <c r="G38" s="483"/>
      <c r="H38" s="483"/>
      <c r="I38" s="484"/>
      <c r="J38" s="484"/>
      <c r="K38" s="484"/>
      <c r="L38" s="272"/>
      <c r="M38" s="359"/>
      <c r="N38" s="272"/>
      <c r="O38" s="162"/>
      <c r="P38" s="162"/>
      <c r="Q38" s="162"/>
      <c r="R38" s="162"/>
      <c r="S38" s="168"/>
      <c r="T38" s="162"/>
    </row>
    <row r="39" spans="1:20" s="53" customFormat="1" ht="12.75" thickBot="1">
      <c r="A39" s="580" t="s">
        <v>407</v>
      </c>
      <c r="B39" s="581" t="s">
        <v>892</v>
      </c>
      <c r="C39" s="162"/>
      <c r="D39" s="162"/>
      <c r="E39" s="162"/>
      <c r="F39" s="162"/>
      <c r="G39" s="162"/>
      <c r="H39" s="162"/>
      <c r="I39" s="162"/>
      <c r="J39" s="162"/>
      <c r="K39" s="162"/>
      <c r="L39" s="162"/>
      <c r="M39" s="162"/>
      <c r="N39" s="162"/>
      <c r="O39" s="162"/>
      <c r="P39" s="162"/>
      <c r="Q39" s="162"/>
      <c r="R39" s="162"/>
      <c r="S39" s="168"/>
      <c r="T39" s="162"/>
    </row>
    <row r="40" spans="1:20" s="53" customFormat="1" ht="12.75" thickBot="1">
      <c r="A40" s="501"/>
      <c r="B40" s="56"/>
      <c r="C40" s="162"/>
      <c r="D40" s="162"/>
      <c r="E40" s="162"/>
      <c r="F40" s="162"/>
      <c r="G40" s="162"/>
      <c r="H40" s="162"/>
      <c r="I40" s="162"/>
      <c r="J40" s="162"/>
      <c r="K40" s="162"/>
      <c r="L40" s="162"/>
      <c r="M40" s="162"/>
      <c r="N40" s="162"/>
      <c r="O40" s="162"/>
      <c r="P40" s="162"/>
      <c r="Q40" s="162"/>
      <c r="S40" s="168"/>
      <c r="T40" s="162"/>
    </row>
    <row r="41" spans="1:20" s="53" customFormat="1">
      <c r="A41" s="573"/>
      <c r="B41" s="574" t="s">
        <v>913</v>
      </c>
      <c r="C41" s="528"/>
      <c r="D41" s="528"/>
      <c r="E41" s="528"/>
      <c r="F41" s="528"/>
      <c r="G41" s="528"/>
      <c r="H41" s="529"/>
      <c r="I41" s="56"/>
      <c r="J41" s="162"/>
      <c r="K41" s="442"/>
      <c r="L41" s="502" t="s">
        <v>941</v>
      </c>
      <c r="M41" s="442"/>
      <c r="N41" s="442"/>
      <c r="O41" s="442"/>
      <c r="P41" s="442"/>
      <c r="Q41" s="442"/>
      <c r="R41" s="502"/>
      <c r="S41" s="168"/>
      <c r="T41" s="162"/>
    </row>
    <row r="42" spans="1:20" s="53" customFormat="1" ht="24">
      <c r="A42" s="500" t="s">
        <v>844</v>
      </c>
      <c r="B42" s="56" t="s">
        <v>931</v>
      </c>
      <c r="C42" s="503" t="s">
        <v>932</v>
      </c>
      <c r="D42" s="503" t="s">
        <v>933</v>
      </c>
      <c r="E42" s="503" t="s">
        <v>934</v>
      </c>
      <c r="F42" s="503" t="s">
        <v>935</v>
      </c>
      <c r="G42" s="503" t="s">
        <v>936</v>
      </c>
      <c r="H42" s="575" t="s">
        <v>937</v>
      </c>
      <c r="I42" s="56" t="s">
        <v>939</v>
      </c>
      <c r="J42" s="162"/>
      <c r="K42" s="388"/>
      <c r="L42" s="148">
        <v>2011</v>
      </c>
      <c r="M42" s="148">
        <v>2012</v>
      </c>
      <c r="N42" s="148">
        <v>2013</v>
      </c>
      <c r="O42" s="148">
        <v>2014</v>
      </c>
      <c r="P42" s="148">
        <v>2015</v>
      </c>
      <c r="Q42" s="148">
        <v>2016</v>
      </c>
      <c r="R42" s="390"/>
      <c r="S42" s="168"/>
      <c r="T42" s="162"/>
    </row>
    <row r="43" spans="1:20" s="53" customFormat="1">
      <c r="A43" s="504" t="s">
        <v>338</v>
      </c>
      <c r="B43" s="505">
        <v>13521.199999999999</v>
      </c>
      <c r="C43" s="506">
        <v>0</v>
      </c>
      <c r="D43" s="506">
        <v>5</v>
      </c>
      <c r="E43" s="506">
        <v>3</v>
      </c>
      <c r="F43" s="506">
        <v>7</v>
      </c>
      <c r="G43" s="506">
        <v>7</v>
      </c>
      <c r="H43" s="582">
        <v>4</v>
      </c>
      <c r="I43" s="56">
        <f>SUM(C43:H43)</f>
        <v>26</v>
      </c>
      <c r="J43" s="162"/>
      <c r="K43" s="401" t="s">
        <v>338</v>
      </c>
      <c r="L43" s="656">
        <f>SUM(L44:L45)</f>
        <v>0</v>
      </c>
      <c r="M43" s="656">
        <f t="shared" ref="M43:Q43" si="0">SUM(M44:M45)</f>
        <v>7979.9142857142851</v>
      </c>
      <c r="N43" s="656">
        <f t="shared" si="0"/>
        <v>791.61224489795927</v>
      </c>
      <c r="O43" s="656">
        <f t="shared" si="0"/>
        <v>1847.0952380952381</v>
      </c>
      <c r="P43" s="656">
        <f t="shared" si="0"/>
        <v>1847.0952380952381</v>
      </c>
      <c r="Q43" s="656">
        <f t="shared" si="0"/>
        <v>1055.482993197279</v>
      </c>
      <c r="R43" s="488">
        <f>SUM(L43:Q43)</f>
        <v>13521.2</v>
      </c>
      <c r="S43" s="168"/>
      <c r="T43" s="162"/>
    </row>
    <row r="44" spans="1:20" s="53" customFormat="1">
      <c r="A44" s="507" t="s">
        <v>256</v>
      </c>
      <c r="B44" s="505">
        <v>7979.9142857142851</v>
      </c>
      <c r="C44" s="506">
        <v>0</v>
      </c>
      <c r="D44" s="506">
        <v>5</v>
      </c>
      <c r="E44" s="506">
        <v>0</v>
      </c>
      <c r="F44" s="506">
        <v>0</v>
      </c>
      <c r="G44" s="506">
        <v>0</v>
      </c>
      <c r="H44" s="582">
        <v>0</v>
      </c>
      <c r="I44" s="56">
        <f t="shared" ref="I44:I58" si="1">SUM(C44:H44)</f>
        <v>5</v>
      </c>
      <c r="J44" s="162"/>
      <c r="K44" s="508" t="s">
        <v>256</v>
      </c>
      <c r="L44" s="150">
        <f>GETPIVOTDATA("Suma de VKTNOpav",$A$41,"Sector","Área El Volcán","Tipo de obra","Obras Previas")*GETPIVOTDATA("Máx de 2011",$A$41,"Sector","Área El Volcán","Tipo de obra","Obras Previas")/$I$44</f>
        <v>0</v>
      </c>
      <c r="M44" s="150">
        <f>GETPIVOTDATA("Suma de VKTNOpav",$A$41,"Sector","Área El Volcán","Tipo de obra","Obras Previas")*GETPIVOTDATA("Máx de 2012",$A$41,"Sector","Área El Volcán","Tipo de obra","Obras Previas")/$I$44</f>
        <v>7979.9142857142851</v>
      </c>
      <c r="N44" s="150">
        <f>GETPIVOTDATA("Suma de VKTNOpav",$A$41,"Sector","Área El Volcán","Tipo de obra","Obras Previas")*GETPIVOTDATA("Máx de 2013",$A$41,"Sector","Área El Volcán","Tipo de obra","Obras Previas")/$I$44</f>
        <v>0</v>
      </c>
      <c r="O44" s="150">
        <f>GETPIVOTDATA("Suma de VKTNOpav",$A$41,"Sector","Área El Volcán","Tipo de obra","Obras Previas")*GETPIVOTDATA("Máx de 2014",$A$41,"Sector","Área El Volcán","Tipo de obra","Obras Previas")/$I$44</f>
        <v>0</v>
      </c>
      <c r="P44" s="150">
        <f>GETPIVOTDATA("Suma de VKTNOpav",$A$41,"Sector","Área El Volcán","Tipo de obra","Obras Previas")*GETPIVOTDATA("Máx de 2015",$A$41,"Sector","Área El Volcán","Tipo de obra","Obras Previas")/$I$44</f>
        <v>0</v>
      </c>
      <c r="Q44" s="150">
        <f>GETPIVOTDATA("Suma de VKTNOpav",$A$41,"Sector","Área El Volcán","Tipo de obra","Obras Previas")*GETPIVOTDATA("Máx de 2016",$A$41,"Sector","Área El Volcán","Tipo de obra","Obras Previas")/$I$44</f>
        <v>0</v>
      </c>
      <c r="R44" s="487">
        <f>SUM(L44:Q44)</f>
        <v>7979.9142857142851</v>
      </c>
      <c r="S44" s="168"/>
      <c r="T44" s="162"/>
    </row>
    <row r="45" spans="1:20" s="53" customFormat="1">
      <c r="A45" s="507" t="s">
        <v>223</v>
      </c>
      <c r="B45" s="505">
        <v>5541.2857142857147</v>
      </c>
      <c r="C45" s="506">
        <v>0</v>
      </c>
      <c r="D45" s="506">
        <v>0</v>
      </c>
      <c r="E45" s="506">
        <v>3</v>
      </c>
      <c r="F45" s="506">
        <v>7</v>
      </c>
      <c r="G45" s="506">
        <v>7</v>
      </c>
      <c r="H45" s="582">
        <v>4</v>
      </c>
      <c r="I45" s="56">
        <f t="shared" si="1"/>
        <v>21</v>
      </c>
      <c r="J45" s="162"/>
      <c r="K45" s="508" t="s">
        <v>223</v>
      </c>
      <c r="L45" s="150">
        <f>GETPIVOTDATA("Suma de VKTNOpav",$A$41,"Sector","Área El Volcán","Tipo de obra","Obras Civiles")*GETPIVOTDATA("Máx de 2011",$A$41,"Sector","Área El Volcán","Tipo de obra","Obras Civiles")/$I$45</f>
        <v>0</v>
      </c>
      <c r="M45" s="150">
        <f>GETPIVOTDATA("Suma de VKTNOpav",$A$41,"Sector","Área El Volcán","Tipo de obra","Obras Civiles")*GETPIVOTDATA("Máx de 2012",$A$41,"Sector","Área El Volcán","Tipo de obra","Obras Civiles")/$I$45</f>
        <v>0</v>
      </c>
      <c r="N45" s="150">
        <f>GETPIVOTDATA("Suma de VKTNOpav",$A$41,"Sector","Área El Volcán","Tipo de obra","Obras Civiles")*GETPIVOTDATA("Máx de 2013",$A$41,"Sector","Área El Volcán","Tipo de obra","Obras Civiles")/$I$45</f>
        <v>791.61224489795927</v>
      </c>
      <c r="O45" s="150">
        <f>GETPIVOTDATA("Suma de VKTNOpav",$A$41,"Sector","Área El Volcán","Tipo de obra","Obras Civiles")*GETPIVOTDATA("Máx de 2014",$A$41,"Sector","Área El Volcán","Tipo de obra","Obras Civiles")/$I$45</f>
        <v>1847.0952380952381</v>
      </c>
      <c r="P45" s="150">
        <f>GETPIVOTDATA("Suma de VKTNOpav",$A$41,"Sector","Área El Volcán","Tipo de obra","Obras Civiles")*GETPIVOTDATA("Máx de 2015",$A$41,"Sector","Área El Volcán","Tipo de obra","Obras Civiles")/$I$45</f>
        <v>1847.0952380952381</v>
      </c>
      <c r="Q45" s="150">
        <f>GETPIVOTDATA("Suma de VKTNOpav",$A$41,"Sector","Área El Volcán","Tipo de obra","Obras Civiles")*GETPIVOTDATA("Máx de 2016",$A$41,"Sector","Área El Volcán","Tipo de obra","Obras Civiles")/$I$45</f>
        <v>1055.482993197279</v>
      </c>
      <c r="R45" s="487">
        <f t="shared" ref="R45:R57" si="2">SUM(L45:Q45)</f>
        <v>5541.2857142857147</v>
      </c>
      <c r="S45" s="168"/>
      <c r="T45" s="162"/>
    </row>
    <row r="46" spans="1:20" s="53" customFormat="1">
      <c r="A46" s="504" t="s">
        <v>339</v>
      </c>
      <c r="B46" s="505">
        <v>41801.207701150131</v>
      </c>
      <c r="C46" s="506">
        <v>0</v>
      </c>
      <c r="D46" s="506">
        <v>3</v>
      </c>
      <c r="E46" s="506">
        <v>7</v>
      </c>
      <c r="F46" s="506">
        <v>12</v>
      </c>
      <c r="G46" s="506">
        <v>7</v>
      </c>
      <c r="H46" s="582">
        <v>2</v>
      </c>
      <c r="I46" s="56">
        <f t="shared" si="1"/>
        <v>31</v>
      </c>
      <c r="J46" s="162"/>
      <c r="K46" s="401" t="s">
        <v>339</v>
      </c>
      <c r="L46" s="656">
        <f>SUM(L47:L49)</f>
        <v>0</v>
      </c>
      <c r="M46" s="656">
        <f t="shared" ref="M46:Q46" si="3">SUM(M47:M49)</f>
        <v>58.660714285714278</v>
      </c>
      <c r="N46" s="656">
        <f t="shared" si="3"/>
        <v>10144.945832850555</v>
      </c>
      <c r="O46" s="656">
        <f t="shared" si="3"/>
        <v>17811.487214058336</v>
      </c>
      <c r="P46" s="656">
        <f t="shared" si="3"/>
        <v>11102.531757220304</v>
      </c>
      <c r="Q46" s="656">
        <f t="shared" si="3"/>
        <v>2683.5821827352129</v>
      </c>
      <c r="R46" s="489">
        <f>SUM(L46:Q46)</f>
        <v>41801.207701150124</v>
      </c>
      <c r="S46" s="168"/>
      <c r="T46" s="162"/>
    </row>
    <row r="47" spans="1:20" s="53" customFormat="1">
      <c r="A47" s="507" t="s">
        <v>256</v>
      </c>
      <c r="B47" s="505">
        <v>78.214285714285708</v>
      </c>
      <c r="C47" s="506">
        <v>0</v>
      </c>
      <c r="D47" s="506">
        <v>3</v>
      </c>
      <c r="E47" s="506">
        <v>1</v>
      </c>
      <c r="F47" s="506">
        <v>0</v>
      </c>
      <c r="G47" s="506">
        <v>0</v>
      </c>
      <c r="H47" s="582">
        <v>0</v>
      </c>
      <c r="I47" s="56">
        <f t="shared" si="1"/>
        <v>4</v>
      </c>
      <c r="J47" s="162"/>
      <c r="K47" s="508" t="s">
        <v>256</v>
      </c>
      <c r="L47" s="150">
        <f>GETPIVOTDATA("Suma de VKTNOpav",$A$41,"Sector","Área Yeso","Tipo de obra","Obras Previas")*GETPIVOTDATA("Máx de 2011",$A$41,"Sector","Área Yeso","Tipo de obra","Obras Previas")/$I$47</f>
        <v>0</v>
      </c>
      <c r="M47" s="150">
        <f>GETPIVOTDATA("Suma de VKTNOpav",$A$41,"Sector","Área Yeso","Tipo de obra","Obras Previas")*GETPIVOTDATA("Máx de 2012",$A$41,"Sector","Área Yeso","Tipo de obra","Obras Previas")/$I$47</f>
        <v>58.660714285714278</v>
      </c>
      <c r="N47" s="150">
        <f>GETPIVOTDATA("Suma de VKTNOpav",$A$41,"Sector","Área Yeso","Tipo de obra","Obras Previas")*GETPIVOTDATA("Máx de 2013",$A$41,"Sector","Área Yeso","Tipo de obra","Obras Previas")/$I$47</f>
        <v>19.553571428571427</v>
      </c>
      <c r="O47" s="150">
        <f>GETPIVOTDATA("Suma de VKTNOpav",$A$41,"Sector","Área Yeso","Tipo de obra","Obras Previas")*GETPIVOTDATA("Máx de 2014",$A$41,"Sector","Área Yeso","Tipo de obra","Obras Previas")/$I$47</f>
        <v>0</v>
      </c>
      <c r="P47" s="150">
        <f>GETPIVOTDATA("Suma de VKTNOpav",$A$41,"Sector","Área Yeso","Tipo de obra","Obras Previas")*GETPIVOTDATA("Máx de 2015",$A$41,"Sector","Área Yeso","Tipo de obra","Obras Previas")/$I$47</f>
        <v>0</v>
      </c>
      <c r="Q47" s="150">
        <f>GETPIVOTDATA("Suma de VKTNOpav",$A$41,"Sector","Área Yeso","Tipo de obra","Obras Previas")*GETPIVOTDATA("Máx de 2016",$A$41,"Sector","Área Yeso","Tipo de obra","Obras Previas")/$I$47</f>
        <v>0</v>
      </c>
      <c r="R47" s="487">
        <f t="shared" si="2"/>
        <v>78.214285714285708</v>
      </c>
      <c r="S47" s="168"/>
      <c r="T47" s="162"/>
    </row>
    <row r="48" spans="1:20" s="53" customFormat="1">
      <c r="A48" s="507" t="s">
        <v>247</v>
      </c>
      <c r="B48" s="505">
        <v>37570.150558292982</v>
      </c>
      <c r="C48" s="506">
        <v>0</v>
      </c>
      <c r="D48" s="506">
        <v>0</v>
      </c>
      <c r="E48" s="506">
        <v>7</v>
      </c>
      <c r="F48" s="506">
        <v>12</v>
      </c>
      <c r="G48" s="506">
        <v>7</v>
      </c>
      <c r="H48" s="582">
        <v>2</v>
      </c>
      <c r="I48" s="56">
        <f t="shared" si="1"/>
        <v>28</v>
      </c>
      <c r="J48" s="162"/>
      <c r="K48" s="508" t="s">
        <v>247</v>
      </c>
      <c r="L48" s="150">
        <f>GETPIVOTDATA("Suma de VKTNOpav",$A$41,"Sector","Área Yeso","Tipo de obra","Túneles, cavernas  y chimeneas")*GETPIVOTDATA("Máx de 2011",$A$41,"Sector","Área Yeso","Tipo de obra","Túneles, cavernas  y chimeneas")/$I$48</f>
        <v>0</v>
      </c>
      <c r="M48" s="150">
        <f>GETPIVOTDATA("Suma de VKTNOpav",$A$41,"Sector","Área Yeso","Tipo de obra","Túneles, cavernas  y chimeneas")*GETPIVOTDATA("Máx de 2012",$A$41,"Sector","Área Yeso","Tipo de obra","Túneles, cavernas  y chimeneas")/$I$48</f>
        <v>0</v>
      </c>
      <c r="N48" s="150">
        <f>GETPIVOTDATA("Suma de VKTNOpav",$A$41,"Sector","Área Yeso","Tipo de obra","Túneles, cavernas  y chimeneas")*GETPIVOTDATA("Máx de 2013",$A$41,"Sector","Área Yeso","Tipo de obra","Túneles, cavernas  y chimeneas")/$I$48</f>
        <v>9392.5376395732455</v>
      </c>
      <c r="O48" s="150">
        <f>GETPIVOTDATA("Suma de VKTNOpav",$A$41,"Sector","Área Yeso","Tipo de obra","Túneles, cavernas  y chimeneas")*GETPIVOTDATA("Máx de 2014",$A$41,"Sector","Área Yeso","Tipo de obra","Túneles, cavernas  y chimeneas")/$I$48</f>
        <v>16101.493096411277</v>
      </c>
      <c r="P48" s="150">
        <f>GETPIVOTDATA("Suma de VKTNOpav",$A$41,"Sector","Área Yeso","Tipo de obra","Túneles, cavernas  y chimeneas")*GETPIVOTDATA("Máx de 2015",$A$41,"Sector","Área Yeso","Tipo de obra","Túneles, cavernas  y chimeneas")/$I$48</f>
        <v>9392.5376395732455</v>
      </c>
      <c r="Q48" s="150">
        <f>GETPIVOTDATA("Suma de VKTNOpav",$A$41,"Sector","Área Yeso","Tipo de obra","Túneles, cavernas  y chimeneas")*GETPIVOTDATA("Máx de 2016",$A$41,"Sector","Área Yeso","Tipo de obra","Túneles, cavernas  y chimeneas")/$I$48</f>
        <v>2683.5821827352129</v>
      </c>
      <c r="R48" s="487">
        <f t="shared" si="2"/>
        <v>37570.150558292982</v>
      </c>
      <c r="S48" s="168"/>
      <c r="T48" s="162"/>
    </row>
    <row r="49" spans="1:20" s="53" customFormat="1">
      <c r="A49" s="507" t="s">
        <v>223</v>
      </c>
      <c r="B49" s="505">
        <v>4152.8428571428576</v>
      </c>
      <c r="C49" s="506">
        <v>0</v>
      </c>
      <c r="D49" s="506">
        <v>0</v>
      </c>
      <c r="E49" s="506">
        <v>3</v>
      </c>
      <c r="F49" s="506">
        <v>7</v>
      </c>
      <c r="G49" s="506">
        <v>7</v>
      </c>
      <c r="H49" s="582">
        <v>0</v>
      </c>
      <c r="I49" s="56">
        <f t="shared" si="1"/>
        <v>17</v>
      </c>
      <c r="J49" s="162"/>
      <c r="K49" s="508" t="s">
        <v>223</v>
      </c>
      <c r="L49" s="150">
        <f>GETPIVOTDATA("Suma de VKTNOpav",$A$41,"Sector","Área Yeso","Tipo de obra","Obras Civiles")*GETPIVOTDATA("Máx de 2011",$A$41,"Sector","Área Yeso","Tipo de obra","Obras Civiles")/$I$49</f>
        <v>0</v>
      </c>
      <c r="M49" s="150">
        <f>GETPIVOTDATA("Suma de VKTNOpav",$A$41,"Sector","Área Yeso","Tipo de obra","Obras Civiles")*GETPIVOTDATA("Máx de 2012",$A$41,"Sector","Área Yeso","Tipo de obra","Obras Civiles")/$I$49</f>
        <v>0</v>
      </c>
      <c r="N49" s="150">
        <f>GETPIVOTDATA("Suma de VKTNOpav",$A$41,"Sector","Área Yeso","Tipo de obra","Obras Civiles")*GETPIVOTDATA("Máx de 2013",$A$41,"Sector","Área Yeso","Tipo de obra","Obras Civiles")/$I$49</f>
        <v>732.85462184873961</v>
      </c>
      <c r="O49" s="150">
        <f>GETPIVOTDATA("Suma de VKTNOpav",$A$41,"Sector","Área Yeso","Tipo de obra","Obras Civiles")*GETPIVOTDATA("Máx de 2014",$A$41,"Sector","Área Yeso","Tipo de obra","Obras Civiles")/$I$49</f>
        <v>1709.9941176470588</v>
      </c>
      <c r="P49" s="150">
        <f>GETPIVOTDATA("Suma de VKTNOpav",$A$41,"Sector","Área Yeso","Tipo de obra","Obras Civiles")*GETPIVOTDATA("Máx de 2015",$A$41,"Sector","Área Yeso","Tipo de obra","Obras Civiles")/$I$49</f>
        <v>1709.9941176470588</v>
      </c>
      <c r="Q49" s="150">
        <f>GETPIVOTDATA("Suma de VKTNOpav",$A$41,"Sector","Área Yeso","Tipo de obra","Obras Civiles")*GETPIVOTDATA("Máx de 2016",$A$41,"Sector","Área Yeso","Tipo de obra","Obras Civiles")/$I$49</f>
        <v>0</v>
      </c>
      <c r="R49" s="487">
        <f t="shared" si="2"/>
        <v>4152.8428571428576</v>
      </c>
      <c r="S49" s="168"/>
      <c r="T49" s="162"/>
    </row>
    <row r="50" spans="1:20" s="53" customFormat="1">
      <c r="A50" s="504" t="s">
        <v>340</v>
      </c>
      <c r="B50" s="505">
        <v>63816.535714285717</v>
      </c>
      <c r="C50" s="506">
        <v>0</v>
      </c>
      <c r="D50" s="506">
        <v>0</v>
      </c>
      <c r="E50" s="506">
        <v>4</v>
      </c>
      <c r="F50" s="506">
        <v>0</v>
      </c>
      <c r="G50" s="506">
        <v>0</v>
      </c>
      <c r="H50" s="582">
        <v>0</v>
      </c>
      <c r="I50" s="56">
        <f t="shared" si="1"/>
        <v>4</v>
      </c>
      <c r="J50" s="162"/>
      <c r="K50" s="401" t="s">
        <v>340</v>
      </c>
      <c r="L50" s="656">
        <f>L51</f>
        <v>0</v>
      </c>
      <c r="M50" s="656">
        <f t="shared" ref="M50:Q50" si="4">M51</f>
        <v>0</v>
      </c>
      <c r="N50" s="656">
        <f t="shared" si="4"/>
        <v>63816.535714285717</v>
      </c>
      <c r="O50" s="656">
        <f t="shared" si="4"/>
        <v>0</v>
      </c>
      <c r="P50" s="656">
        <f t="shared" si="4"/>
        <v>0</v>
      </c>
      <c r="Q50" s="656">
        <f t="shared" si="4"/>
        <v>0</v>
      </c>
      <c r="R50" s="489">
        <f t="shared" si="2"/>
        <v>63816.535714285717</v>
      </c>
      <c r="S50" s="168"/>
      <c r="T50" s="162"/>
    </row>
    <row r="51" spans="1:20" s="53" customFormat="1">
      <c r="A51" s="507" t="s">
        <v>256</v>
      </c>
      <c r="B51" s="505">
        <v>63816.535714285717</v>
      </c>
      <c r="C51" s="506">
        <v>0</v>
      </c>
      <c r="D51" s="506">
        <v>0</v>
      </c>
      <c r="E51" s="506">
        <v>4</v>
      </c>
      <c r="F51" s="506">
        <v>0</v>
      </c>
      <c r="G51" s="506">
        <v>0</v>
      </c>
      <c r="H51" s="582">
        <v>0</v>
      </c>
      <c r="I51" s="56">
        <f t="shared" si="1"/>
        <v>4</v>
      </c>
      <c r="J51" s="162"/>
      <c r="K51" s="508" t="s">
        <v>256</v>
      </c>
      <c r="L51" s="150">
        <f>GETPIVOTDATA("Suma de VKTNOpav",$A$41,"Sector","Área Aucayes Alto","Tipo de obra","Obras Previas")*GETPIVOTDATA("Máx de 2011",$A$41,"Sector","Área Aucayes Alto","Tipo de obra","Obras Previas")/$I$51</f>
        <v>0</v>
      </c>
      <c r="M51" s="150">
        <f>GETPIVOTDATA("Suma de VKTNOpav",$A$41,"Sector","Área Aucayes Alto","Tipo de obra","Obras Previas")*GETPIVOTDATA("Máx de 2012",$A$41,"Sector","Área Aucayes Alto","Tipo de obra","Obras Previas")/$I$51</f>
        <v>0</v>
      </c>
      <c r="N51" s="150">
        <f>GETPIVOTDATA("Suma de VKTNOpav",$A$41,"Sector","Área Aucayes Alto","Tipo de obra","Obras Previas")*GETPIVOTDATA("Máx de 2013",$A$41,"Sector","Área Aucayes Alto","Tipo de obra","Obras Previas")/$I$51</f>
        <v>63816.535714285717</v>
      </c>
      <c r="O51" s="150">
        <f>GETPIVOTDATA("Suma de VKTNOpav",$A$41,"Sector","Área Aucayes Alto","Tipo de obra","Obras Previas")*GETPIVOTDATA("Máx de 2014",$A$41,"Sector","Área Aucayes Alto","Tipo de obra","Obras Previas")/$I$51</f>
        <v>0</v>
      </c>
      <c r="P51" s="150">
        <f>GETPIVOTDATA("Suma de VKTNOpav",$A$41,"Sector","Área Aucayes Alto","Tipo de obra","Obras Previas")*GETPIVOTDATA("Máx de 2015",$A$41,"Sector","Área Aucayes Alto","Tipo de obra","Obras Previas")/$I$51</f>
        <v>0</v>
      </c>
      <c r="Q51" s="150">
        <f>GETPIVOTDATA("Suma de VKTNOpav",$A$41,"Sector","Área Aucayes Alto","Tipo de obra","Obras Previas")*GETPIVOTDATA("Máx de 2016",$A$41,"Sector","Área Aucayes Alto","Tipo de obra","Obras Previas")/$I$51</f>
        <v>0</v>
      </c>
      <c r="R51" s="487">
        <f t="shared" si="2"/>
        <v>63816.535714285717</v>
      </c>
      <c r="S51" s="168"/>
      <c r="T51" s="162"/>
    </row>
    <row r="52" spans="1:20" s="53" customFormat="1">
      <c r="A52" s="504" t="s">
        <v>342</v>
      </c>
      <c r="B52" s="505">
        <v>217271.85378151262</v>
      </c>
      <c r="C52" s="506">
        <v>0</v>
      </c>
      <c r="D52" s="506">
        <v>5</v>
      </c>
      <c r="E52" s="506">
        <v>12</v>
      </c>
      <c r="F52" s="506">
        <v>7</v>
      </c>
      <c r="G52" s="506">
        <v>3</v>
      </c>
      <c r="H52" s="582">
        <v>0</v>
      </c>
      <c r="I52" s="56">
        <f t="shared" si="1"/>
        <v>27</v>
      </c>
      <c r="J52" s="162"/>
      <c r="K52" s="401" t="s">
        <v>342</v>
      </c>
      <c r="L52" s="656">
        <f>SUM(L53:L54)</f>
        <v>0</v>
      </c>
      <c r="M52" s="656">
        <f t="shared" ref="M52:Q52" si="5">SUM(M53:M54)</f>
        <v>40940.740196078441</v>
      </c>
      <c r="N52" s="656">
        <f t="shared" si="5"/>
        <v>114344.61498599441</v>
      </c>
      <c r="O52" s="656">
        <f t="shared" si="5"/>
        <v>43390.549019607839</v>
      </c>
      <c r="P52" s="656">
        <f t="shared" si="5"/>
        <v>18595.949579831933</v>
      </c>
      <c r="Q52" s="656">
        <f t="shared" si="5"/>
        <v>0</v>
      </c>
      <c r="R52" s="489">
        <f t="shared" si="2"/>
        <v>217271.85378151262</v>
      </c>
      <c r="S52" s="168"/>
      <c r="T52" s="162"/>
    </row>
    <row r="53" spans="1:20" s="53" customFormat="1">
      <c r="A53" s="507" t="s">
        <v>256</v>
      </c>
      <c r="B53" s="505">
        <v>68504.257142857154</v>
      </c>
      <c r="C53" s="506">
        <v>0</v>
      </c>
      <c r="D53" s="506">
        <v>5</v>
      </c>
      <c r="E53" s="506">
        <v>7</v>
      </c>
      <c r="F53" s="506">
        <v>0</v>
      </c>
      <c r="G53" s="506">
        <v>0</v>
      </c>
      <c r="H53" s="582">
        <v>0</v>
      </c>
      <c r="I53" s="56">
        <f t="shared" si="1"/>
        <v>12</v>
      </c>
      <c r="J53" s="162"/>
      <c r="K53" s="508" t="s">
        <v>256</v>
      </c>
      <c r="L53" s="150">
        <f>GETPIVOTDATA("Suma de VKTNOpav",$A$41,"Sector","Área Alfalfal II","Tipo de obra","Obras Previas")*GETPIVOTDATA("Máx de 2011",$A$41,"Sector","Área Alfalfal II","Tipo de obra","Obras Previas")/$I$53</f>
        <v>0</v>
      </c>
      <c r="M53" s="150">
        <f>GETPIVOTDATA("Suma de VKTNOpav",$A$41,"Sector","Área Alfalfal II","Tipo de obra","Obras Previas")*GETPIVOTDATA("Máx de 2012",$A$41,"Sector","Área Alfalfal II","Tipo de obra","Obras Previas")/$I$53</f>
        <v>28543.440476190484</v>
      </c>
      <c r="N53" s="150">
        <f>GETPIVOTDATA("Suma de VKTNOpav",$A$41,"Sector","Área Alfalfal II","Tipo de obra","Obras Previas")*GETPIVOTDATA("Máx de 2013",$A$41,"Sector","Área Alfalfal II","Tipo de obra","Obras Previas")/$I$53</f>
        <v>39960.816666666673</v>
      </c>
      <c r="O53" s="150">
        <f>GETPIVOTDATA("Suma de VKTNOpav",$A$41,"Sector","Área Alfalfal II","Tipo de obra","Obras Previas")*GETPIVOTDATA("Máx de 2014",$A$41,"Sector","Área Alfalfal II","Tipo de obra","Obras Previas")/$I$53</f>
        <v>0</v>
      </c>
      <c r="P53" s="150">
        <f>GETPIVOTDATA("Suma de VKTNOpav",$A$41,"Sector","Área Alfalfal II","Tipo de obra","Obras Previas")*GETPIVOTDATA("Máx de 2015",$A$41,"Sector","Área Alfalfal II","Tipo de obra","Obras Previas")/$I$53</f>
        <v>0</v>
      </c>
      <c r="Q53" s="150">
        <f>GETPIVOTDATA("Suma de VKTNOpav",$A$41,"Sector","Área Alfalfal II","Tipo de obra","Obras Previas")*GETPIVOTDATA("Máx de 2016",$A$41,"Sector","Área Alfalfal II","Tipo de obra","Obras Previas")/$I$53</f>
        <v>0</v>
      </c>
      <c r="R53" s="487">
        <f t="shared" si="2"/>
        <v>68504.257142857154</v>
      </c>
      <c r="S53" s="168"/>
      <c r="T53" s="162"/>
    </row>
    <row r="54" spans="1:20" s="53" customFormat="1">
      <c r="A54" s="507" t="s">
        <v>247</v>
      </c>
      <c r="B54" s="505">
        <v>148767.59663865546</v>
      </c>
      <c r="C54" s="506">
        <v>0</v>
      </c>
      <c r="D54" s="506">
        <v>2</v>
      </c>
      <c r="E54" s="506">
        <v>12</v>
      </c>
      <c r="F54" s="506">
        <v>7</v>
      </c>
      <c r="G54" s="506">
        <v>3</v>
      </c>
      <c r="H54" s="582">
        <v>0</v>
      </c>
      <c r="I54" s="56">
        <f t="shared" si="1"/>
        <v>24</v>
      </c>
      <c r="J54" s="162"/>
      <c r="K54" s="508" t="s">
        <v>247</v>
      </c>
      <c r="L54" s="150">
        <f>GETPIVOTDATA("Suma de VKTNOpav",$A$41,"Sector","Área Alfalfal II","Tipo de obra","Túneles, cavernas  y chimeneas")*GETPIVOTDATA("Máx de 2011",$A$41,"Sector","Área Alfalfal II","Tipo de obra","Túneles, cavernas  y chimeneas")/$I$54</f>
        <v>0</v>
      </c>
      <c r="M54" s="150">
        <f>GETPIVOTDATA("Suma de VKTNOpav",$A$41,"Sector","Área Alfalfal II","Tipo de obra","Túneles, cavernas  y chimeneas")*GETPIVOTDATA("Máx de 2012",$A$41,"Sector","Área Alfalfal II","Tipo de obra","Túneles, cavernas  y chimeneas")/$I$54</f>
        <v>12397.299719887955</v>
      </c>
      <c r="N54" s="150">
        <f>GETPIVOTDATA("Suma de VKTNOpav",$A$41,"Sector","Área Alfalfal II","Tipo de obra","Túneles, cavernas  y chimeneas")*GETPIVOTDATA("Máx de 2013",$A$41,"Sector","Área Alfalfal II","Tipo de obra","Túneles, cavernas  y chimeneas")/$I$54</f>
        <v>74383.798319327732</v>
      </c>
      <c r="O54" s="150">
        <f>GETPIVOTDATA("Suma de VKTNOpav",$A$41,"Sector","Área Alfalfal II","Tipo de obra","Túneles, cavernas  y chimeneas")*GETPIVOTDATA("Máx de 2014",$A$41,"Sector","Área Alfalfal II","Tipo de obra","Túneles, cavernas  y chimeneas")/$I$54</f>
        <v>43390.549019607839</v>
      </c>
      <c r="P54" s="150">
        <f>GETPIVOTDATA("Suma de VKTNOpav",$A$41,"Sector","Área Alfalfal II","Tipo de obra","Túneles, cavernas  y chimeneas")*GETPIVOTDATA("Máx de 2015",$A$41,"Sector","Área Alfalfal II","Tipo de obra","Túneles, cavernas  y chimeneas")/$I$54</f>
        <v>18595.949579831933</v>
      </c>
      <c r="Q54" s="150">
        <f>GETPIVOTDATA("Suma de VKTNOpav",$A$41,"Sector","Área Alfalfal II","Tipo de obra","Túneles, cavernas  y chimeneas")*GETPIVOTDATA("Máx de 2016",$A$41,"Sector","Área Alfalfal II","Tipo de obra","Túneles, cavernas  y chimeneas")/$I$54</f>
        <v>0</v>
      </c>
      <c r="R54" s="487">
        <f t="shared" si="2"/>
        <v>148767.59663865546</v>
      </c>
      <c r="S54" s="168"/>
      <c r="T54" s="162"/>
    </row>
    <row r="55" spans="1:20" s="53" customFormat="1">
      <c r="A55" s="504" t="s">
        <v>343</v>
      </c>
      <c r="B55" s="505">
        <v>140136.09895234846</v>
      </c>
      <c r="C55" s="506">
        <v>0</v>
      </c>
      <c r="D55" s="506">
        <v>2</v>
      </c>
      <c r="E55" s="506">
        <v>12</v>
      </c>
      <c r="F55" s="506">
        <v>12</v>
      </c>
      <c r="G55" s="506">
        <v>10</v>
      </c>
      <c r="H55" s="582">
        <v>0</v>
      </c>
      <c r="I55" s="56">
        <f t="shared" si="1"/>
        <v>36</v>
      </c>
      <c r="J55" s="162"/>
      <c r="K55" s="401" t="s">
        <v>343</v>
      </c>
      <c r="L55" s="656">
        <f>SUM(L56:L58)</f>
        <v>0</v>
      </c>
      <c r="M55" s="656">
        <f t="shared" ref="M55:Q55" si="6">SUM(M56:M58)</f>
        <v>7618.6197830669762</v>
      </c>
      <c r="N55" s="656">
        <f t="shared" si="6"/>
        <v>47353.142758552232</v>
      </c>
      <c r="O55" s="656">
        <f t="shared" si="6"/>
        <v>47071.237495394336</v>
      </c>
      <c r="P55" s="656">
        <f t="shared" si="6"/>
        <v>38093.098915334878</v>
      </c>
      <c r="Q55" s="656">
        <f t="shared" si="6"/>
        <v>0</v>
      </c>
      <c r="R55" s="489">
        <f t="shared" si="2"/>
        <v>140136.09895234843</v>
      </c>
      <c r="S55" s="168"/>
      <c r="T55" s="162"/>
    </row>
    <row r="56" spans="1:20" s="53" customFormat="1">
      <c r="A56" s="507" t="s">
        <v>256</v>
      </c>
      <c r="B56" s="505">
        <v>417.85714285714283</v>
      </c>
      <c r="C56" s="506">
        <v>0</v>
      </c>
      <c r="D56" s="506">
        <v>0</v>
      </c>
      <c r="E56" s="506">
        <v>1</v>
      </c>
      <c r="F56" s="506">
        <v>0</v>
      </c>
      <c r="G56" s="506">
        <v>0</v>
      </c>
      <c r="H56" s="582">
        <v>0</v>
      </c>
      <c r="I56" s="56">
        <f t="shared" si="1"/>
        <v>1</v>
      </c>
      <c r="J56" s="162"/>
      <c r="K56" s="508" t="s">
        <v>256</v>
      </c>
      <c r="L56" s="150">
        <f>GETPIVOTDATA("Suma de VKTNOpav",$A$41,"Sector","Área Las Lajas-Maipo","Tipo de obra","Obras Previas")*GETPIVOTDATA("Máx de 2011",$A$41,"Sector","Área Las Lajas-Maipo","Tipo de obra","Obras Previas")/$I$56</f>
        <v>0</v>
      </c>
      <c r="M56" s="150">
        <f>GETPIVOTDATA("Suma de VKTNOpav",$A$41,"Sector","Área Las Lajas-Maipo","Tipo de obra","Obras Previas")*GETPIVOTDATA("Máx de 2012",$A$41,"Sector","Área Las Lajas-Maipo","Tipo de obra","Obras Previas")/$I$56</f>
        <v>0</v>
      </c>
      <c r="N56" s="150">
        <f>GETPIVOTDATA("Suma de VKTNOpav",$A$41,"Sector","Área Las Lajas-Maipo","Tipo de obra","Obras Previas")*GETPIVOTDATA("Máx de 2013",$A$41,"Sector","Área Las Lajas-Maipo","Tipo de obra","Obras Previas")/$I$56</f>
        <v>417.85714285714283</v>
      </c>
      <c r="O56" s="150">
        <f>GETPIVOTDATA("Suma de VKTNOpav",$A$41,"Sector","Área Las Lajas-Maipo","Tipo de obra","Obras Previas")*GETPIVOTDATA("Máx de 2014",$A$41,"Sector","Área Las Lajas-Maipo","Tipo de obra","Obras Previas")/$I$56</f>
        <v>0</v>
      </c>
      <c r="P56" s="150">
        <f>GETPIVOTDATA("Suma de VKTNOpav",$A$41,"Sector","Área Las Lajas-Maipo","Tipo de obra","Obras Previas")*GETPIVOTDATA("Máx de 2015",$A$41,"Sector","Área Las Lajas-Maipo","Tipo de obra","Obras Previas")/$I$56</f>
        <v>0</v>
      </c>
      <c r="Q56" s="150">
        <f>GETPIVOTDATA("Suma de VKTNOpav",$A$41,"Sector","Área Las Lajas-Maipo","Tipo de obra","Obras Previas")*GETPIVOTDATA("Máx de 2016",$A$41,"Sector","Área Las Lajas-Maipo","Tipo de obra","Obras Previas")/$I$56</f>
        <v>0</v>
      </c>
      <c r="R56" s="487">
        <f t="shared" si="2"/>
        <v>417.85714285714283</v>
      </c>
      <c r="S56" s="168"/>
      <c r="T56" s="162"/>
    </row>
    <row r="57" spans="1:20" s="53" customFormat="1">
      <c r="A57" s="507" t="s">
        <v>247</v>
      </c>
      <c r="B57" s="505">
        <v>137135.15609520557</v>
      </c>
      <c r="C57" s="506">
        <v>0</v>
      </c>
      <c r="D57" s="506">
        <v>2</v>
      </c>
      <c r="E57" s="506">
        <v>12</v>
      </c>
      <c r="F57" s="506">
        <v>12</v>
      </c>
      <c r="G57" s="506">
        <v>10</v>
      </c>
      <c r="H57" s="582">
        <v>0</v>
      </c>
      <c r="I57" s="56">
        <f t="shared" si="1"/>
        <v>36</v>
      </c>
      <c r="J57" s="162"/>
      <c r="K57" s="508" t="s">
        <v>247</v>
      </c>
      <c r="L57" s="150">
        <f>GETPIVOTDATA("Suma de VKTNOpav",$A$41,"Sector","Área Las Lajas-Maipo","Tipo de obra","Túneles, cavernas  y chimeneas")*GETPIVOTDATA("Máx de 2011",$A$41,"Sector","Área Las Lajas-Maipo","Tipo de obra","Túneles, cavernas  y chimeneas")/$I$57</f>
        <v>0</v>
      </c>
      <c r="M57" s="150">
        <f>GETPIVOTDATA("Suma de VKTNOpav",$A$41,"Sector","Área Las Lajas-Maipo","Tipo de obra","Túneles, cavernas  y chimeneas")*GETPIVOTDATA("Máx de 2012",$A$41,"Sector","Área Las Lajas-Maipo","Tipo de obra","Túneles, cavernas  y chimeneas")/$I$57</f>
        <v>7618.6197830669762</v>
      </c>
      <c r="N57" s="150">
        <f>GETPIVOTDATA("Suma de VKTNOpav",$A$41,"Sector","Área Las Lajas-Maipo","Tipo de obra","Túneles, cavernas  y chimeneas")*GETPIVOTDATA("Máx de 2013",$A$41,"Sector","Área Las Lajas-Maipo","Tipo de obra","Túneles, cavernas  y chimeneas")/$I$57</f>
        <v>45711.718698401855</v>
      </c>
      <c r="O57" s="150">
        <f>GETPIVOTDATA("Suma de VKTNOpav",$A$41,"Sector","Área Las Lajas-Maipo","Tipo de obra","Túneles, cavernas  y chimeneas")*GETPIVOTDATA("Máx de 2014",$A$41,"Sector","Área Las Lajas-Maipo","Tipo de obra","Túneles, cavernas  y chimeneas")/$I$57</f>
        <v>45711.718698401855</v>
      </c>
      <c r="P57" s="150">
        <f>GETPIVOTDATA("Suma de VKTNOpav",$A$41,"Sector","Área Las Lajas-Maipo","Tipo de obra","Túneles, cavernas  y chimeneas")*GETPIVOTDATA("Máx de 2015",$A$41,"Sector","Área Las Lajas-Maipo","Tipo de obra","Túneles, cavernas  y chimeneas")/$I$57</f>
        <v>38093.098915334878</v>
      </c>
      <c r="Q57" s="150">
        <f>GETPIVOTDATA("Suma de VKTNOpav",$A$41,"Sector","Área Las Lajas-Maipo","Tipo de obra","Túneles, cavernas  y chimeneas")*GETPIVOTDATA("Máx de 2016",$A$41,"Sector","Área Las Lajas-Maipo","Tipo de obra","Túneles, cavernas  y chimeneas")/$I$57</f>
        <v>0</v>
      </c>
      <c r="R57" s="487">
        <f t="shared" si="2"/>
        <v>137135.15609520557</v>
      </c>
      <c r="S57" s="168"/>
      <c r="T57" s="162"/>
    </row>
    <row r="58" spans="1:20" s="53" customFormat="1" ht="12.75" thickBot="1">
      <c r="A58" s="507" t="s">
        <v>223</v>
      </c>
      <c r="B58" s="505">
        <v>2583.0857142857139</v>
      </c>
      <c r="C58" s="506">
        <v>0</v>
      </c>
      <c r="D58" s="506">
        <v>0</v>
      </c>
      <c r="E58" s="506">
        <v>9</v>
      </c>
      <c r="F58" s="506">
        <v>10</v>
      </c>
      <c r="G58" s="506">
        <v>0</v>
      </c>
      <c r="H58" s="582">
        <v>0</v>
      </c>
      <c r="I58" s="56">
        <f t="shared" si="1"/>
        <v>19</v>
      </c>
      <c r="J58" s="162"/>
      <c r="K58" s="508" t="s">
        <v>223</v>
      </c>
      <c r="L58" s="652">
        <f>GETPIVOTDATA("Suma de VKTNOpav",$A$41,"Sector","Área Las Lajas-Maipo","Tipo de obra","Obras Civiles")*GETPIVOTDATA("Máx de 2011",$A$41,"Sector","Área Las Lajas-Maipo","Tipo de obra","Obras Civiles")/$I$58</f>
        <v>0</v>
      </c>
      <c r="M58" s="652">
        <f>GETPIVOTDATA("Suma de VKTNOpav",$A$41,"Sector","Área Las Lajas-Maipo","Tipo de obra","Obras Civiles")*GETPIVOTDATA("Máx de 2012",$A$41,"Sector","Área Las Lajas-Maipo","Tipo de obra","Obras Civiles")/$I$58</f>
        <v>0</v>
      </c>
      <c r="N58" s="652">
        <f>GETPIVOTDATA("Suma de VKTNOpav",$A$41,"Sector","Área Las Lajas-Maipo","Tipo de obra","Obras Civiles")*GETPIVOTDATA("Máx de 2013",$A$41,"Sector","Área Las Lajas-Maipo","Tipo de obra","Obras Civiles")/$I$58</f>
        <v>1223.5669172932328</v>
      </c>
      <c r="O58" s="652">
        <f>GETPIVOTDATA("Suma de VKTNOpav",$A$41,"Sector","Área Las Lajas-Maipo","Tipo de obra","Obras Civiles")*GETPIVOTDATA("Máx de 2014",$A$41,"Sector","Área Las Lajas-Maipo","Tipo de obra","Obras Civiles")/$I$58</f>
        <v>1359.5187969924809</v>
      </c>
      <c r="P58" s="652">
        <f>GETPIVOTDATA("Suma de VKTNOpav",$A$41,"Sector","Área Las Lajas-Maipo","Tipo de obra","Obras Civiles")*GETPIVOTDATA("Máx de 2015",$A$41,"Sector","Área Las Lajas-Maipo","Tipo de obra","Obras Civiles")/$I$58</f>
        <v>0</v>
      </c>
      <c r="Q58" s="652">
        <f>GETPIVOTDATA("Suma de VKTNOpav",$A$41,"Sector","Área Las Lajas-Maipo","Tipo de obra","Obras Civiles")*GETPIVOTDATA("Máx de 2016",$A$41,"Sector","Área Las Lajas-Maipo","Tipo de obra","Obras Civiles")/$I$58</f>
        <v>0</v>
      </c>
      <c r="R58" s="487">
        <f>SUM(L58:Q58)</f>
        <v>2583.0857142857139</v>
      </c>
      <c r="S58" s="168"/>
      <c r="T58" s="162"/>
    </row>
    <row r="59" spans="1:20" s="53" customFormat="1" ht="12.75" thickBot="1">
      <c r="A59" s="577" t="s">
        <v>341</v>
      </c>
      <c r="B59" s="578">
        <v>476546.89614929695</v>
      </c>
      <c r="C59" s="583">
        <v>0</v>
      </c>
      <c r="D59" s="583">
        <v>5</v>
      </c>
      <c r="E59" s="583">
        <v>12</v>
      </c>
      <c r="F59" s="583">
        <v>12</v>
      </c>
      <c r="G59" s="583">
        <v>10</v>
      </c>
      <c r="H59" s="584">
        <v>4</v>
      </c>
      <c r="I59" s="56">
        <f>SUM(C59:H59)</f>
        <v>43</v>
      </c>
      <c r="J59" s="162"/>
      <c r="K59" s="151" t="s">
        <v>32</v>
      </c>
      <c r="L59" s="490">
        <f>L43+L46+L50+L52+L55</f>
        <v>0</v>
      </c>
      <c r="M59" s="490">
        <f t="shared" ref="M59:Q59" si="7">M43+M46+M50+M52+M55</f>
        <v>56597.934979145415</v>
      </c>
      <c r="N59" s="490">
        <f t="shared" si="7"/>
        <v>236450.85153658089</v>
      </c>
      <c r="O59" s="490">
        <f t="shared" si="7"/>
        <v>110120.36896715575</v>
      </c>
      <c r="P59" s="490">
        <f t="shared" si="7"/>
        <v>69638.675490482361</v>
      </c>
      <c r="Q59" s="490">
        <f t="shared" si="7"/>
        <v>3739.0651759324919</v>
      </c>
      <c r="R59" s="491">
        <f>SUM(L59:Q59)</f>
        <v>476546.8961492969</v>
      </c>
      <c r="S59" s="168"/>
      <c r="T59" s="162"/>
    </row>
    <row r="60" spans="1:20" s="53" customFormat="1" ht="15">
      <c r="A60" s="511"/>
      <c r="B60" s="162"/>
      <c r="C60" s="162"/>
      <c r="D60" s="162"/>
      <c r="E60" s="162"/>
      <c r="F60" s="162"/>
      <c r="G60" s="162"/>
      <c r="H60" s="162"/>
      <c r="I60" s="162"/>
      <c r="J60" s="162"/>
      <c r="K60" s="162"/>
      <c r="L60" s="162"/>
      <c r="M60" s="162"/>
      <c r="N60" s="162"/>
      <c r="O60" s="162"/>
      <c r="P60" s="162"/>
      <c r="Q60" s="162"/>
      <c r="R60" s="162"/>
      <c r="S60" s="168"/>
    </row>
    <row r="61" spans="1:20" s="53" customFormat="1" ht="15.75" thickBot="1">
      <c r="A61" s="511"/>
      <c r="B61" s="162"/>
      <c r="C61" s="162"/>
      <c r="D61" s="162"/>
      <c r="E61" s="162"/>
      <c r="F61" s="162"/>
      <c r="G61" s="162"/>
      <c r="H61" s="162"/>
      <c r="I61" s="162"/>
      <c r="J61" s="162"/>
      <c r="K61" s="162"/>
      <c r="L61" s="162"/>
      <c r="M61" s="162"/>
      <c r="N61" s="162"/>
      <c r="O61" s="162"/>
      <c r="P61" s="162"/>
      <c r="Q61" s="162"/>
      <c r="R61" s="162"/>
      <c r="S61" s="168"/>
    </row>
    <row r="62" spans="1:20" s="53" customFormat="1" ht="12.75" thickBot="1">
      <c r="A62" s="580" t="s">
        <v>408</v>
      </c>
      <c r="B62" s="581" t="s">
        <v>892</v>
      </c>
      <c r="C62" s="162"/>
      <c r="D62" s="162"/>
      <c r="E62" s="162"/>
      <c r="F62" s="162"/>
      <c r="G62" s="162"/>
      <c r="H62" s="162"/>
      <c r="I62" s="162"/>
      <c r="J62" s="162"/>
      <c r="K62" s="162"/>
      <c r="L62" s="162"/>
      <c r="M62" s="162"/>
      <c r="N62" s="162"/>
      <c r="O62" s="162"/>
      <c r="P62" s="162"/>
      <c r="Q62" s="162"/>
      <c r="R62" s="162"/>
      <c r="S62" s="168"/>
    </row>
    <row r="63" spans="1:20" s="53" customFormat="1" ht="12.75" thickBot="1">
      <c r="A63" s="501"/>
      <c r="B63" s="56"/>
      <c r="C63" s="162"/>
      <c r="D63" s="162"/>
      <c r="E63" s="162"/>
      <c r="F63" s="162"/>
      <c r="G63" s="162"/>
      <c r="H63" s="162"/>
      <c r="I63" s="162"/>
      <c r="J63" s="162"/>
      <c r="K63" s="162"/>
      <c r="L63" s="162"/>
      <c r="M63" s="162"/>
      <c r="N63" s="162"/>
      <c r="O63" s="162"/>
      <c r="P63" s="162"/>
      <c r="Q63" s="162"/>
      <c r="R63" s="162"/>
      <c r="S63" s="168"/>
    </row>
    <row r="64" spans="1:20" s="53" customFormat="1">
      <c r="A64" s="573"/>
      <c r="B64" s="574" t="s">
        <v>913</v>
      </c>
      <c r="C64" s="528"/>
      <c r="D64" s="528"/>
      <c r="E64" s="528"/>
      <c r="F64" s="528"/>
      <c r="G64" s="528"/>
      <c r="H64" s="529"/>
      <c r="I64" s="56"/>
      <c r="J64" s="162"/>
      <c r="K64" s="56"/>
      <c r="L64" s="502" t="s">
        <v>942</v>
      </c>
      <c r="M64" s="442"/>
      <c r="N64" s="442"/>
      <c r="O64" s="442"/>
      <c r="P64" s="442"/>
      <c r="Q64" s="442"/>
      <c r="S64" s="168"/>
    </row>
    <row r="65" spans="1:19" s="53" customFormat="1" ht="24">
      <c r="A65" s="500" t="s">
        <v>844</v>
      </c>
      <c r="B65" s="56" t="s">
        <v>938</v>
      </c>
      <c r="C65" s="503" t="s">
        <v>932</v>
      </c>
      <c r="D65" s="503" t="s">
        <v>933</v>
      </c>
      <c r="E65" s="503" t="s">
        <v>934</v>
      </c>
      <c r="F65" s="503" t="s">
        <v>935</v>
      </c>
      <c r="G65" s="503" t="s">
        <v>936</v>
      </c>
      <c r="H65" s="575" t="s">
        <v>937</v>
      </c>
      <c r="I65" s="56"/>
      <c r="J65" s="162"/>
      <c r="K65" s="148" t="s">
        <v>844</v>
      </c>
      <c r="L65" s="148">
        <v>2011</v>
      </c>
      <c r="M65" s="148">
        <v>2012</v>
      </c>
      <c r="N65" s="148">
        <v>2013</v>
      </c>
      <c r="O65" s="148">
        <v>2014</v>
      </c>
      <c r="P65" s="148">
        <v>2015</v>
      </c>
      <c r="Q65" s="148">
        <v>2016</v>
      </c>
      <c r="R65" s="390"/>
      <c r="S65" s="168"/>
    </row>
    <row r="66" spans="1:19" s="53" customFormat="1">
      <c r="A66" s="504" t="s">
        <v>343</v>
      </c>
      <c r="B66" s="505">
        <v>155737.34298096781</v>
      </c>
      <c r="C66" s="506">
        <v>2</v>
      </c>
      <c r="D66" s="506">
        <v>1</v>
      </c>
      <c r="E66" s="506">
        <v>11</v>
      </c>
      <c r="F66" s="506">
        <v>12</v>
      </c>
      <c r="G66" s="506">
        <v>12</v>
      </c>
      <c r="H66" s="582">
        <v>0</v>
      </c>
      <c r="I66" s="56">
        <f>SUM(C66:H66)</f>
        <v>38</v>
      </c>
      <c r="J66" s="162"/>
      <c r="K66" s="401" t="s">
        <v>343</v>
      </c>
      <c r="L66" s="492">
        <f>SUM(L67:L69)</f>
        <v>3156.7619047619046</v>
      </c>
      <c r="M66" s="492">
        <f t="shared" ref="M66:Q66" si="8">SUM(M67:M69)</f>
        <v>1578.3809523809523</v>
      </c>
      <c r="N66" s="492">
        <f t="shared" si="8"/>
        <v>47677.204803179753</v>
      </c>
      <c r="O66" s="492">
        <f t="shared" si="8"/>
        <v>55634.489655416866</v>
      </c>
      <c r="P66" s="492">
        <f t="shared" si="8"/>
        <v>47690.505665228338</v>
      </c>
      <c r="Q66" s="492">
        <f t="shared" si="8"/>
        <v>0</v>
      </c>
      <c r="R66" s="488">
        <f>SUM(L66:Q66)</f>
        <v>155737.34298096783</v>
      </c>
      <c r="S66" s="168"/>
    </row>
    <row r="67" spans="1:19" s="53" customFormat="1">
      <c r="A67" s="507" t="s">
        <v>256</v>
      </c>
      <c r="B67" s="505">
        <v>4735.1428571428569</v>
      </c>
      <c r="C67" s="506">
        <v>2</v>
      </c>
      <c r="D67" s="506">
        <v>1</v>
      </c>
      <c r="E67" s="506">
        <v>0</v>
      </c>
      <c r="F67" s="506">
        <v>0</v>
      </c>
      <c r="G67" s="506">
        <v>0</v>
      </c>
      <c r="H67" s="582">
        <v>0</v>
      </c>
      <c r="I67" s="56">
        <f t="shared" ref="I67:I70" si="9">SUM(C67:H67)</f>
        <v>3</v>
      </c>
      <c r="J67" s="162"/>
      <c r="K67" s="508" t="s">
        <v>256</v>
      </c>
      <c r="L67" s="509">
        <f>GETPIVOTDATA("Suma de VKTPav",$A$64,"Sector","Área Las Lajas-Maipo","Tipo de obra","Obras Previas")*GETPIVOTDATA("Máx de 2011",$A$64,"Sector","Área Las Lajas-Maipo","Tipo de obra","Obras Previas")/$I$67</f>
        <v>3156.7619047619046</v>
      </c>
      <c r="M67" s="509">
        <f>GETPIVOTDATA("Suma de VKTPav",$A$64,"Sector","Área Las Lajas-Maipo","Tipo de obra","Obras Previas")*GETPIVOTDATA("Máx de 2012",$A$64,"Sector","Área Las Lajas-Maipo","Tipo de obra","Obras Previas")/$I$67</f>
        <v>1578.3809523809523</v>
      </c>
      <c r="N67" s="509">
        <f>GETPIVOTDATA("Suma de VKTPav",$A$64,"Sector","Área Las Lajas-Maipo","Tipo de obra","Obras Previas")*GETPIVOTDATA("Máx de 2013",$A$64,"Sector","Área Las Lajas-Maipo","Tipo de obra","Obras Previas")/$I$67</f>
        <v>0</v>
      </c>
      <c r="O67" s="509">
        <f>GETPIVOTDATA("Suma de VKTPav",$A$64,"Sector","Área Las Lajas-Maipo","Tipo de obra","Obras Previas")*GETPIVOTDATA("Máx de 2014",$A$64,"Sector","Área Las Lajas-Maipo","Tipo de obra","Obras Previas")/$I$67</f>
        <v>0</v>
      </c>
      <c r="P67" s="509">
        <f>GETPIVOTDATA("Suma de VKTPav",$A$64,"Sector","Área Las Lajas-Maipo","Tipo de obra","Obras Previas")*GETPIVOTDATA("Máx de 2015",$A$64,"Sector","Área Las Lajas-Maipo","Tipo de obra","Obras Previas")/$I$67</f>
        <v>0</v>
      </c>
      <c r="Q67" s="509">
        <f>GETPIVOTDATA("Suma de VKTPav",$A$64,"Sector","Área Las Lajas-Maipo","Tipo de obra","Obras Previas")*GETPIVOTDATA("Máx de 2016",$A$64,"Sector","Área Las Lajas-Maipo","Tipo de obra","Obras Previas")/$I$67</f>
        <v>0</v>
      </c>
      <c r="R67" s="487">
        <f>SUM(L67:Q67)</f>
        <v>4735.1428571428569</v>
      </c>
      <c r="S67" s="168"/>
    </row>
    <row r="68" spans="1:19" s="53" customFormat="1">
      <c r="A68" s="507" t="s">
        <v>247</v>
      </c>
      <c r="B68" s="505">
        <v>131075.73583811068</v>
      </c>
      <c r="C68" s="506">
        <v>0</v>
      </c>
      <c r="D68" s="506">
        <v>0</v>
      </c>
      <c r="E68" s="506">
        <v>11</v>
      </c>
      <c r="F68" s="506">
        <v>12</v>
      </c>
      <c r="G68" s="506">
        <v>10</v>
      </c>
      <c r="H68" s="582">
        <v>0</v>
      </c>
      <c r="I68" s="56">
        <f t="shared" si="9"/>
        <v>33</v>
      </c>
      <c r="J68" s="162"/>
      <c r="K68" s="508" t="s">
        <v>247</v>
      </c>
      <c r="L68" s="509">
        <f>GETPIVOTDATA("Suma de VKTPav",$A$64,"Sector","Área Las Lajas-Maipo","Tipo de obra","Túneles, cavernas  y chimeneas")*GETPIVOTDATA("Máx de 2011",$A$64,"Sector","Área Las Lajas-Maipo","Tipo de obra","Túneles, cavernas  y chimeneas")/$I$68</f>
        <v>0</v>
      </c>
      <c r="M68" s="509">
        <f>GETPIVOTDATA("Suma de VKTPav",$A$64,"Sector","Área Las Lajas-Maipo","Tipo de obra","Túneles, cavernas  y chimeneas")*GETPIVOTDATA("Máx de 2012",$A$64,"Sector","Área Las Lajas-Maipo","Tipo de obra","Túneles, cavernas  y chimeneas")/$I$68</f>
        <v>0</v>
      </c>
      <c r="N68" s="509">
        <f>GETPIVOTDATA("Suma de VKTPav",$A$64,"Sector","Área Las Lajas-Maipo","Tipo de obra","Túneles, cavernas  y chimeneas")*GETPIVOTDATA("Máx de 2013",$A$64,"Sector","Área Las Lajas-Maipo","Tipo de obra","Túneles, cavernas  y chimeneas")/$I$68</f>
        <v>43691.911946036897</v>
      </c>
      <c r="O68" s="509">
        <f>GETPIVOTDATA("Suma de VKTPav",$A$64,"Sector","Área Las Lajas-Maipo","Tipo de obra","Túneles, cavernas  y chimeneas")*GETPIVOTDATA("Máx de 2014",$A$64,"Sector","Área Las Lajas-Maipo","Tipo de obra","Túneles, cavernas  y chimeneas")/$I$68</f>
        <v>47663.903941131153</v>
      </c>
      <c r="P68" s="509">
        <f>GETPIVOTDATA("Suma de VKTPav",$A$64,"Sector","Área Las Lajas-Maipo","Tipo de obra","Túneles, cavernas  y chimeneas")*GETPIVOTDATA("Máx de 2015",$A$64,"Sector","Área Las Lajas-Maipo","Tipo de obra","Túneles, cavernas  y chimeneas")/$I$68</f>
        <v>39719.919950942625</v>
      </c>
      <c r="Q68" s="509">
        <f>GETPIVOTDATA("Suma de VKTPav",$A$64,"Sector","Área Las Lajas-Maipo","Tipo de obra","Túneles, cavernas  y chimeneas")*GETPIVOTDATA("Máx de 2016",$A$64,"Sector","Área Las Lajas-Maipo","Tipo de obra","Túneles, cavernas  y chimeneas")/$I$68</f>
        <v>0</v>
      </c>
      <c r="R68" s="487">
        <f t="shared" ref="R68:R69" si="10">SUM(L68:Q68)</f>
        <v>131075.73583811068</v>
      </c>
      <c r="S68" s="168"/>
    </row>
    <row r="69" spans="1:19" s="53" customFormat="1">
      <c r="A69" s="507" t="s">
        <v>223</v>
      </c>
      <c r="B69" s="505">
        <v>19926.464285714286</v>
      </c>
      <c r="C69" s="506">
        <v>0</v>
      </c>
      <c r="D69" s="506">
        <v>0</v>
      </c>
      <c r="E69" s="506">
        <v>6</v>
      </c>
      <c r="F69" s="506">
        <v>12</v>
      </c>
      <c r="G69" s="506">
        <v>12</v>
      </c>
      <c r="H69" s="582">
        <v>0</v>
      </c>
      <c r="I69" s="56">
        <f t="shared" si="9"/>
        <v>30</v>
      </c>
      <c r="J69" s="162"/>
      <c r="K69" s="508" t="s">
        <v>223</v>
      </c>
      <c r="L69" s="509">
        <f>GETPIVOTDATA("Suma de VKTPav",$A$64,"Sector","Área Las Lajas-Maipo","Tipo de obra","Obras Civiles")*GETPIVOTDATA("Máx de 2011",$A$64,"Sector","Área Las Lajas-Maipo","Tipo de obra","Obras Civiles")/$I$69</f>
        <v>0</v>
      </c>
      <c r="M69" s="509">
        <f>GETPIVOTDATA("Suma de VKTPav",$A$64,"Sector","Área Las Lajas-Maipo","Tipo de obra","Obras Civiles")*GETPIVOTDATA("Máx de 2012",$A$64,"Sector","Área Las Lajas-Maipo","Tipo de obra","Obras Civiles")/$I$69</f>
        <v>0</v>
      </c>
      <c r="N69" s="509">
        <f>GETPIVOTDATA("Suma de VKTPav",$A$64,"Sector","Área Las Lajas-Maipo","Tipo de obra","Obras Civiles")*GETPIVOTDATA("Máx de 2013",$A$64,"Sector","Área Las Lajas-Maipo","Tipo de obra","Obras Civiles")/$I$69</f>
        <v>3985.292857142857</v>
      </c>
      <c r="O69" s="509">
        <f>GETPIVOTDATA("Suma de VKTPav",$A$64,"Sector","Área Las Lajas-Maipo","Tipo de obra","Obras Civiles")*GETPIVOTDATA("Máx de 2014",$A$64,"Sector","Área Las Lajas-Maipo","Tipo de obra","Obras Civiles")/$I$69</f>
        <v>7970.5857142857139</v>
      </c>
      <c r="P69" s="509">
        <f>GETPIVOTDATA("Suma de VKTPav",$A$64,"Sector","Área Las Lajas-Maipo","Tipo de obra","Obras Civiles")*GETPIVOTDATA("Máx de 2015",$A$64,"Sector","Área Las Lajas-Maipo","Tipo de obra","Obras Civiles")/$I$69</f>
        <v>7970.5857142857139</v>
      </c>
      <c r="Q69" s="509">
        <f>GETPIVOTDATA("Suma de VKTPav",$A$64,"Sector","Área Las Lajas-Maipo","Tipo de obra","Obras Civiles")*GETPIVOTDATA("Máx de 2016",$A$64,"Sector","Área Las Lajas-Maipo","Tipo de obra","Obras Civiles")/$I$69</f>
        <v>0</v>
      </c>
      <c r="R69" s="487">
        <f t="shared" si="10"/>
        <v>19926.464285714286</v>
      </c>
      <c r="S69" s="168"/>
    </row>
    <row r="70" spans="1:19" s="53" customFormat="1" ht="12.75" thickBot="1">
      <c r="A70" s="577" t="s">
        <v>341</v>
      </c>
      <c r="B70" s="578">
        <v>155737.34298096781</v>
      </c>
      <c r="C70" s="583">
        <v>2</v>
      </c>
      <c r="D70" s="583">
        <v>1</v>
      </c>
      <c r="E70" s="583">
        <v>11</v>
      </c>
      <c r="F70" s="583">
        <v>12</v>
      </c>
      <c r="G70" s="583">
        <v>12</v>
      </c>
      <c r="H70" s="584">
        <v>0</v>
      </c>
      <c r="I70" s="56">
        <f t="shared" si="9"/>
        <v>38</v>
      </c>
      <c r="J70" s="162"/>
      <c r="K70" s="151" t="s">
        <v>32</v>
      </c>
      <c r="L70" s="510">
        <f>L66</f>
        <v>3156.7619047619046</v>
      </c>
      <c r="M70" s="510">
        <f t="shared" ref="M70:Q70" si="11">M66</f>
        <v>1578.3809523809523</v>
      </c>
      <c r="N70" s="510">
        <f t="shared" si="11"/>
        <v>47677.204803179753</v>
      </c>
      <c r="O70" s="510">
        <f t="shared" si="11"/>
        <v>55634.489655416866</v>
      </c>
      <c r="P70" s="510">
        <f t="shared" si="11"/>
        <v>47690.505665228338</v>
      </c>
      <c r="Q70" s="510">
        <f t="shared" si="11"/>
        <v>0</v>
      </c>
      <c r="R70" s="491">
        <f>SUM(L70:Q70)</f>
        <v>155737.34298096783</v>
      </c>
      <c r="S70" s="168"/>
    </row>
    <row r="71" spans="1:19" s="53" customFormat="1" ht="15">
      <c r="A71" s="511"/>
      <c r="B71" s="162"/>
      <c r="C71" s="162"/>
      <c r="D71" s="162"/>
      <c r="E71" s="162"/>
      <c r="F71" s="162"/>
      <c r="G71" s="162"/>
      <c r="H71" s="162"/>
      <c r="I71" s="162"/>
      <c r="J71" s="162"/>
      <c r="K71" s="56"/>
      <c r="L71" s="56"/>
      <c r="M71" s="56"/>
      <c r="N71" s="56"/>
      <c r="O71" s="56"/>
      <c r="P71" s="56"/>
      <c r="Q71" s="56"/>
      <c r="S71" s="168"/>
    </row>
    <row r="72" spans="1:19" s="53" customFormat="1" ht="15">
      <c r="A72" s="511"/>
      <c r="B72" s="162"/>
      <c r="C72" s="162"/>
      <c r="D72" s="162"/>
      <c r="E72" s="162"/>
      <c r="F72" s="162"/>
      <c r="G72" s="162"/>
      <c r="H72" s="162"/>
      <c r="I72" s="162"/>
      <c r="J72" s="162"/>
      <c r="K72" s="442"/>
      <c r="L72" s="502" t="s">
        <v>940</v>
      </c>
      <c r="M72" s="442"/>
      <c r="N72" s="442"/>
      <c r="O72" s="442"/>
      <c r="P72" s="442"/>
      <c r="Q72" s="442"/>
      <c r="R72" s="502"/>
      <c r="S72" s="168"/>
    </row>
    <row r="73" spans="1:19" s="53" customFormat="1" ht="15">
      <c r="A73" s="511"/>
      <c r="B73" s="162"/>
      <c r="C73" s="162"/>
      <c r="D73" s="162"/>
      <c r="E73" s="162"/>
      <c r="F73" s="162"/>
      <c r="G73" s="162"/>
      <c r="H73" s="162"/>
      <c r="I73" s="162"/>
      <c r="J73" s="162"/>
      <c r="K73" s="388"/>
      <c r="L73" s="148">
        <v>2011</v>
      </c>
      <c r="M73" s="148">
        <v>2012</v>
      </c>
      <c r="N73" s="148">
        <v>2013</v>
      </c>
      <c r="O73" s="148">
        <v>2014</v>
      </c>
      <c r="P73" s="148">
        <v>2015</v>
      </c>
      <c r="Q73" s="148">
        <v>2016</v>
      </c>
      <c r="R73" s="390"/>
      <c r="S73" s="168"/>
    </row>
    <row r="74" spans="1:19" s="53" customFormat="1" ht="15.75" thickBot="1">
      <c r="A74" s="511"/>
      <c r="B74" s="162"/>
      <c r="C74" s="162"/>
      <c r="D74" s="162"/>
      <c r="E74" s="162"/>
      <c r="F74" s="162"/>
      <c r="G74" s="162"/>
      <c r="H74" s="162"/>
      <c r="I74" s="162"/>
      <c r="J74" s="162"/>
      <c r="K74" s="151" t="s">
        <v>32</v>
      </c>
      <c r="L74" s="510">
        <f>L59+L70</f>
        <v>3156.7619047619046</v>
      </c>
      <c r="M74" s="510">
        <f t="shared" ref="M74:Q74" si="12">M59+M70</f>
        <v>58176.315931526369</v>
      </c>
      <c r="N74" s="510">
        <f t="shared" si="12"/>
        <v>284128.05633976066</v>
      </c>
      <c r="O74" s="510">
        <f t="shared" si="12"/>
        <v>165754.85862257262</v>
      </c>
      <c r="P74" s="510">
        <f t="shared" si="12"/>
        <v>117329.1811557107</v>
      </c>
      <c r="Q74" s="510">
        <f t="shared" si="12"/>
        <v>3739.0651759324919</v>
      </c>
      <c r="R74" s="491">
        <f>SUM(L74:Q74)</f>
        <v>632284.23913026473</v>
      </c>
      <c r="S74" s="168"/>
    </row>
    <row r="75" spans="1:19" s="53" customFormat="1" ht="15.75" thickBot="1">
      <c r="A75" s="512"/>
      <c r="B75" s="184"/>
      <c r="C75" s="184"/>
      <c r="D75" s="184"/>
      <c r="E75" s="184"/>
      <c r="F75" s="184"/>
      <c r="G75" s="184"/>
      <c r="H75" s="184"/>
      <c r="I75" s="184"/>
      <c r="J75" s="184"/>
      <c r="K75" s="184"/>
      <c r="L75" s="184"/>
      <c r="M75" s="184"/>
      <c r="N75" s="184"/>
      <c r="O75" s="184"/>
      <c r="P75" s="184"/>
      <c r="Q75" s="184"/>
      <c r="R75" s="184"/>
      <c r="S75" s="186"/>
    </row>
    <row r="76" spans="1:19" s="53" customFormat="1" ht="15">
      <c r="A76" s="453"/>
      <c r="B76" s="29"/>
      <c r="C76" s="29"/>
      <c r="D76" s="29"/>
      <c r="E76" s="29"/>
      <c r="F76" s="29"/>
      <c r="G76" s="29"/>
      <c r="H76" s="29"/>
      <c r="I76" s="29"/>
      <c r="J76" s="29"/>
      <c r="K76" s="29"/>
      <c r="L76" s="29"/>
      <c r="M76" s="29"/>
      <c r="N76" s="29"/>
      <c r="O76" s="29"/>
      <c r="P76" s="29"/>
      <c r="Q76" s="29"/>
    </row>
    <row r="77" spans="1:19" ht="12.75" thickBot="1">
      <c r="A77" s="37"/>
      <c r="B77" s="37"/>
      <c r="C77" s="37"/>
      <c r="D77" s="37"/>
      <c r="E77" s="37"/>
      <c r="F77" s="37"/>
      <c r="G77" s="37"/>
      <c r="H77" s="37"/>
      <c r="I77" s="37"/>
      <c r="J77" s="37"/>
      <c r="K77" s="37"/>
      <c r="L77" s="37"/>
      <c r="M77" s="37"/>
      <c r="N77" s="37"/>
      <c r="O77" s="37"/>
      <c r="P77" s="37"/>
    </row>
    <row r="78" spans="1:19">
      <c r="A78" s="163" t="s">
        <v>736</v>
      </c>
      <c r="B78" s="165" t="s">
        <v>746</v>
      </c>
      <c r="C78" s="200"/>
      <c r="D78" s="200"/>
      <c r="E78" s="165"/>
      <c r="F78" s="165"/>
      <c r="G78" s="165"/>
      <c r="H78" s="165"/>
      <c r="I78" s="165"/>
      <c r="J78" s="165"/>
      <c r="K78" s="165"/>
      <c r="L78" s="165"/>
      <c r="M78" s="165"/>
      <c r="N78" s="165"/>
      <c r="O78" s="165"/>
      <c r="P78" s="165"/>
      <c r="Q78" s="528"/>
      <c r="R78" s="529"/>
    </row>
    <row r="79" spans="1:19">
      <c r="A79" s="167"/>
      <c r="B79" s="162"/>
      <c r="C79" s="156"/>
      <c r="D79" s="156"/>
      <c r="E79" s="162"/>
      <c r="F79" s="162"/>
      <c r="G79" s="162"/>
      <c r="H79" s="162"/>
      <c r="I79" s="162"/>
      <c r="J79" s="162"/>
      <c r="K79" s="162"/>
      <c r="L79" s="162"/>
      <c r="M79" s="162"/>
      <c r="N79" s="162"/>
      <c r="O79" s="162"/>
      <c r="P79" s="162"/>
      <c r="Q79" s="162"/>
      <c r="R79" s="168"/>
    </row>
    <row r="80" spans="1:19" ht="15.75" thickBot="1">
      <c r="A80" s="926" t="s">
        <v>741</v>
      </c>
      <c r="B80" s="927"/>
      <c r="C80" s="927"/>
      <c r="D80" s="156"/>
      <c r="E80" s="187"/>
      <c r="F80" s="208"/>
      <c r="G80" s="162"/>
      <c r="H80" s="162"/>
      <c r="I80" s="162"/>
      <c r="J80" s="162"/>
      <c r="K80" s="162"/>
      <c r="L80" s="162"/>
      <c r="M80" s="162"/>
      <c r="N80" s="162"/>
      <c r="O80" s="162"/>
      <c r="P80" s="162"/>
      <c r="Q80" s="162"/>
      <c r="R80" s="168"/>
    </row>
    <row r="81" spans="1:18" ht="31.5" customHeight="1">
      <c r="A81" s="249" t="s">
        <v>747</v>
      </c>
      <c r="B81" s="928" t="s">
        <v>748</v>
      </c>
      <c r="C81" s="928" t="s">
        <v>749</v>
      </c>
      <c r="D81" s="930" t="s">
        <v>739</v>
      </c>
      <c r="E81" s="931"/>
      <c r="F81" s="217"/>
      <c r="G81" s="162"/>
      <c r="H81" s="162"/>
      <c r="I81" s="162"/>
      <c r="J81" s="162"/>
      <c r="K81" s="162"/>
      <c r="L81" s="162"/>
      <c r="M81" s="162"/>
      <c r="N81" s="162"/>
      <c r="O81" s="162"/>
      <c r="P81" s="162"/>
      <c r="Q81" s="162"/>
      <c r="R81" s="168"/>
    </row>
    <row r="82" spans="1:18">
      <c r="A82" s="250"/>
      <c r="B82" s="929"/>
      <c r="C82" s="929"/>
      <c r="D82" s="122" t="s">
        <v>621</v>
      </c>
      <c r="E82" s="429" t="s">
        <v>622</v>
      </c>
      <c r="F82" s="217"/>
      <c r="G82" s="162"/>
      <c r="H82" s="162"/>
      <c r="I82" s="162"/>
      <c r="J82" s="162"/>
      <c r="K82" s="162"/>
      <c r="L82" s="162"/>
      <c r="M82" s="162"/>
      <c r="N82" s="162"/>
      <c r="O82" s="162"/>
      <c r="P82" s="162"/>
      <c r="Q82" s="162"/>
      <c r="R82" s="168"/>
    </row>
    <row r="83" spans="1:18" ht="21.75" customHeight="1">
      <c r="A83" s="1002" t="s">
        <v>750</v>
      </c>
      <c r="B83" s="213" t="s">
        <v>627</v>
      </c>
      <c r="C83" s="213" t="s">
        <v>751</v>
      </c>
      <c r="D83" s="1004">
        <v>251</v>
      </c>
      <c r="E83" s="1006">
        <f>D83/1000</f>
        <v>0.251</v>
      </c>
      <c r="F83" s="218"/>
      <c r="G83" s="162"/>
      <c r="H83" s="162"/>
      <c r="I83" s="162"/>
      <c r="J83" s="162"/>
      <c r="K83" s="162"/>
      <c r="L83" s="162"/>
      <c r="M83" s="206"/>
      <c r="N83" s="206"/>
      <c r="O83" s="162"/>
      <c r="P83" s="162"/>
      <c r="Q83" s="162"/>
      <c r="R83" s="168"/>
    </row>
    <row r="84" spans="1:18" ht="21.75" customHeight="1">
      <c r="A84" s="1003"/>
      <c r="B84" s="213" t="s">
        <v>752</v>
      </c>
      <c r="C84" s="213" t="s">
        <v>331</v>
      </c>
      <c r="D84" s="1005"/>
      <c r="E84" s="1007"/>
      <c r="F84" s="218"/>
      <c r="G84" s="162"/>
      <c r="H84" s="162"/>
      <c r="I84" s="162"/>
      <c r="J84" s="162"/>
      <c r="K84" s="162"/>
      <c r="L84" s="162"/>
      <c r="M84" s="206"/>
      <c r="N84" s="206"/>
      <c r="O84" s="162"/>
      <c r="P84" s="162"/>
      <c r="Q84" s="162"/>
      <c r="R84" s="168"/>
    </row>
    <row r="85" spans="1:18" ht="21.75" customHeight="1" thickBot="1">
      <c r="A85" s="207" t="s">
        <v>753</v>
      </c>
      <c r="B85" s="214" t="s">
        <v>628</v>
      </c>
      <c r="C85" s="214" t="s">
        <v>332</v>
      </c>
      <c r="D85" s="215">
        <v>182</v>
      </c>
      <c r="E85" s="216">
        <f>D85/1000</f>
        <v>0.182</v>
      </c>
      <c r="F85" s="218"/>
      <c r="G85" s="218"/>
      <c r="H85" s="219"/>
      <c r="I85" s="219"/>
      <c r="J85" s="162"/>
      <c r="K85" s="162"/>
      <c r="L85" s="162"/>
      <c r="M85" s="206"/>
      <c r="N85" s="206"/>
      <c r="O85" s="162"/>
      <c r="P85" s="162"/>
      <c r="Q85" s="162"/>
      <c r="R85" s="168"/>
    </row>
    <row r="86" spans="1:18">
      <c r="A86" s="251" t="s">
        <v>754</v>
      </c>
      <c r="B86" s="162"/>
      <c r="C86" s="162"/>
      <c r="D86" s="156"/>
      <c r="E86" s="187"/>
      <c r="F86" s="210"/>
      <c r="G86" s="211"/>
      <c r="H86" s="212"/>
      <c r="I86" s="206"/>
      <c r="J86" s="252"/>
      <c r="K86" s="206"/>
      <c r="L86" s="206"/>
      <c r="M86" s="206"/>
      <c r="N86" s="206"/>
      <c r="O86" s="162"/>
      <c r="P86" s="162"/>
      <c r="Q86" s="162"/>
      <c r="R86" s="168"/>
    </row>
    <row r="87" spans="1:18">
      <c r="A87" s="251"/>
      <c r="B87" s="162"/>
      <c r="C87" s="162"/>
      <c r="D87" s="156"/>
      <c r="E87" s="187"/>
      <c r="F87" s="210"/>
      <c r="G87" s="211"/>
      <c r="H87" s="212"/>
      <c r="I87" s="206"/>
      <c r="J87" s="252"/>
      <c r="K87" s="206"/>
      <c r="L87" s="206"/>
      <c r="M87" s="206"/>
      <c r="N87" s="206"/>
      <c r="O87" s="162"/>
      <c r="P87" s="162"/>
      <c r="Q87" s="162"/>
      <c r="R87" s="168"/>
    </row>
    <row r="88" spans="1:18">
      <c r="A88" s="167"/>
      <c r="B88" s="162"/>
      <c r="C88" s="156"/>
      <c r="D88" s="156"/>
      <c r="E88" s="187"/>
      <c r="F88" s="210"/>
      <c r="G88" s="211"/>
      <c r="H88" s="212"/>
      <c r="I88" s="252"/>
      <c r="J88" s="252"/>
      <c r="K88" s="206"/>
      <c r="L88" s="206"/>
      <c r="M88" s="206"/>
      <c r="N88" s="206"/>
      <c r="O88" s="162"/>
      <c r="P88" s="162"/>
      <c r="Q88" s="162"/>
      <c r="R88" s="168"/>
    </row>
    <row r="89" spans="1:18" ht="15">
      <c r="A89" s="926" t="s">
        <v>742</v>
      </c>
      <c r="B89" s="927"/>
      <c r="C89" s="927"/>
      <c r="D89" s="162"/>
      <c r="E89" s="187"/>
      <c r="F89" s="162"/>
      <c r="G89" s="162"/>
      <c r="H89" s="162"/>
      <c r="I89" s="206"/>
      <c r="J89" s="252"/>
      <c r="K89" s="206"/>
      <c r="L89" s="206"/>
      <c r="M89" s="206"/>
      <c r="N89" s="206"/>
      <c r="O89" s="162"/>
      <c r="P89" s="162"/>
      <c r="Q89" s="162"/>
      <c r="R89" s="168"/>
    </row>
    <row r="90" spans="1:18" ht="15.75" thickBot="1">
      <c r="A90" s="427"/>
      <c r="B90" s="428"/>
      <c r="C90" s="428"/>
      <c r="D90" s="162"/>
      <c r="E90" s="187"/>
      <c r="F90" s="162"/>
      <c r="G90" s="162"/>
      <c r="H90" s="162"/>
      <c r="I90" s="206"/>
      <c r="J90" s="252"/>
      <c r="K90" s="206"/>
      <c r="L90" s="206"/>
      <c r="M90" s="206"/>
      <c r="N90" s="206"/>
      <c r="O90" s="162"/>
      <c r="P90" s="162"/>
      <c r="Q90" s="162"/>
      <c r="R90" s="168"/>
    </row>
    <row r="91" spans="1:18">
      <c r="A91" s="253" t="s">
        <v>748</v>
      </c>
      <c r="B91" s="414" t="s">
        <v>755</v>
      </c>
      <c r="C91" s="413" t="s">
        <v>756</v>
      </c>
      <c r="D91" s="162"/>
      <c r="E91" s="187"/>
      <c r="F91" s="441"/>
      <c r="G91" s="162"/>
      <c r="H91" s="162"/>
      <c r="I91" s="206"/>
      <c r="J91" s="252"/>
      <c r="K91" s="206"/>
      <c r="L91" s="206"/>
      <c r="M91" s="206"/>
      <c r="N91" s="206"/>
      <c r="O91" s="162"/>
      <c r="P91" s="162"/>
      <c r="Q91" s="162"/>
      <c r="R91" s="168"/>
    </row>
    <row r="92" spans="1:18">
      <c r="A92" s="254" t="s">
        <v>627</v>
      </c>
      <c r="B92" s="220">
        <v>30</v>
      </c>
      <c r="C92" s="117" t="s">
        <v>757</v>
      </c>
      <c r="D92" s="162"/>
      <c r="E92" s="187"/>
      <c r="F92" s="441"/>
      <c r="G92" s="162"/>
      <c r="H92" s="162"/>
      <c r="I92" s="206"/>
      <c r="J92" s="252"/>
      <c r="K92" s="206"/>
      <c r="L92" s="206"/>
      <c r="M92" s="206"/>
      <c r="N92" s="206"/>
      <c r="O92" s="162"/>
      <c r="P92" s="162"/>
      <c r="Q92" s="162"/>
      <c r="R92" s="168"/>
    </row>
    <row r="93" spans="1:18">
      <c r="A93" s="254" t="s">
        <v>752</v>
      </c>
      <c r="B93" s="220">
        <v>25</v>
      </c>
      <c r="C93" s="117" t="s">
        <v>758</v>
      </c>
      <c r="D93" s="162"/>
      <c r="E93" s="187"/>
      <c r="F93" s="441"/>
      <c r="G93" s="162"/>
      <c r="H93" s="162"/>
      <c r="I93" s="206"/>
      <c r="J93" s="252"/>
      <c r="K93" s="206"/>
      <c r="L93" s="206"/>
      <c r="M93" s="206"/>
      <c r="N93" s="206"/>
      <c r="O93" s="162"/>
      <c r="P93" s="162"/>
      <c r="Q93" s="162"/>
      <c r="R93" s="168"/>
    </row>
    <row r="94" spans="1:18" ht="12.75" thickBot="1">
      <c r="A94" s="255" t="s">
        <v>628</v>
      </c>
      <c r="B94" s="221">
        <v>8.5</v>
      </c>
      <c r="C94" s="222" t="s">
        <v>626</v>
      </c>
      <c r="D94" s="162"/>
      <c r="E94" s="187"/>
      <c r="F94" s="441"/>
      <c r="G94" s="162"/>
      <c r="H94" s="162"/>
      <c r="I94" s="206"/>
      <c r="J94" s="252"/>
      <c r="K94" s="206"/>
      <c r="L94" s="206"/>
      <c r="M94" s="206"/>
      <c r="N94" s="206"/>
      <c r="O94" s="162"/>
      <c r="P94" s="162"/>
      <c r="Q94" s="162"/>
      <c r="R94" s="168"/>
    </row>
    <row r="95" spans="1:18">
      <c r="A95" s="251" t="s">
        <v>759</v>
      </c>
      <c r="B95" s="119"/>
      <c r="C95" s="119"/>
      <c r="D95" s="162"/>
      <c r="E95" s="187"/>
      <c r="F95" s="441"/>
      <c r="G95" s="162"/>
      <c r="H95" s="162"/>
      <c r="I95" s="206"/>
      <c r="J95" s="252"/>
      <c r="K95" s="206"/>
      <c r="L95" s="206"/>
      <c r="M95" s="206"/>
      <c r="N95" s="206"/>
      <c r="O95" s="162"/>
      <c r="P95" s="162"/>
      <c r="Q95" s="162"/>
      <c r="R95" s="168"/>
    </row>
    <row r="96" spans="1:18">
      <c r="A96" s="167"/>
      <c r="B96" s="162"/>
      <c r="C96" s="162"/>
      <c r="D96" s="162"/>
      <c r="E96" s="187"/>
      <c r="F96" s="441"/>
      <c r="G96" s="162"/>
      <c r="H96" s="162"/>
      <c r="I96" s="206"/>
      <c r="J96" s="252"/>
      <c r="K96" s="206"/>
      <c r="L96" s="206"/>
      <c r="M96" s="206"/>
      <c r="N96" s="206"/>
      <c r="O96" s="162"/>
      <c r="P96" s="162"/>
      <c r="Q96" s="162"/>
      <c r="R96" s="168"/>
    </row>
    <row r="97" spans="1:22">
      <c r="A97" s="202"/>
      <c r="B97" s="189"/>
      <c r="C97" s="187"/>
      <c r="D97" s="190"/>
      <c r="E97" s="187"/>
      <c r="F97" s="191"/>
      <c r="G97" s="192"/>
      <c r="H97" s="192"/>
      <c r="I97" s="206"/>
      <c r="J97" s="252"/>
      <c r="K97" s="206"/>
      <c r="L97" s="206"/>
      <c r="M97" s="206"/>
      <c r="N97" s="162"/>
      <c r="O97" s="162"/>
      <c r="P97" s="162"/>
      <c r="Q97" s="162"/>
      <c r="R97" s="168"/>
    </row>
    <row r="98" spans="1:22" ht="15">
      <c r="A98" s="990" t="s">
        <v>945</v>
      </c>
      <c r="B98" s="991"/>
      <c r="C98" s="991"/>
      <c r="D98" s="991"/>
      <c r="E98" s="991"/>
      <c r="F98" s="991"/>
      <c r="G98" s="991"/>
      <c r="H98" s="991"/>
      <c r="I98" s="206"/>
      <c r="J98" s="252"/>
      <c r="K98" s="206"/>
      <c r="L98" s="206"/>
      <c r="M98" s="206"/>
      <c r="N98" s="162"/>
      <c r="O98" s="162"/>
      <c r="P98" s="162"/>
      <c r="Q98" s="162"/>
      <c r="R98" s="168"/>
    </row>
    <row r="99" spans="1:22" ht="15">
      <c r="A99" s="325" t="s">
        <v>946</v>
      </c>
      <c r="B99" s="56"/>
      <c r="C99" s="56"/>
      <c r="D99" s="56"/>
      <c r="E99" s="531" t="s">
        <v>409</v>
      </c>
      <c r="F99" s="426"/>
      <c r="G99" s="426"/>
      <c r="H99" s="426"/>
      <c r="I99" s="206"/>
      <c r="J99" s="252"/>
      <c r="K99" s="206"/>
      <c r="L99" s="206"/>
      <c r="M99" s="206"/>
      <c r="N99" s="162"/>
      <c r="O99" s="162"/>
      <c r="P99" s="162"/>
      <c r="Q99" s="162"/>
      <c r="R99" s="168"/>
    </row>
    <row r="100" spans="1:22" s="56" customFormat="1">
      <c r="A100" s="501"/>
      <c r="I100" s="162"/>
      <c r="J100" s="162"/>
      <c r="K100" s="162"/>
      <c r="L100" s="162"/>
      <c r="M100" s="347"/>
      <c r="N100" s="162"/>
      <c r="O100" s="162"/>
      <c r="P100" s="162"/>
      <c r="Q100" s="162"/>
      <c r="R100" s="168"/>
      <c r="U100" s="29"/>
      <c r="V100" s="29"/>
    </row>
    <row r="101" spans="1:22" ht="12" customHeight="1" thickBot="1">
      <c r="A101" s="919" t="s">
        <v>760</v>
      </c>
      <c r="B101" s="920"/>
      <c r="C101" s="920"/>
      <c r="D101" s="920"/>
      <c r="E101" s="920"/>
      <c r="F101" s="920"/>
      <c r="G101" s="920"/>
      <c r="H101" s="920"/>
      <c r="I101" s="57"/>
      <c r="J101" s="57"/>
      <c r="K101" s="162"/>
      <c r="L101" s="162"/>
      <c r="M101" s="162"/>
      <c r="N101" s="162"/>
      <c r="O101" s="162"/>
      <c r="P101" s="162"/>
      <c r="Q101" s="162"/>
      <c r="R101" s="168"/>
    </row>
    <row r="102" spans="1:22">
      <c r="A102" s="573"/>
      <c r="B102" s="574" t="s">
        <v>913</v>
      </c>
      <c r="C102" s="528"/>
      <c r="D102" s="528"/>
      <c r="E102" s="528"/>
      <c r="F102" s="528"/>
      <c r="G102" s="528"/>
      <c r="H102" s="528"/>
      <c r="I102" s="528"/>
      <c r="J102" s="529"/>
      <c r="K102" s="162"/>
      <c r="L102" s="162"/>
      <c r="M102" s="172"/>
      <c r="N102" s="162"/>
      <c r="O102" s="162"/>
      <c r="P102" s="162"/>
      <c r="Q102" s="162"/>
      <c r="R102" s="168"/>
    </row>
    <row r="103" spans="1:22" ht="24">
      <c r="A103" s="500" t="s">
        <v>844</v>
      </c>
      <c r="B103" s="56" t="s">
        <v>947</v>
      </c>
      <c r="C103" s="56" t="s">
        <v>948</v>
      </c>
      <c r="D103" s="56" t="s">
        <v>949</v>
      </c>
      <c r="E103" s="503" t="s">
        <v>932</v>
      </c>
      <c r="F103" s="503" t="s">
        <v>933</v>
      </c>
      <c r="G103" s="503" t="s">
        <v>934</v>
      </c>
      <c r="H103" s="503" t="s">
        <v>935</v>
      </c>
      <c r="I103" s="503" t="s">
        <v>936</v>
      </c>
      <c r="J103" s="575" t="s">
        <v>937</v>
      </c>
      <c r="K103" s="162"/>
      <c r="L103" s="162"/>
      <c r="M103" s="162"/>
      <c r="N103" s="162"/>
      <c r="O103" s="162"/>
      <c r="P103" s="162"/>
      <c r="Q103" s="162"/>
      <c r="R103" s="168"/>
    </row>
    <row r="104" spans="1:22">
      <c r="A104" s="504" t="s">
        <v>338</v>
      </c>
      <c r="B104" s="505">
        <v>12000</v>
      </c>
      <c r="C104" s="505">
        <v>0</v>
      </c>
      <c r="D104" s="505">
        <v>8650</v>
      </c>
      <c r="E104" s="505">
        <v>0</v>
      </c>
      <c r="F104" s="505">
        <v>5</v>
      </c>
      <c r="G104" s="505">
        <v>12</v>
      </c>
      <c r="H104" s="505">
        <v>12</v>
      </c>
      <c r="I104" s="505">
        <v>12</v>
      </c>
      <c r="J104" s="576">
        <v>6</v>
      </c>
      <c r="K104" s="460">
        <f>SUM(E104:J104)</f>
        <v>47</v>
      </c>
      <c r="L104" s="162"/>
      <c r="M104" s="162"/>
      <c r="N104" s="162"/>
      <c r="O104" s="162"/>
      <c r="P104" s="162"/>
      <c r="Q104" s="162"/>
      <c r="R104" s="168"/>
    </row>
    <row r="105" spans="1:22">
      <c r="A105" s="504" t="s">
        <v>339</v>
      </c>
      <c r="B105" s="505">
        <v>12000</v>
      </c>
      <c r="C105" s="505">
        <v>0</v>
      </c>
      <c r="D105" s="505">
        <v>5200</v>
      </c>
      <c r="E105" s="505">
        <v>0</v>
      </c>
      <c r="F105" s="505">
        <v>5</v>
      </c>
      <c r="G105" s="505">
        <v>12</v>
      </c>
      <c r="H105" s="505">
        <v>12</v>
      </c>
      <c r="I105" s="505">
        <v>12</v>
      </c>
      <c r="J105" s="576">
        <v>4</v>
      </c>
      <c r="K105" s="460">
        <f t="shared" ref="K105:K106" si="13">SUM(E105:J105)</f>
        <v>45</v>
      </c>
      <c r="L105" s="162"/>
      <c r="M105" s="162"/>
      <c r="N105" s="162"/>
      <c r="O105" s="162"/>
      <c r="P105" s="162"/>
      <c r="Q105" s="162"/>
      <c r="R105" s="168"/>
    </row>
    <row r="106" spans="1:22">
      <c r="A106" s="504" t="s">
        <v>340</v>
      </c>
      <c r="B106" s="505">
        <v>56.05979711692472</v>
      </c>
      <c r="C106" s="505">
        <v>28.02989855846236</v>
      </c>
      <c r="D106" s="505">
        <v>8.6892685531233376</v>
      </c>
      <c r="E106" s="505">
        <v>0</v>
      </c>
      <c r="F106" s="505">
        <v>3</v>
      </c>
      <c r="G106" s="505">
        <v>7</v>
      </c>
      <c r="H106" s="505">
        <v>12</v>
      </c>
      <c r="I106" s="505">
        <v>10</v>
      </c>
      <c r="J106" s="576">
        <v>0</v>
      </c>
      <c r="K106" s="460">
        <f t="shared" si="13"/>
        <v>32</v>
      </c>
      <c r="L106" s="162"/>
      <c r="M106" s="162"/>
      <c r="N106" s="162"/>
      <c r="O106" s="162"/>
      <c r="P106" s="162"/>
      <c r="Q106" s="162"/>
      <c r="R106" s="168"/>
    </row>
    <row r="107" spans="1:22">
      <c r="A107" s="504" t="s">
        <v>342</v>
      </c>
      <c r="B107" s="505">
        <v>9943.9402028830755</v>
      </c>
      <c r="C107" s="505">
        <v>4971.9701014415377</v>
      </c>
      <c r="D107" s="505">
        <v>1541.3107314468764</v>
      </c>
      <c r="E107" s="505">
        <v>0</v>
      </c>
      <c r="F107" s="505">
        <v>5</v>
      </c>
      <c r="G107" s="505">
        <v>12</v>
      </c>
      <c r="H107" s="505">
        <v>11</v>
      </c>
      <c r="I107" s="505">
        <v>10</v>
      </c>
      <c r="J107" s="576">
        <v>0</v>
      </c>
      <c r="K107" s="460">
        <f>SUM(E107:J107)</f>
        <v>38</v>
      </c>
      <c r="L107" s="162"/>
      <c r="M107" s="162"/>
      <c r="N107" s="162"/>
      <c r="O107" s="162"/>
      <c r="P107" s="162"/>
      <c r="Q107" s="162"/>
      <c r="R107" s="168"/>
    </row>
    <row r="108" spans="1:22">
      <c r="A108" s="504" t="s">
        <v>343</v>
      </c>
      <c r="B108" s="505">
        <v>52000</v>
      </c>
      <c r="C108" s="505">
        <v>100000</v>
      </c>
      <c r="D108" s="505">
        <v>15600</v>
      </c>
      <c r="E108" s="505">
        <v>2</v>
      </c>
      <c r="F108" s="505">
        <v>12</v>
      </c>
      <c r="G108" s="505">
        <v>12</v>
      </c>
      <c r="H108" s="505">
        <v>12</v>
      </c>
      <c r="I108" s="505">
        <v>12</v>
      </c>
      <c r="J108" s="576">
        <v>0</v>
      </c>
      <c r="K108" s="460">
        <f>SUM(E108:J108)</f>
        <v>50</v>
      </c>
      <c r="L108" s="162"/>
      <c r="M108" s="162"/>
      <c r="N108" s="162"/>
      <c r="O108" s="162"/>
      <c r="P108" s="162"/>
      <c r="Q108" s="162"/>
      <c r="R108" s="168"/>
    </row>
    <row r="109" spans="1:22" ht="12.75" thickBot="1">
      <c r="A109" s="577" t="s">
        <v>341</v>
      </c>
      <c r="B109" s="578">
        <v>86000</v>
      </c>
      <c r="C109" s="578">
        <v>105000</v>
      </c>
      <c r="D109" s="578">
        <v>31000</v>
      </c>
      <c r="E109" s="578">
        <v>2</v>
      </c>
      <c r="F109" s="578">
        <v>12</v>
      </c>
      <c r="G109" s="578">
        <v>12</v>
      </c>
      <c r="H109" s="578">
        <v>12</v>
      </c>
      <c r="I109" s="578">
        <v>12</v>
      </c>
      <c r="J109" s="579">
        <v>6</v>
      </c>
      <c r="K109" s="162"/>
      <c r="L109" s="162"/>
      <c r="M109" s="162"/>
      <c r="N109" s="162"/>
      <c r="O109" s="162"/>
      <c r="P109" s="162"/>
      <c r="Q109" s="162"/>
      <c r="R109" s="168"/>
    </row>
    <row r="110" spans="1:22">
      <c r="A110" s="535"/>
      <c r="B110" s="460"/>
      <c r="C110" s="460"/>
      <c r="D110" s="460"/>
      <c r="E110" s="460"/>
      <c r="F110" s="460"/>
      <c r="G110" s="460"/>
      <c r="H110" s="460"/>
      <c r="I110" s="460"/>
      <c r="J110" s="460"/>
      <c r="K110" s="162"/>
      <c r="L110" s="162"/>
      <c r="M110" s="162"/>
      <c r="N110" s="162"/>
      <c r="O110" s="162"/>
      <c r="P110" s="162"/>
      <c r="Q110" s="162"/>
      <c r="R110" s="168"/>
    </row>
    <row r="111" spans="1:22">
      <c r="A111" s="535"/>
      <c r="B111" s="460"/>
      <c r="C111" s="460"/>
      <c r="D111" s="460"/>
      <c r="E111" s="460"/>
      <c r="F111" s="460"/>
      <c r="G111" s="460"/>
      <c r="H111" s="460"/>
      <c r="I111" s="460"/>
      <c r="J111" s="460"/>
      <c r="K111" s="162"/>
      <c r="L111" s="162"/>
      <c r="M111" s="56"/>
      <c r="N111" s="56"/>
      <c r="O111" s="56"/>
      <c r="P111" s="56"/>
      <c r="Q111" s="162"/>
      <c r="R111" s="168"/>
    </row>
    <row r="112" spans="1:22" ht="15.75" thickBot="1">
      <c r="A112" s="417" t="s">
        <v>950</v>
      </c>
      <c r="B112" s="435"/>
      <c r="C112" s="435"/>
      <c r="D112" s="435"/>
      <c r="E112" s="435"/>
      <c r="F112" s="435"/>
      <c r="G112" s="435"/>
      <c r="H112" s="435"/>
      <c r="I112" s="162"/>
      <c r="J112" s="920" t="s">
        <v>955</v>
      </c>
      <c r="K112" s="954"/>
      <c r="L112" s="954"/>
      <c r="M112" s="954"/>
      <c r="N112" s="56"/>
      <c r="O112" s="56"/>
      <c r="P112" s="56"/>
      <c r="Q112" s="162"/>
      <c r="R112" s="168"/>
    </row>
    <row r="113" spans="1:18">
      <c r="A113" s="917" t="s">
        <v>761</v>
      </c>
      <c r="B113" s="914" t="s">
        <v>951</v>
      </c>
      <c r="C113" s="915"/>
      <c r="D113" s="916"/>
      <c r="E113" s="914"/>
      <c r="F113" s="915"/>
      <c r="G113" s="916"/>
      <c r="H113" s="162"/>
      <c r="I113" s="162"/>
      <c r="J113" s="162"/>
      <c r="K113" s="955"/>
      <c r="L113" s="956"/>
      <c r="M113" s="957"/>
      <c r="N113" s="914"/>
      <c r="O113" s="915"/>
      <c r="P113" s="916"/>
      <c r="Q113" s="162"/>
      <c r="R113" s="168"/>
    </row>
    <row r="114" spans="1:18">
      <c r="A114" s="918"/>
      <c r="B114" s="224">
        <v>2011</v>
      </c>
      <c r="C114" s="224">
        <v>2012</v>
      </c>
      <c r="D114" s="224">
        <v>2013</v>
      </c>
      <c r="E114" s="224">
        <v>2014</v>
      </c>
      <c r="F114" s="224">
        <v>2015</v>
      </c>
      <c r="G114" s="224">
        <v>2016</v>
      </c>
      <c r="H114" s="162"/>
      <c r="I114" s="162"/>
      <c r="J114" s="162"/>
      <c r="K114" s="224">
        <v>2011</v>
      </c>
      <c r="L114" s="224">
        <v>2012</v>
      </c>
      <c r="M114" s="224">
        <v>2013</v>
      </c>
      <c r="N114" s="224">
        <v>2014</v>
      </c>
      <c r="O114" s="224">
        <v>2015</v>
      </c>
      <c r="P114" s="224">
        <v>2016</v>
      </c>
      <c r="Q114" s="162"/>
      <c r="R114" s="168"/>
    </row>
    <row r="115" spans="1:18">
      <c r="A115" s="256" t="s">
        <v>338</v>
      </c>
      <c r="B115" s="517">
        <f>$B$104*GETPIVOTDATA("Máx de 2011",$A$102,"Sector","Área El Volcán")/($K$104*$B$93)</f>
        <v>0</v>
      </c>
      <c r="C115" s="517">
        <f>$B$104*GETPIVOTDATA("Máx de 2012",$A$102,"Sector","Área El Volcán")/($K$104*$B$93)</f>
        <v>51.063829787234042</v>
      </c>
      <c r="D115" s="517">
        <f>$B$104*GETPIVOTDATA("Máx de 2013",$A$102,"Sector","Área El Volcán")/($K$104*$B$93)</f>
        <v>122.55319148936171</v>
      </c>
      <c r="E115" s="517">
        <f>$B$104*GETPIVOTDATA("Máx de 2014",$A$102,"Sector","Área El Volcán")/($K$104*$B$93)</f>
        <v>122.55319148936171</v>
      </c>
      <c r="F115" s="517">
        <f>$B$104*GETPIVOTDATA("Máx de 2015",$A$102,"Sector","Área El Volcán")/($K$104*$B$93)</f>
        <v>122.55319148936171</v>
      </c>
      <c r="G115" s="517">
        <f>$B$104*GETPIVOTDATA("Máx de 2016",$A$102,"Sector","Área El Volcán")/($K$104*$B$93)</f>
        <v>61.276595744680854</v>
      </c>
      <c r="H115" s="460">
        <f>SUM(B115:G115)</f>
        <v>480</v>
      </c>
      <c r="I115" s="162"/>
      <c r="J115" s="520" t="s">
        <v>338</v>
      </c>
      <c r="K115" s="196">
        <f>B115*2*B173</f>
        <v>0</v>
      </c>
      <c r="L115" s="196">
        <f>C115*2*B173</f>
        <v>8129.3617021276586</v>
      </c>
      <c r="M115" s="196">
        <f>D115*2*B173</f>
        <v>19510.468085106382</v>
      </c>
      <c r="N115" s="196">
        <f>E115*2*B173</f>
        <v>19510.468085106382</v>
      </c>
      <c r="O115" s="196">
        <f>F115*2*B173</f>
        <v>19510.468085106382</v>
      </c>
      <c r="P115" s="196">
        <f>G115*2*B173</f>
        <v>9755.2340425531911</v>
      </c>
      <c r="Q115" s="162"/>
      <c r="R115" s="168"/>
    </row>
    <row r="116" spans="1:18">
      <c r="A116" s="256" t="s">
        <v>339</v>
      </c>
      <c r="B116" s="517">
        <f>$B$105*GETPIVOTDATA("Máx de 2011",$A$102,"Sector","Área Yeso")/($K$105*$B$93)</f>
        <v>0</v>
      </c>
      <c r="C116" s="517">
        <f>$B$105*GETPIVOTDATA("Máx de 2012",$A$102,"Sector","Área Yeso")/($K$105*$B$93)</f>
        <v>53.333333333333336</v>
      </c>
      <c r="D116" s="517">
        <f>$B$105*GETPIVOTDATA("Máx de 2013",$A$102,"Sector","Área Yeso")/($K$105*$B$93)</f>
        <v>128</v>
      </c>
      <c r="E116" s="517">
        <f>$B$105*GETPIVOTDATA("Máx de 2014",$A$102,"Sector","Área Yeso")/($K$105*$B$93)</f>
        <v>128</v>
      </c>
      <c r="F116" s="517">
        <f>$B$105*GETPIVOTDATA("Máx de 2015",$A$102,"Sector","Área Yeso")/($K$105*$B$93)</f>
        <v>128</v>
      </c>
      <c r="G116" s="517">
        <f>$B$105*GETPIVOTDATA("Máx de 2016",$A$102,"Sector","Área Yeso")/($K$105*$B$93)</f>
        <v>42.666666666666664</v>
      </c>
      <c r="H116" s="460">
        <f t="shared" ref="H116:H119" si="14">SUM(B116:G116)</f>
        <v>480.00000000000006</v>
      </c>
      <c r="I116" s="162"/>
      <c r="J116" s="520" t="s">
        <v>339</v>
      </c>
      <c r="K116" s="196">
        <f>B116*2*B174</f>
        <v>0</v>
      </c>
      <c r="L116" s="196">
        <f>C116*2*B174</f>
        <v>8490.6666666666661</v>
      </c>
      <c r="M116" s="196">
        <f t="shared" ref="M116:M119" si="15">D116*2*B174</f>
        <v>20377.599999999999</v>
      </c>
      <c r="N116" s="196">
        <f t="shared" ref="N116:N119" si="16">E116*2*B174</f>
        <v>20377.599999999999</v>
      </c>
      <c r="O116" s="196">
        <f t="shared" ref="O116:O119" si="17">F116*2*B174</f>
        <v>20377.599999999999</v>
      </c>
      <c r="P116" s="196">
        <f t="shared" ref="P116:P119" si="18">G116*2*B174</f>
        <v>6792.5333333333328</v>
      </c>
      <c r="Q116" s="162"/>
      <c r="R116" s="168"/>
    </row>
    <row r="117" spans="1:18">
      <c r="A117" s="256" t="s">
        <v>340</v>
      </c>
      <c r="B117" s="517">
        <f>$B$106*GETPIVOTDATA("Máx de 2011",$A$102,"Sector","Área Aucayes Alto")/($K$106*$B$93)</f>
        <v>0</v>
      </c>
      <c r="C117" s="517">
        <f>$B$106*GETPIVOTDATA("Máx de 2012",$A$102,"Sector","Área Aucayes Alto")/($K$106*$B$93)</f>
        <v>0.21022423918846769</v>
      </c>
      <c r="D117" s="517">
        <f>$B$106*GETPIVOTDATA("Máx de 2013",$A$102,"Sector","Área Aucayes Alto")/($K$106*$B$93)</f>
        <v>0.49052322477309135</v>
      </c>
      <c r="E117" s="517">
        <f>$B$106*GETPIVOTDATA("Máx de 2014",$A$102,"Sector","Área Aucayes Alto")/($K$106*$B$93)</f>
        <v>0.84089695675387077</v>
      </c>
      <c r="F117" s="517">
        <f>$B$106*GETPIVOTDATA("Máx de 2015",$A$102,"Sector","Área Aucayes Alto")/($K$106*$B$93)</f>
        <v>0.70074746396155907</v>
      </c>
      <c r="G117" s="517">
        <f>$B$106*GETPIVOTDATA("Máx de 2016",$A$102,"Sector","Área Aucayes Alto")/($K$106*$B$93)</f>
        <v>0</v>
      </c>
      <c r="H117" s="460">
        <f t="shared" si="14"/>
        <v>2.242391884676989</v>
      </c>
      <c r="I117" s="162"/>
      <c r="J117" s="520" t="s">
        <v>340</v>
      </c>
      <c r="K117" s="196">
        <f>B117*2*B175</f>
        <v>0</v>
      </c>
      <c r="L117" s="196">
        <f>C117*2*B175</f>
        <v>27.45528563801388</v>
      </c>
      <c r="M117" s="196">
        <f t="shared" si="15"/>
        <v>64.062333155365721</v>
      </c>
      <c r="N117" s="196">
        <f t="shared" si="16"/>
        <v>109.82114255205552</v>
      </c>
      <c r="O117" s="196">
        <f t="shared" si="17"/>
        <v>91.517618793379611</v>
      </c>
      <c r="P117" s="196">
        <f t="shared" si="18"/>
        <v>0</v>
      </c>
      <c r="Q117" s="162"/>
      <c r="R117" s="168"/>
    </row>
    <row r="118" spans="1:18">
      <c r="A118" s="256" t="s">
        <v>342</v>
      </c>
      <c r="B118" s="517">
        <f>$B$107*GETPIVOTDATA("Máx de 2011",$A$102,"Sector","Área Alfalfal II")/($K$107*$B$93)</f>
        <v>0</v>
      </c>
      <c r="C118" s="517">
        <f>$B$107*GETPIVOTDATA("Máx de 2012",$A$102,"Sector","Área Alfalfal II")/($K$107*$B$93)</f>
        <v>52.336527383595133</v>
      </c>
      <c r="D118" s="517">
        <f>$B$107*GETPIVOTDATA("Máx de 2013",$A$102,"Sector","Área Alfalfal II")/($K$107*$B$93)</f>
        <v>125.60766572062833</v>
      </c>
      <c r="E118" s="517">
        <f>$B$107*GETPIVOTDATA("Máx de 2014",$A$102,"Sector","Área Alfalfal II")/($K$107*$B$93)</f>
        <v>115.1403602439093</v>
      </c>
      <c r="F118" s="517">
        <f>$B$107*GETPIVOTDATA("Máx de 2015",$A$102,"Sector","Área Alfalfal II")/($K$107*$B$93)</f>
        <v>104.67305476719027</v>
      </c>
      <c r="G118" s="517">
        <f>$B$107*GETPIVOTDATA("Máx de 2016",$A$102,"Sector","Área Alfalfal II")/($K$107*$B$93)</f>
        <v>0</v>
      </c>
      <c r="H118" s="460">
        <f>SUM(B118:G118)</f>
        <v>397.75760811532302</v>
      </c>
      <c r="I118" s="162"/>
      <c r="J118" s="520" t="s">
        <v>342</v>
      </c>
      <c r="K118" s="196">
        <f>B118*2*B176</f>
        <v>0</v>
      </c>
      <c r="L118" s="196">
        <f>C118*2*B176</f>
        <v>6835.1504762975237</v>
      </c>
      <c r="M118" s="196">
        <f t="shared" si="15"/>
        <v>16404.36114311406</v>
      </c>
      <c r="N118" s="196">
        <f t="shared" si="16"/>
        <v>15037.331047854554</v>
      </c>
      <c r="O118" s="196">
        <f t="shared" si="17"/>
        <v>13670.300952595047</v>
      </c>
      <c r="P118" s="196">
        <f t="shared" si="18"/>
        <v>0</v>
      </c>
      <c r="Q118" s="162"/>
      <c r="R118" s="168"/>
    </row>
    <row r="119" spans="1:18" ht="12.75" thickBot="1">
      <c r="A119" s="257" t="s">
        <v>343</v>
      </c>
      <c r="B119" s="517">
        <f>$B$108*GETPIVOTDATA("Máx de 2011",$A$102,"Sector","Área Las Lajas-Maipo")/($K$108*$B$93)</f>
        <v>83.2</v>
      </c>
      <c r="C119" s="517">
        <f>$B$108*GETPIVOTDATA("Máx de 2012",$A$102,"Sector","Área Las Lajas-Maipo")/($K$108*$B$93)</f>
        <v>499.2</v>
      </c>
      <c r="D119" s="517">
        <f>$B$108*GETPIVOTDATA("Máx de 2013",$A$102,"Sector","Área Las Lajas-Maipo")/($K$108*$B$93)</f>
        <v>499.2</v>
      </c>
      <c r="E119" s="517">
        <f>$B$108*GETPIVOTDATA("Máx de 2014",$A$102,"Sector","Área Las Lajas-Maipo")/($K$108*$B$93)</f>
        <v>499.2</v>
      </c>
      <c r="F119" s="517">
        <f>$B$108*GETPIVOTDATA("Máx de 2015",$A$102,"Sector","Área Las Lajas-Maipo")/($K$108*$B$93)</f>
        <v>499.2</v>
      </c>
      <c r="G119" s="517">
        <f>$B$108*GETPIVOTDATA("Máx de 2016",$A$102,"Sector","Área Las Lajas-Maipo")/($K$108*$B$93)</f>
        <v>0</v>
      </c>
      <c r="H119" s="460">
        <f t="shared" si="14"/>
        <v>2080</v>
      </c>
      <c r="I119" s="162"/>
      <c r="J119" s="520" t="s">
        <v>343</v>
      </c>
      <c r="K119" s="196">
        <f>B119*2*B177</f>
        <v>10865.92</v>
      </c>
      <c r="L119" s="196">
        <f>C119*2*B177</f>
        <v>65195.519999999997</v>
      </c>
      <c r="M119" s="196">
        <f t="shared" si="15"/>
        <v>65195.519999999997</v>
      </c>
      <c r="N119" s="196">
        <f t="shared" si="16"/>
        <v>65195.519999999997</v>
      </c>
      <c r="O119" s="196">
        <f t="shared" si="17"/>
        <v>65195.519999999997</v>
      </c>
      <c r="P119" s="196">
        <f t="shared" si="18"/>
        <v>0</v>
      </c>
      <c r="Q119" s="56"/>
      <c r="R119" s="530"/>
    </row>
    <row r="120" spans="1:18" s="37" customFormat="1" ht="12.75" thickBot="1">
      <c r="A120" s="257" t="s">
        <v>32</v>
      </c>
      <c r="B120" s="518">
        <f>SUM(B115:B119)</f>
        <v>83.2</v>
      </c>
      <c r="C120" s="518">
        <f t="shared" ref="C120:G120" si="19">SUM(C115:C119)</f>
        <v>656.14391474335093</v>
      </c>
      <c r="D120" s="518">
        <f t="shared" si="19"/>
        <v>875.85138043476309</v>
      </c>
      <c r="E120" s="518">
        <f t="shared" si="19"/>
        <v>865.73444869002492</v>
      </c>
      <c r="F120" s="518">
        <f t="shared" si="19"/>
        <v>855.12699372051361</v>
      </c>
      <c r="G120" s="518">
        <f t="shared" si="19"/>
        <v>103.94326241134752</v>
      </c>
      <c r="H120" s="460">
        <f>SUM(B120:G120)</f>
        <v>3439.9999999999995</v>
      </c>
      <c r="I120" s="162"/>
      <c r="J120" s="521" t="s">
        <v>9</v>
      </c>
      <c r="K120" s="522">
        <f>SUM(K115:K119)</f>
        <v>10865.92</v>
      </c>
      <c r="L120" s="522">
        <f t="shared" ref="L120:P120" si="20">SUM(L115:L119)</f>
        <v>88678.154130729861</v>
      </c>
      <c r="M120" s="522">
        <f t="shared" si="20"/>
        <v>121552.01156137581</v>
      </c>
      <c r="N120" s="522">
        <f t="shared" si="20"/>
        <v>120230.74027551299</v>
      </c>
      <c r="O120" s="522">
        <f t="shared" si="20"/>
        <v>118845.4066564948</v>
      </c>
      <c r="P120" s="522">
        <f t="shared" si="20"/>
        <v>16547.767375886524</v>
      </c>
      <c r="Q120" s="532">
        <f>SUM(K120:P120)</f>
        <v>476719.99999999994</v>
      </c>
      <c r="R120" s="168"/>
    </row>
    <row r="121" spans="1:18" s="37" customFormat="1">
      <c r="A121" s="513"/>
      <c r="B121" s="514"/>
      <c r="C121" s="515"/>
      <c r="D121" s="516"/>
      <c r="E121" s="162"/>
      <c r="F121" s="162"/>
      <c r="G121" s="162"/>
      <c r="H121" s="162"/>
      <c r="I121" s="162"/>
      <c r="J121" s="162"/>
      <c r="K121" s="162"/>
      <c r="L121" s="162"/>
      <c r="M121" s="162"/>
      <c r="N121" s="162"/>
      <c r="O121" s="162"/>
      <c r="P121" s="162"/>
      <c r="Q121" s="162"/>
      <c r="R121" s="168"/>
    </row>
    <row r="122" spans="1:18" s="37" customFormat="1" ht="15.75" thickBot="1">
      <c r="A122" s="417" t="s">
        <v>950</v>
      </c>
      <c r="B122" s="435"/>
      <c r="C122" s="435"/>
      <c r="D122" s="435"/>
      <c r="E122" s="435"/>
      <c r="F122" s="435"/>
      <c r="G122" s="435"/>
      <c r="H122" s="435"/>
      <c r="I122" s="162"/>
      <c r="J122" s="920" t="s">
        <v>956</v>
      </c>
      <c r="K122" s="954"/>
      <c r="L122" s="954"/>
      <c r="M122" s="954"/>
      <c r="N122" s="56"/>
      <c r="O122" s="56"/>
      <c r="P122" s="56"/>
      <c r="Q122" s="56"/>
      <c r="R122" s="168"/>
    </row>
    <row r="123" spans="1:18" s="37" customFormat="1">
      <c r="A123" s="917" t="s">
        <v>761</v>
      </c>
      <c r="B123" s="914" t="s">
        <v>952</v>
      </c>
      <c r="C123" s="915"/>
      <c r="D123" s="916"/>
      <c r="E123" s="914"/>
      <c r="F123" s="915"/>
      <c r="G123" s="916"/>
      <c r="H123" s="162"/>
      <c r="I123" s="162"/>
      <c r="J123" s="162"/>
      <c r="K123" s="955"/>
      <c r="L123" s="956"/>
      <c r="M123" s="957"/>
      <c r="N123" s="914"/>
      <c r="O123" s="915"/>
      <c r="P123" s="916"/>
      <c r="Q123" s="56"/>
      <c r="R123" s="168"/>
    </row>
    <row r="124" spans="1:18" s="37" customFormat="1">
      <c r="A124" s="918"/>
      <c r="B124" s="224">
        <v>2011</v>
      </c>
      <c r="C124" s="224">
        <v>2012</v>
      </c>
      <c r="D124" s="224">
        <v>2013</v>
      </c>
      <c r="E124" s="224">
        <v>2014</v>
      </c>
      <c r="F124" s="224">
        <v>2015</v>
      </c>
      <c r="G124" s="224">
        <v>2016</v>
      </c>
      <c r="H124" s="162"/>
      <c r="I124" s="162"/>
      <c r="J124" s="162"/>
      <c r="K124" s="224">
        <v>2011</v>
      </c>
      <c r="L124" s="224">
        <v>2012</v>
      </c>
      <c r="M124" s="224">
        <v>2013</v>
      </c>
      <c r="N124" s="224">
        <v>2014</v>
      </c>
      <c r="O124" s="224">
        <v>2015</v>
      </c>
      <c r="P124" s="224">
        <v>2016</v>
      </c>
      <c r="Q124" s="56"/>
      <c r="R124" s="168"/>
    </row>
    <row r="125" spans="1:18" s="37" customFormat="1">
      <c r="A125" s="256" t="s">
        <v>338</v>
      </c>
      <c r="B125" s="517">
        <f>$C$104*GETPIVOTDATA("Máx de 2011",$A$102,"Sector","Área El Volcán")/($K$104*$B$92)</f>
        <v>0</v>
      </c>
      <c r="C125" s="517">
        <f>$C$104*GETPIVOTDATA("Máx de 2012",$A$102,"Sector","Área El Volcán")/($K$104*$B$92)</f>
        <v>0</v>
      </c>
      <c r="D125" s="517">
        <f>$C$104*GETPIVOTDATA("Máx de 2013",$A$102,"Sector","Área El Volcán")/($K$104*$B$92)</f>
        <v>0</v>
      </c>
      <c r="E125" s="517">
        <f>$C$104*GETPIVOTDATA("Máx de 2014",$A$102,"Sector","Área El Volcán")/($K$104*$B$92)</f>
        <v>0</v>
      </c>
      <c r="F125" s="517">
        <f>$C$104*GETPIVOTDATA("Máx de 2015",$A$102,"Sector","Área El Volcán")/($K$104*$B$92)</f>
        <v>0</v>
      </c>
      <c r="G125" s="517">
        <f>$C$104*GETPIVOTDATA("Máx de 2016",$A$102,"Sector","Área El Volcán")/($K$104*$B$92)</f>
        <v>0</v>
      </c>
      <c r="H125" s="460">
        <f>SUM(B125:G125)</f>
        <v>0</v>
      </c>
      <c r="I125" s="162"/>
      <c r="J125" s="520" t="s">
        <v>338</v>
      </c>
      <c r="K125" s="523">
        <f>B125*2*C173</f>
        <v>0</v>
      </c>
      <c r="L125" s="523">
        <f>C125*2*C173</f>
        <v>0</v>
      </c>
      <c r="M125" s="523">
        <f>D125*2*C173</f>
        <v>0</v>
      </c>
      <c r="N125" s="523">
        <f>E125*2*C173</f>
        <v>0</v>
      </c>
      <c r="O125" s="523">
        <f>F125*2*C173</f>
        <v>0</v>
      </c>
      <c r="P125" s="523">
        <f>G125*2*C173</f>
        <v>0</v>
      </c>
      <c r="Q125" s="56"/>
      <c r="R125" s="168"/>
    </row>
    <row r="126" spans="1:18" s="37" customFormat="1">
      <c r="A126" s="256" t="s">
        <v>339</v>
      </c>
      <c r="B126" s="517">
        <f>$C$105*GETPIVOTDATA("Máx de 2011",$A$102,"Sector","Área Yeso")/($K$105*$B$93)</f>
        <v>0</v>
      </c>
      <c r="C126" s="517">
        <f>$C$105*GETPIVOTDATA("Máx de 2012",$A$102,"Sector","Área Yeso")/($K$105*$B$92)</f>
        <v>0</v>
      </c>
      <c r="D126" s="517">
        <f>$C$105*GETPIVOTDATA("Máx de 2013",$A$102,"Sector","Área Yeso")/($K$105*$B$92)</f>
        <v>0</v>
      </c>
      <c r="E126" s="517">
        <f>$C$105*GETPIVOTDATA("Máx de 2014",$A$102,"Sector","Área Yeso")/($K$105*$B$92)</f>
        <v>0</v>
      </c>
      <c r="F126" s="517">
        <f>$C$105*GETPIVOTDATA("Máx de 2015",$A$102,"Sector","Área Yeso")/($K$105*$B$92)</f>
        <v>0</v>
      </c>
      <c r="G126" s="517">
        <f>$C$105*GETPIVOTDATA("Máx de 2016",$A$102,"Sector","Área Yeso")/($K$105*$B$92)</f>
        <v>0</v>
      </c>
      <c r="H126" s="460">
        <f t="shared" ref="H126:H127" si="21">SUM(B126:G126)</f>
        <v>0</v>
      </c>
      <c r="I126" s="162"/>
      <c r="J126" s="520" t="s">
        <v>339</v>
      </c>
      <c r="K126" s="523">
        <f t="shared" ref="K126:K129" si="22">B126*2*C174</f>
        <v>0</v>
      </c>
      <c r="L126" s="523">
        <f t="shared" ref="L126:L129" si="23">C126*2*C174</f>
        <v>0</v>
      </c>
      <c r="M126" s="523">
        <f t="shared" ref="M126:M129" si="24">D126*2*C174</f>
        <v>0</v>
      </c>
      <c r="N126" s="523">
        <f t="shared" ref="N126:N129" si="25">E126*2*C174</f>
        <v>0</v>
      </c>
      <c r="O126" s="523">
        <f t="shared" ref="O126:O129" si="26">F126*2*C174</f>
        <v>0</v>
      </c>
      <c r="P126" s="523">
        <f t="shared" ref="P126:P129" si="27">G126*2*C174</f>
        <v>0</v>
      </c>
      <c r="Q126" s="56"/>
      <c r="R126" s="168"/>
    </row>
    <row r="127" spans="1:18" s="37" customFormat="1">
      <c r="A127" s="256" t="s">
        <v>340</v>
      </c>
      <c r="B127" s="519">
        <f>$C$106*GETPIVOTDATA("Máx de 2011",$A$102,"Sector","Área Aucayes Alto")/($K$106*$B$92)</f>
        <v>0</v>
      </c>
      <c r="C127" s="519">
        <f>$C$106*GETPIVOTDATA("Máx de 2012",$A$102,"Sector","Área Aucayes Alto")/($K$106*$B$92)</f>
        <v>8.759343299519487E-2</v>
      </c>
      <c r="D127" s="519">
        <f>$C$106*GETPIVOTDATA("Máx de 2013",$A$102,"Sector","Área Aucayes Alto")/($K$106*$B$92)</f>
        <v>0.20438467698878807</v>
      </c>
      <c r="E127" s="519">
        <f>$C$106*GETPIVOTDATA("Máx de 2014",$A$102,"Sector","Área Aucayes Alto")/($K$106*$B$92)</f>
        <v>0.35037373198077948</v>
      </c>
      <c r="F127" s="519">
        <f>$C$106*GETPIVOTDATA("Máx de 2015",$A$102,"Sector","Área Aucayes Alto")/($K$106*$B$92)</f>
        <v>0.29197810998398294</v>
      </c>
      <c r="G127" s="519">
        <f>$C$106*GETPIVOTDATA("Máx de 2016",$A$102,"Sector","Área Aucayes Alto")/($K$106*$B$92)</f>
        <v>0</v>
      </c>
      <c r="H127" s="460">
        <f t="shared" si="21"/>
        <v>0.93432995194874535</v>
      </c>
      <c r="I127" s="162"/>
      <c r="J127" s="520" t="s">
        <v>340</v>
      </c>
      <c r="K127" s="523">
        <f t="shared" si="22"/>
        <v>0</v>
      </c>
      <c r="L127" s="523">
        <f t="shared" si="23"/>
        <v>4.6950080085424446</v>
      </c>
      <c r="M127" s="523">
        <f t="shared" si="24"/>
        <v>10.95501868659904</v>
      </c>
      <c r="N127" s="523">
        <f t="shared" si="25"/>
        <v>18.780032034169778</v>
      </c>
      <c r="O127" s="523">
        <f t="shared" si="26"/>
        <v>15.650026695141484</v>
      </c>
      <c r="P127" s="523">
        <f t="shared" si="27"/>
        <v>0</v>
      </c>
      <c r="Q127" s="56"/>
      <c r="R127" s="168"/>
    </row>
    <row r="128" spans="1:18" s="37" customFormat="1">
      <c r="A128" s="256" t="s">
        <v>342</v>
      </c>
      <c r="B128" s="517">
        <f>$C$107*GETPIVOTDATA("Máx de 2011",$A$102,"Sector","Área Alfalfal II")/($K$107*$B$92)</f>
        <v>0</v>
      </c>
      <c r="C128" s="517">
        <f>$C$107*GETPIVOTDATA("Máx de 2012",$A$102,"Sector","Área Alfalfal II")/($K$107*$B$92)</f>
        <v>21.806886409831304</v>
      </c>
      <c r="D128" s="517">
        <f>$C$107*GETPIVOTDATA("Máx de 2013",$A$102,"Sector","Área Alfalfal II")/($K$107*$B$92)</f>
        <v>52.33652738359514</v>
      </c>
      <c r="E128" s="517">
        <f>$C$107*GETPIVOTDATA("Máx de 2014",$A$102,"Sector","Área Alfalfal II")/($K$107*$B$92)</f>
        <v>47.975150101628877</v>
      </c>
      <c r="F128" s="517">
        <f>$C$107*GETPIVOTDATA("Máx de 2015",$A$102,"Sector","Área Alfalfal II")/($K$107*$B$92)</f>
        <v>43.613772819662607</v>
      </c>
      <c r="G128" s="517">
        <f>$C$107*GETPIVOTDATA("Máx de 2016",$A$102,"Sector","Área Alfalfal II")/($K$107*$B$92)</f>
        <v>0</v>
      </c>
      <c r="H128" s="460">
        <f>SUM(B128:G128)</f>
        <v>165.73233671471795</v>
      </c>
      <c r="I128" s="162"/>
      <c r="J128" s="520" t="s">
        <v>342</v>
      </c>
      <c r="K128" s="523">
        <f t="shared" si="22"/>
        <v>0</v>
      </c>
      <c r="L128" s="523">
        <f t="shared" si="23"/>
        <v>1168.8491115669578</v>
      </c>
      <c r="M128" s="523">
        <f t="shared" si="24"/>
        <v>2805.2378677606994</v>
      </c>
      <c r="N128" s="523">
        <f t="shared" si="25"/>
        <v>2571.4680454473078</v>
      </c>
      <c r="O128" s="523">
        <f t="shared" si="26"/>
        <v>2337.6982231339157</v>
      </c>
      <c r="P128" s="523">
        <f t="shared" si="27"/>
        <v>0</v>
      </c>
      <c r="Q128" s="56"/>
      <c r="R128" s="168"/>
    </row>
    <row r="129" spans="1:18" s="37" customFormat="1" ht="12.75" thickBot="1">
      <c r="A129" s="257" t="s">
        <v>343</v>
      </c>
      <c r="B129" s="517">
        <f>$C$108*GETPIVOTDATA("Máx de 2011",$A$102,"Sector","Área Las Lajas-Maipo")/($K$108*$B$92)</f>
        <v>133.33333333333334</v>
      </c>
      <c r="C129" s="517">
        <f>$C$108*GETPIVOTDATA("Máx de 2012",$A$102,"Sector","Área Las Lajas-Maipo")/($K$108*$B$92)</f>
        <v>800</v>
      </c>
      <c r="D129" s="517">
        <f>$C$108*GETPIVOTDATA("Máx de 2013",$A$102,"Sector","Área Las Lajas-Maipo")/($K$108*$B$92)</f>
        <v>800</v>
      </c>
      <c r="E129" s="517">
        <f>$C$108*GETPIVOTDATA("Máx de 2014",$A$102,"Sector","Área Las Lajas-Maipo")/($K$108*$B$92)</f>
        <v>800</v>
      </c>
      <c r="F129" s="517">
        <f>$C$108*GETPIVOTDATA("Máx de 2015",$A$102,"Sector","Área Las Lajas-Maipo")/($K$108*$B$92)</f>
        <v>800</v>
      </c>
      <c r="G129" s="517">
        <f>$C$108*GETPIVOTDATA("Máx de 2016",$A$102,"Sector","Área Las Lajas-Maipo")/($K$108*$B$92)</f>
        <v>0</v>
      </c>
      <c r="H129" s="460">
        <f t="shared" ref="H129" si="28">SUM(B129:G129)</f>
        <v>3333.3333333333335</v>
      </c>
      <c r="I129" s="162"/>
      <c r="J129" s="520" t="s">
        <v>343</v>
      </c>
      <c r="K129" s="523">
        <f t="shared" si="22"/>
        <v>7146.6666666666661</v>
      </c>
      <c r="L129" s="523">
        <f t="shared" si="23"/>
        <v>42879.999999999993</v>
      </c>
      <c r="M129" s="523">
        <f t="shared" si="24"/>
        <v>42879.999999999993</v>
      </c>
      <c r="N129" s="523">
        <f t="shared" si="25"/>
        <v>42879.999999999993</v>
      </c>
      <c r="O129" s="523">
        <f t="shared" si="26"/>
        <v>42879.999999999993</v>
      </c>
      <c r="P129" s="523">
        <f t="shared" si="27"/>
        <v>0</v>
      </c>
      <c r="Q129" s="56"/>
      <c r="R129" s="168"/>
    </row>
    <row r="130" spans="1:18" s="37" customFormat="1" ht="12.75" thickBot="1">
      <c r="A130" s="257" t="s">
        <v>32</v>
      </c>
      <c r="B130" s="518">
        <f>SUM(B125:B129)</f>
        <v>133.33333333333334</v>
      </c>
      <c r="C130" s="518">
        <f t="shared" ref="C130" si="29">SUM(C125:C129)</f>
        <v>821.89447984282651</v>
      </c>
      <c r="D130" s="518">
        <f t="shared" ref="D130" si="30">SUM(D125:D129)</f>
        <v>852.54091206058388</v>
      </c>
      <c r="E130" s="518">
        <f t="shared" ref="E130" si="31">SUM(E125:E129)</f>
        <v>848.32552383360962</v>
      </c>
      <c r="F130" s="518">
        <f t="shared" ref="F130" si="32">SUM(F125:F129)</f>
        <v>843.90575092964662</v>
      </c>
      <c r="G130" s="518">
        <f t="shared" ref="G130" si="33">SUM(G125:G129)</f>
        <v>0</v>
      </c>
      <c r="H130" s="460">
        <f>SUM(B130:G130)</f>
        <v>3500</v>
      </c>
      <c r="I130" s="162"/>
      <c r="J130" s="521" t="s">
        <v>9</v>
      </c>
      <c r="K130" s="522">
        <f>SUM(K125:K129)</f>
        <v>7146.6666666666661</v>
      </c>
      <c r="L130" s="522">
        <f t="shared" ref="L130" si="34">SUM(L125:L129)</f>
        <v>44053.54411957549</v>
      </c>
      <c r="M130" s="522">
        <f t="shared" ref="M130" si="35">SUM(M125:M129)</f>
        <v>45696.192886447294</v>
      </c>
      <c r="N130" s="522">
        <f t="shared" ref="N130" si="36">SUM(N125:N129)</f>
        <v>45470.248077481468</v>
      </c>
      <c r="O130" s="522">
        <f t="shared" ref="O130" si="37">SUM(O125:O129)</f>
        <v>45233.348249829047</v>
      </c>
      <c r="P130" s="522">
        <f t="shared" ref="P130" si="38">SUM(P125:P129)</f>
        <v>0</v>
      </c>
      <c r="Q130" s="532">
        <f>SUM(K130:P130)</f>
        <v>187599.99999999997</v>
      </c>
      <c r="R130" s="168"/>
    </row>
    <row r="131" spans="1:18" s="37" customFormat="1">
      <c r="A131" s="513"/>
      <c r="B131" s="514"/>
      <c r="C131" s="515"/>
      <c r="D131" s="516"/>
      <c r="E131" s="162"/>
      <c r="F131" s="162"/>
      <c r="G131" s="162"/>
      <c r="H131" s="162"/>
      <c r="I131" s="162"/>
      <c r="J131" s="162"/>
      <c r="K131" s="162"/>
      <c r="L131" s="162"/>
      <c r="M131" s="162"/>
      <c r="N131" s="162"/>
      <c r="O131" s="162"/>
      <c r="P131" s="162"/>
      <c r="Q131" s="162"/>
      <c r="R131" s="168"/>
    </row>
    <row r="132" spans="1:18" s="37" customFormat="1" ht="15.75" thickBot="1">
      <c r="A132" s="417" t="s">
        <v>950</v>
      </c>
      <c r="B132" s="435"/>
      <c r="C132" s="435"/>
      <c r="D132" s="435"/>
      <c r="E132" s="435"/>
      <c r="F132" s="435"/>
      <c r="G132" s="435"/>
      <c r="H132" s="435"/>
      <c r="I132" s="162"/>
      <c r="J132" s="920" t="s">
        <v>957</v>
      </c>
      <c r="K132" s="954"/>
      <c r="L132" s="954"/>
      <c r="M132" s="954"/>
      <c r="N132" s="56"/>
      <c r="O132" s="56"/>
      <c r="P132" s="56"/>
      <c r="Q132" s="56"/>
      <c r="R132" s="168"/>
    </row>
    <row r="133" spans="1:18" s="37" customFormat="1">
      <c r="A133" s="917" t="s">
        <v>761</v>
      </c>
      <c r="B133" s="914" t="s">
        <v>953</v>
      </c>
      <c r="C133" s="915"/>
      <c r="D133" s="916"/>
      <c r="E133" s="914"/>
      <c r="F133" s="915"/>
      <c r="G133" s="916"/>
      <c r="H133" s="162"/>
      <c r="I133" s="162"/>
      <c r="J133" s="162"/>
      <c r="K133" s="955"/>
      <c r="L133" s="956"/>
      <c r="M133" s="957"/>
      <c r="N133" s="914"/>
      <c r="O133" s="915"/>
      <c r="P133" s="916"/>
      <c r="Q133" s="56"/>
      <c r="R133" s="168"/>
    </row>
    <row r="134" spans="1:18" s="37" customFormat="1">
      <c r="A134" s="918"/>
      <c r="B134" s="224">
        <v>2011</v>
      </c>
      <c r="C134" s="224">
        <v>2012</v>
      </c>
      <c r="D134" s="224">
        <v>2013</v>
      </c>
      <c r="E134" s="224">
        <v>2014</v>
      </c>
      <c r="F134" s="224">
        <v>2015</v>
      </c>
      <c r="G134" s="224">
        <v>2016</v>
      </c>
      <c r="H134" s="162"/>
      <c r="I134" s="162"/>
      <c r="J134" s="162"/>
      <c r="K134" s="224">
        <v>2011</v>
      </c>
      <c r="L134" s="224">
        <v>2012</v>
      </c>
      <c r="M134" s="224">
        <v>2013</v>
      </c>
      <c r="N134" s="224">
        <v>2014</v>
      </c>
      <c r="O134" s="224">
        <v>2015</v>
      </c>
      <c r="P134" s="224">
        <v>2016</v>
      </c>
      <c r="Q134" s="56"/>
      <c r="R134" s="168"/>
    </row>
    <row r="135" spans="1:18" s="37" customFormat="1">
      <c r="A135" s="256" t="s">
        <v>338</v>
      </c>
      <c r="B135" s="517">
        <f>$D$104*GETPIVOTDATA("Máx de 2011",$A$102,"Sector","Área El Volcán")/($K$104*$B$94)</f>
        <v>0</v>
      </c>
      <c r="C135" s="517">
        <f>$D$104*GETPIVOTDATA("Máx de 2012",$A$102,"Sector","Área El Volcán")/($K$104*$B$94)</f>
        <v>108.26032540675845</v>
      </c>
      <c r="D135" s="517">
        <f>$D$104*GETPIVOTDATA("Máx de 2013",$A$102,"Sector","Área El Volcán")/($K$104*$B$94)</f>
        <v>259.82478097622027</v>
      </c>
      <c r="E135" s="517">
        <f>$D$104*GETPIVOTDATA("Máx de 2014",$A$102,"Sector","Área El Volcán")/($K$104*$B$94)</f>
        <v>259.82478097622027</v>
      </c>
      <c r="F135" s="517">
        <f>$D$104*GETPIVOTDATA("Máx de 2015",$A$102,"Sector","Área El Volcán")/($K$104*$B$94)</f>
        <v>259.82478097622027</v>
      </c>
      <c r="G135" s="517">
        <f>$D$104*GETPIVOTDATA("Máx de 2016",$A$102,"Sector","Área El Volcán")/($K$104*$B$94)</f>
        <v>129.91239048811013</v>
      </c>
      <c r="H135" s="460">
        <f>SUM(B135:G135)</f>
        <v>1017.6470588235295</v>
      </c>
      <c r="I135" s="162"/>
      <c r="J135" s="520" t="s">
        <v>338</v>
      </c>
      <c r="K135" s="523">
        <f>B135*2*D173</f>
        <v>0</v>
      </c>
      <c r="L135" s="523">
        <f>C135*2*D173</f>
        <v>12601.501877346685</v>
      </c>
      <c r="M135" s="523">
        <f>D135*2*D173</f>
        <v>30243.60450563204</v>
      </c>
      <c r="N135" s="523">
        <f>E135*2*D173</f>
        <v>30243.60450563204</v>
      </c>
      <c r="O135" s="523">
        <f>F135*2*D173</f>
        <v>30243.60450563204</v>
      </c>
      <c r="P135" s="523">
        <f>G135*2*D173</f>
        <v>15121.80225281602</v>
      </c>
      <c r="Q135" s="56"/>
      <c r="R135" s="168"/>
    </row>
    <row r="136" spans="1:18" s="37" customFormat="1">
      <c r="A136" s="256" t="s">
        <v>339</v>
      </c>
      <c r="B136" s="517">
        <f>$D$105*GETPIVOTDATA("Máx de 2011",$A$102,"Sector","Área Yeso")/($K$105*$B$94)</f>
        <v>0</v>
      </c>
      <c r="C136" s="517">
        <f>$D$105*GETPIVOTDATA("Máx de 2012",$A$102,"Sector","Área Yeso")/($K$105*$B$94)</f>
        <v>67.973856209150327</v>
      </c>
      <c r="D136" s="517">
        <f>$D$105*GETPIVOTDATA("Máx de 2013",$A$102,"Sector","Área Yeso")/($K$105*$B$94)</f>
        <v>163.13725490196077</v>
      </c>
      <c r="E136" s="517">
        <f>$D$105*GETPIVOTDATA("Máx de 2014",$A$102,"Sector","Área Yeso")/($K$105*$B$94)</f>
        <v>163.13725490196077</v>
      </c>
      <c r="F136" s="517">
        <f>$D$105*GETPIVOTDATA("Máx de 2015",$A$102,"Sector","Área Yeso")/($K$105*$B$94)</f>
        <v>163.13725490196077</v>
      </c>
      <c r="G136" s="517">
        <f>$D$105*GETPIVOTDATA("Máx de 2016",$A$102,"Sector","Área Yeso")/($K$105*$B$94)</f>
        <v>54.37908496732026</v>
      </c>
      <c r="H136" s="460">
        <f t="shared" ref="H136:H137" si="39">SUM(B136:G136)</f>
        <v>611.76470588235293</v>
      </c>
      <c r="I136" s="162"/>
      <c r="J136" s="520" t="s">
        <v>339</v>
      </c>
      <c r="K136" s="523">
        <f>B136*2*D174</f>
        <v>0</v>
      </c>
      <c r="L136" s="523">
        <f>C136*2*D174</f>
        <v>7912.1568627450988</v>
      </c>
      <c r="M136" s="523">
        <f>D136*2*D174</f>
        <v>18989.176470588234</v>
      </c>
      <c r="N136" s="523">
        <f>E136*2*D174</f>
        <v>18989.176470588234</v>
      </c>
      <c r="O136" s="523">
        <f>F136*2*D174</f>
        <v>18989.176470588234</v>
      </c>
      <c r="P136" s="523">
        <f t="shared" ref="P136:P139" si="40">G136*2*D174</f>
        <v>6329.7254901960787</v>
      </c>
      <c r="Q136" s="56"/>
      <c r="R136" s="168"/>
    </row>
    <row r="137" spans="1:18" s="37" customFormat="1">
      <c r="A137" s="256" t="s">
        <v>340</v>
      </c>
      <c r="B137" s="517">
        <f>$D$106*GETPIVOTDATA("Máx de 2011",$A$102,"Sector","Área Aucayes Alto")/($K$106*$B$94)</f>
        <v>0</v>
      </c>
      <c r="C137" s="517">
        <f>$D$106*GETPIVOTDATA("Máx de 2012",$A$102,"Sector","Área Aucayes Alto")/($K$106*$B$94)</f>
        <v>9.5837520806507398E-2</v>
      </c>
      <c r="D137" s="517">
        <f>$D$106*GETPIVOTDATA("Máx de 2013",$A$102,"Sector","Área Aucayes Alto")/($K$106*$B$94)</f>
        <v>0.22362088188185059</v>
      </c>
      <c r="E137" s="517">
        <f>$D$106*GETPIVOTDATA("Máx de 2014",$A$102,"Sector","Área Aucayes Alto")/($K$106*$B$94)</f>
        <v>0.38335008322602959</v>
      </c>
      <c r="F137" s="517">
        <f>$D$106*GETPIVOTDATA("Máx de 2015",$A$102,"Sector","Área Aucayes Alto")/($K$106*$B$94)</f>
        <v>0.31945840268835801</v>
      </c>
      <c r="G137" s="517">
        <f>$D$106*GETPIVOTDATA("Máx de 2016",$A$102,"Sector","Área Aucayes Alto")/($K$106*$B$94)</f>
        <v>0</v>
      </c>
      <c r="H137" s="460">
        <f t="shared" si="39"/>
        <v>1.0222668886027457</v>
      </c>
      <c r="I137" s="162"/>
      <c r="J137" s="520" t="s">
        <v>340</v>
      </c>
      <c r="K137" s="523">
        <f>B137*2*D175</f>
        <v>0</v>
      </c>
      <c r="L137" s="523">
        <f>C137*2*D175</f>
        <v>8.4145343268113511</v>
      </c>
      <c r="M137" s="523">
        <f>D137*2*D175</f>
        <v>19.633913429226485</v>
      </c>
      <c r="N137" s="523">
        <f>E137*2*D175</f>
        <v>33.658137307245404</v>
      </c>
      <c r="O137" s="523">
        <f>F137*2*D175</f>
        <v>28.048447756037838</v>
      </c>
      <c r="P137" s="523">
        <f t="shared" si="40"/>
        <v>0</v>
      </c>
      <c r="Q137" s="56"/>
      <c r="R137" s="168"/>
    </row>
    <row r="138" spans="1:18" s="37" customFormat="1">
      <c r="A138" s="256" t="s">
        <v>342</v>
      </c>
      <c r="B138" s="517">
        <f>$D$107*GETPIVOTDATA("Máx de 2011",$A$102,"Sector","Área Alfalfal II")/($K$107*$B$94)</f>
        <v>0</v>
      </c>
      <c r="C138" s="517">
        <f>$D$107*GETPIVOTDATA("Máx de 2012",$A$102,"Sector","Área Alfalfal II")/($K$107*$B$94)</f>
        <v>23.859299248403659</v>
      </c>
      <c r="D138" s="517">
        <f>$D$107*GETPIVOTDATA("Máx de 2013",$A$102,"Sector","Área Alfalfal II")/($K$107*$B$94)</f>
        <v>57.262318196168785</v>
      </c>
      <c r="E138" s="517">
        <f>$D$107*GETPIVOTDATA("Máx de 2014",$A$102,"Sector","Área Alfalfal II")/($K$107*$B$94)</f>
        <v>52.490458346488055</v>
      </c>
      <c r="F138" s="517">
        <f>$D$107*GETPIVOTDATA("Máx de 2015",$A$102,"Sector","Área Alfalfal II")/($K$107*$B$94)</f>
        <v>47.718598496807317</v>
      </c>
      <c r="G138" s="517">
        <f>$D$107*GETPIVOTDATA("Máx de 2016",$A$102,"Sector","Área Alfalfal II")/($K$107*$B$94)</f>
        <v>0</v>
      </c>
      <c r="H138" s="460">
        <f>SUM(B138:G138)</f>
        <v>181.33067428786782</v>
      </c>
      <c r="I138" s="162"/>
      <c r="J138" s="520" t="s">
        <v>342</v>
      </c>
      <c r="K138" s="523">
        <f>B138*2*D176</f>
        <v>0</v>
      </c>
      <c r="L138" s="523">
        <f>C138*2*D176</f>
        <v>2094.8464740098416</v>
      </c>
      <c r="M138" s="523">
        <f>D138*2*D176</f>
        <v>5027.6315376236198</v>
      </c>
      <c r="N138" s="523">
        <f>E138*2*D176</f>
        <v>4608.6622428216515</v>
      </c>
      <c r="O138" s="523">
        <f>F138*2*D176</f>
        <v>4189.6929480196832</v>
      </c>
      <c r="P138" s="523">
        <f t="shared" si="40"/>
        <v>0</v>
      </c>
      <c r="Q138" s="56"/>
      <c r="R138" s="168"/>
    </row>
    <row r="139" spans="1:18" s="37" customFormat="1" ht="12.75" thickBot="1">
      <c r="A139" s="257" t="s">
        <v>343</v>
      </c>
      <c r="B139" s="517">
        <f>$D$108*GETPIVOTDATA("Máx de 2011",$A$102,"Sector","Área Las Lajas-Maipo")/($K$108*$B$94)</f>
        <v>73.411764705882348</v>
      </c>
      <c r="C139" s="517">
        <f>$D$108*GETPIVOTDATA("Máx de 2012",$A$102,"Sector","Área Las Lajas-Maipo")/($K$108*$B$94)</f>
        <v>440.47058823529414</v>
      </c>
      <c r="D139" s="517">
        <f>$D$108*GETPIVOTDATA("Máx de 2013",$A$102,"Sector","Área Las Lajas-Maipo")/($K$108*$B$94)</f>
        <v>440.47058823529414</v>
      </c>
      <c r="E139" s="517">
        <f>$D$108*GETPIVOTDATA("Máx de 2014",$A$102,"Sector","Área Las Lajas-Maipo")/($K$108*$B$94)</f>
        <v>440.47058823529414</v>
      </c>
      <c r="F139" s="517">
        <f>$D$108*GETPIVOTDATA("Máx de 2015",$A$102,"Sector","Área Las Lajas-Maipo")/($K$108*$B$94)</f>
        <v>440.47058823529414</v>
      </c>
      <c r="G139" s="517">
        <f>$D$108*GETPIVOTDATA("Máx de 2016",$A$102,"Sector","Área Las Lajas-Maipo")/($K$108*$B$94)</f>
        <v>0</v>
      </c>
      <c r="H139" s="460">
        <f>SUM(B139:G139)</f>
        <v>1835.294117647059</v>
      </c>
      <c r="I139" s="162"/>
      <c r="J139" s="520" t="s">
        <v>343</v>
      </c>
      <c r="K139" s="523">
        <f>B139*2*D177</f>
        <v>6445.552941176471</v>
      </c>
      <c r="L139" s="523">
        <f>C139*2*D177</f>
        <v>38673.31764705883</v>
      </c>
      <c r="M139" s="523">
        <f>D139*2*D177</f>
        <v>38673.31764705883</v>
      </c>
      <c r="N139" s="523">
        <f>E139*2*D177</f>
        <v>38673.31764705883</v>
      </c>
      <c r="O139" s="523">
        <f>F139*2*D177</f>
        <v>38673.31764705883</v>
      </c>
      <c r="P139" s="523">
        <f t="shared" si="40"/>
        <v>0</v>
      </c>
      <c r="Q139" s="533"/>
      <c r="R139" s="168"/>
    </row>
    <row r="140" spans="1:18" s="37" customFormat="1" ht="12.75" thickBot="1">
      <c r="A140" s="257" t="s">
        <v>32</v>
      </c>
      <c r="B140" s="518">
        <f>SUM(B135:B139)</f>
        <v>73.411764705882348</v>
      </c>
      <c r="C140" s="518">
        <f t="shared" ref="C140" si="41">SUM(C135:C139)</f>
        <v>640.65990662041304</v>
      </c>
      <c r="D140" s="518">
        <f t="shared" ref="D140" si="42">SUM(D135:D139)</f>
        <v>920.91856319152589</v>
      </c>
      <c r="E140" s="518">
        <f t="shared" ref="E140" si="43">SUM(E135:E139)</f>
        <v>916.30643254318932</v>
      </c>
      <c r="F140" s="518">
        <f t="shared" ref="F140" si="44">SUM(F135:F139)</f>
        <v>911.47068101297089</v>
      </c>
      <c r="G140" s="518">
        <f t="shared" ref="G140" si="45">SUM(G135:G139)</f>
        <v>184.2914754554304</v>
      </c>
      <c r="H140" s="460">
        <f>SUM(B140:G140)</f>
        <v>3647.0588235294117</v>
      </c>
      <c r="I140" s="162"/>
      <c r="J140" s="521" t="s">
        <v>9</v>
      </c>
      <c r="K140" s="522">
        <f t="shared" ref="K140:P140" si="46">SUM(K135:K139)</f>
        <v>6445.552941176471</v>
      </c>
      <c r="L140" s="522">
        <f t="shared" si="46"/>
        <v>61290.237395487267</v>
      </c>
      <c r="M140" s="522">
        <f t="shared" si="46"/>
        <v>92953.364074331941</v>
      </c>
      <c r="N140" s="522">
        <f t="shared" si="46"/>
        <v>92548.419003407995</v>
      </c>
      <c r="O140" s="522">
        <f t="shared" si="46"/>
        <v>92123.840019054827</v>
      </c>
      <c r="P140" s="522">
        <f t="shared" si="46"/>
        <v>21451.527743012099</v>
      </c>
      <c r="Q140" s="532">
        <f>SUM(K140:P140)</f>
        <v>366812.9411764706</v>
      </c>
      <c r="R140" s="168"/>
    </row>
    <row r="141" spans="1:18" s="37" customFormat="1">
      <c r="A141" s="513"/>
      <c r="B141" s="514"/>
      <c r="C141" s="515"/>
      <c r="D141" s="516"/>
      <c r="E141" s="162"/>
      <c r="F141" s="162"/>
      <c r="G141" s="162"/>
      <c r="H141" s="162"/>
      <c r="I141" s="162"/>
      <c r="J141" s="162"/>
      <c r="K141" s="162"/>
      <c r="L141" s="162"/>
      <c r="M141" s="162"/>
      <c r="N141" s="162"/>
      <c r="O141" s="162"/>
      <c r="P141" s="162"/>
      <c r="Q141" s="162"/>
      <c r="R141" s="168"/>
    </row>
    <row r="142" spans="1:18" ht="15.75" thickBot="1">
      <c r="A142" s="949" t="s">
        <v>779</v>
      </c>
      <c r="B142" s="950"/>
      <c r="C142" s="950"/>
      <c r="D142" s="950"/>
      <c r="E142" s="950"/>
      <c r="F142" s="950"/>
      <c r="G142" s="950"/>
      <c r="H142" s="162"/>
      <c r="I142" s="162"/>
      <c r="J142" s="162"/>
      <c r="K142" s="162"/>
      <c r="L142" s="162"/>
      <c r="M142" s="56"/>
      <c r="N142" s="56"/>
      <c r="O142" s="56"/>
      <c r="P142" s="56"/>
      <c r="Q142" s="56"/>
      <c r="R142" s="168"/>
    </row>
    <row r="143" spans="1:18" ht="15.75" thickBot="1">
      <c r="A143" s="258" t="s">
        <v>429</v>
      </c>
      <c r="B143" s="74" t="s">
        <v>762</v>
      </c>
      <c r="C143" s="225" t="s">
        <v>433</v>
      </c>
      <c r="D143" s="225" t="s">
        <v>306</v>
      </c>
      <c r="E143" s="225" t="s">
        <v>769</v>
      </c>
      <c r="F143" s="225" t="s">
        <v>452</v>
      </c>
      <c r="G143" s="422" t="s">
        <v>749</v>
      </c>
      <c r="H143" s="162"/>
      <c r="I143" s="162"/>
      <c r="J143" s="920" t="s">
        <v>958</v>
      </c>
      <c r="K143" s="954"/>
      <c r="L143" s="954"/>
      <c r="M143" s="954"/>
      <c r="N143" s="56"/>
      <c r="O143" s="56"/>
      <c r="P143" s="56"/>
      <c r="Q143" s="56"/>
      <c r="R143" s="168"/>
    </row>
    <row r="144" spans="1:18" ht="22.5">
      <c r="A144" s="430" t="s">
        <v>439</v>
      </c>
      <c r="B144" s="82" t="s">
        <v>435</v>
      </c>
      <c r="C144" s="77" t="s">
        <v>763</v>
      </c>
      <c r="D144" s="77" t="s">
        <v>764</v>
      </c>
      <c r="E144" s="104">
        <v>23</v>
      </c>
      <c r="F144" s="77" t="s">
        <v>453</v>
      </c>
      <c r="G144" s="78" t="s">
        <v>331</v>
      </c>
      <c r="H144" s="162"/>
      <c r="I144" s="162"/>
      <c r="J144" s="162"/>
      <c r="K144" s="955"/>
      <c r="L144" s="956"/>
      <c r="M144" s="957"/>
      <c r="N144" s="914"/>
      <c r="O144" s="915"/>
      <c r="P144" s="916"/>
      <c r="Q144" s="56"/>
      <c r="R144" s="168"/>
    </row>
    <row r="145" spans="1:18" ht="22.5">
      <c r="A145" s="430" t="s">
        <v>440</v>
      </c>
      <c r="B145" s="82" t="s">
        <v>435</v>
      </c>
      <c r="C145" s="77" t="s">
        <v>765</v>
      </c>
      <c r="D145" s="77" t="s">
        <v>764</v>
      </c>
      <c r="E145" s="104">
        <v>1.6</v>
      </c>
      <c r="F145" s="77" t="s">
        <v>453</v>
      </c>
      <c r="G145" s="78" t="s">
        <v>770</v>
      </c>
      <c r="H145" s="162"/>
      <c r="I145" s="162"/>
      <c r="J145" s="162"/>
      <c r="K145" s="224">
        <v>2011</v>
      </c>
      <c r="L145" s="224">
        <v>2012</v>
      </c>
      <c r="M145" s="224">
        <v>2013</v>
      </c>
      <c r="N145" s="224">
        <v>2014</v>
      </c>
      <c r="O145" s="224">
        <v>2015</v>
      </c>
      <c r="P145" s="224">
        <v>2016</v>
      </c>
      <c r="Q145" s="56"/>
      <c r="R145" s="168"/>
    </row>
    <row r="146" spans="1:18" ht="12.75" thickBot="1">
      <c r="A146" s="937" t="s">
        <v>441</v>
      </c>
      <c r="B146" s="940" t="s">
        <v>436</v>
      </c>
      <c r="C146" s="943" t="s">
        <v>764</v>
      </c>
      <c r="D146" s="943" t="s">
        <v>432</v>
      </c>
      <c r="E146" s="946">
        <v>15.5</v>
      </c>
      <c r="F146" s="943" t="s">
        <v>453</v>
      </c>
      <c r="G146" s="226" t="s">
        <v>331</v>
      </c>
      <c r="H146" s="162"/>
      <c r="I146" s="162"/>
      <c r="J146" s="521" t="s">
        <v>9</v>
      </c>
      <c r="K146" s="522">
        <f t="shared" ref="K146:P146" si="47">K120+K130+K140</f>
        <v>24458.139607843135</v>
      </c>
      <c r="L146" s="522">
        <f t="shared" si="47"/>
        <v>194021.9356457926</v>
      </c>
      <c r="M146" s="522">
        <f t="shared" si="47"/>
        <v>260201.56852215505</v>
      </c>
      <c r="N146" s="522">
        <f t="shared" si="47"/>
        <v>258249.40735640246</v>
      </c>
      <c r="O146" s="522">
        <f t="shared" si="47"/>
        <v>256202.59492537868</v>
      </c>
      <c r="P146" s="522">
        <f t="shared" si="47"/>
        <v>37999.295118898619</v>
      </c>
      <c r="Q146" s="534">
        <f>SUM(K146:P146)</f>
        <v>1031132.9411764706</v>
      </c>
      <c r="R146" s="168"/>
    </row>
    <row r="147" spans="1:18" ht="22.5">
      <c r="A147" s="998"/>
      <c r="B147" s="999"/>
      <c r="C147" s="1000"/>
      <c r="D147" s="1000"/>
      <c r="E147" s="1001"/>
      <c r="F147" s="1000"/>
      <c r="G147" s="78" t="s">
        <v>770</v>
      </c>
      <c r="H147" s="162"/>
      <c r="I147" s="162"/>
      <c r="J147" s="162"/>
      <c r="K147" s="162"/>
      <c r="L147" s="162"/>
      <c r="M147" s="162"/>
      <c r="N147" s="162"/>
      <c r="O147" s="162"/>
      <c r="P147" s="162"/>
      <c r="Q147" s="162"/>
      <c r="R147" s="168"/>
    </row>
    <row r="148" spans="1:18">
      <c r="A148" s="937" t="s">
        <v>442</v>
      </c>
      <c r="B148" s="940" t="s">
        <v>438</v>
      </c>
      <c r="C148" s="943" t="s">
        <v>432</v>
      </c>
      <c r="D148" s="943" t="s">
        <v>766</v>
      </c>
      <c r="E148" s="946">
        <v>7.5</v>
      </c>
      <c r="F148" s="943" t="s">
        <v>453</v>
      </c>
      <c r="G148" s="226" t="s">
        <v>331</v>
      </c>
      <c r="H148" s="162"/>
      <c r="I148" s="162"/>
      <c r="J148" s="162"/>
      <c r="K148" s="162"/>
      <c r="L148" s="162"/>
      <c r="M148" s="162"/>
      <c r="N148" s="162"/>
      <c r="O148" s="162"/>
      <c r="P148" s="162"/>
      <c r="Q148" s="162"/>
      <c r="R148" s="168"/>
    </row>
    <row r="149" spans="1:18" ht="22.5">
      <c r="A149" s="938"/>
      <c r="B149" s="941"/>
      <c r="C149" s="944"/>
      <c r="D149" s="944"/>
      <c r="E149" s="947"/>
      <c r="F149" s="944"/>
      <c r="G149" s="226" t="s">
        <v>770</v>
      </c>
      <c r="H149" s="162"/>
      <c r="I149" s="162"/>
      <c r="J149" s="162"/>
      <c r="K149" s="162"/>
      <c r="L149" s="162"/>
      <c r="M149" s="162"/>
      <c r="N149" s="162"/>
      <c r="O149" s="162"/>
      <c r="P149" s="162"/>
      <c r="Q149" s="162"/>
      <c r="R149" s="168"/>
    </row>
    <row r="150" spans="1:18">
      <c r="A150" s="998"/>
      <c r="B150" s="999"/>
      <c r="C150" s="1000"/>
      <c r="D150" s="1000"/>
      <c r="E150" s="1001"/>
      <c r="F150" s="1000"/>
      <c r="G150" s="78" t="s">
        <v>751</v>
      </c>
      <c r="H150" s="162"/>
      <c r="I150" s="162"/>
      <c r="J150" s="162"/>
      <c r="K150" s="162"/>
      <c r="L150" s="162"/>
      <c r="M150" s="162"/>
      <c r="N150" s="162"/>
      <c r="O150" s="162"/>
      <c r="P150" s="162"/>
      <c r="Q150" s="532"/>
      <c r="R150" s="168"/>
    </row>
    <row r="151" spans="1:18">
      <c r="A151" s="937" t="s">
        <v>446</v>
      </c>
      <c r="B151" s="940" t="s">
        <v>438</v>
      </c>
      <c r="C151" s="943" t="s">
        <v>767</v>
      </c>
      <c r="D151" s="943" t="s">
        <v>768</v>
      </c>
      <c r="E151" s="946">
        <v>5.6</v>
      </c>
      <c r="F151" s="943" t="s">
        <v>453</v>
      </c>
      <c r="G151" s="226" t="s">
        <v>331</v>
      </c>
      <c r="H151" s="162"/>
      <c r="I151" s="162"/>
      <c r="J151" s="162"/>
      <c r="K151" s="162"/>
      <c r="L151" s="162"/>
      <c r="M151" s="162"/>
      <c r="N151" s="162"/>
      <c r="O151" s="162"/>
      <c r="P151" s="162"/>
      <c r="Q151" s="162"/>
      <c r="R151" s="168"/>
    </row>
    <row r="152" spans="1:18" ht="22.5">
      <c r="A152" s="938"/>
      <c r="B152" s="941"/>
      <c r="C152" s="944"/>
      <c r="D152" s="944"/>
      <c r="E152" s="947"/>
      <c r="F152" s="944"/>
      <c r="G152" s="226" t="s">
        <v>770</v>
      </c>
      <c r="H152" s="162"/>
      <c r="I152" s="162"/>
      <c r="J152" s="162"/>
      <c r="K152" s="162"/>
      <c r="L152" s="162"/>
      <c r="M152" s="162"/>
      <c r="N152" s="162"/>
      <c r="O152" s="162"/>
      <c r="P152" s="162"/>
      <c r="Q152" s="162"/>
      <c r="R152" s="168"/>
    </row>
    <row r="153" spans="1:18">
      <c r="A153" s="998"/>
      <c r="B153" s="999"/>
      <c r="C153" s="1000"/>
      <c r="D153" s="1000"/>
      <c r="E153" s="1001"/>
      <c r="F153" s="1000"/>
      <c r="G153" s="78" t="s">
        <v>751</v>
      </c>
      <c r="H153" s="162"/>
      <c r="I153" s="162"/>
      <c r="J153" s="162"/>
      <c r="K153" s="162"/>
      <c r="L153" s="162"/>
      <c r="M153" s="162"/>
      <c r="N153" s="162"/>
      <c r="O153" s="162"/>
      <c r="P153" s="162"/>
      <c r="Q153" s="162"/>
      <c r="R153" s="168"/>
    </row>
    <row r="154" spans="1:18" ht="24" customHeight="1">
      <c r="A154" s="937" t="s">
        <v>447</v>
      </c>
      <c r="B154" s="940" t="s">
        <v>444</v>
      </c>
      <c r="C154" s="943" t="s">
        <v>768</v>
      </c>
      <c r="D154" s="943" t="s">
        <v>443</v>
      </c>
      <c r="E154" s="946">
        <v>13.7</v>
      </c>
      <c r="F154" s="943" t="s">
        <v>453</v>
      </c>
      <c r="G154" s="226" t="s">
        <v>771</v>
      </c>
      <c r="H154" s="162"/>
      <c r="I154" s="162"/>
      <c r="J154" s="162"/>
      <c r="K154" s="162"/>
      <c r="L154" s="162"/>
      <c r="M154" s="162"/>
      <c r="N154" s="162"/>
      <c r="O154" s="162"/>
      <c r="P154" s="162"/>
      <c r="Q154" s="162"/>
      <c r="R154" s="168"/>
    </row>
    <row r="155" spans="1:18" ht="13.5" customHeight="1">
      <c r="A155" s="938"/>
      <c r="B155" s="941"/>
      <c r="C155" s="944"/>
      <c r="D155" s="944"/>
      <c r="E155" s="947"/>
      <c r="F155" s="944"/>
      <c r="G155" s="226" t="s">
        <v>331</v>
      </c>
      <c r="H155" s="162"/>
      <c r="I155" s="162"/>
      <c r="J155" s="162"/>
      <c r="K155" s="162"/>
      <c r="L155" s="162"/>
      <c r="M155" s="162"/>
      <c r="N155" s="162"/>
      <c r="O155" s="162"/>
      <c r="P155" s="162"/>
      <c r="Q155" s="162"/>
      <c r="R155" s="168"/>
    </row>
    <row r="156" spans="1:18" ht="21.75" customHeight="1">
      <c r="A156" s="938"/>
      <c r="B156" s="941"/>
      <c r="C156" s="944"/>
      <c r="D156" s="944"/>
      <c r="E156" s="947"/>
      <c r="F156" s="944"/>
      <c r="G156" s="226" t="s">
        <v>770</v>
      </c>
      <c r="H156" s="162"/>
      <c r="I156" s="162"/>
      <c r="J156" s="162"/>
      <c r="K156" s="162"/>
      <c r="L156" s="162"/>
      <c r="M156" s="162"/>
      <c r="N156" s="162"/>
      <c r="O156" s="162"/>
      <c r="P156" s="162"/>
      <c r="Q156" s="162"/>
      <c r="R156" s="168"/>
    </row>
    <row r="157" spans="1:18" ht="11.25" customHeight="1">
      <c r="A157" s="998"/>
      <c r="B157" s="999"/>
      <c r="C157" s="1000"/>
      <c r="D157" s="1000"/>
      <c r="E157" s="1001"/>
      <c r="F157" s="1000"/>
      <c r="G157" s="78" t="s">
        <v>751</v>
      </c>
      <c r="H157" s="162"/>
      <c r="I157" s="162"/>
      <c r="J157" s="162"/>
      <c r="K157" s="162"/>
      <c r="L157" s="162"/>
      <c r="M157" s="162"/>
      <c r="N157" s="162"/>
      <c r="O157" s="162"/>
      <c r="P157" s="162"/>
      <c r="Q157" s="162"/>
      <c r="R157" s="168"/>
    </row>
    <row r="158" spans="1:18" ht="9.75" customHeight="1">
      <c r="A158" s="937" t="s">
        <v>448</v>
      </c>
      <c r="B158" s="940" t="s">
        <v>772</v>
      </c>
      <c r="C158" s="943" t="s">
        <v>768</v>
      </c>
      <c r="D158" s="943" t="s">
        <v>451</v>
      </c>
      <c r="E158" s="946">
        <v>28</v>
      </c>
      <c r="F158" s="943" t="s">
        <v>453</v>
      </c>
      <c r="G158" s="226" t="s">
        <v>331</v>
      </c>
      <c r="H158" s="162"/>
      <c r="I158" s="162"/>
      <c r="J158" s="162"/>
      <c r="K158" s="162"/>
      <c r="L158" s="162"/>
      <c r="M158" s="162"/>
      <c r="N158" s="162"/>
      <c r="O158" s="162"/>
      <c r="P158" s="162"/>
      <c r="Q158" s="162"/>
      <c r="R158" s="168"/>
    </row>
    <row r="159" spans="1:18" ht="20.25" customHeight="1">
      <c r="A159" s="938"/>
      <c r="B159" s="941"/>
      <c r="C159" s="944"/>
      <c r="D159" s="944"/>
      <c r="E159" s="947"/>
      <c r="F159" s="944"/>
      <c r="G159" s="226" t="s">
        <v>770</v>
      </c>
      <c r="H159" s="162"/>
      <c r="I159" s="162"/>
      <c r="J159" s="162"/>
      <c r="K159" s="162"/>
      <c r="L159" s="162"/>
      <c r="M159" s="162"/>
      <c r="N159" s="162"/>
      <c r="O159" s="162"/>
      <c r="P159" s="162"/>
      <c r="Q159" s="162"/>
      <c r="R159" s="168"/>
    </row>
    <row r="160" spans="1:18" ht="11.25" customHeight="1">
      <c r="A160" s="998"/>
      <c r="B160" s="999"/>
      <c r="C160" s="1000"/>
      <c r="D160" s="1000"/>
      <c r="E160" s="1001"/>
      <c r="F160" s="1000"/>
      <c r="G160" s="78" t="s">
        <v>751</v>
      </c>
      <c r="H160" s="162"/>
      <c r="I160" s="162"/>
      <c r="J160" s="162"/>
      <c r="K160" s="162"/>
      <c r="L160" s="162"/>
      <c r="M160" s="162"/>
      <c r="N160" s="162"/>
      <c r="O160" s="162"/>
      <c r="P160" s="162"/>
      <c r="Q160" s="162"/>
      <c r="R160" s="168"/>
    </row>
    <row r="161" spans="1:18" ht="11.25" customHeight="1">
      <c r="A161" s="937" t="s">
        <v>449</v>
      </c>
      <c r="B161" s="940" t="s">
        <v>455</v>
      </c>
      <c r="C161" s="943" t="s">
        <v>451</v>
      </c>
      <c r="D161" s="943" t="s">
        <v>276</v>
      </c>
      <c r="E161" s="946">
        <v>19.5</v>
      </c>
      <c r="F161" s="943" t="s">
        <v>454</v>
      </c>
      <c r="G161" s="226" t="s">
        <v>331</v>
      </c>
      <c r="H161" s="162"/>
      <c r="I161" s="162"/>
      <c r="J161" s="162"/>
      <c r="K161" s="162"/>
      <c r="L161" s="162"/>
      <c r="M161" s="162"/>
      <c r="N161" s="162"/>
      <c r="O161" s="162"/>
      <c r="P161" s="162"/>
      <c r="Q161" s="162"/>
      <c r="R161" s="168"/>
    </row>
    <row r="162" spans="1:18" ht="20.25" customHeight="1">
      <c r="A162" s="938"/>
      <c r="B162" s="941"/>
      <c r="C162" s="944"/>
      <c r="D162" s="944"/>
      <c r="E162" s="947"/>
      <c r="F162" s="944"/>
      <c r="G162" s="226" t="s">
        <v>770</v>
      </c>
      <c r="H162" s="162"/>
      <c r="I162" s="162"/>
      <c r="J162" s="162"/>
      <c r="K162" s="162"/>
      <c r="L162" s="162"/>
      <c r="M162" s="162"/>
      <c r="N162" s="162"/>
      <c r="O162" s="162"/>
      <c r="P162" s="162"/>
      <c r="Q162" s="162"/>
      <c r="R162" s="168"/>
    </row>
    <row r="163" spans="1:18" ht="9.75" customHeight="1">
      <c r="A163" s="998"/>
      <c r="B163" s="999"/>
      <c r="C163" s="1000"/>
      <c r="D163" s="1000"/>
      <c r="E163" s="1001"/>
      <c r="F163" s="1000"/>
      <c r="G163" s="78" t="s">
        <v>751</v>
      </c>
      <c r="H163" s="162"/>
      <c r="I163" s="162"/>
      <c r="J163" s="162"/>
      <c r="K163" s="162"/>
      <c r="L163" s="162"/>
      <c r="M163" s="162"/>
      <c r="N163" s="162"/>
      <c r="O163" s="162"/>
      <c r="P163" s="162"/>
      <c r="Q163" s="162"/>
      <c r="R163" s="168"/>
    </row>
    <row r="164" spans="1:18" ht="12.75" customHeight="1">
      <c r="A164" s="937" t="s">
        <v>450</v>
      </c>
      <c r="B164" s="940" t="s">
        <v>772</v>
      </c>
      <c r="C164" s="943" t="s">
        <v>276</v>
      </c>
      <c r="D164" s="943" t="s">
        <v>456</v>
      </c>
      <c r="E164" s="946">
        <v>29.5</v>
      </c>
      <c r="F164" s="943" t="s">
        <v>454</v>
      </c>
      <c r="G164" s="226" t="s">
        <v>331</v>
      </c>
      <c r="H164" s="162"/>
      <c r="I164" s="162"/>
      <c r="J164" s="162"/>
      <c r="K164" s="162"/>
      <c r="L164" s="162"/>
      <c r="M164" s="162"/>
      <c r="N164" s="162"/>
      <c r="O164" s="162"/>
      <c r="P164" s="162"/>
      <c r="Q164" s="162"/>
      <c r="R164" s="168"/>
    </row>
    <row r="165" spans="1:18" ht="21.75" customHeight="1">
      <c r="A165" s="938"/>
      <c r="B165" s="941"/>
      <c r="C165" s="944"/>
      <c r="D165" s="944"/>
      <c r="E165" s="947"/>
      <c r="F165" s="944"/>
      <c r="G165" s="226" t="s">
        <v>770</v>
      </c>
      <c r="H165" s="162"/>
      <c r="I165" s="162"/>
      <c r="J165" s="162"/>
      <c r="K165" s="162"/>
      <c r="L165" s="162"/>
      <c r="M165" s="162"/>
      <c r="N165" s="162"/>
      <c r="O165" s="162"/>
      <c r="P165" s="162"/>
      <c r="Q165" s="162"/>
      <c r="R165" s="168"/>
    </row>
    <row r="166" spans="1:18" ht="12.75" customHeight="1" thickBot="1">
      <c r="A166" s="939"/>
      <c r="B166" s="942"/>
      <c r="C166" s="945"/>
      <c r="D166" s="945"/>
      <c r="E166" s="948"/>
      <c r="F166" s="945"/>
      <c r="G166" s="81" t="s">
        <v>751</v>
      </c>
      <c r="H166" s="162"/>
      <c r="I166" s="162"/>
      <c r="J166" s="162"/>
      <c r="K166" s="162"/>
      <c r="L166" s="162"/>
      <c r="M166" s="162"/>
      <c r="N166" s="162"/>
      <c r="O166" s="162"/>
      <c r="P166" s="162"/>
      <c r="Q166" s="162"/>
      <c r="R166" s="168"/>
    </row>
    <row r="167" spans="1:18">
      <c r="A167" s="176" t="s">
        <v>773</v>
      </c>
      <c r="B167" s="162"/>
      <c r="C167" s="162"/>
      <c r="D167" s="162"/>
      <c r="E167" s="162"/>
      <c r="F167" s="162"/>
      <c r="G167" s="162"/>
      <c r="H167" s="162"/>
      <c r="I167" s="162"/>
      <c r="J167" s="162"/>
      <c r="K167" s="162"/>
      <c r="L167" s="162"/>
      <c r="M167" s="162"/>
      <c r="N167" s="162"/>
      <c r="O167" s="162"/>
      <c r="P167" s="162"/>
      <c r="Q167" s="162"/>
      <c r="R167" s="168"/>
    </row>
    <row r="168" spans="1:18">
      <c r="A168" s="167"/>
      <c r="B168" s="162"/>
      <c r="C168" s="162"/>
      <c r="D168" s="162"/>
      <c r="E168" s="162"/>
      <c r="F168" s="162"/>
      <c r="G168" s="162"/>
      <c r="H168" s="162"/>
      <c r="I168" s="162"/>
      <c r="J168" s="162"/>
      <c r="K168" s="162"/>
      <c r="L168" s="162"/>
      <c r="M168" s="162"/>
      <c r="N168" s="162"/>
      <c r="O168" s="162"/>
      <c r="P168" s="162"/>
      <c r="Q168" s="162"/>
      <c r="R168" s="168"/>
    </row>
    <row r="169" spans="1:18" ht="15.75" thickBot="1">
      <c r="A169" s="949" t="s">
        <v>778</v>
      </c>
      <c r="B169" s="950"/>
      <c r="C169" s="950"/>
      <c r="D169" s="950"/>
      <c r="E169" s="162"/>
      <c r="F169" s="162"/>
      <c r="G169" s="162"/>
      <c r="H169" s="162"/>
      <c r="I169" s="162"/>
      <c r="J169" s="162"/>
      <c r="K169" s="162"/>
      <c r="L169" s="162"/>
      <c r="M169" s="162"/>
      <c r="N169" s="162"/>
      <c r="O169" s="162"/>
      <c r="P169" s="162"/>
      <c r="Q169" s="162"/>
      <c r="R169" s="168"/>
    </row>
    <row r="170" spans="1:18" ht="15.75" customHeight="1">
      <c r="A170" s="259"/>
      <c r="B170" s="932" t="s">
        <v>774</v>
      </c>
      <c r="C170" s="933"/>
      <c r="D170" s="934"/>
      <c r="E170" s="158"/>
      <c r="F170" s="995" t="s">
        <v>60</v>
      </c>
      <c r="G170" s="932" t="s">
        <v>781</v>
      </c>
      <c r="H170" s="933"/>
      <c r="I170" s="934"/>
      <c r="J170" s="162"/>
      <c r="K170" s="162"/>
      <c r="L170" s="162"/>
      <c r="M170" s="162"/>
      <c r="N170" s="162"/>
      <c r="O170" s="162"/>
      <c r="P170" s="162"/>
      <c r="Q170" s="162"/>
      <c r="R170" s="168"/>
    </row>
    <row r="171" spans="1:18" ht="15.75" customHeight="1">
      <c r="A171" s="935" t="s">
        <v>60</v>
      </c>
      <c r="B171" s="233" t="s">
        <v>331</v>
      </c>
      <c r="C171" s="233" t="s">
        <v>751</v>
      </c>
      <c r="D171" s="234" t="s">
        <v>332</v>
      </c>
      <c r="E171" s="158"/>
      <c r="F171" s="996"/>
      <c r="G171" s="233" t="s">
        <v>331</v>
      </c>
      <c r="H171" s="233" t="s">
        <v>751</v>
      </c>
      <c r="I171" s="234" t="s">
        <v>332</v>
      </c>
      <c r="J171" s="162"/>
      <c r="K171" s="162"/>
      <c r="L171" s="162"/>
      <c r="M171" s="162"/>
      <c r="N171" s="162"/>
      <c r="O171" s="162"/>
      <c r="P171" s="162"/>
      <c r="Q171" s="162"/>
      <c r="R171" s="168"/>
    </row>
    <row r="172" spans="1:18" ht="12" customHeight="1">
      <c r="A172" s="936"/>
      <c r="B172" s="235" t="s">
        <v>775</v>
      </c>
      <c r="C172" s="235" t="s">
        <v>776</v>
      </c>
      <c r="D172" s="236" t="s">
        <v>777</v>
      </c>
      <c r="E172" s="158"/>
      <c r="F172" s="997"/>
      <c r="G172" s="235" t="s">
        <v>775</v>
      </c>
      <c r="H172" s="235" t="s">
        <v>776</v>
      </c>
      <c r="I172" s="236" t="s">
        <v>777</v>
      </c>
      <c r="J172" s="162"/>
      <c r="K172" s="162"/>
      <c r="L172" s="162"/>
      <c r="M172" s="162"/>
      <c r="N172" s="162"/>
      <c r="O172" s="162"/>
      <c r="P172" s="162"/>
      <c r="Q172" s="162"/>
      <c r="R172" s="168"/>
    </row>
    <row r="173" spans="1:18">
      <c r="A173" s="260" t="s">
        <v>338</v>
      </c>
      <c r="B173" s="227">
        <f>E144+E146+E148+E151+E158</f>
        <v>79.599999999999994</v>
      </c>
      <c r="C173" s="227">
        <f>E148+E151+E158</f>
        <v>41.1</v>
      </c>
      <c r="D173" s="229">
        <f>E145+E146+E148+E151+E158</f>
        <v>58.2</v>
      </c>
      <c r="E173" s="162"/>
      <c r="F173" s="197" t="s">
        <v>338</v>
      </c>
      <c r="G173" s="92" t="s">
        <v>783</v>
      </c>
      <c r="H173" s="92" t="s">
        <v>783</v>
      </c>
      <c r="I173" s="92" t="s">
        <v>787</v>
      </c>
      <c r="J173" s="162"/>
      <c r="K173" s="162"/>
      <c r="L173" s="162"/>
      <c r="M173" s="162"/>
      <c r="N173" s="162"/>
      <c r="O173" s="162"/>
      <c r="P173" s="162"/>
      <c r="Q173" s="162"/>
      <c r="R173" s="168"/>
    </row>
    <row r="174" spans="1:18">
      <c r="A174" s="260" t="s">
        <v>339</v>
      </c>
      <c r="B174" s="227">
        <f>B173</f>
        <v>79.599999999999994</v>
      </c>
      <c r="C174" s="227">
        <f>C173</f>
        <v>41.1</v>
      </c>
      <c r="D174" s="229">
        <f>D173</f>
        <v>58.2</v>
      </c>
      <c r="E174" s="162"/>
      <c r="F174" s="197" t="s">
        <v>339</v>
      </c>
      <c r="G174" s="92" t="s">
        <v>783</v>
      </c>
      <c r="H174" s="92" t="s">
        <v>783</v>
      </c>
      <c r="I174" s="92" t="s">
        <v>787</v>
      </c>
      <c r="J174" s="162"/>
      <c r="K174" s="162"/>
      <c r="L174" s="162"/>
      <c r="M174" s="162"/>
      <c r="N174" s="162"/>
      <c r="O174" s="162"/>
      <c r="P174" s="162"/>
      <c r="Q174" s="162"/>
      <c r="R174" s="168"/>
    </row>
    <row r="175" spans="1:18">
      <c r="A175" s="260" t="s">
        <v>340</v>
      </c>
      <c r="B175" s="227">
        <f>E144+E146+E148+E151+E154</f>
        <v>65.3</v>
      </c>
      <c r="C175" s="227">
        <f>E148+E151+E154</f>
        <v>26.799999999999997</v>
      </c>
      <c r="D175" s="229">
        <f>E145+E146+E148+E151+E154</f>
        <v>43.900000000000006</v>
      </c>
      <c r="E175" s="162"/>
      <c r="F175" s="197" t="s">
        <v>340</v>
      </c>
      <c r="G175" s="92" t="s">
        <v>784</v>
      </c>
      <c r="H175" s="232" t="s">
        <v>785</v>
      </c>
      <c r="I175" s="92" t="s">
        <v>786</v>
      </c>
      <c r="J175" s="162"/>
      <c r="K175" s="162"/>
      <c r="L175" s="162"/>
      <c r="M175" s="162"/>
      <c r="N175" s="162"/>
      <c r="O175" s="162"/>
      <c r="P175" s="162"/>
      <c r="Q175" s="162"/>
      <c r="R175" s="168"/>
    </row>
    <row r="176" spans="1:18">
      <c r="A176" s="260" t="s">
        <v>342</v>
      </c>
      <c r="B176" s="227">
        <f t="shared" ref="B176:D177" si="48">B175</f>
        <v>65.3</v>
      </c>
      <c r="C176" s="227">
        <f t="shared" si="48"/>
        <v>26.799999999999997</v>
      </c>
      <c r="D176" s="229">
        <f t="shared" si="48"/>
        <v>43.900000000000006</v>
      </c>
      <c r="E176" s="162"/>
      <c r="F176" s="197" t="s">
        <v>342</v>
      </c>
      <c r="G176" s="92" t="s">
        <v>784</v>
      </c>
      <c r="H176" s="232" t="s">
        <v>785</v>
      </c>
      <c r="I176" s="92" t="s">
        <v>786</v>
      </c>
      <c r="J176" s="162"/>
      <c r="K176" s="162"/>
      <c r="L176" s="162"/>
      <c r="M176" s="162"/>
      <c r="N176" s="162"/>
      <c r="O176" s="162"/>
      <c r="P176" s="162"/>
      <c r="Q176" s="162"/>
      <c r="R176" s="168"/>
    </row>
    <row r="177" spans="1:22" ht="12.75" thickBot="1">
      <c r="A177" s="261" t="s">
        <v>343</v>
      </c>
      <c r="B177" s="228">
        <f t="shared" si="48"/>
        <v>65.3</v>
      </c>
      <c r="C177" s="228">
        <f t="shared" si="48"/>
        <v>26.799999999999997</v>
      </c>
      <c r="D177" s="230">
        <f t="shared" si="48"/>
        <v>43.900000000000006</v>
      </c>
      <c r="E177" s="162"/>
      <c r="F177" s="97" t="s">
        <v>343</v>
      </c>
      <c r="G177" s="92" t="s">
        <v>784</v>
      </c>
      <c r="H177" s="232" t="s">
        <v>785</v>
      </c>
      <c r="I177" s="92" t="s">
        <v>786</v>
      </c>
      <c r="J177" s="162"/>
      <c r="K177" s="162"/>
      <c r="L177" s="162"/>
      <c r="M177" s="162"/>
      <c r="N177" s="162"/>
      <c r="O177" s="162"/>
      <c r="P177" s="162"/>
      <c r="Q177" s="162"/>
      <c r="R177" s="168"/>
    </row>
    <row r="178" spans="1:22">
      <c r="A178" s="251" t="s">
        <v>954</v>
      </c>
      <c r="B178" s="162"/>
      <c r="C178" s="162"/>
      <c r="D178" s="162"/>
      <c r="E178" s="162"/>
      <c r="F178" s="162"/>
      <c r="G178" s="162"/>
      <c r="H178" s="162"/>
      <c r="I178" s="162"/>
      <c r="J178" s="162"/>
      <c r="K178" s="162"/>
      <c r="L178" s="162"/>
      <c r="M178" s="162"/>
      <c r="N178" s="162"/>
      <c r="O178" s="162"/>
      <c r="P178" s="162"/>
      <c r="Q178" s="162"/>
      <c r="R178" s="168"/>
    </row>
    <row r="179" spans="1:22" ht="12.75" thickBot="1">
      <c r="A179" s="183"/>
      <c r="B179" s="184"/>
      <c r="C179" s="184"/>
      <c r="D179" s="184"/>
      <c r="E179" s="184"/>
      <c r="F179" s="184"/>
      <c r="G179" s="184"/>
      <c r="H179" s="184"/>
      <c r="I179" s="184"/>
      <c r="J179" s="184"/>
      <c r="K179" s="184"/>
      <c r="L179" s="184"/>
      <c r="M179" s="184"/>
      <c r="N179" s="184"/>
      <c r="O179" s="184"/>
      <c r="P179" s="184"/>
      <c r="Q179" s="184"/>
      <c r="R179" s="186"/>
    </row>
    <row r="180" spans="1:22" ht="12.75" thickBot="1">
      <c r="J180" s="162"/>
      <c r="K180" s="162"/>
      <c r="L180" s="162"/>
      <c r="M180" s="162"/>
      <c r="N180" s="162"/>
      <c r="O180" s="162"/>
      <c r="P180" s="162"/>
      <c r="Q180" s="162"/>
    </row>
    <row r="181" spans="1:22">
      <c r="A181" s="163" t="s">
        <v>737</v>
      </c>
      <c r="B181" s="165" t="s">
        <v>790</v>
      </c>
      <c r="C181" s="200"/>
      <c r="D181" s="200"/>
      <c r="E181" s="165"/>
      <c r="F181" s="165"/>
      <c r="G181" s="165"/>
      <c r="H181" s="165"/>
      <c r="I181" s="165"/>
      <c r="J181" s="165"/>
      <c r="K181" s="165"/>
      <c r="L181" s="165"/>
      <c r="M181" s="165"/>
      <c r="N181" s="165"/>
      <c r="O181" s="165"/>
      <c r="P181" s="165"/>
      <c r="Q181" s="165"/>
      <c r="R181" s="165"/>
      <c r="S181" s="165"/>
      <c r="T181" s="165"/>
      <c r="U181" s="165"/>
      <c r="V181" s="166"/>
    </row>
    <row r="182" spans="1:22">
      <c r="A182" s="167"/>
      <c r="B182" s="162"/>
      <c r="C182" s="156"/>
      <c r="D182" s="156"/>
      <c r="E182" s="162"/>
      <c r="F182" s="162"/>
      <c r="G182" s="162"/>
      <c r="H182" s="162"/>
      <c r="I182" s="162"/>
      <c r="J182" s="162"/>
      <c r="K182" s="162"/>
      <c r="L182" s="162"/>
      <c r="M182" s="162"/>
      <c r="N182" s="162"/>
      <c r="O182" s="162"/>
      <c r="P182" s="162"/>
      <c r="Q182" s="162"/>
      <c r="R182" s="162"/>
      <c r="S182" s="162"/>
      <c r="T182" s="162"/>
      <c r="U182" s="162"/>
      <c r="V182" s="168"/>
    </row>
    <row r="183" spans="1:22" ht="15.75" thickBot="1">
      <c r="A183" s="926" t="s">
        <v>741</v>
      </c>
      <c r="B183" s="927"/>
      <c r="C183" s="927"/>
      <c r="D183" s="156"/>
      <c r="E183" s="187"/>
      <c r="F183" s="208"/>
      <c r="G183" s="162"/>
      <c r="H183" s="162"/>
      <c r="I183" s="162"/>
      <c r="J183" s="162"/>
      <c r="K183" s="162"/>
      <c r="L183" s="162"/>
      <c r="M183" s="162"/>
      <c r="N183" s="162"/>
      <c r="O183" s="162"/>
      <c r="P183" s="162"/>
      <c r="Q183" s="162"/>
      <c r="R183" s="162"/>
      <c r="S183" s="162"/>
      <c r="T183" s="162"/>
      <c r="U183" s="162"/>
      <c r="V183" s="168"/>
    </row>
    <row r="184" spans="1:22" ht="24">
      <c r="A184" s="249" t="s">
        <v>747</v>
      </c>
      <c r="B184" s="928" t="s">
        <v>748</v>
      </c>
      <c r="C184" s="930" t="s">
        <v>739</v>
      </c>
      <c r="D184" s="931"/>
      <c r="E184" s="217"/>
      <c r="F184" s="266"/>
      <c r="G184" s="188"/>
      <c r="H184" s="188"/>
      <c r="I184" s="162"/>
      <c r="J184" s="162"/>
      <c r="K184" s="162"/>
      <c r="L184" s="162"/>
      <c r="M184" s="162"/>
      <c r="N184" s="162"/>
      <c r="O184" s="162"/>
      <c r="P184" s="162"/>
      <c r="Q184" s="162"/>
      <c r="R184" s="162"/>
      <c r="S184" s="162"/>
      <c r="T184" s="162"/>
      <c r="U184" s="162"/>
      <c r="V184" s="168"/>
    </row>
    <row r="185" spans="1:22">
      <c r="A185" s="250"/>
      <c r="B185" s="929"/>
      <c r="C185" s="122" t="s">
        <v>621</v>
      </c>
      <c r="D185" s="429" t="s">
        <v>622</v>
      </c>
      <c r="E185" s="217"/>
      <c r="F185" s="267"/>
      <c r="G185" s="172"/>
      <c r="H185" s="209"/>
      <c r="I185" s="162"/>
      <c r="J185" s="252"/>
      <c r="K185" s="206"/>
      <c r="L185" s="162"/>
      <c r="M185" s="162"/>
      <c r="N185" s="162"/>
      <c r="O185" s="162"/>
      <c r="P185" s="162"/>
      <c r="Q185" s="162"/>
      <c r="R185" s="162"/>
      <c r="S185" s="162"/>
      <c r="T185" s="162"/>
      <c r="U185" s="162"/>
      <c r="V185" s="168"/>
    </row>
    <row r="186" spans="1:22">
      <c r="A186" s="254" t="s">
        <v>634</v>
      </c>
      <c r="B186" s="213" t="s">
        <v>791</v>
      </c>
      <c r="C186" s="431">
        <v>247</v>
      </c>
      <c r="D186" s="436">
        <f>C186/1000</f>
        <v>0.247</v>
      </c>
      <c r="E186" s="218"/>
      <c r="F186" s="267"/>
      <c r="G186" s="172"/>
      <c r="H186" s="209"/>
      <c r="I186" s="162"/>
      <c r="J186" s="252"/>
      <c r="K186" s="206"/>
      <c r="L186" s="162"/>
      <c r="M186" s="162"/>
      <c r="N186" s="162"/>
      <c r="O186" s="162"/>
      <c r="P186" s="162"/>
      <c r="Q186" s="162"/>
      <c r="R186" s="162"/>
      <c r="S186" s="162"/>
      <c r="T186" s="162"/>
      <c r="U186" s="162"/>
      <c r="V186" s="168"/>
    </row>
    <row r="187" spans="1:22" ht="12.75" thickBot="1">
      <c r="A187" s="254" t="s">
        <v>635</v>
      </c>
      <c r="B187" s="214" t="s">
        <v>792</v>
      </c>
      <c r="C187" s="215">
        <v>89</v>
      </c>
      <c r="D187" s="216">
        <f>C187/1000</f>
        <v>8.8999999999999996E-2</v>
      </c>
      <c r="E187" s="218"/>
      <c r="F187" s="218"/>
      <c r="G187" s="219"/>
      <c r="H187" s="219"/>
      <c r="I187" s="162"/>
      <c r="J187" s="252"/>
      <c r="K187" s="206"/>
      <c r="L187" s="162"/>
      <c r="M187" s="162"/>
      <c r="N187" s="162"/>
      <c r="O187" s="162"/>
      <c r="P187" s="162"/>
      <c r="Q187" s="162"/>
      <c r="R187" s="162"/>
      <c r="S187" s="162"/>
      <c r="T187" s="162"/>
      <c r="U187" s="162"/>
      <c r="V187" s="168"/>
    </row>
    <row r="188" spans="1:22">
      <c r="A188" s="176" t="s">
        <v>754</v>
      </c>
      <c r="B188" s="56"/>
      <c r="C188" s="56"/>
      <c r="D188" s="56"/>
      <c r="E188" s="162"/>
      <c r="F188" s="162"/>
      <c r="G188" s="162"/>
      <c r="H188" s="162"/>
      <c r="I188" s="162"/>
      <c r="J188" s="299"/>
      <c r="K188" s="298"/>
      <c r="L188" s="296"/>
      <c r="M188" s="296"/>
      <c r="N188" s="296"/>
      <c r="O188" s="296"/>
      <c r="P188" s="296"/>
      <c r="Q188" s="162"/>
      <c r="R188" s="162"/>
      <c r="S188" s="162"/>
      <c r="T188" s="162"/>
      <c r="U188" s="162"/>
      <c r="V188" s="168"/>
    </row>
    <row r="189" spans="1:22">
      <c r="A189" s="176"/>
      <c r="B189" s="56"/>
      <c r="C189" s="56"/>
      <c r="D189" s="56"/>
      <c r="E189" s="162"/>
      <c r="F189" s="162"/>
      <c r="G189" s="162"/>
      <c r="H189" s="162"/>
      <c r="I189" s="162"/>
      <c r="J189" s="296"/>
      <c r="K189" s="296"/>
      <c r="L189" s="296"/>
      <c r="M189" s="296"/>
      <c r="N189" s="296"/>
      <c r="O189" s="296"/>
      <c r="P189" s="296"/>
      <c r="Q189" s="162"/>
      <c r="R189" s="162"/>
      <c r="S189" s="162"/>
      <c r="T189" s="162"/>
      <c r="U189" s="162"/>
      <c r="V189" s="168"/>
    </row>
    <row r="190" spans="1:22">
      <c r="A190" s="167"/>
      <c r="B190" s="162"/>
      <c r="C190" s="162"/>
      <c r="D190" s="156"/>
      <c r="E190" s="187"/>
      <c r="F190" s="210"/>
      <c r="G190" s="211"/>
      <c r="H190" s="212"/>
      <c r="I190" s="206"/>
      <c r="J190" s="296" t="s">
        <v>5</v>
      </c>
      <c r="K190" s="319" t="s">
        <v>479</v>
      </c>
      <c r="L190" s="296"/>
      <c r="M190" s="296"/>
      <c r="N190" s="296"/>
      <c r="O190" s="296"/>
      <c r="P190" s="296"/>
      <c r="Q190" s="162"/>
      <c r="R190" s="162"/>
      <c r="S190" s="162"/>
      <c r="T190" s="162"/>
      <c r="U190" s="162"/>
      <c r="V190" s="168"/>
    </row>
    <row r="191" spans="1:22" ht="15">
      <c r="A191" s="993" t="s">
        <v>742</v>
      </c>
      <c r="B191" s="994"/>
      <c r="C191" s="994"/>
      <c r="D191" s="162"/>
      <c r="E191" s="187"/>
      <c r="F191" s="162"/>
      <c r="G191" s="162"/>
      <c r="H191" s="162"/>
      <c r="I191" s="206"/>
      <c r="J191" s="296"/>
      <c r="K191" s="162"/>
      <c r="L191" s="162"/>
      <c r="M191" s="162"/>
      <c r="N191" s="162"/>
      <c r="O191" s="419" t="s">
        <v>801</v>
      </c>
      <c r="P191" s="420"/>
      <c r="Q191" s="420"/>
      <c r="R191" s="420"/>
      <c r="S191" s="420"/>
      <c r="T191" s="421"/>
      <c r="U191" s="162"/>
      <c r="V191" s="168"/>
    </row>
    <row r="192" spans="1:22" ht="15">
      <c r="A192" s="427"/>
      <c r="B192" s="428"/>
      <c r="C192" s="428"/>
      <c r="D192" s="162"/>
      <c r="E192" s="187"/>
      <c r="F192" s="162"/>
      <c r="G192" s="162"/>
      <c r="H192" s="162"/>
      <c r="I192" s="206"/>
      <c r="J192" s="296"/>
      <c r="K192" s="96" t="s">
        <v>467</v>
      </c>
      <c r="L192" s="96" t="s">
        <v>469</v>
      </c>
      <c r="M192" s="440" t="s">
        <v>470</v>
      </c>
      <c r="N192" s="96" t="s">
        <v>468</v>
      </c>
      <c r="O192" s="96" t="s">
        <v>184</v>
      </c>
      <c r="P192" s="440" t="s">
        <v>459</v>
      </c>
      <c r="Q192" s="96" t="s">
        <v>204</v>
      </c>
      <c r="R192" s="96" t="s">
        <v>460</v>
      </c>
      <c r="S192" s="96" t="s">
        <v>22</v>
      </c>
      <c r="T192" s="96" t="s">
        <v>201</v>
      </c>
      <c r="U192" s="162"/>
      <c r="V192" s="168"/>
    </row>
    <row r="193" spans="1:23" ht="15">
      <c r="A193" s="316" t="s">
        <v>756</v>
      </c>
      <c r="B193" s="295"/>
      <c r="C193" s="295"/>
      <c r="D193" s="296"/>
      <c r="E193" s="297"/>
      <c r="F193" s="296"/>
      <c r="G193" s="296"/>
      <c r="H193" s="296"/>
      <c r="I193" s="298"/>
      <c r="J193" s="296"/>
      <c r="K193" s="328">
        <v>40575</v>
      </c>
      <c r="L193" s="240">
        <v>2011</v>
      </c>
      <c r="M193" s="240">
        <v>2</v>
      </c>
      <c r="N193" s="240">
        <v>0</v>
      </c>
      <c r="O193" s="240">
        <f>INT($C$198/$I$198*N193/$B$267)</f>
        <v>0</v>
      </c>
      <c r="P193" s="240">
        <f>INT($D$198/$I$198*N193/$B$267)</f>
        <v>0</v>
      </c>
      <c r="Q193" s="240">
        <f t="shared" ref="Q193:Q224" si="49">INT($E$198/$I$198*N193/$B$267)</f>
        <v>0</v>
      </c>
      <c r="R193" s="240">
        <f t="shared" ref="R193:R224" si="50">INT($F$198/$I$198*N193/$B$267)</f>
        <v>0</v>
      </c>
      <c r="S193" s="240">
        <f t="shared" ref="S193:S224" si="51">INT($G$198/$I$198*N193/$B$267)</f>
        <v>0</v>
      </c>
      <c r="T193" s="240">
        <f t="shared" ref="T193:T224" si="52">INT($H$198/$I$198*N193/$B$267)</f>
        <v>0</v>
      </c>
      <c r="U193" s="296"/>
      <c r="V193" s="168"/>
    </row>
    <row r="194" spans="1:23">
      <c r="A194" s="317"/>
      <c r="B194" s="296"/>
      <c r="C194" s="296"/>
      <c r="D194" s="296"/>
      <c r="E194" s="296"/>
      <c r="F194" s="296"/>
      <c r="G194" s="296"/>
      <c r="H194" s="296"/>
      <c r="I194" s="296"/>
      <c r="J194" s="296" t="s">
        <v>5</v>
      </c>
      <c r="K194" s="328">
        <v>40605</v>
      </c>
      <c r="L194" s="240">
        <v>2011</v>
      </c>
      <c r="M194" s="240">
        <v>3</v>
      </c>
      <c r="N194" s="240">
        <v>0</v>
      </c>
      <c r="O194" s="240">
        <f t="shared" ref="O194:O257" si="53">INT($C$198/$I$198*N194/$B$267)</f>
        <v>0</v>
      </c>
      <c r="P194" s="240">
        <f t="shared" ref="P194:P257" si="54">INT($D$198/$I$198*N194/$B$267)</f>
        <v>0</v>
      </c>
      <c r="Q194" s="240">
        <f t="shared" si="49"/>
        <v>0</v>
      </c>
      <c r="R194" s="240">
        <f t="shared" si="50"/>
        <v>0</v>
      </c>
      <c r="S194" s="240">
        <f t="shared" si="51"/>
        <v>0</v>
      </c>
      <c r="T194" s="240">
        <f t="shared" si="52"/>
        <v>0</v>
      </c>
      <c r="U194" s="296"/>
      <c r="V194" s="168"/>
    </row>
    <row r="195" spans="1:23">
      <c r="A195" s="318" t="s">
        <v>471</v>
      </c>
      <c r="B195" s="296"/>
      <c r="C195" s="296"/>
      <c r="D195" s="296"/>
      <c r="E195" s="296"/>
      <c r="F195" s="296"/>
      <c r="G195" s="296"/>
      <c r="H195" s="296"/>
      <c r="I195" s="296"/>
      <c r="J195" s="296" t="s">
        <v>5</v>
      </c>
      <c r="K195" s="328">
        <v>40635</v>
      </c>
      <c r="L195" s="240">
        <v>2011</v>
      </c>
      <c r="M195" s="240">
        <v>4</v>
      </c>
      <c r="N195" s="240">
        <v>0</v>
      </c>
      <c r="O195" s="240">
        <f t="shared" si="53"/>
        <v>0</v>
      </c>
      <c r="P195" s="240">
        <f t="shared" si="54"/>
        <v>0</v>
      </c>
      <c r="Q195" s="240">
        <f t="shared" si="49"/>
        <v>0</v>
      </c>
      <c r="R195" s="240">
        <f t="shared" si="50"/>
        <v>0</v>
      </c>
      <c r="S195" s="240">
        <f t="shared" si="51"/>
        <v>0</v>
      </c>
      <c r="T195" s="240">
        <f t="shared" si="52"/>
        <v>0</v>
      </c>
      <c r="U195" s="296"/>
      <c r="V195" s="168"/>
    </row>
    <row r="196" spans="1:23" ht="15">
      <c r="A196" s="981" t="s">
        <v>478</v>
      </c>
      <c r="B196" s="983" t="s">
        <v>457</v>
      </c>
      <c r="C196" s="985" t="s">
        <v>458</v>
      </c>
      <c r="D196" s="986"/>
      <c r="E196" s="986"/>
      <c r="F196" s="986"/>
      <c r="G196" s="986"/>
      <c r="H196" s="987"/>
      <c r="I196" s="983" t="s">
        <v>185</v>
      </c>
      <c r="J196" s="296"/>
      <c r="K196" s="328">
        <v>40665</v>
      </c>
      <c r="L196" s="240">
        <v>2011</v>
      </c>
      <c r="M196" s="240">
        <v>5</v>
      </c>
      <c r="N196" s="240">
        <v>100</v>
      </c>
      <c r="O196" s="240">
        <f t="shared" si="53"/>
        <v>0</v>
      </c>
      <c r="P196" s="240">
        <f t="shared" si="54"/>
        <v>0</v>
      </c>
      <c r="Q196" s="240">
        <f t="shared" si="49"/>
        <v>0</v>
      </c>
      <c r="R196" s="240">
        <f t="shared" si="50"/>
        <v>0</v>
      </c>
      <c r="S196" s="240">
        <f t="shared" si="51"/>
        <v>0</v>
      </c>
      <c r="T196" s="240">
        <f t="shared" si="52"/>
        <v>0</v>
      </c>
      <c r="U196" s="296"/>
      <c r="V196" s="168"/>
    </row>
    <row r="197" spans="1:23">
      <c r="A197" s="982"/>
      <c r="B197" s="984"/>
      <c r="C197" s="96" t="s">
        <v>184</v>
      </c>
      <c r="D197" s="440" t="s">
        <v>459</v>
      </c>
      <c r="E197" s="96" t="s">
        <v>204</v>
      </c>
      <c r="F197" s="96" t="s">
        <v>460</v>
      </c>
      <c r="G197" s="440" t="s">
        <v>22</v>
      </c>
      <c r="H197" s="96" t="s">
        <v>201</v>
      </c>
      <c r="I197" s="984"/>
      <c r="J197" s="296"/>
      <c r="K197" s="328">
        <v>40695</v>
      </c>
      <c r="L197" s="240">
        <v>2011</v>
      </c>
      <c r="M197" s="240">
        <v>6</v>
      </c>
      <c r="N197" s="240">
        <v>200</v>
      </c>
      <c r="O197" s="240">
        <f t="shared" si="53"/>
        <v>0</v>
      </c>
      <c r="P197" s="240">
        <f t="shared" si="54"/>
        <v>1</v>
      </c>
      <c r="Q197" s="240">
        <f t="shared" si="49"/>
        <v>0</v>
      </c>
      <c r="R197" s="240">
        <f t="shared" si="50"/>
        <v>1</v>
      </c>
      <c r="S197" s="240">
        <f t="shared" si="51"/>
        <v>1</v>
      </c>
      <c r="T197" s="240">
        <f t="shared" si="52"/>
        <v>0</v>
      </c>
      <c r="U197" s="296"/>
      <c r="V197" s="168"/>
    </row>
    <row r="198" spans="1:23">
      <c r="A198" s="320" t="s">
        <v>461</v>
      </c>
      <c r="B198" s="118" t="s">
        <v>462</v>
      </c>
      <c r="C198" s="240">
        <v>267</v>
      </c>
      <c r="D198" s="241">
        <v>587</v>
      </c>
      <c r="E198" s="240">
        <v>160</v>
      </c>
      <c r="F198" s="240">
        <v>960</v>
      </c>
      <c r="G198" s="241">
        <v>720</v>
      </c>
      <c r="H198" s="240">
        <v>160</v>
      </c>
      <c r="I198" s="240">
        <v>2854</v>
      </c>
      <c r="J198" s="296"/>
      <c r="K198" s="328">
        <v>40725</v>
      </c>
      <c r="L198" s="240">
        <v>2011</v>
      </c>
      <c r="M198" s="240">
        <v>7</v>
      </c>
      <c r="N198" s="240">
        <v>200</v>
      </c>
      <c r="O198" s="240">
        <f t="shared" si="53"/>
        <v>0</v>
      </c>
      <c r="P198" s="240">
        <f t="shared" si="54"/>
        <v>1</v>
      </c>
      <c r="Q198" s="240">
        <f t="shared" si="49"/>
        <v>0</v>
      </c>
      <c r="R198" s="240">
        <f t="shared" si="50"/>
        <v>1</v>
      </c>
      <c r="S198" s="240">
        <f t="shared" si="51"/>
        <v>1</v>
      </c>
      <c r="T198" s="240">
        <f t="shared" si="52"/>
        <v>0</v>
      </c>
      <c r="U198" s="296"/>
      <c r="V198" s="168"/>
      <c r="W198" s="36"/>
    </row>
    <row r="199" spans="1:23">
      <c r="A199" s="320" t="s">
        <v>463</v>
      </c>
      <c r="B199" s="118" t="s">
        <v>464</v>
      </c>
      <c r="C199" s="240">
        <v>7</v>
      </c>
      <c r="D199" s="240">
        <v>15</v>
      </c>
      <c r="E199" s="240">
        <v>4</v>
      </c>
      <c r="F199" s="240">
        <v>24</v>
      </c>
      <c r="G199" s="240">
        <v>18</v>
      </c>
      <c r="H199" s="240">
        <v>4</v>
      </c>
      <c r="I199" s="240">
        <v>71</v>
      </c>
      <c r="J199" s="296"/>
      <c r="K199" s="328">
        <v>40755</v>
      </c>
      <c r="L199" s="240">
        <v>2011</v>
      </c>
      <c r="M199" s="240">
        <v>7</v>
      </c>
      <c r="N199" s="240">
        <v>250</v>
      </c>
      <c r="O199" s="240">
        <f t="shared" si="53"/>
        <v>0</v>
      </c>
      <c r="P199" s="240">
        <f t="shared" si="54"/>
        <v>1</v>
      </c>
      <c r="Q199" s="240">
        <f t="shared" si="49"/>
        <v>0</v>
      </c>
      <c r="R199" s="240">
        <f t="shared" si="50"/>
        <v>2</v>
      </c>
      <c r="S199" s="240">
        <f t="shared" si="51"/>
        <v>1</v>
      </c>
      <c r="T199" s="240">
        <f t="shared" si="52"/>
        <v>0</v>
      </c>
      <c r="U199" s="296"/>
      <c r="V199" s="168"/>
      <c r="W199" s="36"/>
    </row>
    <row r="200" spans="1:23">
      <c r="A200" s="320" t="s">
        <v>465</v>
      </c>
      <c r="B200" s="118" t="s">
        <v>466</v>
      </c>
      <c r="C200" s="240">
        <v>2</v>
      </c>
      <c r="D200" s="240">
        <v>4</v>
      </c>
      <c r="E200" s="240">
        <v>1</v>
      </c>
      <c r="F200" s="240">
        <v>6</v>
      </c>
      <c r="G200" s="240">
        <v>5</v>
      </c>
      <c r="H200" s="240">
        <v>1</v>
      </c>
      <c r="I200" s="240">
        <v>18</v>
      </c>
      <c r="J200" s="296"/>
      <c r="K200" s="328">
        <v>40785</v>
      </c>
      <c r="L200" s="240">
        <v>2011</v>
      </c>
      <c r="M200" s="240">
        <v>8</v>
      </c>
      <c r="N200" s="240">
        <v>250</v>
      </c>
      <c r="O200" s="240">
        <f t="shared" si="53"/>
        <v>0</v>
      </c>
      <c r="P200" s="240">
        <f t="shared" si="54"/>
        <v>1</v>
      </c>
      <c r="Q200" s="240">
        <f t="shared" si="49"/>
        <v>0</v>
      </c>
      <c r="R200" s="240">
        <f t="shared" si="50"/>
        <v>2</v>
      </c>
      <c r="S200" s="240">
        <f t="shared" si="51"/>
        <v>1</v>
      </c>
      <c r="T200" s="240">
        <f t="shared" si="52"/>
        <v>0</v>
      </c>
      <c r="U200" s="296"/>
      <c r="V200" s="168"/>
      <c r="W200" s="36"/>
    </row>
    <row r="201" spans="1:23">
      <c r="A201" s="176" t="s">
        <v>472</v>
      </c>
      <c r="B201" s="162"/>
      <c r="C201" s="162"/>
      <c r="D201" s="162"/>
      <c r="E201" s="162"/>
      <c r="F201" s="162"/>
      <c r="G201" s="162"/>
      <c r="H201" s="162"/>
      <c r="I201" s="162"/>
      <c r="J201" s="296"/>
      <c r="K201" s="328">
        <v>40815</v>
      </c>
      <c r="L201" s="240">
        <v>2011</v>
      </c>
      <c r="M201" s="240">
        <v>9</v>
      </c>
      <c r="N201" s="240">
        <v>250</v>
      </c>
      <c r="O201" s="240">
        <f t="shared" si="53"/>
        <v>0</v>
      </c>
      <c r="P201" s="240">
        <f t="shared" si="54"/>
        <v>1</v>
      </c>
      <c r="Q201" s="240">
        <f t="shared" si="49"/>
        <v>0</v>
      </c>
      <c r="R201" s="240">
        <f t="shared" si="50"/>
        <v>2</v>
      </c>
      <c r="S201" s="240">
        <f t="shared" si="51"/>
        <v>1</v>
      </c>
      <c r="T201" s="240">
        <f t="shared" si="52"/>
        <v>0</v>
      </c>
      <c r="U201" s="296"/>
      <c r="V201" s="168"/>
      <c r="W201" s="36"/>
    </row>
    <row r="202" spans="1:23">
      <c r="A202" s="317"/>
      <c r="B202" s="296"/>
      <c r="C202" s="296"/>
      <c r="D202" s="296"/>
      <c r="E202" s="296"/>
      <c r="F202" s="296"/>
      <c r="G202" s="296"/>
      <c r="H202" s="296"/>
      <c r="I202" s="296"/>
      <c r="J202" s="296"/>
      <c r="K202" s="328">
        <v>40845</v>
      </c>
      <c r="L202" s="240">
        <v>2011</v>
      </c>
      <c r="M202" s="240">
        <v>10</v>
      </c>
      <c r="N202" s="240">
        <v>300</v>
      </c>
      <c r="O202" s="240">
        <f t="shared" si="53"/>
        <v>0</v>
      </c>
      <c r="P202" s="240">
        <f t="shared" si="54"/>
        <v>1</v>
      </c>
      <c r="Q202" s="240">
        <f t="shared" si="49"/>
        <v>0</v>
      </c>
      <c r="R202" s="240">
        <f t="shared" si="50"/>
        <v>2</v>
      </c>
      <c r="S202" s="240">
        <f t="shared" si="51"/>
        <v>1</v>
      </c>
      <c r="T202" s="240">
        <f t="shared" si="52"/>
        <v>0</v>
      </c>
      <c r="U202" s="296"/>
      <c r="V202" s="168"/>
      <c r="W202" s="36"/>
    </row>
    <row r="203" spans="1:23">
      <c r="A203" s="317"/>
      <c r="B203" s="296"/>
      <c r="C203" s="296"/>
      <c r="D203" s="296"/>
      <c r="E203" s="296"/>
      <c r="F203" s="296"/>
      <c r="G203" s="296"/>
      <c r="H203" s="296"/>
      <c r="I203" s="296"/>
      <c r="J203" s="296"/>
      <c r="K203" s="328">
        <v>40875</v>
      </c>
      <c r="L203" s="240">
        <v>2011</v>
      </c>
      <c r="M203" s="240">
        <v>11</v>
      </c>
      <c r="N203" s="240">
        <v>500</v>
      </c>
      <c r="O203" s="240">
        <f t="shared" si="53"/>
        <v>1</v>
      </c>
      <c r="P203" s="240">
        <f t="shared" si="54"/>
        <v>2</v>
      </c>
      <c r="Q203" s="240">
        <f t="shared" si="49"/>
        <v>0</v>
      </c>
      <c r="R203" s="240">
        <f t="shared" si="50"/>
        <v>4</v>
      </c>
      <c r="S203" s="240">
        <f t="shared" si="51"/>
        <v>3</v>
      </c>
      <c r="T203" s="240">
        <f t="shared" si="52"/>
        <v>0</v>
      </c>
      <c r="U203" s="296"/>
      <c r="V203" s="168"/>
      <c r="W203" s="36"/>
    </row>
    <row r="204" spans="1:23">
      <c r="A204" s="317"/>
      <c r="B204" s="296"/>
      <c r="C204" s="296"/>
      <c r="D204" s="296"/>
      <c r="E204" s="296"/>
      <c r="F204" s="296"/>
      <c r="G204" s="296"/>
      <c r="H204" s="296"/>
      <c r="I204" s="296"/>
      <c r="J204" s="296"/>
      <c r="K204" s="328">
        <v>40905</v>
      </c>
      <c r="L204" s="240">
        <v>2011</v>
      </c>
      <c r="M204" s="240">
        <v>12</v>
      </c>
      <c r="N204" s="240">
        <v>500</v>
      </c>
      <c r="O204" s="240">
        <f t="shared" si="53"/>
        <v>1</v>
      </c>
      <c r="P204" s="240">
        <f t="shared" si="54"/>
        <v>2</v>
      </c>
      <c r="Q204" s="240">
        <f t="shared" si="49"/>
        <v>0</v>
      </c>
      <c r="R204" s="240">
        <f t="shared" si="50"/>
        <v>4</v>
      </c>
      <c r="S204" s="240">
        <f t="shared" si="51"/>
        <v>3</v>
      </c>
      <c r="T204" s="240">
        <f t="shared" si="52"/>
        <v>0</v>
      </c>
      <c r="U204" s="296"/>
      <c r="V204" s="168"/>
      <c r="W204" s="36"/>
    </row>
    <row r="205" spans="1:23">
      <c r="A205" s="317"/>
      <c r="B205" s="296"/>
      <c r="C205" s="296"/>
      <c r="D205" s="296"/>
      <c r="E205" s="296"/>
      <c r="F205" s="296"/>
      <c r="G205" s="296"/>
      <c r="H205" s="296"/>
      <c r="I205" s="296"/>
      <c r="J205" s="296"/>
      <c r="K205" s="328">
        <v>40935</v>
      </c>
      <c r="L205" s="240">
        <v>2012</v>
      </c>
      <c r="M205" s="240">
        <v>1</v>
      </c>
      <c r="N205" s="240">
        <v>750</v>
      </c>
      <c r="O205" s="240">
        <f t="shared" si="53"/>
        <v>1</v>
      </c>
      <c r="P205" s="240">
        <f t="shared" si="54"/>
        <v>3</v>
      </c>
      <c r="Q205" s="240">
        <f t="shared" si="49"/>
        <v>1</v>
      </c>
      <c r="R205" s="240">
        <f t="shared" si="50"/>
        <v>6</v>
      </c>
      <c r="S205" s="240">
        <f t="shared" si="51"/>
        <v>4</v>
      </c>
      <c r="T205" s="240">
        <f t="shared" si="52"/>
        <v>1</v>
      </c>
      <c r="U205" s="296"/>
      <c r="V205" s="168"/>
      <c r="W205" s="36"/>
    </row>
    <row r="206" spans="1:23">
      <c r="A206" s="317"/>
      <c r="B206" s="296"/>
      <c r="C206" s="296"/>
      <c r="D206" s="296"/>
      <c r="E206" s="296"/>
      <c r="F206" s="296"/>
      <c r="G206" s="296"/>
      <c r="H206" s="296"/>
      <c r="I206" s="296"/>
      <c r="J206" s="296"/>
      <c r="K206" s="328">
        <v>40965</v>
      </c>
      <c r="L206" s="240">
        <v>2012</v>
      </c>
      <c r="M206" s="240">
        <v>2</v>
      </c>
      <c r="N206" s="240">
        <v>950</v>
      </c>
      <c r="O206" s="240">
        <f t="shared" si="53"/>
        <v>2</v>
      </c>
      <c r="P206" s="240">
        <f t="shared" si="54"/>
        <v>4</v>
      </c>
      <c r="Q206" s="240">
        <f t="shared" si="49"/>
        <v>1</v>
      </c>
      <c r="R206" s="240">
        <f t="shared" si="50"/>
        <v>7</v>
      </c>
      <c r="S206" s="240">
        <f t="shared" si="51"/>
        <v>5</v>
      </c>
      <c r="T206" s="240">
        <f t="shared" si="52"/>
        <v>1</v>
      </c>
      <c r="U206" s="296"/>
      <c r="V206" s="168"/>
      <c r="W206" s="36"/>
    </row>
    <row r="207" spans="1:23">
      <c r="A207" s="317"/>
      <c r="B207" s="296"/>
      <c r="C207" s="296"/>
      <c r="D207" s="296"/>
      <c r="E207" s="296"/>
      <c r="F207" s="296"/>
      <c r="G207" s="296"/>
      <c r="H207" s="296"/>
      <c r="I207" s="296"/>
      <c r="J207" s="296"/>
      <c r="K207" s="328">
        <v>40995</v>
      </c>
      <c r="L207" s="240">
        <v>2012</v>
      </c>
      <c r="M207" s="240">
        <v>3</v>
      </c>
      <c r="N207" s="240">
        <v>1050</v>
      </c>
      <c r="O207" s="240">
        <f t="shared" si="53"/>
        <v>2</v>
      </c>
      <c r="P207" s="240">
        <f t="shared" si="54"/>
        <v>5</v>
      </c>
      <c r="Q207" s="240">
        <f t="shared" si="49"/>
        <v>1</v>
      </c>
      <c r="R207" s="240">
        <f t="shared" si="50"/>
        <v>8</v>
      </c>
      <c r="S207" s="240">
        <f t="shared" si="51"/>
        <v>6</v>
      </c>
      <c r="T207" s="240">
        <f t="shared" si="52"/>
        <v>1</v>
      </c>
      <c r="U207" s="296"/>
      <c r="V207" s="168"/>
      <c r="W207" s="36"/>
    </row>
    <row r="208" spans="1:23">
      <c r="A208" s="317"/>
      <c r="B208" s="296"/>
      <c r="C208" s="296"/>
      <c r="D208" s="296"/>
      <c r="E208" s="296"/>
      <c r="F208" s="296"/>
      <c r="G208" s="296"/>
      <c r="H208" s="296"/>
      <c r="I208" s="296"/>
      <c r="J208" s="296"/>
      <c r="K208" s="328">
        <v>41025</v>
      </c>
      <c r="L208" s="240">
        <v>2012</v>
      </c>
      <c r="M208" s="240">
        <v>4</v>
      </c>
      <c r="N208" s="240">
        <v>1400</v>
      </c>
      <c r="O208" s="240">
        <f t="shared" si="53"/>
        <v>3</v>
      </c>
      <c r="P208" s="240">
        <f t="shared" si="54"/>
        <v>7</v>
      </c>
      <c r="Q208" s="240">
        <f t="shared" si="49"/>
        <v>1</v>
      </c>
      <c r="R208" s="240">
        <f t="shared" si="50"/>
        <v>11</v>
      </c>
      <c r="S208" s="240">
        <f t="shared" si="51"/>
        <v>8</v>
      </c>
      <c r="T208" s="240">
        <f t="shared" si="52"/>
        <v>1</v>
      </c>
      <c r="U208" s="296"/>
      <c r="V208" s="168"/>
      <c r="W208" s="36"/>
    </row>
    <row r="209" spans="1:23">
      <c r="A209" s="317"/>
      <c r="B209" s="296"/>
      <c r="C209" s="296"/>
      <c r="D209" s="296"/>
      <c r="E209" s="296"/>
      <c r="F209" s="296"/>
      <c r="G209" s="296"/>
      <c r="H209" s="296"/>
      <c r="I209" s="296"/>
      <c r="J209" s="296"/>
      <c r="K209" s="328">
        <v>41055</v>
      </c>
      <c r="L209" s="240">
        <v>2012</v>
      </c>
      <c r="M209" s="240">
        <v>5</v>
      </c>
      <c r="N209" s="240">
        <v>1600</v>
      </c>
      <c r="O209" s="240">
        <f t="shared" si="53"/>
        <v>3</v>
      </c>
      <c r="P209" s="240">
        <f t="shared" si="54"/>
        <v>8</v>
      </c>
      <c r="Q209" s="240">
        <f t="shared" si="49"/>
        <v>2</v>
      </c>
      <c r="R209" s="240">
        <f t="shared" si="50"/>
        <v>13</v>
      </c>
      <c r="S209" s="240">
        <f t="shared" si="51"/>
        <v>10</v>
      </c>
      <c r="T209" s="240">
        <f t="shared" si="52"/>
        <v>2</v>
      </c>
      <c r="U209" s="296"/>
      <c r="V209" s="168"/>
      <c r="W209" s="36"/>
    </row>
    <row r="210" spans="1:23">
      <c r="A210" s="317"/>
      <c r="B210" s="296"/>
      <c r="C210" s="296"/>
      <c r="D210" s="296"/>
      <c r="E210" s="296"/>
      <c r="F210" s="296"/>
      <c r="G210" s="296"/>
      <c r="H210" s="296"/>
      <c r="I210" s="296"/>
      <c r="J210" s="296"/>
      <c r="K210" s="328">
        <v>41085</v>
      </c>
      <c r="L210" s="240">
        <v>2012</v>
      </c>
      <c r="M210" s="240">
        <v>6</v>
      </c>
      <c r="N210" s="240">
        <v>1900</v>
      </c>
      <c r="O210" s="240">
        <f t="shared" si="53"/>
        <v>4</v>
      </c>
      <c r="P210" s="240">
        <f t="shared" si="54"/>
        <v>9</v>
      </c>
      <c r="Q210" s="240">
        <f t="shared" si="49"/>
        <v>2</v>
      </c>
      <c r="R210" s="240">
        <f t="shared" si="50"/>
        <v>15</v>
      </c>
      <c r="S210" s="240">
        <f t="shared" si="51"/>
        <v>11</v>
      </c>
      <c r="T210" s="240">
        <f t="shared" si="52"/>
        <v>2</v>
      </c>
      <c r="U210" s="296"/>
      <c r="V210" s="168"/>
      <c r="W210" s="36"/>
    </row>
    <row r="211" spans="1:23">
      <c r="A211" s="317"/>
      <c r="B211" s="296"/>
      <c r="C211" s="296"/>
      <c r="D211" s="296"/>
      <c r="E211" s="296"/>
      <c r="F211" s="296"/>
      <c r="G211" s="296"/>
      <c r="H211" s="296"/>
      <c r="I211" s="296"/>
      <c r="J211" s="296"/>
      <c r="K211" s="328">
        <v>41115</v>
      </c>
      <c r="L211" s="240">
        <v>2012</v>
      </c>
      <c r="M211" s="240">
        <v>7</v>
      </c>
      <c r="N211" s="240">
        <v>2100</v>
      </c>
      <c r="O211" s="240">
        <f t="shared" si="53"/>
        <v>4</v>
      </c>
      <c r="P211" s="240">
        <f t="shared" si="54"/>
        <v>10</v>
      </c>
      <c r="Q211" s="240">
        <f t="shared" si="49"/>
        <v>2</v>
      </c>
      <c r="R211" s="240">
        <f t="shared" si="50"/>
        <v>17</v>
      </c>
      <c r="S211" s="240">
        <f t="shared" si="51"/>
        <v>13</v>
      </c>
      <c r="T211" s="240">
        <f t="shared" si="52"/>
        <v>2</v>
      </c>
      <c r="U211" s="296"/>
      <c r="V211" s="168"/>
      <c r="W211" s="36"/>
    </row>
    <row r="212" spans="1:23">
      <c r="A212" s="317"/>
      <c r="B212" s="296"/>
      <c r="C212" s="296"/>
      <c r="D212" s="296"/>
      <c r="E212" s="296"/>
      <c r="F212" s="296"/>
      <c r="G212" s="296"/>
      <c r="H212" s="296"/>
      <c r="I212" s="296"/>
      <c r="J212" s="296"/>
      <c r="K212" s="328">
        <v>41145</v>
      </c>
      <c r="L212" s="240">
        <v>2012</v>
      </c>
      <c r="M212" s="240">
        <v>8</v>
      </c>
      <c r="N212" s="240">
        <v>2100</v>
      </c>
      <c r="O212" s="240">
        <f t="shared" si="53"/>
        <v>4</v>
      </c>
      <c r="P212" s="240">
        <f t="shared" si="54"/>
        <v>10</v>
      </c>
      <c r="Q212" s="240">
        <f t="shared" si="49"/>
        <v>2</v>
      </c>
      <c r="R212" s="240">
        <f t="shared" si="50"/>
        <v>17</v>
      </c>
      <c r="S212" s="240">
        <f t="shared" si="51"/>
        <v>13</v>
      </c>
      <c r="T212" s="240">
        <f t="shared" si="52"/>
        <v>2</v>
      </c>
      <c r="U212" s="296"/>
      <c r="V212" s="168"/>
      <c r="W212" s="36"/>
    </row>
    <row r="213" spans="1:23">
      <c r="A213" s="317"/>
      <c r="B213" s="296"/>
      <c r="C213" s="296"/>
      <c r="D213" s="296"/>
      <c r="E213" s="296"/>
      <c r="F213" s="296"/>
      <c r="G213" s="296"/>
      <c r="H213" s="296"/>
      <c r="I213" s="296"/>
      <c r="J213" s="296"/>
      <c r="K213" s="328">
        <v>41175</v>
      </c>
      <c r="L213" s="240">
        <v>2012</v>
      </c>
      <c r="M213" s="240">
        <v>9</v>
      </c>
      <c r="N213" s="240">
        <v>2200</v>
      </c>
      <c r="O213" s="240">
        <f t="shared" si="53"/>
        <v>5</v>
      </c>
      <c r="P213" s="240">
        <f t="shared" si="54"/>
        <v>11</v>
      </c>
      <c r="Q213" s="240">
        <f t="shared" si="49"/>
        <v>3</v>
      </c>
      <c r="R213" s="240">
        <f t="shared" si="50"/>
        <v>18</v>
      </c>
      <c r="S213" s="240">
        <f t="shared" si="51"/>
        <v>13</v>
      </c>
      <c r="T213" s="240">
        <f t="shared" si="52"/>
        <v>3</v>
      </c>
      <c r="U213" s="296"/>
      <c r="V213" s="168"/>
      <c r="W213" s="36"/>
    </row>
    <row r="214" spans="1:23">
      <c r="A214" s="317"/>
      <c r="B214" s="296"/>
      <c r="C214" s="296"/>
      <c r="D214" s="296"/>
      <c r="E214" s="296"/>
      <c r="F214" s="296"/>
      <c r="G214" s="296"/>
      <c r="H214" s="296"/>
      <c r="I214" s="296"/>
      <c r="J214" s="296"/>
      <c r="K214" s="328">
        <v>41205</v>
      </c>
      <c r="L214" s="240">
        <v>2012</v>
      </c>
      <c r="M214" s="240">
        <v>10</v>
      </c>
      <c r="N214" s="240">
        <v>2250</v>
      </c>
      <c r="O214" s="240">
        <f t="shared" si="53"/>
        <v>5</v>
      </c>
      <c r="P214" s="240">
        <f t="shared" si="54"/>
        <v>11</v>
      </c>
      <c r="Q214" s="240">
        <f t="shared" si="49"/>
        <v>3</v>
      </c>
      <c r="R214" s="240">
        <f t="shared" si="50"/>
        <v>18</v>
      </c>
      <c r="S214" s="240">
        <f t="shared" si="51"/>
        <v>14</v>
      </c>
      <c r="T214" s="240">
        <f t="shared" si="52"/>
        <v>3</v>
      </c>
      <c r="U214" s="296"/>
      <c r="V214" s="168"/>
      <c r="W214" s="36"/>
    </row>
    <row r="215" spans="1:23">
      <c r="A215" s="317"/>
      <c r="B215" s="296"/>
      <c r="C215" s="296"/>
      <c r="D215" s="296"/>
      <c r="E215" s="296"/>
      <c r="F215" s="296"/>
      <c r="G215" s="296"/>
      <c r="H215" s="296"/>
      <c r="I215" s="296"/>
      <c r="J215" s="296"/>
      <c r="K215" s="328">
        <v>41235</v>
      </c>
      <c r="L215" s="240">
        <v>2012</v>
      </c>
      <c r="M215" s="240">
        <v>11</v>
      </c>
      <c r="N215" s="240">
        <v>2250</v>
      </c>
      <c r="O215" s="240">
        <f t="shared" si="53"/>
        <v>5</v>
      </c>
      <c r="P215" s="240">
        <f t="shared" si="54"/>
        <v>11</v>
      </c>
      <c r="Q215" s="240">
        <f t="shared" si="49"/>
        <v>3</v>
      </c>
      <c r="R215" s="240">
        <f t="shared" si="50"/>
        <v>18</v>
      </c>
      <c r="S215" s="240">
        <f t="shared" si="51"/>
        <v>14</v>
      </c>
      <c r="T215" s="240">
        <f t="shared" si="52"/>
        <v>3</v>
      </c>
      <c r="U215" s="296"/>
      <c r="V215" s="168"/>
      <c r="W215" s="36"/>
    </row>
    <row r="216" spans="1:23">
      <c r="A216" s="317"/>
      <c r="B216" s="296"/>
      <c r="C216" s="296"/>
      <c r="D216" s="296"/>
      <c r="E216" s="296"/>
      <c r="F216" s="296"/>
      <c r="G216" s="296"/>
      <c r="H216" s="296"/>
      <c r="I216" s="296"/>
      <c r="J216" s="296"/>
      <c r="K216" s="328">
        <v>41265</v>
      </c>
      <c r="L216" s="240">
        <v>2012</v>
      </c>
      <c r="M216" s="240">
        <v>12</v>
      </c>
      <c r="N216" s="240">
        <v>2400</v>
      </c>
      <c r="O216" s="240">
        <f t="shared" si="53"/>
        <v>5</v>
      </c>
      <c r="P216" s="240">
        <f t="shared" si="54"/>
        <v>12</v>
      </c>
      <c r="Q216" s="240">
        <f t="shared" si="49"/>
        <v>3</v>
      </c>
      <c r="R216" s="240">
        <f t="shared" si="50"/>
        <v>20</v>
      </c>
      <c r="S216" s="240">
        <f t="shared" si="51"/>
        <v>15</v>
      </c>
      <c r="T216" s="240">
        <f t="shared" si="52"/>
        <v>3</v>
      </c>
      <c r="U216" s="296"/>
      <c r="V216" s="168"/>
      <c r="W216" s="36"/>
    </row>
    <row r="217" spans="1:23">
      <c r="A217" s="317"/>
      <c r="B217" s="296"/>
      <c r="C217" s="296"/>
      <c r="D217" s="296"/>
      <c r="E217" s="296"/>
      <c r="F217" s="296"/>
      <c r="G217" s="296"/>
      <c r="H217" s="296"/>
      <c r="I217" s="296"/>
      <c r="J217" s="296"/>
      <c r="K217" s="328">
        <v>41295</v>
      </c>
      <c r="L217" s="240">
        <v>2013</v>
      </c>
      <c r="M217" s="240">
        <v>1</v>
      </c>
      <c r="N217" s="240">
        <v>2400</v>
      </c>
      <c r="O217" s="240">
        <f t="shared" si="53"/>
        <v>5</v>
      </c>
      <c r="P217" s="240">
        <f t="shared" si="54"/>
        <v>12</v>
      </c>
      <c r="Q217" s="240">
        <f t="shared" si="49"/>
        <v>3</v>
      </c>
      <c r="R217" s="240">
        <f t="shared" si="50"/>
        <v>20</v>
      </c>
      <c r="S217" s="240">
        <f t="shared" si="51"/>
        <v>15</v>
      </c>
      <c r="T217" s="240">
        <f t="shared" si="52"/>
        <v>3</v>
      </c>
      <c r="U217" s="296"/>
      <c r="V217" s="168"/>
      <c r="W217" s="36"/>
    </row>
    <row r="218" spans="1:23">
      <c r="A218" s="317"/>
      <c r="B218" s="296"/>
      <c r="C218" s="296"/>
      <c r="D218" s="296"/>
      <c r="E218" s="296"/>
      <c r="F218" s="296"/>
      <c r="G218" s="296"/>
      <c r="H218" s="296"/>
      <c r="I218" s="296"/>
      <c r="J218" s="296"/>
      <c r="K218" s="328">
        <v>41325</v>
      </c>
      <c r="L218" s="240">
        <v>2013</v>
      </c>
      <c r="M218" s="240">
        <v>2</v>
      </c>
      <c r="N218" s="240">
        <v>2600</v>
      </c>
      <c r="O218" s="240">
        <f t="shared" si="53"/>
        <v>6</v>
      </c>
      <c r="P218" s="240">
        <f t="shared" si="54"/>
        <v>13</v>
      </c>
      <c r="Q218" s="240">
        <f t="shared" si="49"/>
        <v>3</v>
      </c>
      <c r="R218" s="240">
        <f t="shared" si="50"/>
        <v>21</v>
      </c>
      <c r="S218" s="240">
        <f t="shared" si="51"/>
        <v>16</v>
      </c>
      <c r="T218" s="240">
        <f t="shared" si="52"/>
        <v>3</v>
      </c>
      <c r="U218" s="296"/>
      <c r="V218" s="168"/>
      <c r="W218" s="36"/>
    </row>
    <row r="219" spans="1:23">
      <c r="A219" s="317"/>
      <c r="B219" s="296"/>
      <c r="C219" s="296"/>
      <c r="D219" s="296"/>
      <c r="E219" s="296"/>
      <c r="F219" s="296"/>
      <c r="G219" s="296"/>
      <c r="H219" s="296"/>
      <c r="I219" s="296"/>
      <c r="J219" s="296"/>
      <c r="K219" s="328">
        <v>41355</v>
      </c>
      <c r="L219" s="240">
        <v>2013</v>
      </c>
      <c r="M219" s="240">
        <v>3</v>
      </c>
      <c r="N219" s="240">
        <v>2600</v>
      </c>
      <c r="O219" s="240">
        <f t="shared" si="53"/>
        <v>6</v>
      </c>
      <c r="P219" s="240">
        <f t="shared" si="54"/>
        <v>13</v>
      </c>
      <c r="Q219" s="240">
        <f t="shared" si="49"/>
        <v>3</v>
      </c>
      <c r="R219" s="240">
        <f t="shared" si="50"/>
        <v>21</v>
      </c>
      <c r="S219" s="240">
        <f t="shared" si="51"/>
        <v>16</v>
      </c>
      <c r="T219" s="240">
        <f t="shared" si="52"/>
        <v>3</v>
      </c>
      <c r="U219" s="296"/>
      <c r="V219" s="168"/>
      <c r="W219" s="36"/>
    </row>
    <row r="220" spans="1:23">
      <c r="A220" s="317"/>
      <c r="B220" s="296"/>
      <c r="C220" s="296"/>
      <c r="D220" s="296"/>
      <c r="E220" s="296"/>
      <c r="F220" s="296"/>
      <c r="G220" s="296"/>
      <c r="H220" s="296"/>
      <c r="I220" s="296"/>
      <c r="J220" s="296"/>
      <c r="K220" s="328">
        <v>41385</v>
      </c>
      <c r="L220" s="240">
        <v>2013</v>
      </c>
      <c r="M220" s="240">
        <v>4</v>
      </c>
      <c r="N220" s="240">
        <v>2400</v>
      </c>
      <c r="O220" s="240">
        <f t="shared" si="53"/>
        <v>5</v>
      </c>
      <c r="P220" s="240">
        <f t="shared" si="54"/>
        <v>12</v>
      </c>
      <c r="Q220" s="240">
        <f t="shared" si="49"/>
        <v>3</v>
      </c>
      <c r="R220" s="240">
        <f t="shared" si="50"/>
        <v>20</v>
      </c>
      <c r="S220" s="240">
        <f t="shared" si="51"/>
        <v>15</v>
      </c>
      <c r="T220" s="240">
        <f t="shared" si="52"/>
        <v>3</v>
      </c>
      <c r="U220" s="296"/>
      <c r="V220" s="168"/>
      <c r="W220" s="36"/>
    </row>
    <row r="221" spans="1:23">
      <c r="A221" s="317"/>
      <c r="B221" s="296"/>
      <c r="C221" s="296"/>
      <c r="D221" s="296"/>
      <c r="E221" s="296"/>
      <c r="F221" s="296"/>
      <c r="G221" s="296"/>
      <c r="H221" s="296"/>
      <c r="I221" s="296"/>
      <c r="J221" s="296"/>
      <c r="K221" s="328">
        <v>41415</v>
      </c>
      <c r="L221" s="240">
        <v>2013</v>
      </c>
      <c r="M221" s="240">
        <v>5</v>
      </c>
      <c r="N221" s="240">
        <v>2250</v>
      </c>
      <c r="O221" s="240">
        <f t="shared" si="53"/>
        <v>5</v>
      </c>
      <c r="P221" s="240">
        <f t="shared" si="54"/>
        <v>11</v>
      </c>
      <c r="Q221" s="240">
        <f t="shared" si="49"/>
        <v>3</v>
      </c>
      <c r="R221" s="240">
        <f t="shared" si="50"/>
        <v>18</v>
      </c>
      <c r="S221" s="240">
        <f t="shared" si="51"/>
        <v>14</v>
      </c>
      <c r="T221" s="240">
        <f t="shared" si="52"/>
        <v>3</v>
      </c>
      <c r="U221" s="296"/>
      <c r="V221" s="168"/>
      <c r="W221" s="36"/>
    </row>
    <row r="222" spans="1:23">
      <c r="A222" s="317"/>
      <c r="B222" s="296"/>
      <c r="C222" s="296"/>
      <c r="D222" s="296"/>
      <c r="E222" s="296"/>
      <c r="F222" s="296"/>
      <c r="G222" s="296"/>
      <c r="H222" s="296"/>
      <c r="I222" s="296"/>
      <c r="J222" s="296"/>
      <c r="K222" s="328">
        <v>41445</v>
      </c>
      <c r="L222" s="240">
        <v>2013</v>
      </c>
      <c r="M222" s="240">
        <v>6</v>
      </c>
      <c r="N222" s="240">
        <v>2100</v>
      </c>
      <c r="O222" s="240">
        <f t="shared" si="53"/>
        <v>4</v>
      </c>
      <c r="P222" s="240">
        <f t="shared" si="54"/>
        <v>10</v>
      </c>
      <c r="Q222" s="240">
        <f t="shared" si="49"/>
        <v>2</v>
      </c>
      <c r="R222" s="240">
        <f t="shared" si="50"/>
        <v>17</v>
      </c>
      <c r="S222" s="240">
        <f t="shared" si="51"/>
        <v>13</v>
      </c>
      <c r="T222" s="240">
        <f t="shared" si="52"/>
        <v>2</v>
      </c>
      <c r="U222" s="296"/>
      <c r="V222" s="168"/>
      <c r="W222" s="36"/>
    </row>
    <row r="223" spans="1:23">
      <c r="A223" s="317"/>
      <c r="B223" s="296"/>
      <c r="C223" s="296"/>
      <c r="D223" s="296"/>
      <c r="E223" s="296"/>
      <c r="F223" s="296"/>
      <c r="G223" s="296"/>
      <c r="H223" s="296"/>
      <c r="I223" s="296"/>
      <c r="J223" s="296"/>
      <c r="K223" s="328">
        <v>41475</v>
      </c>
      <c r="L223" s="240">
        <v>2013</v>
      </c>
      <c r="M223" s="240">
        <v>7</v>
      </c>
      <c r="N223" s="240">
        <v>2100</v>
      </c>
      <c r="O223" s="240">
        <f t="shared" si="53"/>
        <v>4</v>
      </c>
      <c r="P223" s="240">
        <f t="shared" si="54"/>
        <v>10</v>
      </c>
      <c r="Q223" s="240">
        <f t="shared" si="49"/>
        <v>2</v>
      </c>
      <c r="R223" s="240">
        <f t="shared" si="50"/>
        <v>17</v>
      </c>
      <c r="S223" s="240">
        <f t="shared" si="51"/>
        <v>13</v>
      </c>
      <c r="T223" s="240">
        <f t="shared" si="52"/>
        <v>2</v>
      </c>
      <c r="U223" s="296"/>
      <c r="V223" s="168"/>
      <c r="W223" s="36"/>
    </row>
    <row r="224" spans="1:23">
      <c r="A224" s="317"/>
      <c r="B224" s="296"/>
      <c r="C224" s="296"/>
      <c r="D224" s="296"/>
      <c r="E224" s="296"/>
      <c r="F224" s="296"/>
      <c r="G224" s="296"/>
      <c r="H224" s="296"/>
      <c r="I224" s="296"/>
      <c r="J224" s="296"/>
      <c r="K224" s="328">
        <v>41505</v>
      </c>
      <c r="L224" s="240">
        <v>2013</v>
      </c>
      <c r="M224" s="240">
        <v>8</v>
      </c>
      <c r="N224" s="240">
        <v>2100</v>
      </c>
      <c r="O224" s="240">
        <f t="shared" si="53"/>
        <v>4</v>
      </c>
      <c r="P224" s="240">
        <f t="shared" si="54"/>
        <v>10</v>
      </c>
      <c r="Q224" s="240">
        <f t="shared" si="49"/>
        <v>2</v>
      </c>
      <c r="R224" s="240">
        <f t="shared" si="50"/>
        <v>17</v>
      </c>
      <c r="S224" s="240">
        <f t="shared" si="51"/>
        <v>13</v>
      </c>
      <c r="T224" s="240">
        <f t="shared" si="52"/>
        <v>2</v>
      </c>
      <c r="U224" s="296"/>
      <c r="V224" s="168"/>
      <c r="W224" s="36"/>
    </row>
    <row r="225" spans="1:23">
      <c r="A225" s="317"/>
      <c r="B225" s="296"/>
      <c r="C225" s="296"/>
      <c r="D225" s="296"/>
      <c r="E225" s="296"/>
      <c r="F225" s="296"/>
      <c r="G225" s="296"/>
      <c r="H225" s="296"/>
      <c r="I225" s="296"/>
      <c r="J225" s="296"/>
      <c r="K225" s="328">
        <v>41535</v>
      </c>
      <c r="L225" s="240">
        <v>2013</v>
      </c>
      <c r="M225" s="240">
        <v>9</v>
      </c>
      <c r="N225" s="240">
        <v>2300</v>
      </c>
      <c r="O225" s="240">
        <f t="shared" si="53"/>
        <v>5</v>
      </c>
      <c r="P225" s="240">
        <f t="shared" si="54"/>
        <v>11</v>
      </c>
      <c r="Q225" s="240">
        <f t="shared" ref="Q225:Q258" si="55">INT($E$198/$I$198*N225/$B$267)</f>
        <v>3</v>
      </c>
      <c r="R225" s="240">
        <f t="shared" ref="R225:R258" si="56">INT($F$198/$I$198*N225/$B$267)</f>
        <v>19</v>
      </c>
      <c r="S225" s="240">
        <f t="shared" ref="S225:S258" si="57">INT($G$198/$I$198*N225/$B$267)</f>
        <v>14</v>
      </c>
      <c r="T225" s="240">
        <f t="shared" ref="T225:T258" si="58">INT($H$198/$I$198*N225/$B$267)</f>
        <v>3</v>
      </c>
      <c r="U225" s="296"/>
      <c r="V225" s="168"/>
      <c r="W225" s="36"/>
    </row>
    <row r="226" spans="1:23">
      <c r="A226" s="317"/>
      <c r="B226" s="296"/>
      <c r="C226" s="296"/>
      <c r="D226" s="296"/>
      <c r="E226" s="296"/>
      <c r="F226" s="296"/>
      <c r="G226" s="296"/>
      <c r="H226" s="296"/>
      <c r="I226" s="296"/>
      <c r="J226" s="296"/>
      <c r="K226" s="328">
        <v>41565</v>
      </c>
      <c r="L226" s="240">
        <v>2013</v>
      </c>
      <c r="M226" s="240">
        <v>10</v>
      </c>
      <c r="N226" s="240">
        <v>2550</v>
      </c>
      <c r="O226" s="240">
        <f t="shared" si="53"/>
        <v>5</v>
      </c>
      <c r="P226" s="240">
        <f t="shared" si="54"/>
        <v>13</v>
      </c>
      <c r="Q226" s="240">
        <f t="shared" si="55"/>
        <v>3</v>
      </c>
      <c r="R226" s="240">
        <f t="shared" si="56"/>
        <v>21</v>
      </c>
      <c r="S226" s="240">
        <f t="shared" si="57"/>
        <v>16</v>
      </c>
      <c r="T226" s="240">
        <f t="shared" si="58"/>
        <v>3</v>
      </c>
      <c r="U226" s="296"/>
      <c r="V226" s="168"/>
      <c r="W226" s="36"/>
    </row>
    <row r="227" spans="1:23">
      <c r="A227" s="317"/>
      <c r="B227" s="296"/>
      <c r="C227" s="296"/>
      <c r="D227" s="296"/>
      <c r="E227" s="296"/>
      <c r="F227" s="296"/>
      <c r="G227" s="296"/>
      <c r="H227" s="296"/>
      <c r="I227" s="296"/>
      <c r="J227" s="296"/>
      <c r="K227" s="328">
        <v>41595</v>
      </c>
      <c r="L227" s="240">
        <v>2013</v>
      </c>
      <c r="M227" s="240">
        <v>11</v>
      </c>
      <c r="N227" s="240">
        <v>2650</v>
      </c>
      <c r="O227" s="240">
        <f t="shared" si="53"/>
        <v>6</v>
      </c>
      <c r="P227" s="240">
        <f t="shared" si="54"/>
        <v>13</v>
      </c>
      <c r="Q227" s="240">
        <f t="shared" si="55"/>
        <v>3</v>
      </c>
      <c r="R227" s="240">
        <f t="shared" si="56"/>
        <v>22</v>
      </c>
      <c r="S227" s="240">
        <f t="shared" si="57"/>
        <v>16</v>
      </c>
      <c r="T227" s="240">
        <f t="shared" si="58"/>
        <v>3</v>
      </c>
      <c r="U227" s="296"/>
      <c r="V227" s="168"/>
      <c r="W227" s="36"/>
    </row>
    <row r="228" spans="1:23">
      <c r="A228" s="317"/>
      <c r="B228" s="296"/>
      <c r="C228" s="296"/>
      <c r="D228" s="296"/>
      <c r="E228" s="296"/>
      <c r="F228" s="296"/>
      <c r="G228" s="296"/>
      <c r="H228" s="296"/>
      <c r="I228" s="296"/>
      <c r="J228" s="296"/>
      <c r="K228" s="328">
        <v>41625</v>
      </c>
      <c r="L228" s="240">
        <v>2013</v>
      </c>
      <c r="M228" s="240">
        <v>12</v>
      </c>
      <c r="N228" s="240">
        <v>2900</v>
      </c>
      <c r="O228" s="240">
        <f t="shared" si="53"/>
        <v>6</v>
      </c>
      <c r="P228" s="240">
        <f t="shared" si="54"/>
        <v>14</v>
      </c>
      <c r="Q228" s="240">
        <f t="shared" si="55"/>
        <v>4</v>
      </c>
      <c r="R228" s="240">
        <f t="shared" si="56"/>
        <v>24</v>
      </c>
      <c r="S228" s="240">
        <f t="shared" si="57"/>
        <v>18</v>
      </c>
      <c r="T228" s="240">
        <f t="shared" si="58"/>
        <v>4</v>
      </c>
      <c r="U228" s="296"/>
      <c r="V228" s="168"/>
      <c r="W228" s="36"/>
    </row>
    <row r="229" spans="1:23">
      <c r="A229" s="317"/>
      <c r="B229" s="296"/>
      <c r="C229" s="296"/>
      <c r="D229" s="296"/>
      <c r="E229" s="296"/>
      <c r="F229" s="296"/>
      <c r="G229" s="296"/>
      <c r="H229" s="296"/>
      <c r="I229" s="296"/>
      <c r="J229" s="296"/>
      <c r="K229" s="328">
        <v>41655</v>
      </c>
      <c r="L229" s="240">
        <v>2014</v>
      </c>
      <c r="M229" s="240">
        <v>1</v>
      </c>
      <c r="N229" s="240">
        <v>2900</v>
      </c>
      <c r="O229" s="240">
        <f t="shared" si="53"/>
        <v>6</v>
      </c>
      <c r="P229" s="240">
        <f t="shared" si="54"/>
        <v>14</v>
      </c>
      <c r="Q229" s="240">
        <f t="shared" si="55"/>
        <v>4</v>
      </c>
      <c r="R229" s="240">
        <f t="shared" si="56"/>
        <v>24</v>
      </c>
      <c r="S229" s="240">
        <f t="shared" si="57"/>
        <v>18</v>
      </c>
      <c r="T229" s="240">
        <f t="shared" si="58"/>
        <v>4</v>
      </c>
      <c r="U229" s="296"/>
      <c r="V229" s="168"/>
      <c r="W229" s="36"/>
    </row>
    <row r="230" spans="1:23">
      <c r="A230" s="317"/>
      <c r="B230" s="296"/>
      <c r="C230" s="296"/>
      <c r="D230" s="296"/>
      <c r="E230" s="296"/>
      <c r="F230" s="296"/>
      <c r="G230" s="296"/>
      <c r="H230" s="296"/>
      <c r="I230" s="296"/>
      <c r="J230" s="296"/>
      <c r="K230" s="328">
        <v>41685</v>
      </c>
      <c r="L230" s="240">
        <v>2014</v>
      </c>
      <c r="M230" s="240">
        <v>2</v>
      </c>
      <c r="N230" s="240">
        <v>2650</v>
      </c>
      <c r="O230" s="240">
        <f t="shared" si="53"/>
        <v>6</v>
      </c>
      <c r="P230" s="240">
        <f t="shared" si="54"/>
        <v>13</v>
      </c>
      <c r="Q230" s="240">
        <f t="shared" si="55"/>
        <v>3</v>
      </c>
      <c r="R230" s="240">
        <f t="shared" si="56"/>
        <v>22</v>
      </c>
      <c r="S230" s="240">
        <f t="shared" si="57"/>
        <v>16</v>
      </c>
      <c r="T230" s="240">
        <f t="shared" si="58"/>
        <v>3</v>
      </c>
      <c r="U230" s="296"/>
      <c r="V230" s="168"/>
      <c r="W230" s="36"/>
    </row>
    <row r="231" spans="1:23">
      <c r="A231" s="317"/>
      <c r="B231" s="296"/>
      <c r="C231" s="296"/>
      <c r="D231" s="296"/>
      <c r="E231" s="296"/>
      <c r="F231" s="296"/>
      <c r="G231" s="296"/>
      <c r="H231" s="296"/>
      <c r="I231" s="296"/>
      <c r="J231" s="296"/>
      <c r="K231" s="328">
        <v>41715</v>
      </c>
      <c r="L231" s="240">
        <v>2014</v>
      </c>
      <c r="M231" s="240">
        <v>3</v>
      </c>
      <c r="N231" s="240">
        <v>2650</v>
      </c>
      <c r="O231" s="240">
        <f t="shared" si="53"/>
        <v>6</v>
      </c>
      <c r="P231" s="240">
        <f t="shared" si="54"/>
        <v>13</v>
      </c>
      <c r="Q231" s="240">
        <f t="shared" si="55"/>
        <v>3</v>
      </c>
      <c r="R231" s="240">
        <f t="shared" si="56"/>
        <v>22</v>
      </c>
      <c r="S231" s="240">
        <f t="shared" si="57"/>
        <v>16</v>
      </c>
      <c r="T231" s="240">
        <f t="shared" si="58"/>
        <v>3</v>
      </c>
      <c r="U231" s="296"/>
      <c r="V231" s="168"/>
      <c r="W231" s="36"/>
    </row>
    <row r="232" spans="1:23">
      <c r="A232" s="317"/>
      <c r="B232" s="296"/>
      <c r="C232" s="296"/>
      <c r="D232" s="296"/>
      <c r="E232" s="296"/>
      <c r="F232" s="296"/>
      <c r="G232" s="296"/>
      <c r="H232" s="296"/>
      <c r="I232" s="296"/>
      <c r="J232" s="296"/>
      <c r="K232" s="328">
        <v>41745</v>
      </c>
      <c r="L232" s="240">
        <v>2014</v>
      </c>
      <c r="M232" s="240">
        <v>4</v>
      </c>
      <c r="N232" s="240">
        <v>2350</v>
      </c>
      <c r="O232" s="240">
        <f t="shared" si="53"/>
        <v>5</v>
      </c>
      <c r="P232" s="240">
        <f t="shared" si="54"/>
        <v>12</v>
      </c>
      <c r="Q232" s="240">
        <f t="shared" si="55"/>
        <v>3</v>
      </c>
      <c r="R232" s="240">
        <f t="shared" si="56"/>
        <v>19</v>
      </c>
      <c r="S232" s="240">
        <f t="shared" si="57"/>
        <v>14</v>
      </c>
      <c r="T232" s="240">
        <f t="shared" si="58"/>
        <v>3</v>
      </c>
      <c r="U232" s="296"/>
      <c r="V232" s="168"/>
      <c r="W232" s="36"/>
    </row>
    <row r="233" spans="1:23">
      <c r="A233" s="317"/>
      <c r="B233" s="296"/>
      <c r="C233" s="296"/>
      <c r="D233" s="296"/>
      <c r="E233" s="296"/>
      <c r="F233" s="296"/>
      <c r="G233" s="296"/>
      <c r="H233" s="296"/>
      <c r="I233" s="296"/>
      <c r="J233" s="296"/>
      <c r="K233" s="328">
        <v>41775</v>
      </c>
      <c r="L233" s="240">
        <v>2014</v>
      </c>
      <c r="M233" s="240">
        <v>5</v>
      </c>
      <c r="N233" s="240">
        <v>1850</v>
      </c>
      <c r="O233" s="240">
        <f t="shared" si="53"/>
        <v>4</v>
      </c>
      <c r="P233" s="240">
        <f t="shared" si="54"/>
        <v>9</v>
      </c>
      <c r="Q233" s="240">
        <f t="shared" si="55"/>
        <v>2</v>
      </c>
      <c r="R233" s="240">
        <f t="shared" si="56"/>
        <v>15</v>
      </c>
      <c r="S233" s="240">
        <f t="shared" si="57"/>
        <v>11</v>
      </c>
      <c r="T233" s="240">
        <f t="shared" si="58"/>
        <v>2</v>
      </c>
      <c r="U233" s="296"/>
      <c r="V233" s="168"/>
      <c r="W233" s="36"/>
    </row>
    <row r="234" spans="1:23">
      <c r="A234" s="317"/>
      <c r="B234" s="296"/>
      <c r="C234" s="296"/>
      <c r="D234" s="296"/>
      <c r="E234" s="296"/>
      <c r="F234" s="296"/>
      <c r="G234" s="296"/>
      <c r="H234" s="296"/>
      <c r="I234" s="296"/>
      <c r="J234" s="296"/>
      <c r="K234" s="328">
        <v>41805</v>
      </c>
      <c r="L234" s="240">
        <v>2014</v>
      </c>
      <c r="M234" s="240">
        <v>6</v>
      </c>
      <c r="N234" s="240">
        <v>1850</v>
      </c>
      <c r="O234" s="240">
        <f t="shared" si="53"/>
        <v>4</v>
      </c>
      <c r="P234" s="240">
        <f t="shared" si="54"/>
        <v>9</v>
      </c>
      <c r="Q234" s="240">
        <f t="shared" si="55"/>
        <v>2</v>
      </c>
      <c r="R234" s="240">
        <f t="shared" si="56"/>
        <v>15</v>
      </c>
      <c r="S234" s="240">
        <f t="shared" si="57"/>
        <v>11</v>
      </c>
      <c r="T234" s="240">
        <f t="shared" si="58"/>
        <v>2</v>
      </c>
      <c r="U234" s="296"/>
      <c r="V234" s="168"/>
      <c r="W234" s="36"/>
    </row>
    <row r="235" spans="1:23">
      <c r="A235" s="317"/>
      <c r="B235" s="296"/>
      <c r="C235" s="296"/>
      <c r="D235" s="296"/>
      <c r="E235" s="296"/>
      <c r="F235" s="296"/>
      <c r="G235" s="296"/>
      <c r="H235" s="296"/>
      <c r="I235" s="296"/>
      <c r="J235" s="296"/>
      <c r="K235" s="328">
        <v>41835</v>
      </c>
      <c r="L235" s="240">
        <v>2014</v>
      </c>
      <c r="M235" s="240">
        <v>7</v>
      </c>
      <c r="N235" s="240">
        <v>1850</v>
      </c>
      <c r="O235" s="240">
        <f t="shared" si="53"/>
        <v>4</v>
      </c>
      <c r="P235" s="240">
        <f t="shared" si="54"/>
        <v>9</v>
      </c>
      <c r="Q235" s="240">
        <f t="shared" si="55"/>
        <v>2</v>
      </c>
      <c r="R235" s="240">
        <f t="shared" si="56"/>
        <v>15</v>
      </c>
      <c r="S235" s="240">
        <f t="shared" si="57"/>
        <v>11</v>
      </c>
      <c r="T235" s="240">
        <f t="shared" si="58"/>
        <v>2</v>
      </c>
      <c r="U235" s="296"/>
      <c r="V235" s="168"/>
      <c r="W235" s="36"/>
    </row>
    <row r="236" spans="1:23">
      <c r="A236" s="317"/>
      <c r="B236" s="296"/>
      <c r="C236" s="296"/>
      <c r="D236" s="296"/>
      <c r="E236" s="296"/>
      <c r="F236" s="296"/>
      <c r="G236" s="296"/>
      <c r="H236" s="296"/>
      <c r="I236" s="296"/>
      <c r="J236" s="296"/>
      <c r="K236" s="328">
        <v>41865</v>
      </c>
      <c r="L236" s="240">
        <v>2014</v>
      </c>
      <c r="M236" s="240">
        <v>8</v>
      </c>
      <c r="N236" s="240">
        <v>1800</v>
      </c>
      <c r="O236" s="240">
        <f t="shared" si="53"/>
        <v>4</v>
      </c>
      <c r="P236" s="240">
        <f t="shared" si="54"/>
        <v>9</v>
      </c>
      <c r="Q236" s="240">
        <f t="shared" si="55"/>
        <v>2</v>
      </c>
      <c r="R236" s="240">
        <f t="shared" si="56"/>
        <v>15</v>
      </c>
      <c r="S236" s="240">
        <f t="shared" si="57"/>
        <v>11</v>
      </c>
      <c r="T236" s="240">
        <f t="shared" si="58"/>
        <v>2</v>
      </c>
      <c r="U236" s="296"/>
      <c r="V236" s="168"/>
      <c r="W236" s="36"/>
    </row>
    <row r="237" spans="1:23">
      <c r="A237" s="317"/>
      <c r="B237" s="296"/>
      <c r="C237" s="296"/>
      <c r="D237" s="296"/>
      <c r="E237" s="296"/>
      <c r="F237" s="296"/>
      <c r="G237" s="296"/>
      <c r="H237" s="296"/>
      <c r="I237" s="296"/>
      <c r="J237" s="296"/>
      <c r="K237" s="328">
        <v>41895</v>
      </c>
      <c r="L237" s="240">
        <v>2014</v>
      </c>
      <c r="M237" s="240">
        <v>9</v>
      </c>
      <c r="N237" s="240">
        <v>1750</v>
      </c>
      <c r="O237" s="240">
        <f t="shared" si="53"/>
        <v>4</v>
      </c>
      <c r="P237" s="240">
        <f t="shared" si="54"/>
        <v>8</v>
      </c>
      <c r="Q237" s="240">
        <f t="shared" si="55"/>
        <v>2</v>
      </c>
      <c r="R237" s="240">
        <f t="shared" si="56"/>
        <v>14</v>
      </c>
      <c r="S237" s="240">
        <f t="shared" si="57"/>
        <v>11</v>
      </c>
      <c r="T237" s="240">
        <f t="shared" si="58"/>
        <v>2</v>
      </c>
      <c r="U237" s="296"/>
      <c r="V237" s="168"/>
      <c r="W237" s="36"/>
    </row>
    <row r="238" spans="1:23">
      <c r="A238" s="317"/>
      <c r="B238" s="296"/>
      <c r="C238" s="296"/>
      <c r="D238" s="296"/>
      <c r="E238" s="296"/>
      <c r="F238" s="296"/>
      <c r="G238" s="296"/>
      <c r="H238" s="296"/>
      <c r="I238" s="296"/>
      <c r="J238" s="296"/>
      <c r="K238" s="328">
        <v>41925</v>
      </c>
      <c r="L238" s="240">
        <v>2014</v>
      </c>
      <c r="M238" s="240">
        <v>10</v>
      </c>
      <c r="N238" s="240">
        <v>1750</v>
      </c>
      <c r="O238" s="240">
        <f t="shared" si="53"/>
        <v>4</v>
      </c>
      <c r="P238" s="240">
        <f t="shared" si="54"/>
        <v>8</v>
      </c>
      <c r="Q238" s="240">
        <f t="shared" si="55"/>
        <v>2</v>
      </c>
      <c r="R238" s="240">
        <f t="shared" si="56"/>
        <v>14</v>
      </c>
      <c r="S238" s="240">
        <f t="shared" si="57"/>
        <v>11</v>
      </c>
      <c r="T238" s="240">
        <f t="shared" si="58"/>
        <v>2</v>
      </c>
      <c r="U238" s="296"/>
      <c r="V238" s="168"/>
      <c r="W238" s="36"/>
    </row>
    <row r="239" spans="1:23">
      <c r="A239" s="321" t="s">
        <v>480</v>
      </c>
      <c r="B239" s="162"/>
      <c r="C239" s="162"/>
      <c r="D239" s="162"/>
      <c r="E239" s="162"/>
      <c r="F239" s="162"/>
      <c r="G239" s="162"/>
      <c r="H239" s="162"/>
      <c r="I239" s="162"/>
      <c r="J239" s="296"/>
      <c r="K239" s="328">
        <v>41955</v>
      </c>
      <c r="L239" s="240">
        <v>2014</v>
      </c>
      <c r="M239" s="240">
        <v>11</v>
      </c>
      <c r="N239" s="240">
        <v>1750</v>
      </c>
      <c r="O239" s="240">
        <f t="shared" si="53"/>
        <v>4</v>
      </c>
      <c r="P239" s="240">
        <f t="shared" si="54"/>
        <v>8</v>
      </c>
      <c r="Q239" s="240">
        <f t="shared" si="55"/>
        <v>2</v>
      </c>
      <c r="R239" s="240">
        <f t="shared" si="56"/>
        <v>14</v>
      </c>
      <c r="S239" s="240">
        <f t="shared" si="57"/>
        <v>11</v>
      </c>
      <c r="T239" s="240">
        <f t="shared" si="58"/>
        <v>2</v>
      </c>
      <c r="U239" s="296"/>
      <c r="V239" s="168"/>
      <c r="W239" s="36"/>
    </row>
    <row r="240" spans="1:23" ht="15">
      <c r="A240" s="981" t="s">
        <v>478</v>
      </c>
      <c r="B240" s="983" t="s">
        <v>802</v>
      </c>
      <c r="C240" s="985" t="s">
        <v>458</v>
      </c>
      <c r="D240" s="986"/>
      <c r="E240" s="986"/>
      <c r="F240" s="986"/>
      <c r="G240" s="986"/>
      <c r="H240" s="987"/>
      <c r="I240" s="988" t="s">
        <v>185</v>
      </c>
      <c r="J240" s="296"/>
      <c r="K240" s="328">
        <v>41985</v>
      </c>
      <c r="L240" s="240">
        <v>2014</v>
      </c>
      <c r="M240" s="240">
        <v>12</v>
      </c>
      <c r="N240" s="240">
        <v>1650</v>
      </c>
      <c r="O240" s="240">
        <f t="shared" si="53"/>
        <v>3</v>
      </c>
      <c r="P240" s="240">
        <f t="shared" si="54"/>
        <v>8</v>
      </c>
      <c r="Q240" s="240">
        <f t="shared" si="55"/>
        <v>2</v>
      </c>
      <c r="R240" s="240">
        <f t="shared" si="56"/>
        <v>13</v>
      </c>
      <c r="S240" s="240">
        <f t="shared" si="57"/>
        <v>10</v>
      </c>
      <c r="T240" s="240">
        <f t="shared" si="58"/>
        <v>2</v>
      </c>
      <c r="U240" s="296"/>
      <c r="V240" s="168"/>
      <c r="W240" s="36"/>
    </row>
    <row r="241" spans="1:23">
      <c r="A241" s="982"/>
      <c r="B241" s="984"/>
      <c r="C241" s="96" t="s">
        <v>184</v>
      </c>
      <c r="D241" s="440" t="s">
        <v>459</v>
      </c>
      <c r="E241" s="96" t="s">
        <v>204</v>
      </c>
      <c r="F241" s="96" t="s">
        <v>460</v>
      </c>
      <c r="G241" s="440" t="s">
        <v>22</v>
      </c>
      <c r="H241" s="96" t="s">
        <v>201</v>
      </c>
      <c r="I241" s="989"/>
      <c r="J241" s="296"/>
      <c r="K241" s="328">
        <v>42015</v>
      </c>
      <c r="L241" s="240">
        <v>2015</v>
      </c>
      <c r="M241" s="240">
        <v>1</v>
      </c>
      <c r="N241" s="240">
        <v>1600</v>
      </c>
      <c r="O241" s="240">
        <f t="shared" si="53"/>
        <v>3</v>
      </c>
      <c r="P241" s="240">
        <f t="shared" si="54"/>
        <v>8</v>
      </c>
      <c r="Q241" s="240">
        <f t="shared" si="55"/>
        <v>2</v>
      </c>
      <c r="R241" s="240">
        <f t="shared" si="56"/>
        <v>13</v>
      </c>
      <c r="S241" s="240">
        <f t="shared" si="57"/>
        <v>10</v>
      </c>
      <c r="T241" s="240">
        <f t="shared" si="58"/>
        <v>2</v>
      </c>
      <c r="U241" s="296"/>
      <c r="V241" s="168"/>
      <c r="W241" s="36"/>
    </row>
    <row r="242" spans="1:23">
      <c r="A242" s="322" t="s">
        <v>474</v>
      </c>
      <c r="B242" s="240" t="s">
        <v>475</v>
      </c>
      <c r="C242" s="240">
        <v>2</v>
      </c>
      <c r="D242" s="241">
        <v>2</v>
      </c>
      <c r="E242" s="240">
        <v>2</v>
      </c>
      <c r="F242" s="240">
        <v>2</v>
      </c>
      <c r="G242" s="241">
        <v>2</v>
      </c>
      <c r="H242" s="240">
        <v>2</v>
      </c>
      <c r="I242" s="240">
        <v>14</v>
      </c>
      <c r="J242" s="296"/>
      <c r="K242" s="328">
        <v>42045</v>
      </c>
      <c r="L242" s="240">
        <v>2015</v>
      </c>
      <c r="M242" s="240">
        <v>2</v>
      </c>
      <c r="N242" s="240">
        <v>1450</v>
      </c>
      <c r="O242" s="240">
        <f t="shared" si="53"/>
        <v>3</v>
      </c>
      <c r="P242" s="240">
        <f t="shared" si="54"/>
        <v>7</v>
      </c>
      <c r="Q242" s="240">
        <f t="shared" si="55"/>
        <v>2</v>
      </c>
      <c r="R242" s="240">
        <f t="shared" si="56"/>
        <v>12</v>
      </c>
      <c r="S242" s="240">
        <f t="shared" si="57"/>
        <v>9</v>
      </c>
      <c r="T242" s="240">
        <f t="shared" si="58"/>
        <v>2</v>
      </c>
      <c r="U242" s="296"/>
      <c r="V242" s="168"/>
      <c r="W242" s="36"/>
    </row>
    <row r="243" spans="1:23">
      <c r="A243" s="322" t="s">
        <v>185</v>
      </c>
      <c r="B243" s="240" t="s">
        <v>475</v>
      </c>
      <c r="C243" s="240">
        <v>2</v>
      </c>
      <c r="D243" s="240">
        <v>2</v>
      </c>
      <c r="E243" s="240">
        <v>2</v>
      </c>
      <c r="F243" s="240">
        <v>2</v>
      </c>
      <c r="G243" s="240">
        <v>2</v>
      </c>
      <c r="H243" s="240">
        <v>2</v>
      </c>
      <c r="I243" s="240">
        <v>14</v>
      </c>
      <c r="J243" s="296"/>
      <c r="K243" s="328">
        <v>42075</v>
      </c>
      <c r="L243" s="240">
        <v>2015</v>
      </c>
      <c r="M243" s="240">
        <v>3</v>
      </c>
      <c r="N243" s="240">
        <v>1250</v>
      </c>
      <c r="O243" s="240">
        <f t="shared" si="53"/>
        <v>2</v>
      </c>
      <c r="P243" s="240">
        <f t="shared" si="54"/>
        <v>6</v>
      </c>
      <c r="Q243" s="240">
        <f t="shared" si="55"/>
        <v>1</v>
      </c>
      <c r="R243" s="240">
        <f t="shared" si="56"/>
        <v>10</v>
      </c>
      <c r="S243" s="240">
        <f t="shared" si="57"/>
        <v>7</v>
      </c>
      <c r="T243" s="240">
        <f t="shared" si="58"/>
        <v>1</v>
      </c>
      <c r="U243" s="296"/>
      <c r="V243" s="168"/>
      <c r="W243" s="36"/>
    </row>
    <row r="244" spans="1:23">
      <c r="A244" s="176" t="s">
        <v>803</v>
      </c>
      <c r="B244" s="162"/>
      <c r="C244" s="162"/>
      <c r="D244" s="162"/>
      <c r="E244" s="162"/>
      <c r="F244" s="162"/>
      <c r="G244" s="162"/>
      <c r="H244" s="162"/>
      <c r="I244" s="162"/>
      <c r="J244" s="296"/>
      <c r="K244" s="328">
        <v>42105</v>
      </c>
      <c r="L244" s="240">
        <v>2015</v>
      </c>
      <c r="M244" s="240">
        <v>4</v>
      </c>
      <c r="N244" s="240">
        <v>900</v>
      </c>
      <c r="O244" s="240">
        <f t="shared" si="53"/>
        <v>2</v>
      </c>
      <c r="P244" s="240">
        <f t="shared" si="54"/>
        <v>4</v>
      </c>
      <c r="Q244" s="240">
        <f t="shared" si="55"/>
        <v>1</v>
      </c>
      <c r="R244" s="240">
        <f t="shared" si="56"/>
        <v>7</v>
      </c>
      <c r="S244" s="240">
        <f t="shared" si="57"/>
        <v>5</v>
      </c>
      <c r="T244" s="240">
        <f t="shared" si="58"/>
        <v>1</v>
      </c>
      <c r="U244" s="296"/>
      <c r="V244" s="168"/>
      <c r="W244" s="36"/>
    </row>
    <row r="245" spans="1:23">
      <c r="A245" s="317"/>
      <c r="B245" s="296"/>
      <c r="C245" s="296"/>
      <c r="D245" s="296"/>
      <c r="E245" s="296"/>
      <c r="F245" s="296"/>
      <c r="G245" s="296"/>
      <c r="H245" s="296"/>
      <c r="I245" s="296"/>
      <c r="J245" s="296"/>
      <c r="K245" s="328">
        <v>42135</v>
      </c>
      <c r="L245" s="240">
        <v>2015</v>
      </c>
      <c r="M245" s="240">
        <v>5</v>
      </c>
      <c r="N245" s="240">
        <v>800</v>
      </c>
      <c r="O245" s="240">
        <f t="shared" si="53"/>
        <v>1</v>
      </c>
      <c r="P245" s="240">
        <f t="shared" si="54"/>
        <v>4</v>
      </c>
      <c r="Q245" s="240">
        <f t="shared" si="55"/>
        <v>1</v>
      </c>
      <c r="R245" s="240">
        <f t="shared" si="56"/>
        <v>6</v>
      </c>
      <c r="S245" s="240">
        <f t="shared" si="57"/>
        <v>5</v>
      </c>
      <c r="T245" s="240">
        <f t="shared" si="58"/>
        <v>1</v>
      </c>
      <c r="U245" s="296"/>
      <c r="V245" s="168"/>
      <c r="W245" s="36"/>
    </row>
    <row r="246" spans="1:23">
      <c r="A246" s="317"/>
      <c r="B246" s="296"/>
      <c r="C246" s="296"/>
      <c r="D246" s="296"/>
      <c r="E246" s="296"/>
      <c r="F246" s="296"/>
      <c r="G246" s="296"/>
      <c r="H246" s="296"/>
      <c r="I246" s="296"/>
      <c r="J246" s="296"/>
      <c r="K246" s="328">
        <v>42165</v>
      </c>
      <c r="L246" s="240">
        <v>2015</v>
      </c>
      <c r="M246" s="240">
        <v>6</v>
      </c>
      <c r="N246" s="240">
        <v>600</v>
      </c>
      <c r="O246" s="240">
        <f t="shared" si="53"/>
        <v>1</v>
      </c>
      <c r="P246" s="240">
        <f t="shared" si="54"/>
        <v>3</v>
      </c>
      <c r="Q246" s="240">
        <f t="shared" si="55"/>
        <v>0</v>
      </c>
      <c r="R246" s="240">
        <f t="shared" si="56"/>
        <v>5</v>
      </c>
      <c r="S246" s="240">
        <f t="shared" si="57"/>
        <v>3</v>
      </c>
      <c r="T246" s="240">
        <f t="shared" si="58"/>
        <v>0</v>
      </c>
      <c r="U246" s="296"/>
      <c r="V246" s="168"/>
      <c r="W246" s="36"/>
    </row>
    <row r="247" spans="1:23">
      <c r="A247" s="317"/>
      <c r="B247" s="296"/>
      <c r="C247" s="296"/>
      <c r="D247" s="296"/>
      <c r="E247" s="296"/>
      <c r="F247" s="296"/>
      <c r="G247" s="296"/>
      <c r="H247" s="296"/>
      <c r="I247" s="296"/>
      <c r="J247" s="296"/>
      <c r="K247" s="328">
        <v>42195</v>
      </c>
      <c r="L247" s="240">
        <v>2015</v>
      </c>
      <c r="M247" s="240">
        <v>7</v>
      </c>
      <c r="N247" s="240">
        <v>500</v>
      </c>
      <c r="O247" s="240">
        <f t="shared" si="53"/>
        <v>1</v>
      </c>
      <c r="P247" s="240">
        <f t="shared" si="54"/>
        <v>2</v>
      </c>
      <c r="Q247" s="240">
        <f t="shared" si="55"/>
        <v>0</v>
      </c>
      <c r="R247" s="240">
        <f t="shared" si="56"/>
        <v>4</v>
      </c>
      <c r="S247" s="240">
        <f t="shared" si="57"/>
        <v>3</v>
      </c>
      <c r="T247" s="240">
        <f t="shared" si="58"/>
        <v>0</v>
      </c>
      <c r="U247" s="296"/>
      <c r="V247" s="168"/>
      <c r="W247" s="36"/>
    </row>
    <row r="248" spans="1:23">
      <c r="A248" s="317"/>
      <c r="B248" s="296"/>
      <c r="C248" s="296"/>
      <c r="D248" s="296"/>
      <c r="E248" s="296"/>
      <c r="F248" s="296"/>
      <c r="G248" s="296"/>
      <c r="H248" s="296"/>
      <c r="I248" s="296"/>
      <c r="J248" s="296"/>
      <c r="K248" s="328">
        <v>42225</v>
      </c>
      <c r="L248" s="240">
        <v>2015</v>
      </c>
      <c r="M248" s="240">
        <v>8</v>
      </c>
      <c r="N248" s="240">
        <v>450</v>
      </c>
      <c r="O248" s="240">
        <f t="shared" si="53"/>
        <v>1</v>
      </c>
      <c r="P248" s="240">
        <f t="shared" si="54"/>
        <v>2</v>
      </c>
      <c r="Q248" s="240">
        <f t="shared" si="55"/>
        <v>0</v>
      </c>
      <c r="R248" s="240">
        <f t="shared" si="56"/>
        <v>3</v>
      </c>
      <c r="S248" s="240">
        <f t="shared" si="57"/>
        <v>2</v>
      </c>
      <c r="T248" s="240">
        <f t="shared" si="58"/>
        <v>0</v>
      </c>
      <c r="U248" s="296"/>
      <c r="V248" s="168"/>
      <c r="W248" s="36"/>
    </row>
    <row r="249" spans="1:23">
      <c r="A249" s="317"/>
      <c r="B249" s="296"/>
      <c r="C249" s="296"/>
      <c r="D249" s="296"/>
      <c r="E249" s="296"/>
      <c r="F249" s="296"/>
      <c r="G249" s="296"/>
      <c r="H249" s="296"/>
      <c r="I249" s="296"/>
      <c r="J249" s="296"/>
      <c r="K249" s="328">
        <v>42255</v>
      </c>
      <c r="L249" s="240">
        <v>2015</v>
      </c>
      <c r="M249" s="240">
        <v>9</v>
      </c>
      <c r="N249" s="240">
        <v>450</v>
      </c>
      <c r="O249" s="240">
        <f t="shared" si="53"/>
        <v>1</v>
      </c>
      <c r="P249" s="240">
        <f t="shared" si="54"/>
        <v>2</v>
      </c>
      <c r="Q249" s="240">
        <f t="shared" si="55"/>
        <v>0</v>
      </c>
      <c r="R249" s="240">
        <f t="shared" si="56"/>
        <v>3</v>
      </c>
      <c r="S249" s="240">
        <f t="shared" si="57"/>
        <v>2</v>
      </c>
      <c r="T249" s="240">
        <f t="shared" si="58"/>
        <v>0</v>
      </c>
      <c r="U249" s="296"/>
      <c r="V249" s="168"/>
      <c r="W249" s="36"/>
    </row>
    <row r="250" spans="1:23">
      <c r="A250" s="317"/>
      <c r="B250" s="296"/>
      <c r="C250" s="296"/>
      <c r="D250" s="296"/>
      <c r="E250" s="296"/>
      <c r="F250" s="296"/>
      <c r="G250" s="296"/>
      <c r="H250" s="296"/>
      <c r="I250" s="296"/>
      <c r="J250" s="296"/>
      <c r="K250" s="328">
        <v>42285</v>
      </c>
      <c r="L250" s="240">
        <v>2015</v>
      </c>
      <c r="M250" s="240">
        <v>10</v>
      </c>
      <c r="N250" s="240">
        <v>350</v>
      </c>
      <c r="O250" s="240">
        <f t="shared" si="53"/>
        <v>0</v>
      </c>
      <c r="P250" s="240">
        <f t="shared" si="54"/>
        <v>1</v>
      </c>
      <c r="Q250" s="240">
        <f t="shared" si="55"/>
        <v>0</v>
      </c>
      <c r="R250" s="240">
        <f t="shared" si="56"/>
        <v>2</v>
      </c>
      <c r="S250" s="240">
        <f t="shared" si="57"/>
        <v>2</v>
      </c>
      <c r="T250" s="240">
        <f t="shared" si="58"/>
        <v>0</v>
      </c>
      <c r="U250" s="296"/>
      <c r="V250" s="168"/>
      <c r="W250" s="36"/>
    </row>
    <row r="251" spans="1:23">
      <c r="A251" s="317"/>
      <c r="B251" s="296"/>
      <c r="C251" s="296"/>
      <c r="D251" s="296"/>
      <c r="E251" s="296"/>
      <c r="F251" s="296"/>
      <c r="G251" s="296"/>
      <c r="H251" s="296"/>
      <c r="I251" s="296"/>
      <c r="J251" s="296"/>
      <c r="K251" s="328">
        <v>42315</v>
      </c>
      <c r="L251" s="240">
        <v>2015</v>
      </c>
      <c r="M251" s="240">
        <v>11</v>
      </c>
      <c r="N251" s="240">
        <v>300</v>
      </c>
      <c r="O251" s="240">
        <f t="shared" si="53"/>
        <v>0</v>
      </c>
      <c r="P251" s="240">
        <f t="shared" si="54"/>
        <v>1</v>
      </c>
      <c r="Q251" s="240">
        <f t="shared" si="55"/>
        <v>0</v>
      </c>
      <c r="R251" s="240">
        <f t="shared" si="56"/>
        <v>2</v>
      </c>
      <c r="S251" s="240">
        <f t="shared" si="57"/>
        <v>1</v>
      </c>
      <c r="T251" s="240">
        <f t="shared" si="58"/>
        <v>0</v>
      </c>
      <c r="U251" s="296"/>
      <c r="V251" s="168"/>
      <c r="W251" s="36"/>
    </row>
    <row r="252" spans="1:23">
      <c r="A252" s="317"/>
      <c r="B252" s="296"/>
      <c r="C252" s="296"/>
      <c r="D252" s="296"/>
      <c r="E252" s="296"/>
      <c r="F252" s="296"/>
      <c r="G252" s="296"/>
      <c r="H252" s="296"/>
      <c r="I252" s="296"/>
      <c r="J252" s="296"/>
      <c r="K252" s="328">
        <v>42345</v>
      </c>
      <c r="L252" s="240">
        <v>2015</v>
      </c>
      <c r="M252" s="240">
        <v>12</v>
      </c>
      <c r="N252" s="240">
        <v>300</v>
      </c>
      <c r="O252" s="240">
        <f t="shared" si="53"/>
        <v>0</v>
      </c>
      <c r="P252" s="240">
        <f t="shared" si="54"/>
        <v>1</v>
      </c>
      <c r="Q252" s="240">
        <f t="shared" si="55"/>
        <v>0</v>
      </c>
      <c r="R252" s="240">
        <f t="shared" si="56"/>
        <v>2</v>
      </c>
      <c r="S252" s="240">
        <f t="shared" si="57"/>
        <v>1</v>
      </c>
      <c r="T252" s="240">
        <f t="shared" si="58"/>
        <v>0</v>
      </c>
      <c r="U252" s="296"/>
      <c r="V252" s="168"/>
      <c r="W252" s="36"/>
    </row>
    <row r="253" spans="1:23">
      <c r="A253" s="317"/>
      <c r="B253" s="296"/>
      <c r="C253" s="296"/>
      <c r="D253" s="296"/>
      <c r="E253" s="296"/>
      <c r="F253" s="296"/>
      <c r="G253" s="296"/>
      <c r="H253" s="296"/>
      <c r="I253" s="296"/>
      <c r="J253" s="296"/>
      <c r="K253" s="328">
        <v>42375</v>
      </c>
      <c r="L253" s="240">
        <v>2016</v>
      </c>
      <c r="M253" s="240">
        <v>1</v>
      </c>
      <c r="N253" s="240">
        <v>150</v>
      </c>
      <c r="O253" s="240">
        <f t="shared" si="53"/>
        <v>0</v>
      </c>
      <c r="P253" s="240">
        <f t="shared" si="54"/>
        <v>0</v>
      </c>
      <c r="Q253" s="240">
        <f t="shared" si="55"/>
        <v>0</v>
      </c>
      <c r="R253" s="240">
        <f t="shared" si="56"/>
        <v>1</v>
      </c>
      <c r="S253" s="240">
        <f t="shared" si="57"/>
        <v>0</v>
      </c>
      <c r="T253" s="240">
        <f t="shared" si="58"/>
        <v>0</v>
      </c>
      <c r="U253" s="296"/>
      <c r="V253" s="168"/>
      <c r="W253" s="36"/>
    </row>
    <row r="254" spans="1:23">
      <c r="A254" s="317"/>
      <c r="B254" s="296"/>
      <c r="C254" s="296"/>
      <c r="D254" s="296"/>
      <c r="E254" s="296"/>
      <c r="F254" s="296"/>
      <c r="G254" s="296"/>
      <c r="H254" s="296"/>
      <c r="I254" s="296"/>
      <c r="J254" s="296"/>
      <c r="K254" s="328">
        <v>42405</v>
      </c>
      <c r="L254" s="240">
        <v>2016</v>
      </c>
      <c r="M254" s="240">
        <v>2</v>
      </c>
      <c r="N254" s="240">
        <v>150</v>
      </c>
      <c r="O254" s="240">
        <f t="shared" si="53"/>
        <v>0</v>
      </c>
      <c r="P254" s="240">
        <f t="shared" si="54"/>
        <v>0</v>
      </c>
      <c r="Q254" s="240">
        <f t="shared" si="55"/>
        <v>0</v>
      </c>
      <c r="R254" s="240">
        <f t="shared" si="56"/>
        <v>1</v>
      </c>
      <c r="S254" s="240">
        <f t="shared" si="57"/>
        <v>0</v>
      </c>
      <c r="T254" s="240">
        <f t="shared" si="58"/>
        <v>0</v>
      </c>
      <c r="U254" s="296"/>
      <c r="V254" s="168"/>
      <c r="W254" s="36"/>
    </row>
    <row r="255" spans="1:23">
      <c r="A255" s="317"/>
      <c r="B255" s="296"/>
      <c r="C255" s="296"/>
      <c r="D255" s="296"/>
      <c r="E255" s="296"/>
      <c r="F255" s="296"/>
      <c r="G255" s="296"/>
      <c r="H255" s="296"/>
      <c r="I255" s="296"/>
      <c r="J255" s="296"/>
      <c r="K255" s="328">
        <v>42435</v>
      </c>
      <c r="L255" s="240">
        <v>2016</v>
      </c>
      <c r="M255" s="240">
        <v>3</v>
      </c>
      <c r="N255" s="240">
        <v>100</v>
      </c>
      <c r="O255" s="240">
        <f t="shared" si="53"/>
        <v>0</v>
      </c>
      <c r="P255" s="240">
        <f t="shared" si="54"/>
        <v>0</v>
      </c>
      <c r="Q255" s="240">
        <f t="shared" si="55"/>
        <v>0</v>
      </c>
      <c r="R255" s="240">
        <f t="shared" si="56"/>
        <v>0</v>
      </c>
      <c r="S255" s="240">
        <f t="shared" si="57"/>
        <v>0</v>
      </c>
      <c r="T255" s="240">
        <f t="shared" si="58"/>
        <v>0</v>
      </c>
      <c r="U255" s="296"/>
      <c r="V255" s="168"/>
      <c r="W255" s="36"/>
    </row>
    <row r="256" spans="1:23">
      <c r="A256" s="317"/>
      <c r="B256" s="296"/>
      <c r="C256" s="296"/>
      <c r="D256" s="296"/>
      <c r="E256" s="296"/>
      <c r="F256" s="296"/>
      <c r="G256" s="296"/>
      <c r="H256" s="296"/>
      <c r="I256" s="296"/>
      <c r="J256" s="296"/>
      <c r="K256" s="328">
        <v>42465</v>
      </c>
      <c r="L256" s="240">
        <v>2016</v>
      </c>
      <c r="M256" s="240">
        <v>4</v>
      </c>
      <c r="N256" s="240">
        <v>0</v>
      </c>
      <c r="O256" s="240">
        <f t="shared" si="53"/>
        <v>0</v>
      </c>
      <c r="P256" s="240">
        <f t="shared" si="54"/>
        <v>0</v>
      </c>
      <c r="Q256" s="240">
        <f t="shared" si="55"/>
        <v>0</v>
      </c>
      <c r="R256" s="240">
        <f t="shared" si="56"/>
        <v>0</v>
      </c>
      <c r="S256" s="240">
        <f t="shared" si="57"/>
        <v>0</v>
      </c>
      <c r="T256" s="240">
        <f t="shared" si="58"/>
        <v>0</v>
      </c>
      <c r="U256" s="296"/>
      <c r="V256" s="168"/>
      <c r="W256" s="36"/>
    </row>
    <row r="257" spans="1:23">
      <c r="A257" s="317"/>
      <c r="B257" s="296"/>
      <c r="C257" s="296"/>
      <c r="D257" s="296"/>
      <c r="E257" s="296"/>
      <c r="F257" s="296"/>
      <c r="G257" s="296"/>
      <c r="H257" s="296"/>
      <c r="I257" s="296"/>
      <c r="J257" s="296"/>
      <c r="K257" s="328">
        <v>42495</v>
      </c>
      <c r="L257" s="240">
        <v>2016</v>
      </c>
      <c r="M257" s="240">
        <v>5</v>
      </c>
      <c r="N257" s="240">
        <v>0</v>
      </c>
      <c r="O257" s="240">
        <f t="shared" si="53"/>
        <v>0</v>
      </c>
      <c r="P257" s="240">
        <f t="shared" si="54"/>
        <v>0</v>
      </c>
      <c r="Q257" s="240">
        <f t="shared" si="55"/>
        <v>0</v>
      </c>
      <c r="R257" s="240">
        <f t="shared" si="56"/>
        <v>0</v>
      </c>
      <c r="S257" s="240">
        <f t="shared" si="57"/>
        <v>0</v>
      </c>
      <c r="T257" s="240">
        <f t="shared" si="58"/>
        <v>0</v>
      </c>
      <c r="U257" s="296"/>
      <c r="V257" s="168"/>
      <c r="W257" s="36"/>
    </row>
    <row r="258" spans="1:23">
      <c r="A258" s="317"/>
      <c r="B258" s="296"/>
      <c r="C258" s="296"/>
      <c r="D258" s="296"/>
      <c r="E258" s="296"/>
      <c r="F258" s="296"/>
      <c r="G258" s="296"/>
      <c r="H258" s="296"/>
      <c r="I258" s="296"/>
      <c r="J258" s="296"/>
      <c r="K258" s="328">
        <v>42525</v>
      </c>
      <c r="L258" s="240">
        <v>2016</v>
      </c>
      <c r="M258" s="240">
        <v>6</v>
      </c>
      <c r="N258" s="240">
        <v>0</v>
      </c>
      <c r="O258" s="240">
        <f t="shared" ref="O258" si="59">INT($C$198/$I$198*N258/$B$267)</f>
        <v>0</v>
      </c>
      <c r="P258" s="240">
        <f t="shared" ref="P258" si="60">INT($D$198/$I$198*N258/$B$267)</f>
        <v>0</v>
      </c>
      <c r="Q258" s="240">
        <f t="shared" si="55"/>
        <v>0</v>
      </c>
      <c r="R258" s="240">
        <f t="shared" si="56"/>
        <v>0</v>
      </c>
      <c r="S258" s="240">
        <f t="shared" si="57"/>
        <v>0</v>
      </c>
      <c r="T258" s="240">
        <f t="shared" si="58"/>
        <v>0</v>
      </c>
      <c r="U258" s="296"/>
      <c r="V258" s="168"/>
      <c r="W258" s="36"/>
    </row>
    <row r="259" spans="1:23" ht="12.75" thickBot="1">
      <c r="A259" s="317"/>
      <c r="B259" s="296"/>
      <c r="C259" s="296"/>
      <c r="D259" s="296"/>
      <c r="E259" s="296"/>
      <c r="F259" s="296"/>
      <c r="G259" s="296"/>
      <c r="H259" s="296"/>
      <c r="I259" s="296"/>
      <c r="J259" s="296"/>
      <c r="K259" s="162" t="s">
        <v>473</v>
      </c>
      <c r="L259" s="162"/>
      <c r="M259" s="162"/>
      <c r="N259" s="162"/>
      <c r="O259" s="231">
        <f>SUM(O193:O258)</f>
        <v>175</v>
      </c>
      <c r="P259" s="231">
        <f t="shared" ref="P259" si="61">SUM(P193:P258)</f>
        <v>414</v>
      </c>
      <c r="Q259" s="231">
        <f>SUM(Q193:Q258)</f>
        <v>94</v>
      </c>
      <c r="R259" s="231">
        <f>SUM(R193:R258)</f>
        <v>696</v>
      </c>
      <c r="S259" s="231">
        <f>SUM(S193:S258)</f>
        <v>518</v>
      </c>
      <c r="T259" s="231">
        <f>SUM(T193:T258)</f>
        <v>94</v>
      </c>
      <c r="U259" s="296"/>
      <c r="V259" s="168"/>
      <c r="W259" s="36"/>
    </row>
    <row r="260" spans="1:23">
      <c r="A260" s="317"/>
      <c r="B260" s="296"/>
      <c r="C260" s="296"/>
      <c r="D260" s="296"/>
      <c r="E260" s="296"/>
      <c r="F260" s="296"/>
      <c r="G260" s="296"/>
      <c r="H260" s="296"/>
      <c r="I260" s="296"/>
      <c r="J260" s="296"/>
      <c r="K260" s="296"/>
      <c r="L260" s="296"/>
      <c r="M260" s="296"/>
      <c r="N260" s="296"/>
      <c r="O260" s="296"/>
      <c r="P260" s="296"/>
      <c r="Q260" s="296"/>
      <c r="R260" s="296"/>
      <c r="S260" s="296"/>
      <c r="T260" s="296"/>
      <c r="U260" s="296"/>
      <c r="V260" s="168"/>
      <c r="W260" s="36"/>
    </row>
    <row r="261" spans="1:23">
      <c r="A261" s="317"/>
      <c r="B261" s="296"/>
      <c r="C261" s="296"/>
      <c r="D261" s="296"/>
      <c r="E261" s="296"/>
      <c r="F261" s="296"/>
      <c r="G261" s="296"/>
      <c r="H261" s="296"/>
      <c r="I261" s="296"/>
      <c r="J261" s="299"/>
      <c r="K261" s="298"/>
      <c r="L261" s="296"/>
      <c r="M261" s="296"/>
      <c r="N261" s="296"/>
      <c r="O261" s="296"/>
      <c r="P261" s="296"/>
      <c r="Q261" s="296"/>
      <c r="R261" s="296"/>
      <c r="S261" s="296"/>
      <c r="T261" s="296"/>
      <c r="U261" s="296"/>
      <c r="V261" s="168"/>
      <c r="W261" s="36"/>
    </row>
    <row r="262" spans="1:23">
      <c r="A262" s="317"/>
      <c r="B262" s="296"/>
      <c r="C262" s="296"/>
      <c r="D262" s="296"/>
      <c r="E262" s="296"/>
      <c r="F262" s="296"/>
      <c r="G262" s="296"/>
      <c r="H262" s="296"/>
      <c r="I262" s="296"/>
      <c r="J262" s="299"/>
      <c r="K262" s="298"/>
      <c r="L262" s="296"/>
      <c r="M262" s="296"/>
      <c r="N262" s="296"/>
      <c r="O262" s="296"/>
      <c r="P262" s="296"/>
      <c r="Q262" s="296"/>
      <c r="R262" s="296"/>
      <c r="S262" s="296"/>
      <c r="T262" s="296"/>
      <c r="U262" s="296"/>
      <c r="V262" s="168"/>
      <c r="W262" s="36"/>
    </row>
    <row r="263" spans="1:23">
      <c r="A263" s="317"/>
      <c r="B263" s="296"/>
      <c r="C263" s="296"/>
      <c r="D263" s="296"/>
      <c r="E263" s="296"/>
      <c r="F263" s="296"/>
      <c r="G263" s="296"/>
      <c r="H263" s="296"/>
      <c r="I263" s="296"/>
      <c r="J263" s="299"/>
      <c r="K263" s="298"/>
      <c r="L263" s="296"/>
      <c r="M263" s="296"/>
      <c r="N263" s="296"/>
      <c r="O263" s="296"/>
      <c r="P263" s="296"/>
      <c r="Q263" s="296"/>
      <c r="R263" s="296"/>
      <c r="S263" s="296"/>
      <c r="T263" s="296"/>
      <c r="U263" s="296"/>
      <c r="V263" s="168"/>
      <c r="W263" s="36"/>
    </row>
    <row r="264" spans="1:23">
      <c r="A264" s="317"/>
      <c r="B264" s="296"/>
      <c r="C264" s="296"/>
      <c r="D264" s="296"/>
      <c r="E264" s="296"/>
      <c r="F264" s="296"/>
      <c r="G264" s="296"/>
      <c r="H264" s="296"/>
      <c r="I264" s="296"/>
      <c r="J264" s="299"/>
      <c r="K264" s="298"/>
      <c r="L264" s="296"/>
      <c r="M264" s="296"/>
      <c r="N264" s="296"/>
      <c r="O264" s="296"/>
      <c r="P264" s="296"/>
      <c r="Q264" s="296"/>
      <c r="R264" s="296"/>
      <c r="S264" s="296"/>
      <c r="T264" s="296"/>
      <c r="U264" s="296"/>
      <c r="V264" s="168"/>
    </row>
    <row r="265" spans="1:23" ht="12.75" thickBot="1">
      <c r="A265" s="321" t="s">
        <v>804</v>
      </c>
      <c r="B265" s="162"/>
      <c r="C265" s="162"/>
      <c r="D265" s="296"/>
      <c r="E265" s="296"/>
      <c r="F265" s="296"/>
      <c r="G265" s="296"/>
      <c r="H265" s="296"/>
      <c r="I265" s="296"/>
      <c r="J265" s="299"/>
      <c r="K265" s="298"/>
      <c r="L265" s="296"/>
      <c r="M265" s="296"/>
      <c r="N265" s="296"/>
      <c r="O265" s="296"/>
      <c r="P265" s="296"/>
      <c r="Q265" s="296"/>
      <c r="R265" s="296"/>
      <c r="S265" s="296"/>
      <c r="T265" s="296"/>
      <c r="U265" s="296"/>
      <c r="V265" s="168"/>
    </row>
    <row r="266" spans="1:23">
      <c r="A266" s="253" t="s">
        <v>740</v>
      </c>
      <c r="B266" s="414" t="s">
        <v>796</v>
      </c>
      <c r="C266" s="413" t="s">
        <v>295</v>
      </c>
      <c r="D266" s="296"/>
      <c r="E266" s="297"/>
      <c r="F266" s="301"/>
      <c r="G266" s="296"/>
      <c r="H266" s="296"/>
      <c r="I266" s="296"/>
      <c r="J266" s="299"/>
      <c r="K266" s="298"/>
      <c r="L266" s="296"/>
      <c r="M266" s="299"/>
      <c r="N266" s="298"/>
      <c r="O266" s="296"/>
      <c r="P266" s="299"/>
      <c r="Q266" s="298"/>
      <c r="R266" s="296"/>
      <c r="S266" s="299"/>
      <c r="T266" s="298"/>
      <c r="U266" s="296"/>
      <c r="V266" s="168"/>
    </row>
    <row r="267" spans="1:23">
      <c r="A267" s="254" t="s">
        <v>793</v>
      </c>
      <c r="B267" s="283">
        <v>40</v>
      </c>
      <c r="C267" s="103" t="s">
        <v>798</v>
      </c>
      <c r="D267" s="296"/>
      <c r="E267" s="297"/>
      <c r="F267" s="301"/>
      <c r="G267" s="296"/>
      <c r="H267" s="296"/>
      <c r="I267" s="296"/>
      <c r="J267" s="299"/>
      <c r="K267" s="298"/>
      <c r="L267" s="296"/>
      <c r="M267" s="299"/>
      <c r="N267" s="298"/>
      <c r="O267" s="296"/>
      <c r="P267" s="299"/>
      <c r="Q267" s="298"/>
      <c r="R267" s="296"/>
      <c r="S267" s="299"/>
      <c r="T267" s="298"/>
      <c r="U267" s="296"/>
      <c r="V267" s="168"/>
    </row>
    <row r="268" spans="1:23" ht="12.75" thickBot="1">
      <c r="A268" s="269" t="s">
        <v>792</v>
      </c>
      <c r="B268" s="98">
        <v>2</v>
      </c>
      <c r="C268" s="99" t="s">
        <v>797</v>
      </c>
      <c r="D268" s="296"/>
      <c r="E268" s="297"/>
      <c r="F268" s="301"/>
      <c r="G268" s="296"/>
      <c r="H268" s="296"/>
      <c r="I268" s="296"/>
      <c r="J268" s="299"/>
      <c r="K268" s="298"/>
      <c r="L268" s="296"/>
      <c r="M268" s="299"/>
      <c r="N268" s="298"/>
      <c r="O268" s="296"/>
      <c r="P268" s="299"/>
      <c r="Q268" s="298"/>
      <c r="R268" s="296"/>
      <c r="S268" s="299"/>
      <c r="T268" s="298"/>
      <c r="U268" s="296"/>
      <c r="V268" s="168"/>
    </row>
    <row r="269" spans="1:23">
      <c r="A269" s="251" t="s">
        <v>759</v>
      </c>
      <c r="B269" s="270"/>
      <c r="C269" s="271"/>
      <c r="D269" s="296"/>
      <c r="E269" s="297"/>
      <c r="F269" s="301"/>
      <c r="G269" s="296"/>
      <c r="H269" s="296"/>
      <c r="I269" s="296"/>
      <c r="J269" s="299"/>
      <c r="K269" s="298"/>
      <c r="L269" s="296"/>
      <c r="M269" s="299"/>
      <c r="N269" s="298"/>
      <c r="O269" s="296"/>
      <c r="P269" s="299"/>
      <c r="Q269" s="298"/>
      <c r="R269" s="296"/>
      <c r="S269" s="299"/>
      <c r="T269" s="298"/>
      <c r="U269" s="296"/>
      <c r="V269" s="168"/>
    </row>
    <row r="270" spans="1:23">
      <c r="A270" s="317"/>
      <c r="B270" s="300"/>
      <c r="C270" s="300"/>
      <c r="D270" s="296"/>
      <c r="E270" s="297"/>
      <c r="F270" s="301"/>
      <c r="G270" s="296"/>
      <c r="H270" s="296"/>
      <c r="I270" s="296"/>
      <c r="J270" s="299"/>
      <c r="K270" s="298"/>
      <c r="L270" s="296"/>
      <c r="M270" s="299"/>
      <c r="N270" s="298"/>
      <c r="O270" s="296"/>
      <c r="P270" s="299"/>
      <c r="Q270" s="298"/>
      <c r="R270" s="296"/>
      <c r="S270" s="299"/>
      <c r="T270" s="298"/>
      <c r="U270" s="296"/>
      <c r="V270" s="168"/>
    </row>
    <row r="271" spans="1:23" ht="15">
      <c r="A271" s="167"/>
      <c r="B271" s="162"/>
      <c r="C271" s="162"/>
      <c r="D271" s="162"/>
      <c r="E271" s="187"/>
      <c r="F271" s="441"/>
      <c r="G271" s="162"/>
      <c r="H271" s="162"/>
      <c r="I271" s="206"/>
      <c r="J271" s="423"/>
      <c r="K271" s="418"/>
      <c r="L271" s="418"/>
      <c r="M271" s="418"/>
      <c r="N271" s="162"/>
      <c r="O271" s="162"/>
      <c r="P271" s="53"/>
      <c r="Q271" s="53"/>
      <c r="R271" s="53"/>
      <c r="S271" s="53"/>
      <c r="T271" s="53"/>
      <c r="U271" s="53"/>
      <c r="V271" s="168"/>
    </row>
    <row r="272" spans="1:23">
      <c r="A272" s="202"/>
      <c r="B272" s="189"/>
      <c r="C272" s="187"/>
      <c r="D272" s="190"/>
      <c r="E272" s="187"/>
      <c r="F272" s="191"/>
      <c r="G272" s="192"/>
      <c r="H272" s="192"/>
      <c r="I272" s="206"/>
      <c r="J272" s="56"/>
      <c r="K272" s="56"/>
      <c r="L272" s="56"/>
      <c r="M272" s="56"/>
      <c r="N272" s="272"/>
      <c r="O272" s="272"/>
      <c r="P272" s="553"/>
      <c r="Q272" s="53"/>
      <c r="R272" s="53"/>
      <c r="S272" s="53"/>
      <c r="T272" s="53"/>
      <c r="U272" s="53"/>
      <c r="V272" s="168"/>
    </row>
    <row r="273" spans="1:22" ht="15">
      <c r="A273" s="990" t="s">
        <v>744</v>
      </c>
      <c r="B273" s="991"/>
      <c r="C273" s="991"/>
      <c r="D273" s="991"/>
      <c r="E273" s="991"/>
      <c r="F273" s="991"/>
      <c r="G273" s="991"/>
      <c r="H273" s="991"/>
      <c r="I273" s="206"/>
      <c r="J273" s="56"/>
      <c r="K273" s="56"/>
      <c r="L273" s="56"/>
      <c r="M273" s="56"/>
      <c r="N273" s="272"/>
      <c r="O273" s="272"/>
      <c r="P273" s="553"/>
      <c r="Q273" s="53"/>
      <c r="R273" s="53"/>
      <c r="S273" s="53"/>
      <c r="T273" s="53"/>
      <c r="U273" s="53"/>
      <c r="V273" s="168"/>
    </row>
    <row r="274" spans="1:22">
      <c r="A274" s="167"/>
      <c r="B274" s="162"/>
      <c r="C274" s="162"/>
      <c r="D274" s="162"/>
      <c r="E274" s="162"/>
      <c r="F274" s="162"/>
      <c r="G274" s="162"/>
      <c r="H274" s="162"/>
      <c r="I274" s="162"/>
      <c r="J274" s="56"/>
      <c r="K274" s="56"/>
      <c r="L274" s="56"/>
      <c r="M274" s="56"/>
      <c r="N274" s="272"/>
      <c r="O274" s="272"/>
      <c r="P274" s="272"/>
      <c r="Q274" s="162"/>
      <c r="R274" s="162"/>
      <c r="S274" s="162"/>
      <c r="T274" s="162"/>
      <c r="U274" s="162"/>
      <c r="V274" s="168"/>
    </row>
    <row r="275" spans="1:22" ht="15.75" thickBot="1">
      <c r="A275" s="949" t="s">
        <v>795</v>
      </c>
      <c r="B275" s="950"/>
      <c r="C275" s="950"/>
      <c r="D275" s="950"/>
      <c r="E275" s="950"/>
      <c r="F275" s="950"/>
      <c r="G275" s="992"/>
      <c r="H275" s="162"/>
      <c r="I275" s="162"/>
      <c r="J275" s="56"/>
      <c r="K275" s="56"/>
      <c r="L275" s="56"/>
      <c r="M275" s="56"/>
      <c r="N275" s="272"/>
      <c r="O275" s="272"/>
      <c r="P275" s="272"/>
      <c r="Q275" s="162"/>
      <c r="R275" s="162"/>
      <c r="S275" s="162"/>
      <c r="T275" s="162"/>
      <c r="U275" s="162"/>
      <c r="V275" s="168"/>
    </row>
    <row r="276" spans="1:22" ht="15" customHeight="1">
      <c r="A276" s="259" t="s">
        <v>429</v>
      </c>
      <c r="B276" s="274" t="s">
        <v>433</v>
      </c>
      <c r="C276" s="274" t="s">
        <v>306</v>
      </c>
      <c r="D276" s="274" t="s">
        <v>434</v>
      </c>
      <c r="E276" s="275" t="s">
        <v>794</v>
      </c>
      <c r="F276" s="422" t="s">
        <v>452</v>
      </c>
      <c r="G276" s="284"/>
      <c r="H276" s="424" t="s">
        <v>808</v>
      </c>
      <c r="I276" s="423"/>
      <c r="J276" s="56"/>
      <c r="K276" s="56"/>
      <c r="L276" s="56"/>
      <c r="M276" s="56"/>
      <c r="N276" s="272"/>
      <c r="O276" s="272"/>
      <c r="P276" s="272"/>
      <c r="Q276" s="272"/>
      <c r="R276" s="162"/>
      <c r="S276" s="162"/>
      <c r="T276" s="162"/>
      <c r="U276" s="162"/>
      <c r="V276" s="168"/>
    </row>
    <row r="277" spans="1:22" s="54" customFormat="1" ht="22.5">
      <c r="A277" s="204" t="s">
        <v>601</v>
      </c>
      <c r="B277" s="282" t="s">
        <v>603</v>
      </c>
      <c r="C277" s="282" t="s">
        <v>604</v>
      </c>
      <c r="D277" s="282" t="s">
        <v>595</v>
      </c>
      <c r="E277" s="100">
        <v>5</v>
      </c>
      <c r="F277" s="277" t="s">
        <v>453</v>
      </c>
      <c r="G277" s="285"/>
      <c r="H277" s="289" t="s">
        <v>60</v>
      </c>
      <c r="I277" s="96" t="s">
        <v>809</v>
      </c>
      <c r="J277" s="419" t="s">
        <v>774</v>
      </c>
      <c r="K277" s="313" t="s">
        <v>810</v>
      </c>
      <c r="L277" s="440" t="s">
        <v>774</v>
      </c>
      <c r="M277" s="440" t="s">
        <v>812</v>
      </c>
      <c r="N277" s="272"/>
      <c r="O277" s="272"/>
      <c r="P277" s="272"/>
      <c r="Q277" s="272"/>
      <c r="R277" s="272"/>
      <c r="S277" s="272"/>
      <c r="T277" s="272"/>
      <c r="U277" s="272"/>
      <c r="V277" s="273"/>
    </row>
    <row r="278" spans="1:22" s="54" customFormat="1">
      <c r="A278" s="204" t="s">
        <v>602</v>
      </c>
      <c r="B278" s="282" t="s">
        <v>604</v>
      </c>
      <c r="C278" s="282" t="s">
        <v>432</v>
      </c>
      <c r="D278" s="282" t="s">
        <v>436</v>
      </c>
      <c r="E278" s="100">
        <v>3.9</v>
      </c>
      <c r="F278" s="277" t="s">
        <v>453</v>
      </c>
      <c r="G278" s="285"/>
      <c r="H278" s="290" t="s">
        <v>338</v>
      </c>
      <c r="I278" s="92" t="s">
        <v>811</v>
      </c>
      <c r="J278" s="291">
        <f>E277+E278+E279+E280+E282</f>
        <v>50</v>
      </c>
      <c r="K278" s="314">
        <v>9</v>
      </c>
      <c r="L278" s="311">
        <f>E284</f>
        <v>29.5</v>
      </c>
      <c r="M278" s="306">
        <f>L278+J278</f>
        <v>79.5</v>
      </c>
      <c r="N278" s="272"/>
      <c r="O278" s="272"/>
      <c r="P278" s="272"/>
      <c r="Q278" s="272"/>
      <c r="R278" s="272"/>
      <c r="S278" s="272"/>
      <c r="T278" s="272"/>
      <c r="U278" s="272"/>
      <c r="V278" s="273"/>
    </row>
    <row r="279" spans="1:22" s="54" customFormat="1">
      <c r="A279" s="204" t="s">
        <v>442</v>
      </c>
      <c r="B279" s="282" t="s">
        <v>432</v>
      </c>
      <c r="C279" s="282" t="s">
        <v>437</v>
      </c>
      <c r="D279" s="282" t="s">
        <v>438</v>
      </c>
      <c r="E279" s="100">
        <v>7.5</v>
      </c>
      <c r="F279" s="278" t="s">
        <v>453</v>
      </c>
      <c r="G279" s="285"/>
      <c r="H279" s="290" t="s">
        <v>339</v>
      </c>
      <c r="I279" s="92" t="s">
        <v>811</v>
      </c>
      <c r="J279" s="291">
        <f>E277+E278+E279+E280+E282</f>
        <v>50</v>
      </c>
      <c r="K279" s="309">
        <v>8</v>
      </c>
      <c r="L279" s="311">
        <f>E283</f>
        <v>19.5</v>
      </c>
      <c r="M279" s="306">
        <f t="shared" ref="M279:M282" si="62">L279+J279</f>
        <v>69.5</v>
      </c>
      <c r="N279" s="272"/>
      <c r="O279" s="272"/>
      <c r="P279" s="272"/>
      <c r="Q279" s="272"/>
      <c r="R279" s="272"/>
      <c r="S279" s="272"/>
      <c r="T279" s="272"/>
      <c r="U279" s="272"/>
      <c r="V279" s="273"/>
    </row>
    <row r="280" spans="1:22" s="54" customFormat="1">
      <c r="A280" s="204" t="s">
        <v>446</v>
      </c>
      <c r="B280" s="282" t="s">
        <v>437</v>
      </c>
      <c r="C280" s="282" t="s">
        <v>445</v>
      </c>
      <c r="D280" s="282" t="s">
        <v>438</v>
      </c>
      <c r="E280" s="100">
        <v>5.6</v>
      </c>
      <c r="F280" s="277" t="s">
        <v>453</v>
      </c>
      <c r="G280" s="285"/>
      <c r="H280" s="290" t="s">
        <v>340</v>
      </c>
      <c r="I280" s="92" t="s">
        <v>782</v>
      </c>
      <c r="J280" s="291">
        <f>E277+E278+E279+E280+E281</f>
        <v>35.700000000000003</v>
      </c>
      <c r="K280" s="309" t="s">
        <v>34</v>
      </c>
      <c r="L280" s="311">
        <v>0</v>
      </c>
      <c r="M280" s="306">
        <f t="shared" si="62"/>
        <v>35.700000000000003</v>
      </c>
      <c r="N280" s="272"/>
      <c r="O280" s="272"/>
      <c r="P280" s="272"/>
      <c r="Q280" s="272"/>
      <c r="R280" s="272"/>
      <c r="S280" s="272"/>
      <c r="T280" s="272"/>
      <c r="U280" s="272"/>
      <c r="V280" s="273"/>
    </row>
    <row r="281" spans="1:22" s="54" customFormat="1">
      <c r="A281" s="204" t="s">
        <v>447</v>
      </c>
      <c r="B281" s="282" t="s">
        <v>445</v>
      </c>
      <c r="C281" s="282" t="s">
        <v>443</v>
      </c>
      <c r="D281" s="282" t="s">
        <v>444</v>
      </c>
      <c r="E281" s="100">
        <v>13.7</v>
      </c>
      <c r="F281" s="278" t="s">
        <v>453</v>
      </c>
      <c r="G281" s="285"/>
      <c r="H281" s="290" t="s">
        <v>342</v>
      </c>
      <c r="I281" s="92" t="s">
        <v>782</v>
      </c>
      <c r="J281" s="291">
        <f>J280</f>
        <v>35.700000000000003</v>
      </c>
      <c r="K281" s="309" t="s">
        <v>34</v>
      </c>
      <c r="L281" s="311">
        <v>0</v>
      </c>
      <c r="M281" s="306">
        <f t="shared" si="62"/>
        <v>35.700000000000003</v>
      </c>
      <c r="N281" s="272"/>
      <c r="O281" s="272"/>
      <c r="P281" s="272"/>
      <c r="Q281" s="272"/>
      <c r="R281" s="272"/>
      <c r="S281" s="272"/>
      <c r="T281" s="272"/>
      <c r="U281" s="272"/>
      <c r="V281" s="273"/>
    </row>
    <row r="282" spans="1:22" s="54" customFormat="1" ht="12.75" thickBot="1">
      <c r="A282" s="204" t="s">
        <v>448</v>
      </c>
      <c r="B282" s="282" t="s">
        <v>445</v>
      </c>
      <c r="C282" s="282" t="s">
        <v>451</v>
      </c>
      <c r="D282" s="282" t="s">
        <v>438</v>
      </c>
      <c r="E282" s="100">
        <v>28</v>
      </c>
      <c r="F282" s="278" t="s">
        <v>453</v>
      </c>
      <c r="G282" s="285"/>
      <c r="H282" s="292" t="s">
        <v>343</v>
      </c>
      <c r="I282" s="94" t="s">
        <v>782</v>
      </c>
      <c r="J282" s="293">
        <f>J281</f>
        <v>35.700000000000003</v>
      </c>
      <c r="K282" s="310" t="s">
        <v>34</v>
      </c>
      <c r="L282" s="312">
        <v>0</v>
      </c>
      <c r="M282" s="308">
        <f t="shared" si="62"/>
        <v>35.700000000000003</v>
      </c>
      <c r="N282" s="272"/>
      <c r="O282" s="272"/>
      <c r="P282" s="272"/>
      <c r="Q282" s="272"/>
      <c r="R282" s="272"/>
      <c r="S282" s="272"/>
      <c r="T282" s="272"/>
      <c r="U282" s="272"/>
      <c r="V282" s="273"/>
    </row>
    <row r="283" spans="1:22" s="54" customFormat="1">
      <c r="A283" s="204" t="s">
        <v>449</v>
      </c>
      <c r="B283" s="282" t="s">
        <v>451</v>
      </c>
      <c r="C283" s="282" t="s">
        <v>276</v>
      </c>
      <c r="D283" s="282" t="s">
        <v>455</v>
      </c>
      <c r="E283" s="100">
        <v>19.5</v>
      </c>
      <c r="F283" s="277" t="s">
        <v>454</v>
      </c>
      <c r="G283" s="285"/>
      <c r="H283" s="272"/>
      <c r="I283" s="272"/>
      <c r="J283" s="272"/>
      <c r="K283" s="272"/>
      <c r="L283" s="272"/>
      <c r="M283" s="272"/>
      <c r="N283" s="272"/>
      <c r="O283" s="272"/>
      <c r="P283" s="272"/>
      <c r="Q283" s="272"/>
      <c r="R283" s="272"/>
      <c r="S283" s="272"/>
      <c r="T283" s="272"/>
      <c r="U283" s="272"/>
      <c r="V283" s="273"/>
    </row>
    <row r="284" spans="1:22" s="54" customFormat="1" ht="12.75" thickBot="1">
      <c r="A284" s="279" t="s">
        <v>450</v>
      </c>
      <c r="B284" s="280" t="s">
        <v>276</v>
      </c>
      <c r="C284" s="280" t="s">
        <v>456</v>
      </c>
      <c r="D284" s="280" t="s">
        <v>438</v>
      </c>
      <c r="E284" s="223">
        <v>29.5</v>
      </c>
      <c r="F284" s="281" t="s">
        <v>454</v>
      </c>
      <c r="G284" s="285"/>
      <c r="H284" s="272"/>
      <c r="I284" s="272"/>
      <c r="J284" s="272"/>
      <c r="K284" s="272"/>
      <c r="L284" s="272"/>
      <c r="M284" s="272"/>
      <c r="N284" s="272"/>
      <c r="O284" s="272"/>
      <c r="P284" s="272"/>
      <c r="Q284" s="272"/>
      <c r="R284" s="272"/>
      <c r="S284" s="272"/>
      <c r="T284" s="272"/>
      <c r="U284" s="272"/>
      <c r="V284" s="273"/>
    </row>
    <row r="285" spans="1:22" s="54" customFormat="1">
      <c r="A285" s="176" t="s">
        <v>805</v>
      </c>
      <c r="B285" s="438"/>
      <c r="C285" s="194"/>
      <c r="D285" s="194"/>
      <c r="E285" s="276"/>
      <c r="F285" s="194"/>
      <c r="G285" s="194"/>
      <c r="H285" s="272"/>
      <c r="I285" s="272"/>
      <c r="J285" s="272"/>
      <c r="K285" s="272"/>
      <c r="L285" s="272"/>
      <c r="M285" s="272"/>
      <c r="N285" s="272"/>
      <c r="O285" s="272"/>
      <c r="P285" s="272"/>
      <c r="Q285" s="272"/>
      <c r="R285" s="272"/>
      <c r="S285" s="272"/>
      <c r="T285" s="272"/>
      <c r="U285" s="272"/>
      <c r="V285" s="273"/>
    </row>
    <row r="286" spans="1:22" s="54" customFormat="1">
      <c r="A286" s="323"/>
      <c r="B286" s="438"/>
      <c r="C286" s="194"/>
      <c r="D286" s="194"/>
      <c r="E286" s="276"/>
      <c r="F286" s="194"/>
      <c r="G286" s="194"/>
      <c r="H286" s="272"/>
      <c r="I286" s="272"/>
      <c r="J286" s="272"/>
      <c r="K286" s="272"/>
      <c r="L286" s="272"/>
      <c r="M286" s="272"/>
      <c r="N286" s="272"/>
      <c r="O286" s="272"/>
      <c r="P286" s="272"/>
      <c r="Q286" s="272"/>
      <c r="R286" s="272"/>
      <c r="S286" s="272"/>
      <c r="T286" s="272"/>
      <c r="U286" s="272"/>
      <c r="V286" s="273"/>
    </row>
    <row r="287" spans="1:22" s="54" customFormat="1" ht="26.25" customHeight="1" thickBot="1">
      <c r="A287" s="919" t="s">
        <v>799</v>
      </c>
      <c r="B287" s="954"/>
      <c r="C287" s="954"/>
      <c r="D287" s="194"/>
      <c r="E287" s="276"/>
      <c r="F287" s="194"/>
      <c r="G287" s="194"/>
      <c r="H287" s="272"/>
      <c r="I287" s="272"/>
      <c r="J287" s="272"/>
      <c r="K287" s="272"/>
      <c r="L287" s="272"/>
      <c r="M287" s="272"/>
      <c r="N287" s="272"/>
      <c r="O287" s="272"/>
      <c r="P287" s="272"/>
      <c r="Q287" s="272"/>
      <c r="R287" s="272"/>
      <c r="S287" s="272"/>
      <c r="T287" s="272"/>
      <c r="U287" s="272"/>
      <c r="V287" s="273"/>
    </row>
    <row r="288" spans="1:22" s="54" customFormat="1" ht="12" customHeight="1">
      <c r="A288" s="921" t="s">
        <v>469</v>
      </c>
      <c r="B288" s="923" t="s">
        <v>839</v>
      </c>
      <c r="C288" s="924"/>
      <c r="D288" s="924"/>
      <c r="E288" s="924"/>
      <c r="F288" s="924"/>
      <c r="G288" s="925"/>
      <c r="H288" s="272"/>
      <c r="I288" s="272"/>
      <c r="J288" s="272"/>
      <c r="K288" s="272"/>
      <c r="L288" s="272"/>
      <c r="M288" s="272"/>
      <c r="N288" s="272"/>
      <c r="O288" s="272"/>
      <c r="P288" s="272"/>
      <c r="Q288" s="272"/>
      <c r="R288" s="272"/>
      <c r="S288" s="272"/>
      <c r="T288" s="272"/>
      <c r="U288" s="272"/>
      <c r="V288" s="273"/>
    </row>
    <row r="289" spans="1:22" s="54" customFormat="1" ht="12.75" customHeight="1">
      <c r="A289" s="922"/>
      <c r="B289" s="433" t="s">
        <v>338</v>
      </c>
      <c r="C289" s="433" t="s">
        <v>339</v>
      </c>
      <c r="D289" s="433" t="s">
        <v>340</v>
      </c>
      <c r="E289" s="433" t="s">
        <v>342</v>
      </c>
      <c r="F289" s="433" t="s">
        <v>22</v>
      </c>
      <c r="G289" s="434" t="s">
        <v>201</v>
      </c>
      <c r="H289" s="272"/>
      <c r="I289" s="272"/>
      <c r="J289" s="272"/>
      <c r="K289" s="272"/>
      <c r="L289" s="272"/>
      <c r="M289" s="272"/>
      <c r="N289" s="272"/>
      <c r="O289" s="272"/>
      <c r="P289" s="272"/>
      <c r="Q289" s="272"/>
      <c r="R289" s="272"/>
      <c r="S289" s="272"/>
      <c r="T289" s="272"/>
      <c r="U289" s="272"/>
      <c r="V289" s="273"/>
    </row>
    <row r="290" spans="1:22" s="54" customFormat="1">
      <c r="A290" s="324">
        <v>2011</v>
      </c>
      <c r="B290" s="104">
        <f>SUMIF(L193:L258,"=2011",O193:O258)</f>
        <v>2</v>
      </c>
      <c r="C290" s="104">
        <f>SUMIF(L193:L258,"=2011",P193:P258)</f>
        <v>10</v>
      </c>
      <c r="D290" s="104">
        <f>SUMIF($L$193:$L$258,"=2011",Q193:Q258)</f>
        <v>0</v>
      </c>
      <c r="E290" s="104">
        <f>SUMIF($L$193:$L$258,"=2011",R193:R258)</f>
        <v>18</v>
      </c>
      <c r="F290" s="104">
        <f>SUMIF($L$193:$L$258,"=2011",S193:S258)</f>
        <v>12</v>
      </c>
      <c r="G290" s="104">
        <f>SUMIF($L$193:$L$258,"=2011",T193:T258)</f>
        <v>0</v>
      </c>
      <c r="H290" s="272"/>
      <c r="I290" s="272"/>
      <c r="J290" s="272"/>
      <c r="K290" s="272"/>
      <c r="L290" s="272"/>
      <c r="M290" s="272"/>
      <c r="N290" s="272"/>
      <c r="O290" s="272"/>
      <c r="P290" s="272"/>
      <c r="Q290" s="272"/>
      <c r="R290" s="272"/>
      <c r="S290" s="272"/>
      <c r="T290" s="272"/>
      <c r="U290" s="272"/>
      <c r="V290" s="273"/>
    </row>
    <row r="291" spans="1:22" s="54" customFormat="1" ht="12.75" thickBot="1">
      <c r="A291" s="324">
        <v>2012</v>
      </c>
      <c r="B291" s="104">
        <f>SUMIF(L194:L259,"=2012",O194:O259)</f>
        <v>43</v>
      </c>
      <c r="C291" s="104">
        <f>SUMIF(L194:L259,"=2012",P194:P259)</f>
        <v>101</v>
      </c>
      <c r="D291" s="104">
        <f>SUMIF($L$193:$L$258,"=2012",Q193:Q258)</f>
        <v>24</v>
      </c>
      <c r="E291" s="104">
        <f>SUMIF($L$193:$L$258,"=2012",R193:R258)</f>
        <v>168</v>
      </c>
      <c r="F291" s="104">
        <f>SUMIF($L$193:$L$258,"=2012",S193:S258)</f>
        <v>126</v>
      </c>
      <c r="G291" s="104">
        <f>SUMIF($L$193:$L$258,"=2012",T193:T258)</f>
        <v>24</v>
      </c>
      <c r="H291" s="272"/>
      <c r="I291" s="272"/>
      <c r="J291" s="272"/>
      <c r="K291" s="272"/>
      <c r="L291" s="272"/>
      <c r="M291" s="272"/>
      <c r="N291" s="272"/>
      <c r="O291" s="272"/>
      <c r="P291" s="272"/>
      <c r="Q291" s="272"/>
      <c r="R291" s="272"/>
      <c r="S291" s="272"/>
      <c r="T291" s="272"/>
      <c r="U291" s="272"/>
      <c r="V291" s="273"/>
    </row>
    <row r="292" spans="1:22" s="54" customFormat="1">
      <c r="A292" s="324">
        <v>2013</v>
      </c>
      <c r="B292" s="104">
        <f>SUMIF(L195:L260,"=2013",O195:O260)</f>
        <v>61</v>
      </c>
      <c r="C292" s="104">
        <f>SUMIF(L195:L260,"=2013",P195:P260)</f>
        <v>142</v>
      </c>
      <c r="D292" s="104">
        <f>SUMIF($L$193:$L$258,"=2013",Q193:Q258)</f>
        <v>34</v>
      </c>
      <c r="E292" s="104">
        <f>SUMIF($L$193:$L$258,"=2013",R193:R258)</f>
        <v>237</v>
      </c>
      <c r="F292" s="104">
        <f>SUMIF($L$193:$L$258,"=2013",S193:S258)</f>
        <v>179</v>
      </c>
      <c r="G292" s="104">
        <f>SUMIF($L$193:$L$258,"=2013",T193:T258)</f>
        <v>34</v>
      </c>
      <c r="H292" s="272"/>
      <c r="I292" s="960" t="s">
        <v>469</v>
      </c>
      <c r="J292" s="932" t="s">
        <v>828</v>
      </c>
      <c r="K292" s="933"/>
      <c r="L292" s="933"/>
      <c r="M292" s="933"/>
      <c r="N292" s="933"/>
      <c r="O292" s="933"/>
      <c r="P292" s="272"/>
      <c r="Q292" s="272"/>
      <c r="R292" s="272"/>
      <c r="S292" s="272"/>
      <c r="T292" s="272"/>
      <c r="U292" s="272"/>
      <c r="V292" s="273"/>
    </row>
    <row r="293" spans="1:22" s="54" customFormat="1" ht="22.5">
      <c r="A293" s="324">
        <v>2014</v>
      </c>
      <c r="B293" s="104">
        <f>SUMIF(L196:L261,"=2014",O196:O261)</f>
        <v>54</v>
      </c>
      <c r="C293" s="104">
        <f>SUMIF(L196:L261,"=2014",P196:P261)</f>
        <v>120</v>
      </c>
      <c r="D293" s="104">
        <f>SUMIF($L$193:$L$258,"=2014",Q193:Q258)</f>
        <v>29</v>
      </c>
      <c r="E293" s="104">
        <f>SUMIF($L$193:$L$258,"=2014",R193:R258)</f>
        <v>202</v>
      </c>
      <c r="F293" s="104">
        <f>SUMIF($L$193:$L$258,"=2014",S193:S258)</f>
        <v>151</v>
      </c>
      <c r="G293" s="104">
        <f>SUMIF($L$193:$L$258,"=2014",T193:T258)</f>
        <v>29</v>
      </c>
      <c r="H293" s="272"/>
      <c r="I293" s="961"/>
      <c r="J293" s="433" t="s">
        <v>338</v>
      </c>
      <c r="K293" s="433" t="s">
        <v>339</v>
      </c>
      <c r="L293" s="433" t="s">
        <v>340</v>
      </c>
      <c r="M293" s="433" t="s">
        <v>342</v>
      </c>
      <c r="N293" s="433" t="s">
        <v>22</v>
      </c>
      <c r="O293" s="432" t="s">
        <v>201</v>
      </c>
      <c r="P293" s="272"/>
      <c r="Q293" s="272"/>
      <c r="R293" s="272"/>
      <c r="S293" s="272"/>
      <c r="T293" s="272"/>
      <c r="U293" s="272"/>
      <c r="V293" s="273"/>
    </row>
    <row r="294" spans="1:22" s="54" customFormat="1">
      <c r="A294" s="324">
        <v>2015</v>
      </c>
      <c r="B294" s="104">
        <f>SUMIF(L197:L262,"=2015",O197:O262)</f>
        <v>15</v>
      </c>
      <c r="C294" s="104">
        <f>SUMIF(L197:L262,"=2015",P197:P262)</f>
        <v>41</v>
      </c>
      <c r="D294" s="104">
        <f>SUMIF($L$193:$L$258,"=2015",Q193:Q258)</f>
        <v>7</v>
      </c>
      <c r="E294" s="104">
        <f>SUMIF($L$193:$L$258,"=2015",R193:R258)</f>
        <v>69</v>
      </c>
      <c r="F294" s="104">
        <f>SUMIF($L$193:$L$258,"=2015",S193:S258)</f>
        <v>50</v>
      </c>
      <c r="G294" s="104">
        <f>SUMIF($L$193:$L$258,"=2015",T193:T258)</f>
        <v>7</v>
      </c>
      <c r="H294" s="272"/>
      <c r="I294" s="287">
        <v>2011</v>
      </c>
      <c r="J294" s="104">
        <f t="shared" ref="J294:O299" si="63">B303*B290</f>
        <v>6</v>
      </c>
      <c r="K294" s="104">
        <f t="shared" si="63"/>
        <v>30</v>
      </c>
      <c r="L294" s="104">
        <f t="shared" si="63"/>
        <v>0</v>
      </c>
      <c r="M294" s="104">
        <f t="shared" si="63"/>
        <v>126</v>
      </c>
      <c r="N294" s="104">
        <f t="shared" si="63"/>
        <v>132</v>
      </c>
      <c r="O294" s="341">
        <f t="shared" si="63"/>
        <v>0</v>
      </c>
      <c r="P294" s="272"/>
      <c r="Q294" s="272"/>
      <c r="R294" s="272"/>
      <c r="S294" s="272"/>
      <c r="T294" s="272"/>
      <c r="U294" s="272"/>
      <c r="V294" s="273"/>
    </row>
    <row r="295" spans="1:22" s="54" customFormat="1">
      <c r="A295" s="324">
        <v>2016</v>
      </c>
      <c r="B295" s="104">
        <f>SUMIF(L198:L263,"=2016",O198:O263)</f>
        <v>0</v>
      </c>
      <c r="C295" s="104">
        <f>SUMIF(L198:L263,"=2016",P198:P263)</f>
        <v>0</v>
      </c>
      <c r="D295" s="104">
        <f>SUMIF($L$193:$L$258,"=2016",Q193:Q258)</f>
        <v>0</v>
      </c>
      <c r="E295" s="104">
        <f>SUMIF($L$193:$L$258,"=2016",R193:R258)</f>
        <v>2</v>
      </c>
      <c r="F295" s="104">
        <f>SUMIF($L$193:$L$258,"=2016",S193:S258)</f>
        <v>0</v>
      </c>
      <c r="G295" s="104">
        <f>SUMIF($L$193:$L$258,"=2016",T193:T258)</f>
        <v>0</v>
      </c>
      <c r="H295" s="272"/>
      <c r="I295" s="287">
        <v>2012</v>
      </c>
      <c r="J295" s="104">
        <f t="shared" si="63"/>
        <v>516</v>
      </c>
      <c r="K295" s="104">
        <f t="shared" si="63"/>
        <v>1212</v>
      </c>
      <c r="L295" s="104">
        <f t="shared" si="63"/>
        <v>288</v>
      </c>
      <c r="M295" s="104">
        <f t="shared" si="63"/>
        <v>2016</v>
      </c>
      <c r="N295" s="104">
        <f t="shared" si="63"/>
        <v>1512</v>
      </c>
      <c r="O295" s="341">
        <f t="shared" si="63"/>
        <v>288</v>
      </c>
      <c r="P295" s="272"/>
      <c r="Q295" s="272"/>
      <c r="R295" s="272"/>
      <c r="S295" s="272"/>
      <c r="T295" s="272"/>
      <c r="U295" s="272"/>
      <c r="V295" s="273"/>
    </row>
    <row r="296" spans="1:22" s="54" customFormat="1" ht="12.75" thickBot="1">
      <c r="A296" s="203" t="s">
        <v>341</v>
      </c>
      <c r="B296" s="288">
        <f>SUM(B290:B295)</f>
        <v>175</v>
      </c>
      <c r="C296" s="288">
        <f>SUM(C290:C295)</f>
        <v>414</v>
      </c>
      <c r="D296" s="288">
        <f t="shared" ref="D296:G296" si="64">SUM(D290:D295)</f>
        <v>94</v>
      </c>
      <c r="E296" s="288">
        <f t="shared" si="64"/>
        <v>696</v>
      </c>
      <c r="F296" s="288">
        <f t="shared" si="64"/>
        <v>518</v>
      </c>
      <c r="G296" s="288">
        <f t="shared" si="64"/>
        <v>94</v>
      </c>
      <c r="H296" s="272"/>
      <c r="I296" s="287">
        <v>2013</v>
      </c>
      <c r="J296" s="104">
        <f t="shared" si="63"/>
        <v>732</v>
      </c>
      <c r="K296" s="104">
        <f t="shared" si="63"/>
        <v>1704</v>
      </c>
      <c r="L296" s="104">
        <f t="shared" si="63"/>
        <v>408</v>
      </c>
      <c r="M296" s="104">
        <f t="shared" si="63"/>
        <v>2844</v>
      </c>
      <c r="N296" s="104">
        <f t="shared" si="63"/>
        <v>2148</v>
      </c>
      <c r="O296" s="341">
        <f t="shared" si="63"/>
        <v>408</v>
      </c>
      <c r="P296" s="272"/>
      <c r="Q296" s="272"/>
      <c r="R296" s="272"/>
      <c r="S296" s="272"/>
      <c r="T296" s="272"/>
      <c r="U296" s="272"/>
      <c r="V296" s="273"/>
    </row>
    <row r="297" spans="1:22" s="54" customFormat="1">
      <c r="A297" s="176" t="s">
        <v>805</v>
      </c>
      <c r="B297" s="438"/>
      <c r="C297" s="194"/>
      <c r="D297" s="194"/>
      <c r="E297" s="276"/>
      <c r="F297" s="194"/>
      <c r="G297" s="194"/>
      <c r="H297" s="272"/>
      <c r="I297" s="287">
        <v>2014</v>
      </c>
      <c r="J297" s="104">
        <f t="shared" si="63"/>
        <v>648</v>
      </c>
      <c r="K297" s="104">
        <f t="shared" si="63"/>
        <v>1440</v>
      </c>
      <c r="L297" s="104">
        <f t="shared" si="63"/>
        <v>348</v>
      </c>
      <c r="M297" s="104">
        <f t="shared" si="63"/>
        <v>2424</v>
      </c>
      <c r="N297" s="104">
        <f t="shared" si="63"/>
        <v>1661</v>
      </c>
      <c r="O297" s="341">
        <f t="shared" si="63"/>
        <v>319</v>
      </c>
      <c r="P297" s="272"/>
      <c r="Q297" s="272"/>
      <c r="R297" s="272"/>
      <c r="S297" s="272"/>
      <c r="T297" s="272"/>
      <c r="U297" s="272"/>
      <c r="V297" s="273"/>
    </row>
    <row r="298" spans="1:22" s="54" customFormat="1">
      <c r="A298" s="176"/>
      <c r="B298" s="438"/>
      <c r="C298" s="194"/>
      <c r="D298" s="194"/>
      <c r="E298" s="276"/>
      <c r="F298" s="194"/>
      <c r="G298" s="194"/>
      <c r="H298" s="272"/>
      <c r="I298" s="287">
        <v>2015</v>
      </c>
      <c r="J298" s="104">
        <f t="shared" si="63"/>
        <v>165</v>
      </c>
      <c r="K298" s="104">
        <f t="shared" si="63"/>
        <v>369</v>
      </c>
      <c r="L298" s="104">
        <f t="shared" si="63"/>
        <v>7</v>
      </c>
      <c r="M298" s="104">
        <f t="shared" si="63"/>
        <v>69</v>
      </c>
      <c r="N298" s="104">
        <f t="shared" si="63"/>
        <v>0</v>
      </c>
      <c r="O298" s="341">
        <f t="shared" si="63"/>
        <v>0</v>
      </c>
      <c r="P298" s="272"/>
      <c r="Q298" s="272"/>
      <c r="R298" s="272"/>
      <c r="S298" s="272"/>
      <c r="T298" s="272"/>
      <c r="U298" s="272"/>
      <c r="V298" s="273"/>
    </row>
    <row r="299" spans="1:22" s="54" customFormat="1">
      <c r="A299" s="176"/>
      <c r="B299" s="438"/>
      <c r="C299" s="194"/>
      <c r="D299" s="194"/>
      <c r="E299" s="276"/>
      <c r="F299" s="194"/>
      <c r="G299" s="194"/>
      <c r="H299" s="272"/>
      <c r="I299" s="342">
        <v>2016</v>
      </c>
      <c r="J299" s="343">
        <f t="shared" si="63"/>
        <v>0</v>
      </c>
      <c r="K299" s="343">
        <f t="shared" si="63"/>
        <v>0</v>
      </c>
      <c r="L299" s="343">
        <f t="shared" si="63"/>
        <v>0</v>
      </c>
      <c r="M299" s="343">
        <f t="shared" si="63"/>
        <v>0</v>
      </c>
      <c r="N299" s="343">
        <f t="shared" si="63"/>
        <v>0</v>
      </c>
      <c r="O299" s="344">
        <f t="shared" si="63"/>
        <v>0</v>
      </c>
      <c r="P299" s="272"/>
      <c r="Q299" s="272"/>
      <c r="R299" s="272"/>
      <c r="S299" s="272"/>
      <c r="T299" s="272"/>
      <c r="U299" s="272"/>
      <c r="V299" s="273"/>
    </row>
    <row r="300" spans="1:22" s="54" customFormat="1" ht="12.75" thickBot="1">
      <c r="A300" s="325" t="s">
        <v>409</v>
      </c>
      <c r="B300" s="438"/>
      <c r="C300" s="194"/>
      <c r="D300" s="194"/>
      <c r="E300" s="276"/>
      <c r="F300" s="194"/>
      <c r="G300" s="194"/>
      <c r="H300" s="272"/>
      <c r="I300" s="272"/>
      <c r="J300" s="272"/>
      <c r="K300" s="272"/>
      <c r="L300" s="272"/>
      <c r="M300" s="272"/>
      <c r="N300" s="272"/>
      <c r="O300" s="272"/>
      <c r="P300" s="272"/>
      <c r="Q300" s="272"/>
      <c r="R300" s="272"/>
      <c r="S300" s="272"/>
      <c r="T300" s="272"/>
      <c r="U300" s="272"/>
      <c r="V300" s="273"/>
    </row>
    <row r="301" spans="1:22" s="54" customFormat="1">
      <c r="A301" s="921" t="s">
        <v>469</v>
      </c>
      <c r="B301" s="932" t="s">
        <v>800</v>
      </c>
      <c r="C301" s="933"/>
      <c r="D301" s="933"/>
      <c r="E301" s="933"/>
      <c r="F301" s="933"/>
      <c r="G301" s="934"/>
      <c r="H301" s="272"/>
      <c r="I301" s="272"/>
      <c r="J301" s="272"/>
      <c r="K301" s="272"/>
      <c r="L301" s="272"/>
      <c r="M301" s="272"/>
      <c r="N301" s="272"/>
      <c r="O301" s="272"/>
      <c r="P301" s="272"/>
      <c r="Q301" s="272"/>
      <c r="R301" s="272"/>
      <c r="S301" s="272"/>
      <c r="T301" s="272"/>
      <c r="U301" s="272"/>
      <c r="V301" s="273"/>
    </row>
    <row r="302" spans="1:22" s="54" customFormat="1" ht="22.5">
      <c r="A302" s="922"/>
      <c r="B302" s="433" t="s">
        <v>338</v>
      </c>
      <c r="C302" s="433" t="s">
        <v>339</v>
      </c>
      <c r="D302" s="433" t="s">
        <v>340</v>
      </c>
      <c r="E302" s="433" t="s">
        <v>342</v>
      </c>
      <c r="F302" s="433" t="s">
        <v>22</v>
      </c>
      <c r="G302" s="434" t="s">
        <v>201</v>
      </c>
      <c r="H302" s="272"/>
      <c r="I302" s="194" t="s">
        <v>826</v>
      </c>
      <c r="J302" s="272"/>
      <c r="K302" s="272"/>
      <c r="L302" s="272"/>
      <c r="M302" s="272"/>
      <c r="N302" s="272"/>
      <c r="O302" s="272"/>
      <c r="P302" s="272"/>
      <c r="Q302" s="272"/>
      <c r="R302" s="272"/>
      <c r="S302" s="272"/>
      <c r="T302" s="272"/>
      <c r="U302" s="272"/>
      <c r="V302" s="273"/>
    </row>
    <row r="303" spans="1:22" s="54" customFormat="1" ht="33.75">
      <c r="A303" s="324">
        <v>2011</v>
      </c>
      <c r="B303" s="104">
        <v>3</v>
      </c>
      <c r="C303" s="104">
        <v>3</v>
      </c>
      <c r="D303" s="104">
        <v>11</v>
      </c>
      <c r="E303" s="104">
        <v>7</v>
      </c>
      <c r="F303" s="104">
        <v>11</v>
      </c>
      <c r="G303" s="104">
        <v>11</v>
      </c>
      <c r="H303" s="272"/>
      <c r="I303" s="194" t="s">
        <v>837</v>
      </c>
      <c r="J303" s="272"/>
      <c r="K303" s="272"/>
      <c r="L303" s="272"/>
      <c r="M303" s="272"/>
      <c r="N303" s="272"/>
      <c r="O303" s="272"/>
      <c r="P303" s="272"/>
      <c r="Q303" s="272"/>
      <c r="R303" s="272"/>
      <c r="S303" s="272"/>
      <c r="T303" s="272"/>
      <c r="U303" s="272"/>
      <c r="V303" s="273"/>
    </row>
    <row r="304" spans="1:22" s="54" customFormat="1">
      <c r="A304" s="324">
        <v>2012</v>
      </c>
      <c r="B304" s="104">
        <v>12</v>
      </c>
      <c r="C304" s="104">
        <v>12</v>
      </c>
      <c r="D304" s="104">
        <v>12</v>
      </c>
      <c r="E304" s="104">
        <v>12</v>
      </c>
      <c r="F304" s="104">
        <v>12</v>
      </c>
      <c r="G304" s="104">
        <v>12</v>
      </c>
      <c r="H304" s="272"/>
      <c r="I304" s="272"/>
      <c r="J304" s="272"/>
      <c r="K304" s="272"/>
      <c r="L304" s="272"/>
      <c r="M304" s="272"/>
      <c r="N304" s="272"/>
      <c r="O304" s="272"/>
      <c r="P304" s="272"/>
      <c r="Q304" s="272"/>
      <c r="R304" s="272"/>
      <c r="S304" s="272"/>
      <c r="T304" s="272"/>
      <c r="U304" s="272"/>
      <c r="V304" s="273"/>
    </row>
    <row r="305" spans="1:22" s="54" customFormat="1">
      <c r="A305" s="324">
        <v>2013</v>
      </c>
      <c r="B305" s="104">
        <v>12</v>
      </c>
      <c r="C305" s="104">
        <v>12</v>
      </c>
      <c r="D305" s="104">
        <v>12</v>
      </c>
      <c r="E305" s="104">
        <v>12</v>
      </c>
      <c r="F305" s="104">
        <v>12</v>
      </c>
      <c r="G305" s="104">
        <v>12</v>
      </c>
      <c r="H305" s="272"/>
      <c r="I305" s="272"/>
      <c r="J305" s="272"/>
      <c r="K305" s="272"/>
      <c r="L305" s="272"/>
      <c r="M305" s="272"/>
      <c r="N305" s="272"/>
      <c r="O305" s="272"/>
      <c r="P305" s="272"/>
      <c r="Q305" s="272"/>
      <c r="R305" s="272"/>
      <c r="S305" s="272"/>
      <c r="T305" s="272"/>
      <c r="U305" s="272"/>
      <c r="V305" s="273"/>
    </row>
    <row r="306" spans="1:22" s="54" customFormat="1">
      <c r="A306" s="324">
        <v>2014</v>
      </c>
      <c r="B306" s="104">
        <v>12</v>
      </c>
      <c r="C306" s="104">
        <v>12</v>
      </c>
      <c r="D306" s="104">
        <v>12</v>
      </c>
      <c r="E306" s="104">
        <v>12</v>
      </c>
      <c r="F306" s="104">
        <v>11</v>
      </c>
      <c r="G306" s="104">
        <v>11</v>
      </c>
      <c r="H306" s="272"/>
      <c r="I306" s="272"/>
      <c r="J306" s="272"/>
      <c r="K306" s="272"/>
      <c r="L306" s="272"/>
      <c r="M306" s="272"/>
      <c r="N306" s="272"/>
      <c r="O306" s="272"/>
      <c r="P306" s="272"/>
      <c r="Q306" s="272"/>
      <c r="R306" s="272"/>
      <c r="S306" s="272"/>
      <c r="T306" s="272"/>
      <c r="U306" s="272"/>
      <c r="V306" s="273"/>
    </row>
    <row r="307" spans="1:22" s="54" customFormat="1">
      <c r="A307" s="324">
        <v>2015</v>
      </c>
      <c r="B307" s="104">
        <v>11</v>
      </c>
      <c r="C307" s="104">
        <v>9</v>
      </c>
      <c r="D307" s="104">
        <v>1</v>
      </c>
      <c r="E307" s="104">
        <v>1</v>
      </c>
      <c r="F307" s="104">
        <v>0</v>
      </c>
      <c r="G307" s="101">
        <v>0</v>
      </c>
      <c r="H307" s="272"/>
      <c r="I307" s="272"/>
      <c r="J307" s="272"/>
      <c r="K307" s="272"/>
      <c r="L307" s="272"/>
      <c r="M307" s="272"/>
      <c r="N307" s="272"/>
      <c r="O307" s="272"/>
      <c r="P307" s="272"/>
      <c r="Q307" s="272"/>
      <c r="R307" s="272"/>
      <c r="S307" s="272"/>
      <c r="T307" s="272"/>
      <c r="U307" s="272"/>
      <c r="V307" s="273"/>
    </row>
    <row r="308" spans="1:22" s="54" customFormat="1">
      <c r="A308" s="324">
        <v>2016</v>
      </c>
      <c r="B308" s="104">
        <v>0</v>
      </c>
      <c r="C308" s="104">
        <v>0</v>
      </c>
      <c r="D308" s="104">
        <v>0</v>
      </c>
      <c r="E308" s="104">
        <v>0</v>
      </c>
      <c r="F308" s="104">
        <v>0</v>
      </c>
      <c r="G308" s="101">
        <v>0</v>
      </c>
      <c r="H308" s="272"/>
      <c r="I308" s="272"/>
      <c r="J308" s="272"/>
      <c r="K308" s="272"/>
      <c r="L308" s="272"/>
      <c r="M308" s="272"/>
      <c r="N308" s="272"/>
      <c r="O308" s="272"/>
      <c r="P308" s="978"/>
      <c r="Q308" s="272"/>
      <c r="R308" s="272"/>
      <c r="S308" s="272"/>
      <c r="T308" s="272"/>
      <c r="U308" s="272"/>
      <c r="V308" s="273"/>
    </row>
    <row r="309" spans="1:22" s="54" customFormat="1">
      <c r="A309" s="176"/>
      <c r="B309" s="438"/>
      <c r="C309" s="194"/>
      <c r="D309" s="194"/>
      <c r="E309" s="276"/>
      <c r="F309" s="194"/>
      <c r="G309" s="194"/>
      <c r="H309" s="272"/>
      <c r="I309" s="272"/>
      <c r="J309" s="272"/>
      <c r="K309" s="272"/>
      <c r="L309" s="272"/>
      <c r="M309" s="272"/>
      <c r="N309" s="272"/>
      <c r="O309" s="272"/>
      <c r="P309" s="978"/>
      <c r="Q309" s="272"/>
      <c r="R309" s="272"/>
      <c r="S309" s="272"/>
      <c r="T309" s="272"/>
      <c r="U309" s="272"/>
      <c r="V309" s="273"/>
    </row>
    <row r="310" spans="1:22" s="54" customFormat="1">
      <c r="A310" s="323"/>
      <c r="B310" s="438"/>
      <c r="C310" s="194"/>
      <c r="D310" s="194"/>
      <c r="E310" s="276"/>
      <c r="F310" s="194"/>
      <c r="G310" s="194"/>
      <c r="H310" s="272"/>
      <c r="I310" s="272"/>
      <c r="J310" s="272"/>
      <c r="K310" s="272"/>
      <c r="L310" s="272"/>
      <c r="M310" s="272"/>
      <c r="N310" s="272"/>
      <c r="O310" s="272"/>
      <c r="P310" s="558"/>
      <c r="Q310" s="272"/>
      <c r="R310" s="272"/>
      <c r="S310" s="272"/>
      <c r="T310" s="272"/>
      <c r="U310" s="272"/>
      <c r="V310" s="273"/>
    </row>
    <row r="311" spans="1:22" s="54" customFormat="1">
      <c r="A311" s="323"/>
      <c r="B311" s="438"/>
      <c r="C311" s="194"/>
      <c r="D311" s="194"/>
      <c r="E311" s="276"/>
      <c r="F311" s="194"/>
      <c r="G311" s="194"/>
      <c r="H311" s="272"/>
      <c r="I311" s="272"/>
      <c r="J311" s="272"/>
      <c r="K311" s="272"/>
      <c r="L311" s="272"/>
      <c r="M311" s="272"/>
      <c r="N311" s="272"/>
      <c r="O311" s="272"/>
      <c r="P311" s="558"/>
      <c r="Q311" s="272"/>
      <c r="R311" s="272"/>
      <c r="S311" s="272"/>
      <c r="T311" s="272"/>
      <c r="U311" s="272"/>
      <c r="V311" s="273"/>
    </row>
    <row r="312" spans="1:22" s="54" customFormat="1" ht="15.75" thickBot="1">
      <c r="A312" s="919" t="s">
        <v>825</v>
      </c>
      <c r="B312" s="954"/>
      <c r="C312" s="954"/>
      <c r="D312" s="194"/>
      <c r="E312" s="276"/>
      <c r="F312" s="194"/>
      <c r="G312" s="194"/>
      <c r="H312" s="272"/>
      <c r="I312" s="272"/>
      <c r="J312" s="272"/>
      <c r="K312" s="272"/>
      <c r="L312" s="272"/>
      <c r="M312" s="272"/>
      <c r="N312" s="272"/>
      <c r="O312" s="272"/>
      <c r="P312" s="558"/>
      <c r="Q312" s="272"/>
      <c r="R312" s="272"/>
      <c r="S312" s="272"/>
      <c r="T312" s="272"/>
      <c r="U312" s="272"/>
      <c r="V312" s="273"/>
    </row>
    <row r="313" spans="1:22" s="54" customFormat="1" ht="24">
      <c r="A313" s="326" t="s">
        <v>813</v>
      </c>
      <c r="B313" s="307" t="s">
        <v>824</v>
      </c>
      <c r="C313" s="958" t="s">
        <v>814</v>
      </c>
      <c r="D313" s="959"/>
      <c r="E313" s="276"/>
      <c r="F313" s="194"/>
      <c r="G313" s="194"/>
      <c r="H313" s="272"/>
      <c r="I313" s="960" t="s">
        <v>469</v>
      </c>
      <c r="J313" s="932" t="s">
        <v>838</v>
      </c>
      <c r="K313" s="933"/>
      <c r="L313" s="933"/>
      <c r="M313" s="933"/>
      <c r="N313" s="933"/>
      <c r="O313" s="933"/>
      <c r="P313" s="558"/>
      <c r="Q313" s="272"/>
      <c r="R313" s="272"/>
      <c r="S313" s="272"/>
      <c r="T313" s="272"/>
      <c r="U313" s="272"/>
      <c r="V313" s="273"/>
    </row>
    <row r="314" spans="1:22" s="54" customFormat="1" ht="20.25" customHeight="1">
      <c r="A314" s="963" t="s">
        <v>806</v>
      </c>
      <c r="B314" s="966" t="s">
        <v>815</v>
      </c>
      <c r="C314" s="969" t="s">
        <v>816</v>
      </c>
      <c r="D314" s="970"/>
      <c r="E314" s="276" t="s">
        <v>822</v>
      </c>
      <c r="F314" s="194"/>
      <c r="G314" s="194"/>
      <c r="H314" s="272"/>
      <c r="I314" s="961"/>
      <c r="J314" s="433" t="s">
        <v>338</v>
      </c>
      <c r="K314" s="433" t="s">
        <v>339</v>
      </c>
      <c r="L314" s="433" t="s">
        <v>340</v>
      </c>
      <c r="M314" s="433" t="s">
        <v>342</v>
      </c>
      <c r="N314" s="433" t="s">
        <v>22</v>
      </c>
      <c r="O314" s="432" t="s">
        <v>201</v>
      </c>
      <c r="P314" s="558"/>
      <c r="Q314" s="272"/>
      <c r="R314" s="272"/>
      <c r="S314" s="272"/>
      <c r="T314" s="272"/>
      <c r="U314" s="272"/>
      <c r="V314" s="273"/>
    </row>
    <row r="315" spans="1:22" s="54" customFormat="1" ht="20.25" customHeight="1">
      <c r="A315" s="964"/>
      <c r="B315" s="967"/>
      <c r="C315" s="971" t="s">
        <v>817</v>
      </c>
      <c r="D315" s="972"/>
      <c r="E315" s="276"/>
      <c r="F315" s="194"/>
      <c r="G315" s="286"/>
      <c r="H315" s="286"/>
      <c r="I315" s="287">
        <v>2011</v>
      </c>
      <c r="J315" s="240">
        <f t="shared" ref="J315:J320" si="65">$C$242*B290*30</f>
        <v>120</v>
      </c>
      <c r="K315" s="240">
        <f t="shared" ref="K315:K320" si="66">$D$242*C290*30</f>
        <v>600</v>
      </c>
      <c r="L315" s="240">
        <f t="shared" ref="L315:L320" si="67">$E$242*D290*30</f>
        <v>0</v>
      </c>
      <c r="M315" s="240">
        <f t="shared" ref="M315:M320" si="68">$F$242*E290*30</f>
        <v>1080</v>
      </c>
      <c r="N315" s="240">
        <f t="shared" ref="N315:N320" si="69">$G$242*F290*30</f>
        <v>720</v>
      </c>
      <c r="O315" s="240">
        <f t="shared" ref="O315:O320" si="70">$H$242*G290*30</f>
        <v>0</v>
      </c>
      <c r="P315" s="558"/>
      <c r="Q315" s="272"/>
      <c r="R315" s="272"/>
      <c r="S315" s="272"/>
      <c r="T315" s="272"/>
      <c r="U315" s="272"/>
      <c r="V315" s="273"/>
    </row>
    <row r="316" spans="1:22" s="54" customFormat="1" ht="20.25" customHeight="1">
      <c r="A316" s="979"/>
      <c r="B316" s="980"/>
      <c r="C316" s="973" t="s">
        <v>836</v>
      </c>
      <c r="D316" s="974"/>
      <c r="E316" s="276"/>
      <c r="F316" s="194"/>
      <c r="G316" s="286"/>
      <c r="H316" s="286"/>
      <c r="I316" s="287">
        <v>2012</v>
      </c>
      <c r="J316" s="240">
        <f t="shared" si="65"/>
        <v>2580</v>
      </c>
      <c r="K316" s="240">
        <f t="shared" si="66"/>
        <v>6060</v>
      </c>
      <c r="L316" s="240">
        <f t="shared" si="67"/>
        <v>1440</v>
      </c>
      <c r="M316" s="240">
        <f t="shared" si="68"/>
        <v>10080</v>
      </c>
      <c r="N316" s="240">
        <f t="shared" si="69"/>
        <v>7560</v>
      </c>
      <c r="O316" s="240">
        <f t="shared" si="70"/>
        <v>1440</v>
      </c>
      <c r="P316" s="558"/>
      <c r="Q316" s="272"/>
      <c r="R316" s="272"/>
      <c r="S316" s="272"/>
      <c r="T316" s="272"/>
      <c r="U316" s="272"/>
      <c r="V316" s="273"/>
    </row>
    <row r="317" spans="1:22" s="54" customFormat="1" ht="20.25" customHeight="1">
      <c r="A317" s="963" t="s">
        <v>635</v>
      </c>
      <c r="B317" s="966" t="s">
        <v>818</v>
      </c>
      <c r="C317" s="969" t="s">
        <v>816</v>
      </c>
      <c r="D317" s="970"/>
      <c r="E317" s="276" t="s">
        <v>822</v>
      </c>
      <c r="F317" s="194"/>
      <c r="G317" s="194"/>
      <c r="H317" s="272"/>
      <c r="I317" s="287">
        <v>2013</v>
      </c>
      <c r="J317" s="240">
        <f t="shared" si="65"/>
        <v>3660</v>
      </c>
      <c r="K317" s="240">
        <f t="shared" si="66"/>
        <v>8520</v>
      </c>
      <c r="L317" s="240">
        <f t="shared" si="67"/>
        <v>2040</v>
      </c>
      <c r="M317" s="240">
        <f t="shared" si="68"/>
        <v>14220</v>
      </c>
      <c r="N317" s="240">
        <f t="shared" si="69"/>
        <v>10740</v>
      </c>
      <c r="O317" s="240">
        <f t="shared" si="70"/>
        <v>2040</v>
      </c>
      <c r="P317" s="162"/>
      <c r="Q317" s="272"/>
      <c r="R317" s="272"/>
      <c r="S317" s="272"/>
      <c r="T317" s="272"/>
      <c r="U317" s="272"/>
      <c r="V317" s="273"/>
    </row>
    <row r="318" spans="1:22" s="54" customFormat="1" ht="20.25" customHeight="1">
      <c r="A318" s="964"/>
      <c r="B318" s="967"/>
      <c r="C318" s="971" t="s">
        <v>819</v>
      </c>
      <c r="D318" s="972"/>
      <c r="E318" s="276" t="s">
        <v>823</v>
      </c>
      <c r="F318" s="194"/>
      <c r="G318" s="194"/>
      <c r="H318" s="272"/>
      <c r="I318" s="287">
        <v>2014</v>
      </c>
      <c r="J318" s="240">
        <f t="shared" si="65"/>
        <v>3240</v>
      </c>
      <c r="K318" s="240">
        <f t="shared" si="66"/>
        <v>7200</v>
      </c>
      <c r="L318" s="240">
        <f t="shared" si="67"/>
        <v>1740</v>
      </c>
      <c r="M318" s="240">
        <f t="shared" si="68"/>
        <v>12120</v>
      </c>
      <c r="N318" s="240">
        <f t="shared" si="69"/>
        <v>9060</v>
      </c>
      <c r="O318" s="240">
        <f t="shared" si="70"/>
        <v>1740</v>
      </c>
      <c r="P318" s="162"/>
      <c r="Q318" s="272"/>
      <c r="R318" s="272"/>
      <c r="S318" s="272"/>
      <c r="T318" s="272"/>
      <c r="U318" s="272"/>
      <c r="V318" s="273"/>
    </row>
    <row r="319" spans="1:22" s="54" customFormat="1" ht="20.25" customHeight="1">
      <c r="A319" s="964"/>
      <c r="B319" s="967"/>
      <c r="C319" s="971" t="s">
        <v>820</v>
      </c>
      <c r="D319" s="972"/>
      <c r="E319" s="276"/>
      <c r="F319" s="194"/>
      <c r="G319" s="194"/>
      <c r="H319" s="272"/>
      <c r="I319" s="287">
        <v>2015</v>
      </c>
      <c r="J319" s="240">
        <f t="shared" si="65"/>
        <v>900</v>
      </c>
      <c r="K319" s="240">
        <f t="shared" si="66"/>
        <v>2460</v>
      </c>
      <c r="L319" s="240">
        <f t="shared" si="67"/>
        <v>420</v>
      </c>
      <c r="M319" s="240">
        <f t="shared" si="68"/>
        <v>4140</v>
      </c>
      <c r="N319" s="240">
        <f t="shared" si="69"/>
        <v>3000</v>
      </c>
      <c r="O319" s="240">
        <f t="shared" si="70"/>
        <v>420</v>
      </c>
      <c r="P319" s="162"/>
      <c r="Q319" s="272"/>
      <c r="R319" s="272"/>
      <c r="S319" s="272"/>
      <c r="T319" s="272"/>
      <c r="U319" s="272"/>
      <c r="V319" s="273"/>
    </row>
    <row r="320" spans="1:22" s="54" customFormat="1" ht="20.25" customHeight="1" thickBot="1">
      <c r="A320" s="965"/>
      <c r="B320" s="968"/>
      <c r="C320" s="973" t="s">
        <v>821</v>
      </c>
      <c r="D320" s="974"/>
      <c r="E320" s="276"/>
      <c r="F320" s="194"/>
      <c r="G320" s="194"/>
      <c r="H320" s="272"/>
      <c r="I320" s="342">
        <v>2016</v>
      </c>
      <c r="J320" s="240">
        <f t="shared" si="65"/>
        <v>0</v>
      </c>
      <c r="K320" s="240">
        <f t="shared" si="66"/>
        <v>0</v>
      </c>
      <c r="L320" s="240">
        <f t="shared" si="67"/>
        <v>0</v>
      </c>
      <c r="M320" s="240">
        <f t="shared" si="68"/>
        <v>120</v>
      </c>
      <c r="N320" s="240">
        <f t="shared" si="69"/>
        <v>0</v>
      </c>
      <c r="O320" s="240">
        <f t="shared" si="70"/>
        <v>0</v>
      </c>
      <c r="P320" s="162"/>
      <c r="Q320" s="162"/>
      <c r="R320" s="272"/>
      <c r="S320" s="272"/>
      <c r="T320" s="272"/>
      <c r="U320" s="272"/>
      <c r="V320" s="273"/>
    </row>
    <row r="321" spans="1:22">
      <c r="A321" s="323"/>
      <c r="B321" s="438"/>
      <c r="C321" s="194"/>
      <c r="D321" s="194"/>
      <c r="E321" s="276"/>
      <c r="F321" s="194"/>
      <c r="G321" s="194"/>
      <c r="H321" s="162"/>
      <c r="I321" s="345"/>
      <c r="J321" s="345"/>
      <c r="K321" s="345"/>
      <c r="L321" s="345"/>
      <c r="M321" s="345"/>
      <c r="N321" s="345"/>
      <c r="O321" s="345"/>
      <c r="P321" s="162"/>
      <c r="Q321" s="162"/>
      <c r="R321" s="162"/>
      <c r="S321" s="162"/>
      <c r="T321" s="162"/>
      <c r="U321" s="162"/>
      <c r="V321" s="168"/>
    </row>
    <row r="322" spans="1:22">
      <c r="A322" s="327"/>
      <c r="B322" s="272"/>
      <c r="C322" s="272"/>
      <c r="D322" s="272"/>
      <c r="E322" s="272"/>
      <c r="F322" s="162"/>
      <c r="G322" s="162"/>
      <c r="H322" s="162"/>
      <c r="I322" s="53"/>
      <c r="J322" s="162"/>
      <c r="K322" s="162"/>
      <c r="L322" s="162"/>
      <c r="M322" s="162"/>
      <c r="N322" s="162"/>
      <c r="O322" s="162"/>
      <c r="P322" s="162"/>
      <c r="Q322" s="162"/>
      <c r="R322" s="162"/>
      <c r="S322" s="162"/>
      <c r="T322" s="162"/>
      <c r="U322" s="162"/>
      <c r="V322" s="168"/>
    </row>
    <row r="323" spans="1:22" ht="15">
      <c r="A323" s="167"/>
      <c r="B323" s="162"/>
      <c r="C323" s="162"/>
      <c r="D323" s="162"/>
      <c r="E323" s="162"/>
      <c r="F323" s="162"/>
      <c r="G323" s="162"/>
      <c r="H323" s="162"/>
      <c r="I323" s="162"/>
      <c r="J323" s="162"/>
      <c r="K323" s="568"/>
      <c r="L323" s="162"/>
      <c r="M323" s="162"/>
      <c r="N323" s="162"/>
      <c r="O323" s="162"/>
      <c r="P323" s="162"/>
      <c r="Q323" s="162"/>
      <c r="R323" s="162"/>
      <c r="S323" s="162"/>
      <c r="T323" s="162"/>
      <c r="U323" s="162"/>
      <c r="V323" s="168"/>
    </row>
    <row r="324" spans="1:22" ht="12.75" thickBot="1">
      <c r="A324" s="919" t="s">
        <v>961</v>
      </c>
      <c r="B324" s="920"/>
      <c r="C324" s="920"/>
      <c r="D324" s="920"/>
      <c r="E324" s="162"/>
      <c r="F324" s="162"/>
      <c r="G324" s="162"/>
      <c r="H324" s="162"/>
      <c r="I324" s="162"/>
      <c r="J324" s="162"/>
      <c r="K324" s="162"/>
      <c r="L324" s="162"/>
      <c r="M324" s="162"/>
      <c r="N324" s="162"/>
      <c r="O324" s="162"/>
      <c r="P324" s="162"/>
      <c r="Q324" s="162"/>
      <c r="R324" s="162"/>
      <c r="S324" s="162"/>
      <c r="T324" s="162"/>
      <c r="U324" s="162"/>
      <c r="V324" s="168"/>
    </row>
    <row r="325" spans="1:22">
      <c r="A325" s="555" t="s">
        <v>960</v>
      </c>
      <c r="B325" s="555">
        <v>2011</v>
      </c>
      <c r="C325" s="951">
        <v>2012</v>
      </c>
      <c r="D325" s="951">
        <v>2013</v>
      </c>
      <c r="E325" s="951">
        <v>2014</v>
      </c>
      <c r="F325" s="951">
        <v>2015</v>
      </c>
      <c r="G325" s="951">
        <v>2016</v>
      </c>
      <c r="H325" s="975" t="s">
        <v>32</v>
      </c>
      <c r="I325" s="162"/>
      <c r="J325" s="162"/>
      <c r="K325" s="162"/>
      <c r="L325" s="162"/>
      <c r="M325" s="162"/>
      <c r="N325" s="162"/>
      <c r="O325" s="162"/>
      <c r="P325" s="162"/>
      <c r="Q325" s="162"/>
      <c r="R325" s="162"/>
      <c r="S325" s="162"/>
      <c r="T325" s="162"/>
      <c r="U325" s="162"/>
      <c r="V325" s="168"/>
    </row>
    <row r="326" spans="1:22" ht="12" customHeight="1">
      <c r="A326" s="556"/>
      <c r="B326" s="556"/>
      <c r="C326" s="952"/>
      <c r="D326" s="952"/>
      <c r="E326" s="952"/>
      <c r="F326" s="952"/>
      <c r="G326" s="952"/>
      <c r="H326" s="976"/>
      <c r="I326" s="162"/>
      <c r="J326" s="162"/>
      <c r="K326" s="162"/>
      <c r="L326" s="162"/>
      <c r="M326" s="162"/>
      <c r="N326" s="162"/>
      <c r="O326" s="162"/>
      <c r="P326" s="162"/>
      <c r="Q326" s="162"/>
      <c r="R326" s="162"/>
      <c r="S326" s="162"/>
      <c r="T326" s="162"/>
      <c r="U326" s="162"/>
      <c r="V326" s="168"/>
    </row>
    <row r="327" spans="1:22" ht="12" customHeight="1">
      <c r="A327" s="557"/>
      <c r="B327" s="557"/>
      <c r="C327" s="953"/>
      <c r="D327" s="953"/>
      <c r="E327" s="953"/>
      <c r="F327" s="953"/>
      <c r="G327" s="953"/>
      <c r="H327" s="977"/>
      <c r="I327" s="162"/>
      <c r="J327" s="162"/>
      <c r="K327" s="162"/>
      <c r="L327" s="162"/>
      <c r="M327" s="162"/>
      <c r="N327" s="162"/>
      <c r="O327" s="162"/>
      <c r="P327" s="162"/>
      <c r="Q327" s="162"/>
      <c r="R327" s="162"/>
      <c r="S327" s="162"/>
      <c r="T327" s="162"/>
      <c r="U327" s="162"/>
      <c r="V327" s="168"/>
    </row>
    <row r="328" spans="1:22">
      <c r="A328" s="260" t="s">
        <v>806</v>
      </c>
      <c r="B328" s="315">
        <f>J294*$M$278+K294*$M$279+L294*$M$280+M294*$M$281+(N294+O294)*$M$282</f>
        <v>11772.600000000002</v>
      </c>
      <c r="C328" s="315">
        <f>J295*$M$278+K295*$M$279+L295*$M$280+M295*$M$281+(N295+O295)*$M$282</f>
        <v>271768.80000000005</v>
      </c>
      <c r="D328" s="315">
        <f>J296*$M$278+K296*$M$279+L296*$M$280+M296*$M$281+(N296+O296)*$M$282</f>
        <v>383967.60000000003</v>
      </c>
      <c r="E328" s="315">
        <f>J297*$M$278+K297*$M$279+L297*$M$280+M297*$M$281+(N297+O297)*$M$282</f>
        <v>321242.40000000002</v>
      </c>
      <c r="F328" s="315">
        <f>J298*$M$278+K298*$M$279+L298*$M$280+M298*$M$281+(N298+O298)*$M$282</f>
        <v>41476.200000000004</v>
      </c>
      <c r="G328" s="315">
        <f>J299*$M$278+K299*$M$279+L299*$M$280+M299*$M$281+(N299+O299)*$M$282</f>
        <v>0</v>
      </c>
      <c r="H328" s="460">
        <f>SUM(B328:G328)</f>
        <v>1030227.6</v>
      </c>
      <c r="I328" s="162"/>
      <c r="J328" s="162"/>
      <c r="K328" s="162"/>
      <c r="L328" s="162"/>
      <c r="M328" s="162"/>
      <c r="N328" s="162"/>
      <c r="O328" s="162"/>
      <c r="P328" s="162"/>
      <c r="Q328" s="162"/>
      <c r="R328" s="162"/>
      <c r="S328" s="162"/>
      <c r="T328" s="162"/>
      <c r="U328" s="162"/>
      <c r="V328" s="168"/>
    </row>
    <row r="329" spans="1:22">
      <c r="A329" s="260" t="s">
        <v>635</v>
      </c>
      <c r="B329" s="315">
        <f>J315*$M$278+K315*$M$279+L315*$M$280+M315*$M$281+(N315+O315)*$M$282</f>
        <v>115500</v>
      </c>
      <c r="C329" s="315">
        <f>J316*$M$278+K316*$M$279+L316*$M$280+M316*$M$281+(N316+O316)*$M$282</f>
        <v>1358844</v>
      </c>
      <c r="D329" s="315">
        <f>J317*$M$278+K317*$M$279+L317*$M$280+M317*$M$281+(N317+O317)*$M$282</f>
        <v>1919838</v>
      </c>
      <c r="E329" s="315">
        <f>J318*$M$278+K318*$M$279+L318*$M$280+M318*$M$281+(N318+O318)*$M$282</f>
        <v>1638342</v>
      </c>
      <c r="F329" s="315">
        <f>J319*$M$278+K319*$M$279+L319*$M$280+M319*$M$281+(N319+O319)*$M$282</f>
        <v>527406</v>
      </c>
      <c r="G329" s="315">
        <f>J320*$M$278+K320*$M$279+L320*$M$280+M320*$M$281+(N320+O320)*$M$282</f>
        <v>4284</v>
      </c>
      <c r="H329" s="460">
        <f>SUM(B329:G329)</f>
        <v>5564214</v>
      </c>
      <c r="I329" s="162"/>
      <c r="J329" s="162"/>
      <c r="K329" s="162"/>
      <c r="L329" s="162"/>
      <c r="M329" s="162"/>
      <c r="N329" s="162"/>
      <c r="O329" s="162"/>
      <c r="P329" s="162"/>
      <c r="Q329" s="162"/>
      <c r="R329" s="162"/>
      <c r="S329" s="162"/>
      <c r="T329" s="162"/>
      <c r="U329" s="162"/>
      <c r="V329" s="168"/>
    </row>
    <row r="330" spans="1:22">
      <c r="A330" s="569"/>
      <c r="B330" s="305"/>
      <c r="C330" s="304"/>
      <c r="D330" s="162"/>
      <c r="E330" s="162"/>
      <c r="F330" s="162"/>
      <c r="G330" s="162"/>
      <c r="H330" s="460">
        <f>SUM(H328:H329)</f>
        <v>6594441.5999999996</v>
      </c>
      <c r="I330" s="162"/>
      <c r="J330" s="162"/>
      <c r="K330" s="162"/>
      <c r="L330" s="162"/>
      <c r="M330" s="162"/>
      <c r="N330" s="162"/>
      <c r="O330" s="162"/>
      <c r="P330" s="162"/>
      <c r="Q330" s="162"/>
      <c r="R330" s="162"/>
      <c r="S330" s="162"/>
      <c r="T330" s="162"/>
      <c r="U330" s="162"/>
      <c r="V330" s="168"/>
    </row>
    <row r="331" spans="1:22">
      <c r="A331" s="570"/>
      <c r="B331" s="53"/>
      <c r="C331" s="53"/>
      <c r="D331" s="302"/>
      <c r="E331" s="162"/>
      <c r="F331" s="303"/>
      <c r="G331" s="304"/>
      <c r="H331" s="305"/>
      <c r="I331" s="304"/>
      <c r="J331" s="162"/>
      <c r="K331" s="162"/>
      <c r="L331" s="162"/>
      <c r="M331" s="162"/>
      <c r="N331" s="162"/>
      <c r="O331" s="162"/>
      <c r="P331" s="162"/>
      <c r="Q331" s="162"/>
      <c r="R331" s="162"/>
      <c r="S331" s="162"/>
      <c r="T331" s="162"/>
      <c r="U331" s="162"/>
      <c r="V331" s="168"/>
    </row>
    <row r="332" spans="1:22">
      <c r="A332" s="570"/>
      <c r="B332" s="53"/>
      <c r="C332" s="53"/>
      <c r="D332" s="302"/>
      <c r="E332" s="162"/>
      <c r="F332" s="303"/>
      <c r="G332" s="304"/>
      <c r="H332" s="305"/>
      <c r="I332" s="304"/>
      <c r="J332" s="162"/>
      <c r="K332" s="162"/>
      <c r="L332" s="162"/>
      <c r="M332" s="162"/>
      <c r="N332" s="162"/>
      <c r="O332" s="162"/>
      <c r="P332" s="162"/>
      <c r="Q332" s="162"/>
      <c r="R332" s="162"/>
      <c r="S332" s="162"/>
      <c r="T332" s="162"/>
      <c r="U332" s="162"/>
      <c r="V332" s="168"/>
    </row>
    <row r="333" spans="1:22" ht="27" customHeight="1" thickBot="1">
      <c r="A333" s="949" t="s">
        <v>962</v>
      </c>
      <c r="B333" s="962"/>
      <c r="C333" s="962"/>
      <c r="D333" s="954"/>
      <c r="E333" s="162"/>
      <c r="F333" s="162"/>
      <c r="G333" s="162"/>
      <c r="H333" s="162"/>
      <c r="I333" s="304"/>
      <c r="J333" s="162"/>
      <c r="K333" s="162"/>
      <c r="L333" s="162"/>
      <c r="M333" s="162"/>
      <c r="N333" s="162"/>
      <c r="O333" s="162"/>
      <c r="P333" s="162"/>
      <c r="Q333" s="162"/>
      <c r="R333" s="162"/>
      <c r="S333" s="162"/>
      <c r="T333" s="162"/>
      <c r="U333" s="162"/>
      <c r="V333" s="168"/>
    </row>
    <row r="334" spans="1:22">
      <c r="A334" s="555" t="s">
        <v>960</v>
      </c>
      <c r="B334" s="555">
        <v>2011</v>
      </c>
      <c r="C334" s="951">
        <v>2012</v>
      </c>
      <c r="D334" s="951">
        <v>2013</v>
      </c>
      <c r="E334" s="951">
        <v>2014</v>
      </c>
      <c r="F334" s="951">
        <v>2015</v>
      </c>
      <c r="G334" s="951">
        <v>2016</v>
      </c>
      <c r="H334" s="951" t="s">
        <v>32</v>
      </c>
      <c r="I334" s="162" t="s">
        <v>780</v>
      </c>
      <c r="J334" s="162"/>
      <c r="K334" s="162"/>
      <c r="L334" s="162"/>
      <c r="M334" s="162"/>
      <c r="N334" s="162"/>
      <c r="O334" s="162"/>
      <c r="P334" s="162"/>
      <c r="Q334" s="162"/>
      <c r="R334" s="162"/>
      <c r="S334" s="162"/>
      <c r="T334" s="162"/>
      <c r="U334" s="162"/>
      <c r="V334" s="168"/>
    </row>
    <row r="335" spans="1:22">
      <c r="A335" s="556"/>
      <c r="B335" s="556"/>
      <c r="C335" s="952"/>
      <c r="D335" s="952"/>
      <c r="E335" s="952"/>
      <c r="F335" s="952"/>
      <c r="G335" s="952"/>
      <c r="H335" s="952"/>
      <c r="I335" s="304"/>
      <c r="J335" s="162"/>
      <c r="K335" s="162"/>
      <c r="L335" s="162"/>
      <c r="M335" s="162"/>
      <c r="N335" s="162"/>
      <c r="O335" s="162"/>
      <c r="P335" s="162"/>
      <c r="Q335" s="162"/>
      <c r="R335" s="162"/>
      <c r="S335" s="162"/>
      <c r="T335" s="162"/>
      <c r="U335" s="162"/>
      <c r="V335" s="168"/>
    </row>
    <row r="336" spans="1:22">
      <c r="A336" s="557"/>
      <c r="B336" s="557"/>
      <c r="C336" s="953"/>
      <c r="D336" s="953"/>
      <c r="E336" s="953"/>
      <c r="F336" s="953"/>
      <c r="G336" s="953"/>
      <c r="H336" s="953"/>
      <c r="I336" s="162"/>
      <c r="J336" s="162"/>
      <c r="K336" s="162"/>
      <c r="L336" s="162"/>
      <c r="M336" s="162"/>
      <c r="N336" s="162"/>
      <c r="O336" s="162"/>
      <c r="P336" s="162"/>
      <c r="Q336" s="162"/>
      <c r="R336" s="162"/>
      <c r="S336" s="162"/>
      <c r="T336" s="162"/>
      <c r="U336" s="162"/>
      <c r="V336" s="168"/>
    </row>
    <row r="337" spans="1:22" ht="12.75" thickBot="1">
      <c r="A337" s="260" t="s">
        <v>806</v>
      </c>
      <c r="B337" s="315">
        <f t="shared" ref="B337:G338" si="71">B328*2</f>
        <v>23545.200000000004</v>
      </c>
      <c r="C337" s="315">
        <f t="shared" si="71"/>
        <v>543537.60000000009</v>
      </c>
      <c r="D337" s="315">
        <f t="shared" si="71"/>
        <v>767935.20000000007</v>
      </c>
      <c r="E337" s="315">
        <f t="shared" si="71"/>
        <v>642484.80000000005</v>
      </c>
      <c r="F337" s="315">
        <f t="shared" si="71"/>
        <v>82952.400000000009</v>
      </c>
      <c r="G337" s="315">
        <f t="shared" si="71"/>
        <v>0</v>
      </c>
      <c r="H337" s="339">
        <f>SUM(B337:G337)</f>
        <v>2060455.2</v>
      </c>
      <c r="I337" s="162"/>
      <c r="J337" s="162"/>
      <c r="K337" s="162"/>
      <c r="L337" s="162"/>
      <c r="M337" s="162"/>
      <c r="N337" s="162"/>
      <c r="O337" s="162"/>
      <c r="P337" s="162"/>
      <c r="Q337" s="162"/>
      <c r="R337" s="162"/>
      <c r="S337" s="162"/>
      <c r="T337" s="162"/>
      <c r="U337" s="162"/>
      <c r="V337" s="168"/>
    </row>
    <row r="338" spans="1:22" ht="12.75" thickBot="1">
      <c r="A338" s="260" t="s">
        <v>635</v>
      </c>
      <c r="B338" s="346">
        <f t="shared" si="71"/>
        <v>231000</v>
      </c>
      <c r="C338" s="346">
        <f t="shared" si="71"/>
        <v>2717688</v>
      </c>
      <c r="D338" s="346">
        <f t="shared" si="71"/>
        <v>3839676</v>
      </c>
      <c r="E338" s="346">
        <f t="shared" si="71"/>
        <v>3276684</v>
      </c>
      <c r="F338" s="346">
        <f t="shared" si="71"/>
        <v>1054812</v>
      </c>
      <c r="G338" s="346">
        <f t="shared" si="71"/>
        <v>8568</v>
      </c>
      <c r="H338" s="339">
        <f>SUM(B338:G338)</f>
        <v>11128428</v>
      </c>
      <c r="I338" s="162"/>
      <c r="J338" s="162"/>
      <c r="K338" s="162"/>
      <c r="L338" s="162"/>
      <c r="M338" s="162"/>
      <c r="N338" s="162"/>
      <c r="O338" s="162"/>
      <c r="P338" s="162"/>
      <c r="Q338" s="162"/>
      <c r="R338" s="162"/>
      <c r="S338" s="162"/>
      <c r="T338" s="162"/>
      <c r="U338" s="162"/>
      <c r="V338" s="168"/>
    </row>
    <row r="339" spans="1:22">
      <c r="A339" s="569"/>
      <c r="B339" s="305"/>
      <c r="C339" s="304"/>
      <c r="D339" s="162"/>
      <c r="E339" s="162"/>
      <c r="F339" s="162"/>
      <c r="G339" s="162"/>
      <c r="H339" s="559">
        <f>SUM(H337:H338)</f>
        <v>13188883.199999999</v>
      </c>
      <c r="I339" s="162"/>
      <c r="J339" s="162"/>
      <c r="K339" s="162"/>
      <c r="L339" s="162"/>
      <c r="M339" s="162"/>
      <c r="N339" s="162"/>
      <c r="O339" s="162"/>
      <c r="P339" s="162"/>
      <c r="Q339" s="162"/>
      <c r="R339" s="162"/>
      <c r="S339" s="162"/>
      <c r="T339" s="162"/>
      <c r="U339" s="162"/>
      <c r="V339" s="168"/>
    </row>
    <row r="340" spans="1:22">
      <c r="A340" s="501"/>
      <c r="B340" s="56"/>
      <c r="C340" s="56"/>
      <c r="D340" s="56"/>
      <c r="E340" s="162"/>
      <c r="F340" s="162"/>
      <c r="G340" s="162"/>
      <c r="H340" s="162"/>
      <c r="I340" s="162"/>
      <c r="J340" s="162"/>
      <c r="K340" s="162"/>
      <c r="L340" s="162"/>
      <c r="M340" s="162"/>
      <c r="N340" s="162"/>
      <c r="O340" s="162"/>
      <c r="P340" s="162"/>
      <c r="Q340" s="162"/>
      <c r="R340" s="162"/>
      <c r="S340" s="162"/>
      <c r="T340" s="162"/>
      <c r="U340" s="162"/>
      <c r="V340" s="168"/>
    </row>
    <row r="341" spans="1:22" ht="12.75" thickBot="1">
      <c r="A341" s="183"/>
      <c r="B341" s="184"/>
      <c r="C341" s="184"/>
      <c r="D341" s="184"/>
      <c r="E341" s="184"/>
      <c r="F341" s="184"/>
      <c r="G341" s="184"/>
      <c r="H341" s="184"/>
      <c r="I341" s="184"/>
      <c r="J341" s="184"/>
      <c r="K341" s="184"/>
      <c r="L341" s="184"/>
      <c r="M341" s="184"/>
      <c r="N341" s="184"/>
      <c r="O341" s="184"/>
      <c r="P341" s="184"/>
      <c r="Q341" s="184"/>
      <c r="R341" s="184"/>
      <c r="S341" s="184"/>
      <c r="T341" s="184"/>
      <c r="U341" s="184"/>
      <c r="V341" s="186"/>
    </row>
    <row r="342" spans="1:22">
      <c r="A342" s="37"/>
      <c r="B342" s="37"/>
      <c r="C342" s="37"/>
      <c r="D342" s="37"/>
      <c r="E342" s="37"/>
      <c r="F342" s="37"/>
      <c r="G342" s="37"/>
      <c r="H342" s="37"/>
      <c r="I342" s="37"/>
      <c r="K342" s="37"/>
    </row>
    <row r="343" spans="1:22">
      <c r="J343" s="53"/>
      <c r="K343" s="53"/>
      <c r="L343" s="53"/>
    </row>
    <row r="344" spans="1:22">
      <c r="J344" s="53"/>
      <c r="K344" s="53"/>
      <c r="L344" s="53"/>
    </row>
    <row r="345" spans="1:22">
      <c r="J345" s="524"/>
      <c r="K345" s="53"/>
      <c r="L345" s="53"/>
    </row>
    <row r="346" spans="1:22">
      <c r="J346" s="53"/>
      <c r="K346" s="53"/>
      <c r="L346" s="53"/>
    </row>
    <row r="347" spans="1:22">
      <c r="J347" s="53"/>
      <c r="K347" s="53"/>
      <c r="L347" s="53"/>
    </row>
    <row r="348" spans="1:22">
      <c r="J348" s="53"/>
      <c r="K348" s="53"/>
      <c r="L348" s="53"/>
    </row>
    <row r="349" spans="1:22">
      <c r="J349" s="53"/>
      <c r="K349" s="53"/>
      <c r="L349" s="53"/>
    </row>
    <row r="350" spans="1:22">
      <c r="A350" s="37"/>
      <c r="B350" s="37"/>
      <c r="C350" s="37"/>
      <c r="D350" s="37"/>
      <c r="E350" s="294"/>
      <c r="F350" s="294"/>
      <c r="G350" s="294"/>
      <c r="H350" s="294"/>
      <c r="I350" s="294"/>
      <c r="J350" s="53"/>
      <c r="K350" s="53"/>
      <c r="L350" s="53"/>
    </row>
    <row r="351" spans="1:22">
      <c r="A351" s="37"/>
      <c r="B351" s="37"/>
      <c r="C351" s="37"/>
      <c r="D351" s="37"/>
      <c r="E351" s="37"/>
      <c r="F351" s="37"/>
      <c r="G351" s="37"/>
      <c r="H351" s="37"/>
      <c r="I351" s="37"/>
      <c r="J351" s="53" t="s">
        <v>5</v>
      </c>
      <c r="K351" s="53"/>
      <c r="L351" s="53"/>
    </row>
    <row r="352" spans="1:22">
      <c r="J352" s="53" t="s">
        <v>5</v>
      </c>
      <c r="K352" s="53"/>
      <c r="L352" s="53"/>
    </row>
    <row r="353" spans="1:12">
      <c r="J353" s="53"/>
      <c r="K353" s="53"/>
      <c r="L353" s="53"/>
    </row>
    <row r="354" spans="1:12">
      <c r="J354" s="53"/>
      <c r="K354" s="53"/>
      <c r="L354" s="53"/>
    </row>
    <row r="355" spans="1:12">
      <c r="J355" s="53"/>
      <c r="K355" s="53"/>
      <c r="L355" s="53"/>
    </row>
    <row r="356" spans="1:12">
      <c r="J356" s="53"/>
      <c r="K356" s="53"/>
      <c r="L356" s="53"/>
    </row>
    <row r="358" spans="1:12">
      <c r="A358" s="37"/>
      <c r="B358" s="37"/>
      <c r="C358" s="37"/>
      <c r="D358" s="37"/>
      <c r="E358" s="37"/>
      <c r="F358" s="37"/>
      <c r="G358" s="37"/>
      <c r="H358" s="37"/>
      <c r="I358" s="37"/>
    </row>
    <row r="359" spans="1:12">
      <c r="A359" s="37"/>
      <c r="B359" s="37"/>
      <c r="C359" s="37"/>
      <c r="D359" s="37"/>
      <c r="E359" s="37"/>
      <c r="F359" s="37"/>
      <c r="G359" s="37"/>
      <c r="H359" s="37"/>
      <c r="I359" s="37"/>
    </row>
    <row r="360" spans="1:12">
      <c r="A360" s="37"/>
      <c r="B360" s="37"/>
      <c r="C360" s="37"/>
      <c r="D360" s="37"/>
      <c r="E360" s="37"/>
      <c r="F360" s="37"/>
      <c r="G360" s="37"/>
      <c r="H360" s="37"/>
      <c r="I360" s="37"/>
    </row>
    <row r="361" spans="1:12">
      <c r="A361" s="37"/>
      <c r="B361" s="37"/>
      <c r="C361" s="37"/>
      <c r="D361" s="37"/>
      <c r="E361" s="37"/>
      <c r="F361" s="37"/>
      <c r="G361" s="37"/>
      <c r="H361" s="37"/>
      <c r="I361" s="37"/>
    </row>
  </sheetData>
  <mergeCells count="142">
    <mergeCell ref="G334:G336"/>
    <mergeCell ref="H334:H336"/>
    <mergeCell ref="C10:E10"/>
    <mergeCell ref="J12:J13"/>
    <mergeCell ref="O12:O13"/>
    <mergeCell ref="F14:H14"/>
    <mergeCell ref="F15:H15"/>
    <mergeCell ref="J17:O17"/>
    <mergeCell ref="J143:M143"/>
    <mergeCell ref="K144:M144"/>
    <mergeCell ref="N144:P144"/>
    <mergeCell ref="A80:C80"/>
    <mergeCell ref="B81:B82"/>
    <mergeCell ref="C81:C82"/>
    <mergeCell ref="D81:E81"/>
    <mergeCell ref="A25:C25"/>
    <mergeCell ref="A26:A27"/>
    <mergeCell ref="B26:C26"/>
    <mergeCell ref="A31:C31"/>
    <mergeCell ref="A36:H36"/>
    <mergeCell ref="A113:A114"/>
    <mergeCell ref="B113:D113"/>
    <mergeCell ref="A142:G142"/>
    <mergeCell ref="K113:M113"/>
    <mergeCell ref="K133:M133"/>
    <mergeCell ref="N133:P133"/>
    <mergeCell ref="A83:A84"/>
    <mergeCell ref="D83:D84"/>
    <mergeCell ref="E83:E84"/>
    <mergeCell ref="A89:C89"/>
    <mergeCell ref="A98:H98"/>
    <mergeCell ref="A101:H101"/>
    <mergeCell ref="A148:A150"/>
    <mergeCell ref="B148:B150"/>
    <mergeCell ref="C148:C150"/>
    <mergeCell ref="D148:D150"/>
    <mergeCell ref="E148:E150"/>
    <mergeCell ref="F148:F150"/>
    <mergeCell ref="A146:A147"/>
    <mergeCell ref="B146:B147"/>
    <mergeCell ref="C146:C147"/>
    <mergeCell ref="D146:D147"/>
    <mergeCell ref="E146:E147"/>
    <mergeCell ref="F146:F147"/>
    <mergeCell ref="A154:A157"/>
    <mergeCell ref="B154:B157"/>
    <mergeCell ref="C154:C157"/>
    <mergeCell ref="D154:D157"/>
    <mergeCell ref="E154:E157"/>
    <mergeCell ref="F154:F157"/>
    <mergeCell ref="A151:A153"/>
    <mergeCell ref="B151:B153"/>
    <mergeCell ref="C151:C153"/>
    <mergeCell ref="D151:D153"/>
    <mergeCell ref="E151:E153"/>
    <mergeCell ref="F151:F153"/>
    <mergeCell ref="B170:D170"/>
    <mergeCell ref="F170:F172"/>
    <mergeCell ref="A161:A163"/>
    <mergeCell ref="B161:B163"/>
    <mergeCell ref="C161:C163"/>
    <mergeCell ref="D161:D163"/>
    <mergeCell ref="E161:E163"/>
    <mergeCell ref="F161:F163"/>
    <mergeCell ref="A158:A160"/>
    <mergeCell ref="B158:B160"/>
    <mergeCell ref="C158:C160"/>
    <mergeCell ref="D158:D160"/>
    <mergeCell ref="E158:E160"/>
    <mergeCell ref="F158:F160"/>
    <mergeCell ref="I292:I293"/>
    <mergeCell ref="J292:O292"/>
    <mergeCell ref="A240:A241"/>
    <mergeCell ref="B240:B241"/>
    <mergeCell ref="C240:H240"/>
    <mergeCell ref="I240:I241"/>
    <mergeCell ref="A273:H273"/>
    <mergeCell ref="A275:G275"/>
    <mergeCell ref="A191:C191"/>
    <mergeCell ref="A196:A197"/>
    <mergeCell ref="B196:B197"/>
    <mergeCell ref="C196:H196"/>
    <mergeCell ref="I196:I197"/>
    <mergeCell ref="A287:C287"/>
    <mergeCell ref="D325:D327"/>
    <mergeCell ref="E325:E327"/>
    <mergeCell ref="F325:F327"/>
    <mergeCell ref="G325:G327"/>
    <mergeCell ref="P308:P309"/>
    <mergeCell ref="A314:A316"/>
    <mergeCell ref="B314:B316"/>
    <mergeCell ref="C314:D314"/>
    <mergeCell ref="C315:D315"/>
    <mergeCell ref="C316:D316"/>
    <mergeCell ref="C334:C336"/>
    <mergeCell ref="D334:D336"/>
    <mergeCell ref="E334:E336"/>
    <mergeCell ref="F334:F336"/>
    <mergeCell ref="N113:P113"/>
    <mergeCell ref="J112:M112"/>
    <mergeCell ref="J122:M122"/>
    <mergeCell ref="K123:M123"/>
    <mergeCell ref="N123:P123"/>
    <mergeCell ref="J132:M132"/>
    <mergeCell ref="B301:G301"/>
    <mergeCell ref="A312:C312"/>
    <mergeCell ref="C313:D313"/>
    <mergeCell ref="I313:I314"/>
    <mergeCell ref="J313:O313"/>
    <mergeCell ref="A333:D333"/>
    <mergeCell ref="A317:A320"/>
    <mergeCell ref="B317:B320"/>
    <mergeCell ref="C317:D317"/>
    <mergeCell ref="C318:D318"/>
    <mergeCell ref="C319:D319"/>
    <mergeCell ref="C320:D320"/>
    <mergeCell ref="H325:H327"/>
    <mergeCell ref="C325:C327"/>
    <mergeCell ref="A37:H37"/>
    <mergeCell ref="E113:G113"/>
    <mergeCell ref="A123:A124"/>
    <mergeCell ref="B123:D123"/>
    <mergeCell ref="E123:G123"/>
    <mergeCell ref="A133:A134"/>
    <mergeCell ref="B133:D133"/>
    <mergeCell ref="E133:G133"/>
    <mergeCell ref="A324:D324"/>
    <mergeCell ref="A301:A302"/>
    <mergeCell ref="A288:A289"/>
    <mergeCell ref="B288:G288"/>
    <mergeCell ref="A183:C183"/>
    <mergeCell ref="B184:B185"/>
    <mergeCell ref="C184:D184"/>
    <mergeCell ref="G170:I170"/>
    <mergeCell ref="A171:A172"/>
    <mergeCell ref="A164:A166"/>
    <mergeCell ref="B164:B166"/>
    <mergeCell ref="C164:C166"/>
    <mergeCell ref="D164:D166"/>
    <mergeCell ref="E164:E166"/>
    <mergeCell ref="F164:F166"/>
    <mergeCell ref="A169:D169"/>
  </mergeCells>
  <pageMargins left="0.7" right="0.7" top="0.75" bottom="0.75" header="0.3" footer="0.3"/>
  <pageSetup orientation="portrait" verticalDpi="0" r:id="rId4"/>
  <drawing r:id="rId5"/>
  <legacyDrawing r:id="rId6"/>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889DB"/>
  </sheetPr>
  <dimension ref="A1:W161"/>
  <sheetViews>
    <sheetView workbookViewId="0">
      <selection activeCell="F115" sqref="F115"/>
    </sheetView>
  </sheetViews>
  <sheetFormatPr baseColWidth="10" defaultRowHeight="12"/>
  <cols>
    <col min="1" max="1" width="29.7109375" style="29" customWidth="1"/>
    <col min="2" max="2" width="20" style="29" customWidth="1"/>
    <col min="3" max="3" width="15.42578125" style="29" customWidth="1"/>
    <col min="4" max="4" width="14.5703125" style="29" customWidth="1"/>
    <col min="5" max="5" width="25.140625" style="29" customWidth="1"/>
    <col min="6" max="6" width="13.140625" style="29" customWidth="1"/>
    <col min="7" max="7" width="14.85546875" style="29" customWidth="1"/>
    <col min="8" max="9" width="12.85546875" style="29" customWidth="1"/>
    <col min="10" max="10" width="12.7109375" style="29" customWidth="1"/>
    <col min="11" max="11" width="17.28515625" style="29" customWidth="1"/>
    <col min="12" max="12" width="24.28515625" style="29" customWidth="1"/>
    <col min="13" max="16384" width="11.42578125" style="29"/>
  </cols>
  <sheetData>
    <row r="1" spans="1:16">
      <c r="A1" s="263" t="s">
        <v>731</v>
      </c>
    </row>
    <row r="2" spans="1:16">
      <c r="A2" s="264"/>
    </row>
    <row r="3" spans="1:16">
      <c r="A3" s="264" t="s">
        <v>735</v>
      </c>
    </row>
    <row r="4" spans="1:16">
      <c r="A4" s="264" t="s">
        <v>736</v>
      </c>
    </row>
    <row r="5" spans="1:16" ht="12.75" thickBot="1">
      <c r="A5" s="265" t="s">
        <v>737</v>
      </c>
    </row>
    <row r="6" spans="1:16">
      <c r="A6" s="30"/>
    </row>
    <row r="7" spans="1:16" ht="12.75" thickBot="1">
      <c r="A7" s="30"/>
    </row>
    <row r="8" spans="1:16">
      <c r="A8" s="163" t="s">
        <v>607</v>
      </c>
      <c r="B8" s="164"/>
      <c r="C8" s="164"/>
      <c r="D8" s="164"/>
      <c r="E8" s="165"/>
      <c r="F8" s="165"/>
      <c r="G8" s="165"/>
      <c r="H8" s="165"/>
      <c r="I8" s="165"/>
      <c r="J8" s="165"/>
      <c r="K8" s="165"/>
      <c r="L8" s="165"/>
      <c r="M8" s="165"/>
      <c r="N8" s="165"/>
      <c r="O8" s="165"/>
      <c r="P8" s="166"/>
    </row>
    <row r="9" spans="1:16">
      <c r="A9" s="167"/>
      <c r="B9" s="155"/>
      <c r="C9" s="155"/>
      <c r="D9" s="155"/>
      <c r="E9" s="162"/>
      <c r="F9" s="162"/>
      <c r="G9" s="162"/>
      <c r="H9" s="162"/>
      <c r="I9" s="162"/>
      <c r="J9" s="162"/>
      <c r="K9" s="162"/>
      <c r="L9" s="162"/>
      <c r="M9" s="162"/>
      <c r="N9" s="162"/>
      <c r="O9" s="162"/>
      <c r="P9" s="168"/>
    </row>
    <row r="10" spans="1:16" ht="39.75" customHeight="1">
      <c r="A10" s="169"/>
      <c r="B10" s="156"/>
      <c r="C10" s="1008" t="s">
        <v>719</v>
      </c>
      <c r="D10" s="1009"/>
      <c r="E10" s="1009"/>
      <c r="F10" s="162"/>
      <c r="G10" s="162"/>
      <c r="H10" s="162"/>
      <c r="I10" s="162"/>
      <c r="J10" s="162"/>
      <c r="K10" s="162"/>
      <c r="L10" s="162"/>
      <c r="M10" s="162"/>
      <c r="N10" s="162"/>
      <c r="O10" s="162"/>
      <c r="P10" s="170"/>
    </row>
    <row r="11" spans="1:16" ht="17.25" customHeight="1" thickBot="1">
      <c r="A11" s="167"/>
      <c r="B11" s="156"/>
      <c r="C11" s="171"/>
      <c r="D11" s="156"/>
      <c r="E11" s="162"/>
      <c r="F11" s="162" t="s">
        <v>840</v>
      </c>
      <c r="G11" s="162"/>
      <c r="H11" s="162"/>
      <c r="I11" s="162"/>
      <c r="J11" s="172" t="s">
        <v>732</v>
      </c>
      <c r="K11" s="162"/>
      <c r="L11" s="162"/>
      <c r="M11" s="162"/>
      <c r="N11" s="172"/>
      <c r="O11" s="162"/>
      <c r="P11" s="168"/>
    </row>
    <row r="12" spans="1:16" ht="15.75">
      <c r="A12" s="173"/>
      <c r="B12" s="156"/>
      <c r="C12" s="156"/>
      <c r="D12" s="156"/>
      <c r="E12" s="162"/>
      <c r="F12" s="162"/>
      <c r="G12" s="162"/>
      <c r="H12" s="162"/>
      <c r="I12" s="162"/>
      <c r="J12" s="907" t="s">
        <v>649</v>
      </c>
      <c r="K12" s="125" t="s">
        <v>680</v>
      </c>
      <c r="L12" s="162"/>
      <c r="M12" s="162"/>
      <c r="N12" s="162"/>
      <c r="O12" s="1010"/>
      <c r="P12" s="174"/>
    </row>
    <row r="13" spans="1:16" ht="15.75">
      <c r="A13" s="173" t="s">
        <v>702</v>
      </c>
      <c r="B13" s="157" t="s">
        <v>512</v>
      </c>
      <c r="C13" s="156"/>
      <c r="D13" s="157" t="s">
        <v>295</v>
      </c>
      <c r="E13" s="175" t="s">
        <v>344</v>
      </c>
      <c r="F13" s="175" t="s">
        <v>718</v>
      </c>
      <c r="G13" s="162"/>
      <c r="H13" s="162"/>
      <c r="I13" s="162"/>
      <c r="J13" s="908"/>
      <c r="K13" s="127" t="s">
        <v>681</v>
      </c>
      <c r="L13" s="162"/>
      <c r="M13" s="162"/>
      <c r="N13" s="162"/>
      <c r="O13" s="1010"/>
      <c r="P13" s="174"/>
    </row>
    <row r="14" spans="1:16" ht="21" customHeight="1">
      <c r="A14" s="176" t="s">
        <v>646</v>
      </c>
      <c r="B14" s="158" t="s">
        <v>723</v>
      </c>
      <c r="C14" s="158"/>
      <c r="D14" s="177" t="s">
        <v>726</v>
      </c>
      <c r="E14" s="178"/>
      <c r="F14" s="1009"/>
      <c r="G14" s="927"/>
      <c r="H14" s="927"/>
      <c r="I14" s="162"/>
      <c r="J14" s="128" t="s">
        <v>712</v>
      </c>
      <c r="K14" s="129">
        <v>74100</v>
      </c>
      <c r="L14" s="162"/>
      <c r="M14" s="162"/>
      <c r="N14" s="162"/>
      <c r="O14" s="161"/>
      <c r="P14" s="179"/>
    </row>
    <row r="15" spans="1:16" ht="21.75" customHeight="1">
      <c r="A15" s="176" t="s">
        <v>617</v>
      </c>
      <c r="B15" s="158" t="s">
        <v>370</v>
      </c>
      <c r="C15" s="158"/>
      <c r="D15" s="177" t="s">
        <v>728</v>
      </c>
      <c r="E15" s="178"/>
      <c r="F15" s="1009"/>
      <c r="G15" s="927"/>
      <c r="H15" s="927"/>
      <c r="I15" s="162"/>
      <c r="J15" s="128" t="s">
        <v>713</v>
      </c>
      <c r="K15" s="129">
        <v>3.9</v>
      </c>
      <c r="L15" s="162"/>
      <c r="M15" s="162"/>
      <c r="N15" s="162"/>
      <c r="O15" s="161"/>
      <c r="P15" s="180"/>
    </row>
    <row r="16" spans="1:16" ht="16.5" customHeight="1" thickBot="1">
      <c r="A16" s="176" t="s">
        <v>720</v>
      </c>
      <c r="B16" s="158" t="s">
        <v>724</v>
      </c>
      <c r="C16" s="158"/>
      <c r="D16" s="177" t="s">
        <v>729</v>
      </c>
      <c r="E16" s="181">
        <f>G16*4.187*10^-9</f>
        <v>4.3013051000000003E-5</v>
      </c>
      <c r="F16" s="158" t="s">
        <v>734</v>
      </c>
      <c r="G16" s="162">
        <v>10273</v>
      </c>
      <c r="H16" s="162"/>
      <c r="I16" s="162"/>
      <c r="J16" s="130" t="s">
        <v>714</v>
      </c>
      <c r="K16" s="131">
        <v>3.9</v>
      </c>
      <c r="L16" s="162"/>
      <c r="M16" s="162"/>
      <c r="N16" s="162"/>
      <c r="O16" s="161"/>
      <c r="P16" s="180"/>
    </row>
    <row r="17" spans="1:16" ht="20.25" customHeight="1">
      <c r="A17" s="176" t="s">
        <v>721</v>
      </c>
      <c r="B17" s="158" t="s">
        <v>738</v>
      </c>
      <c r="C17" s="158"/>
      <c r="D17" s="177" t="s">
        <v>730</v>
      </c>
      <c r="E17" s="178"/>
      <c r="F17" s="162"/>
      <c r="G17" s="162"/>
      <c r="H17" s="162"/>
      <c r="I17" s="162"/>
      <c r="J17" s="1011" t="s">
        <v>733</v>
      </c>
      <c r="K17" s="1009"/>
      <c r="L17" s="1009"/>
      <c r="M17" s="1009"/>
      <c r="N17" s="1009"/>
      <c r="O17" s="1009"/>
      <c r="P17" s="168"/>
    </row>
    <row r="18" spans="1:16" ht="11.25" customHeight="1">
      <c r="A18" s="182" t="s">
        <v>722</v>
      </c>
      <c r="B18" s="158" t="s">
        <v>725</v>
      </c>
      <c r="C18" s="159"/>
      <c r="D18" s="160" t="s">
        <v>368</v>
      </c>
      <c r="E18" s="181"/>
      <c r="F18" s="162"/>
      <c r="G18" s="162"/>
      <c r="H18" s="162"/>
      <c r="I18" s="162"/>
      <c r="J18" s="162"/>
      <c r="K18" s="162"/>
      <c r="L18" s="162"/>
      <c r="M18" s="162"/>
      <c r="N18" s="162"/>
      <c r="O18" s="162"/>
      <c r="P18" s="168"/>
    </row>
    <row r="19" spans="1:16" ht="11.25" customHeight="1">
      <c r="A19" s="176" t="s">
        <v>699</v>
      </c>
      <c r="B19" s="158" t="s">
        <v>727</v>
      </c>
      <c r="C19" s="159"/>
      <c r="D19" s="160"/>
      <c r="E19" s="178"/>
      <c r="F19" s="162"/>
      <c r="G19" s="162"/>
      <c r="H19" s="162"/>
      <c r="I19" s="162"/>
      <c r="J19" s="172" t="s">
        <v>709</v>
      </c>
      <c r="K19" s="162"/>
      <c r="L19" s="162"/>
      <c r="M19" s="162"/>
      <c r="N19" s="162"/>
      <c r="O19" s="162"/>
      <c r="P19" s="168"/>
    </row>
    <row r="20" spans="1:16" ht="11.25" customHeight="1">
      <c r="A20" s="167"/>
      <c r="B20" s="162"/>
      <c r="C20" s="156"/>
      <c r="D20" s="156"/>
      <c r="E20" s="162"/>
      <c r="F20" s="162"/>
      <c r="G20" s="162"/>
      <c r="H20" s="162"/>
      <c r="I20" s="162"/>
      <c r="J20" s="268">
        <v>5</v>
      </c>
      <c r="K20" s="162" t="s">
        <v>605</v>
      </c>
      <c r="L20" s="162"/>
      <c r="M20" s="162"/>
      <c r="N20" s="162"/>
      <c r="O20" s="162"/>
      <c r="P20" s="168"/>
    </row>
    <row r="21" spans="1:16" ht="12" customHeight="1" thickBot="1">
      <c r="A21" s="183"/>
      <c r="B21" s="184"/>
      <c r="C21" s="185"/>
      <c r="D21" s="185"/>
      <c r="E21" s="184"/>
      <c r="F21" s="184"/>
      <c r="G21" s="184"/>
      <c r="H21" s="184"/>
      <c r="I21" s="184"/>
      <c r="J21" s="184"/>
      <c r="K21" s="184"/>
      <c r="L21" s="184"/>
      <c r="M21" s="184"/>
      <c r="N21" s="184"/>
      <c r="O21" s="184"/>
      <c r="P21" s="186"/>
    </row>
    <row r="22" spans="1:16" ht="12" customHeight="1" thickBot="1">
      <c r="C22" s="124"/>
      <c r="D22" s="124"/>
    </row>
    <row r="23" spans="1:16" ht="12" customHeight="1">
      <c r="A23" s="163" t="s">
        <v>735</v>
      </c>
      <c r="B23" s="165"/>
      <c r="C23" s="200"/>
      <c r="D23" s="200"/>
      <c r="E23" s="165"/>
      <c r="F23" s="165"/>
      <c r="G23" s="165"/>
      <c r="H23" s="165"/>
      <c r="I23" s="165"/>
      <c r="J23" s="166"/>
      <c r="K23" s="53"/>
      <c r="L23" s="53"/>
      <c r="M23" s="53"/>
      <c r="N23" s="53"/>
      <c r="O23" s="53"/>
      <c r="P23" s="53"/>
    </row>
    <row r="24" spans="1:16" ht="12" customHeight="1">
      <c r="A24" s="167"/>
      <c r="B24" s="162"/>
      <c r="C24" s="156"/>
      <c r="D24" s="156"/>
      <c r="E24" s="162"/>
      <c r="F24" s="162"/>
      <c r="G24" s="162"/>
      <c r="H24" s="162"/>
      <c r="I24" s="162"/>
      <c r="J24" s="168"/>
      <c r="K24" s="53"/>
      <c r="L24" s="53"/>
      <c r="M24" s="53"/>
      <c r="N24" s="53"/>
      <c r="O24" s="53"/>
      <c r="P24" s="53"/>
    </row>
    <row r="25" spans="1:16" ht="12" customHeight="1" thickBot="1">
      <c r="A25" s="926" t="s">
        <v>741</v>
      </c>
      <c r="B25" s="927"/>
      <c r="C25" s="927"/>
      <c r="D25" s="156"/>
      <c r="E25" s="187"/>
      <c r="F25" s="162"/>
      <c r="G25" s="162"/>
      <c r="H25" s="162"/>
      <c r="I25" s="162"/>
      <c r="J25" s="168"/>
      <c r="K25" s="53"/>
      <c r="L25" s="53"/>
      <c r="M25" s="53"/>
      <c r="N25" s="53"/>
      <c r="O25" s="53"/>
      <c r="P25" s="53"/>
    </row>
    <row r="26" spans="1:16" ht="12" customHeight="1" thickBot="1">
      <c r="A26" s="1012" t="s">
        <v>740</v>
      </c>
      <c r="B26" s="1014" t="s">
        <v>739</v>
      </c>
      <c r="C26" s="1015"/>
      <c r="D26" s="156"/>
      <c r="E26" s="187"/>
      <c r="F26" s="441"/>
      <c r="G26" s="441"/>
      <c r="H26" s="162"/>
      <c r="I26" s="162"/>
      <c r="J26" s="168"/>
      <c r="K26" s="53"/>
      <c r="L26" s="53"/>
      <c r="M26" s="53"/>
      <c r="N26" s="53"/>
      <c r="O26" s="53"/>
      <c r="P26" s="53"/>
    </row>
    <row r="27" spans="1:16" ht="24.75" customHeight="1">
      <c r="A27" s="1013"/>
      <c r="B27" s="416" t="s">
        <v>621</v>
      </c>
      <c r="C27" s="416" t="s">
        <v>622</v>
      </c>
      <c r="D27" s="156"/>
      <c r="E27" s="187"/>
      <c r="F27" s="195"/>
      <c r="G27" s="195"/>
      <c r="H27" s="162"/>
      <c r="I27" s="162"/>
      <c r="J27" s="168"/>
      <c r="K27" s="53"/>
      <c r="L27" s="53"/>
      <c r="M27" s="53"/>
      <c r="N27" s="53"/>
      <c r="O27" s="53"/>
      <c r="P27" s="53"/>
    </row>
    <row r="28" spans="1:16" ht="24.75" thickBot="1">
      <c r="A28" s="201" t="s">
        <v>620</v>
      </c>
      <c r="B28" s="131">
        <v>251</v>
      </c>
      <c r="C28" s="131">
        <f>B28/1000</f>
        <v>0.251</v>
      </c>
      <c r="D28" s="156"/>
      <c r="E28" s="187"/>
      <c r="F28" s="162"/>
      <c r="G28" s="162"/>
      <c r="H28" s="162"/>
      <c r="I28" s="162"/>
      <c r="J28" s="168"/>
      <c r="K28" s="53"/>
      <c r="L28" s="53"/>
      <c r="M28" s="53"/>
      <c r="N28" s="53"/>
      <c r="O28" s="53"/>
      <c r="P28" s="53"/>
    </row>
    <row r="29" spans="1:16">
      <c r="A29" s="167"/>
      <c r="B29" s="162"/>
      <c r="C29" s="156"/>
      <c r="D29" s="156"/>
      <c r="E29" s="187"/>
      <c r="F29" s="162"/>
      <c r="G29" s="162"/>
      <c r="H29" s="162"/>
      <c r="I29" s="162"/>
      <c r="J29" s="168"/>
      <c r="K29" s="53"/>
      <c r="L29" s="53"/>
      <c r="M29" s="53"/>
      <c r="N29" s="53"/>
      <c r="O29" s="53"/>
      <c r="P29" s="53"/>
    </row>
    <row r="30" spans="1:16">
      <c r="A30" s="167"/>
      <c r="B30" s="162"/>
      <c r="C30" s="156"/>
      <c r="D30" s="156"/>
      <c r="E30" s="187"/>
      <c r="F30" s="162"/>
      <c r="G30" s="162"/>
      <c r="H30" s="162"/>
      <c r="I30" s="162"/>
      <c r="J30" s="168"/>
      <c r="K30" s="53"/>
      <c r="L30" s="53"/>
      <c r="M30" s="53"/>
      <c r="N30" s="53"/>
      <c r="O30" s="53"/>
      <c r="P30" s="53"/>
    </row>
    <row r="31" spans="1:16" ht="15">
      <c r="A31" s="926" t="s">
        <v>742</v>
      </c>
      <c r="B31" s="927"/>
      <c r="C31" s="927"/>
      <c r="D31" s="162"/>
      <c r="E31" s="187"/>
      <c r="F31" s="162"/>
      <c r="G31" s="162"/>
      <c r="H31" s="162"/>
      <c r="I31" s="162"/>
      <c r="J31" s="168"/>
      <c r="K31" s="53"/>
      <c r="L31" s="53"/>
      <c r="M31" s="53"/>
      <c r="N31" s="53"/>
      <c r="O31" s="53"/>
      <c r="P31" s="53"/>
    </row>
    <row r="32" spans="1:16" ht="15">
      <c r="A32" s="427"/>
      <c r="B32" s="428"/>
      <c r="C32" s="428"/>
      <c r="D32" s="162"/>
      <c r="E32" s="187"/>
      <c r="F32" s="162"/>
      <c r="G32" s="162"/>
      <c r="H32" s="162"/>
      <c r="I32" s="162"/>
      <c r="J32" s="168"/>
      <c r="K32" s="53"/>
      <c r="L32" s="53"/>
      <c r="M32" s="53"/>
      <c r="N32" s="53"/>
      <c r="O32" s="53"/>
      <c r="P32" s="53"/>
    </row>
    <row r="33" spans="1:16" s="53" customFormat="1" ht="12.75" customHeight="1">
      <c r="A33" s="167" t="s">
        <v>743</v>
      </c>
      <c r="B33" s="162">
        <v>14</v>
      </c>
      <c r="C33" s="162" t="s">
        <v>224</v>
      </c>
      <c r="D33" s="162">
        <v>30</v>
      </c>
      <c r="E33" s="187" t="s">
        <v>629</v>
      </c>
      <c r="F33" s="441"/>
      <c r="G33" s="162"/>
      <c r="H33" s="162"/>
      <c r="I33" s="162"/>
      <c r="J33" s="168"/>
    </row>
    <row r="34" spans="1:16" s="53" customFormat="1" ht="12.75" customHeight="1">
      <c r="A34" s="167"/>
      <c r="B34" s="162"/>
      <c r="C34" s="162"/>
      <c r="D34" s="162"/>
      <c r="E34" s="187"/>
      <c r="F34" s="441"/>
      <c r="G34" s="162"/>
      <c r="H34" s="162"/>
      <c r="I34" s="162"/>
      <c r="J34" s="168"/>
    </row>
    <row r="35" spans="1:16" s="53" customFormat="1" ht="9.75" customHeight="1">
      <c r="A35" s="202"/>
      <c r="B35" s="189"/>
      <c r="C35" s="187"/>
      <c r="D35" s="190"/>
      <c r="E35" s="187"/>
      <c r="F35" s="191"/>
      <c r="G35" s="192"/>
      <c r="H35" s="192"/>
      <c r="I35" s="193"/>
      <c r="J35" s="542"/>
      <c r="K35" s="121"/>
      <c r="M35" s="384"/>
    </row>
    <row r="36" spans="1:16" s="53" customFormat="1" ht="9.75" customHeight="1">
      <c r="A36" s="990" t="s">
        <v>744</v>
      </c>
      <c r="B36" s="991"/>
      <c r="C36" s="991"/>
      <c r="D36" s="991"/>
      <c r="E36" s="991"/>
      <c r="F36" s="991"/>
      <c r="G36" s="991"/>
      <c r="H36" s="991"/>
      <c r="I36" s="193"/>
      <c r="J36" s="542"/>
      <c r="K36" s="121"/>
      <c r="M36" s="106"/>
    </row>
    <row r="37" spans="1:16" s="53" customFormat="1" ht="9.75" customHeight="1">
      <c r="A37" s="425"/>
      <c r="B37" s="426"/>
      <c r="C37" s="426"/>
      <c r="D37" s="426"/>
      <c r="E37" s="426"/>
      <c r="F37" s="426"/>
      <c r="G37" s="426"/>
      <c r="H37" s="426"/>
      <c r="I37" s="193"/>
      <c r="J37" s="542"/>
      <c r="K37" s="121"/>
      <c r="M37" s="106"/>
    </row>
    <row r="38" spans="1:16" s="53" customFormat="1" ht="9.75" customHeight="1">
      <c r="A38" s="425"/>
      <c r="B38" s="426"/>
      <c r="C38" s="426"/>
      <c r="D38" s="426"/>
      <c r="E38" s="426"/>
      <c r="F38" s="426"/>
      <c r="G38" s="426"/>
      <c r="H38" s="426"/>
      <c r="I38" s="193"/>
      <c r="J38" s="542"/>
      <c r="K38" s="121"/>
      <c r="M38" s="106"/>
    </row>
    <row r="39" spans="1:16" ht="12.75">
      <c r="A39" s="919" t="s">
        <v>745</v>
      </c>
      <c r="B39" s="920"/>
      <c r="C39" s="920"/>
      <c r="D39" s="920"/>
      <c r="E39" s="920"/>
      <c r="F39" s="920"/>
      <c r="G39" s="920"/>
      <c r="H39" s="920"/>
      <c r="I39" s="162"/>
      <c r="J39" s="543"/>
      <c r="K39" s="493"/>
      <c r="L39" s="493"/>
      <c r="M39" s="53"/>
      <c r="N39" s="53"/>
      <c r="O39" s="53"/>
      <c r="P39" s="53"/>
    </row>
    <row r="40" spans="1:16" ht="15.75" customHeight="1">
      <c r="A40" s="981" t="s">
        <v>648</v>
      </c>
      <c r="B40" s="1018" t="s">
        <v>649</v>
      </c>
      <c r="C40" s="985"/>
      <c r="D40" s="1019"/>
      <c r="E40" s="162"/>
      <c r="F40" s="162"/>
      <c r="G40" s="162"/>
      <c r="H40" s="162"/>
      <c r="I40" s="162"/>
      <c r="J40" s="544"/>
      <c r="K40" s="494"/>
      <c r="L40" s="495"/>
      <c r="M40" s="53"/>
      <c r="N40" s="53"/>
      <c r="O40" s="53"/>
      <c r="P40" s="53"/>
    </row>
    <row r="41" spans="1:16" ht="12.75">
      <c r="A41" s="1017"/>
      <c r="B41" s="96" t="s">
        <v>685</v>
      </c>
      <c r="C41" s="96" t="s">
        <v>686</v>
      </c>
      <c r="D41" s="440" t="s">
        <v>687</v>
      </c>
      <c r="E41" s="162"/>
      <c r="F41" s="162"/>
      <c r="G41" s="162"/>
      <c r="H41" s="162"/>
      <c r="I41" s="162"/>
      <c r="J41" s="168"/>
      <c r="K41" s="53"/>
      <c r="L41" s="53"/>
      <c r="M41" s="53"/>
      <c r="N41" s="53"/>
      <c r="O41" s="53"/>
      <c r="P41" s="53"/>
    </row>
    <row r="42" spans="1:16">
      <c r="A42" s="204" t="s">
        <v>682</v>
      </c>
      <c r="B42" s="116">
        <f>$K$14*$E$16*$C$28*'Combust Móvil Activ'!$R$74*2/1000</f>
        <v>1011.6598874868698</v>
      </c>
      <c r="C42" s="115">
        <f>$K$15*$E$16*$C$28*'Combust Móvil Activ'!$R$74*2/1000</f>
        <v>5.3245257236151047E-2</v>
      </c>
      <c r="D42" s="115">
        <f>$K$16*$E$16*$C$28*'Combust Móvil Activ'!$R$74*2/1000</f>
        <v>5.3245257236151047E-2</v>
      </c>
      <c r="E42" s="162"/>
      <c r="F42" s="162"/>
      <c r="G42" s="162"/>
      <c r="H42" s="162"/>
      <c r="I42" s="162"/>
      <c r="J42" s="168"/>
      <c r="K42" s="53"/>
      <c r="L42" s="53"/>
      <c r="M42" s="53"/>
      <c r="N42" s="53"/>
      <c r="O42" s="53"/>
      <c r="P42" s="53"/>
    </row>
    <row r="43" spans="1:16">
      <c r="A43" s="204" t="s">
        <v>683</v>
      </c>
      <c r="B43" s="116">
        <f>B42/$J$20</f>
        <v>202.33197749737397</v>
      </c>
      <c r="C43" s="115">
        <f>C42/$J$20</f>
        <v>1.0649051447230209E-2</v>
      </c>
      <c r="D43" s="115">
        <f>D42/$J$20</f>
        <v>1.0649051447230209E-2</v>
      </c>
      <c r="E43" s="162"/>
      <c r="F43" s="162"/>
      <c r="G43" s="162"/>
      <c r="H43" s="162"/>
      <c r="I43" s="162"/>
      <c r="J43" s="168"/>
      <c r="K43" s="53"/>
      <c r="L43" s="53"/>
      <c r="M43" s="53"/>
      <c r="N43" s="53"/>
      <c r="O43" s="53"/>
      <c r="P43" s="53"/>
    </row>
    <row r="44" spans="1:16" ht="12.75">
      <c r="A44" s="437" t="s">
        <v>695</v>
      </c>
      <c r="B44" s="116">
        <f>B42*'GEI Gral Combust'!$B$13</f>
        <v>1011.6598874868698</v>
      </c>
      <c r="C44" s="115">
        <f>C42*'GEI Gral Combust'!$C$13</f>
        <v>16.506029743206824</v>
      </c>
      <c r="D44" s="115">
        <f>D42*'GEI Gral Combust'!$D$13</f>
        <v>1.1181504019591719</v>
      </c>
      <c r="E44" s="162"/>
      <c r="F44" s="162"/>
      <c r="G44" s="162"/>
      <c r="H44" s="162"/>
      <c r="I44" s="162"/>
      <c r="J44" s="168"/>
      <c r="K44" s="53"/>
      <c r="L44" s="53"/>
      <c r="M44" s="53"/>
      <c r="N44" s="53"/>
      <c r="O44" s="53"/>
      <c r="P44" s="53"/>
    </row>
    <row r="45" spans="1:16" ht="13.5" thickBot="1">
      <c r="A45" s="205" t="s">
        <v>696</v>
      </c>
      <c r="B45" s="199">
        <f>B44/$J$20</f>
        <v>202.33197749737397</v>
      </c>
      <c r="C45" s="198">
        <f t="shared" ref="C45:D45" si="0">C44/$J$20</f>
        <v>3.301205948641365</v>
      </c>
      <c r="D45" s="198">
        <f t="shared" si="0"/>
        <v>0.22363008039183438</v>
      </c>
      <c r="E45" s="499">
        <f>SUM(B45:D45)</f>
        <v>205.85681352640717</v>
      </c>
      <c r="F45" s="162">
        <f>E45*5</f>
        <v>1029.2840676320359</v>
      </c>
      <c r="G45" s="162"/>
      <c r="H45" s="162"/>
      <c r="I45" s="162"/>
      <c r="J45" s="168"/>
      <c r="K45" s="53"/>
      <c r="L45" s="53"/>
      <c r="M45" s="53"/>
      <c r="N45" s="53"/>
      <c r="O45" s="53"/>
      <c r="P45" s="53"/>
    </row>
    <row r="46" spans="1:16">
      <c r="A46" s="498"/>
      <c r="B46" s="496"/>
      <c r="C46" s="497"/>
      <c r="D46" s="497"/>
      <c r="E46" s="162"/>
      <c r="F46" s="162"/>
      <c r="G46" s="162"/>
      <c r="H46" s="162"/>
      <c r="I46" s="162"/>
      <c r="J46" s="168"/>
      <c r="K46" s="53"/>
      <c r="L46" s="53"/>
      <c r="M46" s="53"/>
      <c r="N46" s="53"/>
      <c r="O46" s="53"/>
      <c r="P46" s="53"/>
    </row>
    <row r="47" spans="1:16">
      <c r="A47" s="498"/>
      <c r="B47" s="496"/>
      <c r="C47" s="497"/>
      <c r="D47" s="497"/>
      <c r="E47" s="162"/>
      <c r="F47" s="162"/>
      <c r="G47" s="162"/>
      <c r="H47" s="162"/>
      <c r="I47" s="162"/>
      <c r="J47" s="168"/>
      <c r="K47" s="53"/>
      <c r="L47" s="53"/>
      <c r="M47" s="53"/>
      <c r="N47" s="53"/>
      <c r="O47" s="53"/>
      <c r="P47" s="53"/>
    </row>
    <row r="48" spans="1:16" ht="33.75" customHeight="1" thickBot="1">
      <c r="A48" s="1016" t="s">
        <v>943</v>
      </c>
      <c r="B48" s="903"/>
      <c r="C48" s="903"/>
      <c r="D48" s="903"/>
      <c r="E48" s="162"/>
      <c r="F48" s="162"/>
      <c r="G48" s="162"/>
      <c r="H48" s="162"/>
      <c r="I48" s="162"/>
      <c r="J48" s="168"/>
      <c r="K48" s="53"/>
      <c r="L48" s="53"/>
      <c r="M48" s="53"/>
      <c r="N48" s="53"/>
      <c r="O48" s="53"/>
      <c r="P48" s="53"/>
    </row>
    <row r="49" spans="1:17" ht="36">
      <c r="A49" s="538" t="s">
        <v>649</v>
      </c>
      <c r="B49" s="148">
        <v>2011</v>
      </c>
      <c r="C49" s="148">
        <v>2012</v>
      </c>
      <c r="D49" s="148">
        <v>2013</v>
      </c>
      <c r="E49" s="148">
        <v>2014</v>
      </c>
      <c r="F49" s="148">
        <v>2015</v>
      </c>
      <c r="G49" s="148">
        <v>2016</v>
      </c>
      <c r="H49" s="390" t="s">
        <v>861</v>
      </c>
      <c r="I49" s="56"/>
      <c r="J49" s="168"/>
      <c r="K49" s="53"/>
      <c r="L49" s="53"/>
      <c r="M49" s="53"/>
      <c r="N49" s="53"/>
      <c r="O49" s="53"/>
      <c r="P49" s="53"/>
    </row>
    <row r="50" spans="1:17">
      <c r="A50" s="439" t="s">
        <v>842</v>
      </c>
      <c r="B50" s="150">
        <f>'Combust Móvil Activ'!L74*'Combust Móvil Cálc'!$K$14*'Combust Móvil Cálc'!$E$16*'Combust Móvil Cálc'!$C$28*2/1000</f>
        <v>5.0508445343935238</v>
      </c>
      <c r="C50" s="150">
        <f>'Combust Móvil Activ'!M74*'Combust Móvil Cálc'!$K$14*'Combust Móvil Cálc'!$E$16*'Combust Móvil Cálc'!$C$28*2/1000</f>
        <v>93.082575189041194</v>
      </c>
      <c r="D50" s="150">
        <f>'Combust Móvil Activ'!N74*'Combust Móvil Cálc'!$K$14*'Combust Móvil Cálc'!$E$16*'Combust Móvil Cálc'!$C$28*2/1000</f>
        <v>454.60718411063539</v>
      </c>
      <c r="E50" s="150">
        <f>'Combust Móvil Activ'!O74*'Combust Móvil Cálc'!$K$14*'Combust Móvil Cálc'!$E$16*'Combust Móvil Cálc'!$C$28*2/1000</f>
        <v>265.20911205247745</v>
      </c>
      <c r="F50" s="150">
        <f>'Combust Móvil Activ'!P74*'Combust Móvil Cálc'!$K$14*'Combust Móvil Cálc'!$E$16*'Combust Móvil Cálc'!$C$28*2/1000</f>
        <v>187.72763713070913</v>
      </c>
      <c r="G50" s="150">
        <f>'Combust Móvil Activ'!Q74*'Combust Móvil Cálc'!$K$14*'Combust Móvil Cálc'!$E$16*'Combust Móvil Cálc'!$C$28*2/1000</f>
        <v>5.9825344696131593</v>
      </c>
      <c r="H50" s="393">
        <f>SUM(B50:G50)</f>
        <v>1011.6598874868697</v>
      </c>
      <c r="I50" s="56"/>
      <c r="J50" s="168"/>
      <c r="K50" s="53"/>
      <c r="L50" s="53"/>
      <c r="M50" s="53"/>
      <c r="N50" s="53"/>
      <c r="O50" s="53"/>
      <c r="P50" s="53"/>
    </row>
    <row r="51" spans="1:17">
      <c r="A51" s="439" t="s">
        <v>858</v>
      </c>
      <c r="B51" s="150">
        <f>'Combust Móvil Activ'!L74*'Combust Móvil Cálc'!$K$15*'Combust Móvil Cálc'!$E$16*'Combust Móvil Cálc'!$C$28*2/1000</f>
        <v>2.6583392286281697E-4</v>
      </c>
      <c r="C51" s="150">
        <f>'Combust Móvil Activ'!M74*'Combust Móvil Cálc'!$K$15*'Combust Móvil Cálc'!$E$16*'Combust Móvil Cálc'!$C$28*2/1000</f>
        <v>4.8990829046863769E-3</v>
      </c>
      <c r="D51" s="150">
        <f>'Combust Móvil Activ'!N74*'Combust Móvil Cálc'!$K$15*'Combust Móvil Cálc'!$E$16*'Combust Móvil Cálc'!$C$28*2/1000</f>
        <v>2.3926693900559754E-2</v>
      </c>
      <c r="E51" s="150">
        <f>'Combust Móvil Activ'!O74*'Combust Móvil Cálc'!$K$15*'Combust Móvil Cálc'!$E$16*'Combust Móvil Cálc'!$C$28*2/1000</f>
        <v>1.3958374318551445E-2</v>
      </c>
      <c r="F51" s="150">
        <f>'Combust Móvil Activ'!P74*'Combust Móvil Cálc'!$K$15*'Combust Móvil Cálc'!$E$16*'Combust Móvil Cálc'!$C$28*2/1000</f>
        <v>9.8804019542478479E-3</v>
      </c>
      <c r="G51" s="150">
        <f>'Combust Móvil Activ'!Q74*'Combust Móvil Cálc'!$K$15*'Combust Móvil Cálc'!$E$16*'Combust Móvil Cálc'!$C$28*2/1000</f>
        <v>3.1487023524279776E-4</v>
      </c>
      <c r="H51" s="651">
        <f>SUM(B51:G51)</f>
        <v>5.324525723615104E-2</v>
      </c>
      <c r="I51" s="56"/>
      <c r="J51" s="168"/>
      <c r="K51" s="53"/>
      <c r="L51" s="53"/>
      <c r="M51" s="53"/>
      <c r="N51" s="53"/>
      <c r="O51" s="53"/>
      <c r="P51" s="53"/>
    </row>
    <row r="52" spans="1:17" ht="12.75" thickBot="1">
      <c r="A52" s="439" t="s">
        <v>857</v>
      </c>
      <c r="B52" s="150">
        <f>'Combust Móvil Activ'!L74*'Combust Móvil Cálc'!$K$16*'Combust Móvil Cálc'!$E$16*'Combust Móvil Cálc'!$C$28*2/1000</f>
        <v>2.6583392286281697E-4</v>
      </c>
      <c r="C52" s="150">
        <f>'Combust Móvil Activ'!M74*'Combust Móvil Cálc'!$K$16*'Combust Móvil Cálc'!$E$16*'Combust Móvil Cálc'!$C$28*2/1000</f>
        <v>4.8990829046863769E-3</v>
      </c>
      <c r="D52" s="150">
        <f>'Combust Móvil Activ'!N74*'Combust Móvil Cálc'!$K$16*'Combust Móvil Cálc'!$E$16*'Combust Móvil Cálc'!$C$28*2/1000</f>
        <v>2.3926693900559754E-2</v>
      </c>
      <c r="E52" s="150">
        <f>'Combust Móvil Activ'!O74*'Combust Móvil Cálc'!$K$16*'Combust Móvil Cálc'!$E$16*'Combust Móvil Cálc'!$C$28*2/1000</f>
        <v>1.3958374318551445E-2</v>
      </c>
      <c r="F52" s="150">
        <f>'Combust Móvil Activ'!P74*'Combust Móvil Cálc'!$K$16*'Combust Móvil Cálc'!$E$16*'Combust Móvil Cálc'!$C$28*2/1000</f>
        <v>9.8804019542478479E-3</v>
      </c>
      <c r="G52" s="150">
        <f>'Combust Móvil Activ'!Q74*'Combust Móvil Cálc'!$K$16*'Combust Móvil Cálc'!$E$16*'Combust Móvil Cálc'!$C$28*2/1000</f>
        <v>3.1487023524279776E-4</v>
      </c>
      <c r="H52" s="655">
        <f>SUM(B52:G52)</f>
        <v>5.324525723615104E-2</v>
      </c>
      <c r="I52" s="56"/>
      <c r="J52" s="168"/>
      <c r="K52" s="53"/>
      <c r="L52" s="53"/>
      <c r="M52" s="53"/>
      <c r="N52" s="53"/>
      <c r="O52" s="53"/>
      <c r="P52" s="53"/>
    </row>
    <row r="53" spans="1:17" ht="14.25" thickBot="1">
      <c r="A53" s="539" t="s">
        <v>860</v>
      </c>
      <c r="B53" s="153">
        <f>(B50+(B51*'GEI Gral Combust'!$C$13)+(B52*'GEI Gral Combust'!$D$13))</f>
        <v>5.1388355628611162</v>
      </c>
      <c r="C53" s="153">
        <f>(C50+(C51*'GEI Gral Combust'!$C$13)+(C52*'GEI Gral Combust'!$D$13))</f>
        <v>94.704171630492382</v>
      </c>
      <c r="D53" s="153">
        <f>(D50+(D51*'GEI Gral Combust'!$C$13)+(D52*'GEI Gral Combust'!$D$13))</f>
        <v>462.52691979172067</v>
      </c>
      <c r="E53" s="153">
        <f>(E50+(E51*'GEI Gral Combust'!$C$13)+(E52*'GEI Gral Combust'!$D$13))</f>
        <v>269.82933395191799</v>
      </c>
      <c r="F53" s="153">
        <f>(F50+(F51*'GEI Gral Combust'!$C$13)+(F52*'GEI Gral Combust'!$D$13))</f>
        <v>190.99805017756518</v>
      </c>
      <c r="G53" s="153">
        <f>(G50+(G51*'GEI Gral Combust'!$C$13)+(G52*'GEI Gral Combust'!$D$13))</f>
        <v>6.0867565174785252</v>
      </c>
      <c r="H53" s="396">
        <f>SUM(B53:G53)</f>
        <v>1029.2840676320359</v>
      </c>
      <c r="I53" s="540" t="s">
        <v>925</v>
      </c>
      <c r="J53" s="168"/>
      <c r="K53" s="53"/>
      <c r="L53" s="53"/>
      <c r="M53" s="53"/>
      <c r="N53" s="53"/>
      <c r="O53" s="53"/>
      <c r="P53" s="53"/>
    </row>
    <row r="54" spans="1:17">
      <c r="A54" s="541"/>
      <c r="B54" s="362"/>
      <c r="C54" s="362"/>
      <c r="D54" s="362"/>
      <c r="E54" s="56"/>
      <c r="F54" s="56"/>
      <c r="G54" s="56"/>
      <c r="H54" s="56"/>
      <c r="I54" s="56" t="s">
        <v>926</v>
      </c>
      <c r="J54" s="168"/>
      <c r="K54" s="53"/>
      <c r="L54" s="53"/>
      <c r="M54" s="53"/>
      <c r="N54" s="53"/>
      <c r="O54" s="53"/>
      <c r="P54" s="53"/>
    </row>
    <row r="55" spans="1:17" ht="12.75" thickBot="1">
      <c r="A55" s="545"/>
      <c r="B55" s="546"/>
      <c r="C55" s="547"/>
      <c r="D55" s="547"/>
      <c r="E55" s="184"/>
      <c r="F55" s="184"/>
      <c r="G55" s="184"/>
      <c r="H55" s="184"/>
      <c r="I55" s="184"/>
      <c r="J55" s="186"/>
      <c r="K55" s="53"/>
      <c r="L55" s="53"/>
      <c r="M55" s="53"/>
      <c r="N55" s="53"/>
      <c r="O55" s="53"/>
      <c r="P55" s="53"/>
    </row>
    <row r="56" spans="1:17" ht="12.75" thickBot="1">
      <c r="A56" s="550"/>
      <c r="B56" s="551"/>
      <c r="C56" s="551"/>
      <c r="D56" s="551"/>
      <c r="E56" s="551"/>
      <c r="F56" s="551"/>
      <c r="G56" s="551"/>
      <c r="H56" s="551"/>
      <c r="I56" s="551"/>
      <c r="J56" s="551"/>
      <c r="K56" s="53"/>
      <c r="L56" s="53"/>
      <c r="M56" s="53"/>
      <c r="N56" s="53"/>
      <c r="O56" s="53"/>
      <c r="P56" s="53"/>
    </row>
    <row r="57" spans="1:17">
      <c r="A57" s="537"/>
      <c r="B57" s="165"/>
      <c r="C57" s="165"/>
      <c r="D57" s="165"/>
      <c r="E57" s="165"/>
      <c r="F57" s="165"/>
      <c r="G57" s="165"/>
      <c r="H57" s="165"/>
      <c r="I57" s="165"/>
      <c r="J57" s="166"/>
      <c r="K57" s="53"/>
      <c r="L57" s="53"/>
      <c r="M57" s="53"/>
      <c r="N57" s="53"/>
      <c r="O57" s="53"/>
      <c r="P57" s="53"/>
    </row>
    <row r="58" spans="1:17">
      <c r="A58" s="548" t="s">
        <v>736</v>
      </c>
      <c r="B58" s="162" t="s">
        <v>746</v>
      </c>
      <c r="C58" s="156"/>
      <c r="D58" s="156"/>
      <c r="E58" s="162"/>
      <c r="F58" s="162"/>
      <c r="G58" s="162"/>
      <c r="H58" s="162"/>
      <c r="I58" s="162"/>
      <c r="J58" s="168"/>
      <c r="K58" s="53"/>
      <c r="L58" s="53"/>
      <c r="M58" s="53"/>
      <c r="N58" s="53"/>
      <c r="O58" s="53"/>
      <c r="P58" s="53"/>
    </row>
    <row r="59" spans="1:17">
      <c r="A59" s="167"/>
      <c r="B59" s="162"/>
      <c r="C59" s="156"/>
      <c r="D59" s="156"/>
      <c r="E59" s="162"/>
      <c r="F59" s="162"/>
      <c r="G59" s="162"/>
      <c r="H59" s="162"/>
      <c r="I59" s="162"/>
      <c r="J59" s="168"/>
      <c r="K59" s="53"/>
      <c r="L59" s="53"/>
      <c r="M59" s="53"/>
      <c r="N59" s="53"/>
      <c r="O59" s="53"/>
      <c r="P59" s="53"/>
      <c r="Q59" s="53"/>
    </row>
    <row r="60" spans="1:17" ht="15.75" thickBot="1">
      <c r="A60" s="926" t="s">
        <v>741</v>
      </c>
      <c r="B60" s="927"/>
      <c r="C60" s="927"/>
      <c r="D60" s="156"/>
      <c r="E60" s="187"/>
      <c r="F60" s="208"/>
      <c r="G60" s="162"/>
      <c r="H60" s="162"/>
      <c r="I60" s="162"/>
      <c r="J60" s="168"/>
      <c r="K60" s="53"/>
      <c r="L60" s="53"/>
      <c r="M60" s="53"/>
      <c r="N60" s="53"/>
      <c r="O60" s="53"/>
      <c r="P60" s="53"/>
      <c r="Q60" s="53"/>
    </row>
    <row r="61" spans="1:17" ht="31.5" customHeight="1">
      <c r="A61" s="249" t="s">
        <v>747</v>
      </c>
      <c r="B61" s="928" t="s">
        <v>748</v>
      </c>
      <c r="C61" s="928" t="s">
        <v>749</v>
      </c>
      <c r="D61" s="930" t="s">
        <v>739</v>
      </c>
      <c r="E61" s="931"/>
      <c r="F61" s="217"/>
      <c r="G61" s="162"/>
      <c r="H61" s="162"/>
      <c r="I61" s="162"/>
      <c r="J61" s="168"/>
      <c r="K61" s="53"/>
      <c r="L61" s="53"/>
      <c r="M61" s="53"/>
      <c r="N61" s="53"/>
      <c r="O61" s="53"/>
      <c r="P61" s="53"/>
      <c r="Q61" s="53"/>
    </row>
    <row r="62" spans="1:17">
      <c r="A62" s="250"/>
      <c r="B62" s="929"/>
      <c r="C62" s="929"/>
      <c r="D62" s="122" t="s">
        <v>621</v>
      </c>
      <c r="E62" s="429" t="s">
        <v>622</v>
      </c>
      <c r="F62" s="217"/>
      <c r="G62" s="162"/>
      <c r="H62" s="162"/>
      <c r="I62" s="162"/>
      <c r="J62" s="168"/>
      <c r="K62" s="53"/>
      <c r="L62" s="53"/>
      <c r="M62" s="53"/>
      <c r="N62" s="53"/>
      <c r="O62" s="53"/>
      <c r="P62" s="53"/>
      <c r="Q62" s="53"/>
    </row>
    <row r="63" spans="1:17" ht="21.75" customHeight="1">
      <c r="A63" s="1002" t="s">
        <v>750</v>
      </c>
      <c r="B63" s="213" t="s">
        <v>627</v>
      </c>
      <c r="C63" s="213" t="s">
        <v>751</v>
      </c>
      <c r="D63" s="1004">
        <v>251</v>
      </c>
      <c r="E63" s="1006">
        <f>D63/1000</f>
        <v>0.251</v>
      </c>
      <c r="F63" s="218"/>
      <c r="G63" s="162"/>
      <c r="H63" s="162"/>
      <c r="I63" s="162"/>
      <c r="J63" s="168"/>
      <c r="K63" s="53"/>
      <c r="L63" s="53"/>
      <c r="M63" s="57"/>
      <c r="N63" s="57"/>
      <c r="O63" s="53"/>
      <c r="P63" s="53"/>
      <c r="Q63" s="53"/>
    </row>
    <row r="64" spans="1:17" ht="21.75" customHeight="1">
      <c r="A64" s="1003"/>
      <c r="B64" s="213" t="s">
        <v>752</v>
      </c>
      <c r="C64" s="213" t="s">
        <v>331</v>
      </c>
      <c r="D64" s="1005"/>
      <c r="E64" s="1007"/>
      <c r="F64" s="218"/>
      <c r="G64" s="162"/>
      <c r="H64" s="162"/>
      <c r="I64" s="162"/>
      <c r="J64" s="168"/>
      <c r="K64" s="53"/>
      <c r="L64" s="53"/>
      <c r="M64" s="57"/>
      <c r="N64" s="57"/>
      <c r="O64" s="53"/>
      <c r="P64" s="53"/>
      <c r="Q64" s="53"/>
    </row>
    <row r="65" spans="1:17" ht="21.75" customHeight="1" thickBot="1">
      <c r="A65" s="207" t="s">
        <v>753</v>
      </c>
      <c r="B65" s="214" t="s">
        <v>628</v>
      </c>
      <c r="C65" s="214" t="s">
        <v>332</v>
      </c>
      <c r="D65" s="215">
        <v>182</v>
      </c>
      <c r="E65" s="216">
        <f>D65/1000</f>
        <v>0.182</v>
      </c>
      <c r="F65" s="218"/>
      <c r="G65" s="218"/>
      <c r="H65" s="219"/>
      <c r="I65" s="219"/>
      <c r="J65" s="168"/>
      <c r="K65" s="53"/>
      <c r="L65" s="53"/>
      <c r="M65" s="57"/>
      <c r="N65" s="57"/>
      <c r="O65" s="53"/>
      <c r="P65" s="53"/>
      <c r="Q65" s="53"/>
    </row>
    <row r="66" spans="1:17">
      <c r="A66" s="251" t="s">
        <v>754</v>
      </c>
      <c r="B66" s="162"/>
      <c r="C66" s="162"/>
      <c r="D66" s="156"/>
      <c r="E66" s="187"/>
      <c r="F66" s="210"/>
      <c r="G66" s="211"/>
      <c r="H66" s="212"/>
      <c r="I66" s="206"/>
      <c r="J66" s="549"/>
      <c r="K66" s="57"/>
      <c r="L66" s="57"/>
      <c r="M66" s="57"/>
      <c r="N66" s="57"/>
      <c r="O66" s="53"/>
      <c r="P66" s="53"/>
      <c r="Q66" s="53"/>
    </row>
    <row r="67" spans="1:17">
      <c r="A67" s="251"/>
      <c r="B67" s="162"/>
      <c r="C67" s="162"/>
      <c r="D67" s="156"/>
      <c r="E67" s="187"/>
      <c r="F67" s="210"/>
      <c r="G67" s="211"/>
      <c r="H67" s="212"/>
      <c r="I67" s="206"/>
      <c r="J67" s="549"/>
      <c r="K67" s="57"/>
      <c r="L67" s="57"/>
      <c r="M67" s="57"/>
      <c r="N67" s="57"/>
      <c r="O67" s="53"/>
      <c r="P67" s="53"/>
      <c r="Q67" s="53"/>
    </row>
    <row r="68" spans="1:17">
      <c r="A68" s="167"/>
      <c r="B68" s="162"/>
      <c r="C68" s="156"/>
      <c r="D68" s="156"/>
      <c r="E68" s="187"/>
      <c r="F68" s="210"/>
      <c r="G68" s="211"/>
      <c r="H68" s="212"/>
      <c r="I68" s="252"/>
      <c r="J68" s="549"/>
      <c r="K68" s="57"/>
      <c r="L68" s="57"/>
      <c r="M68" s="57"/>
      <c r="N68" s="57"/>
      <c r="O68" s="53"/>
      <c r="P68" s="53"/>
      <c r="Q68" s="53"/>
    </row>
    <row r="69" spans="1:17" ht="15">
      <c r="A69" s="926" t="s">
        <v>742</v>
      </c>
      <c r="B69" s="927"/>
      <c r="C69" s="927"/>
      <c r="D69" s="162"/>
      <c r="E69" s="187"/>
      <c r="F69" s="162"/>
      <c r="G69" s="162"/>
      <c r="H69" s="162"/>
      <c r="I69" s="206"/>
      <c r="J69" s="549"/>
      <c r="K69" s="57"/>
      <c r="L69" s="57"/>
      <c r="M69" s="57"/>
      <c r="N69" s="57"/>
      <c r="O69" s="53"/>
      <c r="P69" s="53"/>
      <c r="Q69" s="53"/>
    </row>
    <row r="70" spans="1:17" ht="15.75" thickBot="1">
      <c r="A70" s="427"/>
      <c r="B70" s="428"/>
      <c r="C70" s="428"/>
      <c r="D70" s="162"/>
      <c r="E70" s="187"/>
      <c r="F70" s="162"/>
      <c r="G70" s="162"/>
      <c r="H70" s="162"/>
      <c r="I70" s="206"/>
      <c r="J70" s="549"/>
      <c r="K70" s="57"/>
      <c r="L70" s="57"/>
      <c r="M70" s="57"/>
      <c r="N70" s="57"/>
      <c r="O70" s="53"/>
      <c r="P70" s="53"/>
      <c r="Q70" s="53"/>
    </row>
    <row r="71" spans="1:17">
      <c r="A71" s="253" t="s">
        <v>748</v>
      </c>
      <c r="B71" s="414" t="s">
        <v>755</v>
      </c>
      <c r="C71" s="413" t="s">
        <v>756</v>
      </c>
      <c r="D71" s="162"/>
      <c r="E71" s="187"/>
      <c r="F71" s="441"/>
      <c r="G71" s="162"/>
      <c r="H71" s="162"/>
      <c r="I71" s="206"/>
      <c r="J71" s="549"/>
      <c r="K71" s="57"/>
      <c r="L71" s="57"/>
      <c r="M71" s="57"/>
      <c r="N71" s="57"/>
      <c r="O71" s="53"/>
      <c r="P71" s="53"/>
      <c r="Q71" s="53"/>
    </row>
    <row r="72" spans="1:17">
      <c r="A72" s="254" t="s">
        <v>627</v>
      </c>
      <c r="B72" s="220">
        <v>30</v>
      </c>
      <c r="C72" s="117" t="s">
        <v>757</v>
      </c>
      <c r="D72" s="162"/>
      <c r="E72" s="187"/>
      <c r="F72" s="441"/>
      <c r="G72" s="162"/>
      <c r="H72" s="162"/>
      <c r="I72" s="206"/>
      <c r="J72" s="549"/>
      <c r="K72" s="57"/>
      <c r="L72" s="57"/>
      <c r="M72" s="57"/>
      <c r="N72" s="57"/>
      <c r="O72" s="53"/>
      <c r="P72" s="53"/>
      <c r="Q72" s="53"/>
    </row>
    <row r="73" spans="1:17">
      <c r="A73" s="254" t="s">
        <v>752</v>
      </c>
      <c r="B73" s="220">
        <v>25</v>
      </c>
      <c r="C73" s="117" t="s">
        <v>758</v>
      </c>
      <c r="D73" s="162"/>
      <c r="E73" s="187"/>
      <c r="F73" s="441"/>
      <c r="G73" s="162"/>
      <c r="H73" s="162"/>
      <c r="I73" s="206"/>
      <c r="J73" s="549"/>
      <c r="K73" s="57"/>
      <c r="L73" s="57"/>
      <c r="M73" s="57"/>
      <c r="N73" s="57"/>
      <c r="O73" s="53"/>
      <c r="P73" s="53"/>
      <c r="Q73" s="53"/>
    </row>
    <row r="74" spans="1:17" ht="12.75" thickBot="1">
      <c r="A74" s="255" t="s">
        <v>628</v>
      </c>
      <c r="B74" s="221">
        <v>8.5</v>
      </c>
      <c r="C74" s="222" t="s">
        <v>626</v>
      </c>
      <c r="D74" s="162"/>
      <c r="E74" s="187"/>
      <c r="F74" s="441"/>
      <c r="G74" s="162"/>
      <c r="H74" s="162"/>
      <c r="I74" s="206"/>
      <c r="J74" s="549"/>
      <c r="K74" s="57"/>
      <c r="L74" s="57"/>
      <c r="M74" s="57"/>
      <c r="N74" s="57"/>
      <c r="O74" s="53"/>
      <c r="P74" s="53"/>
      <c r="Q74" s="53"/>
    </row>
    <row r="75" spans="1:17">
      <c r="A75" s="251" t="s">
        <v>759</v>
      </c>
      <c r="B75" s="119"/>
      <c r="C75" s="119"/>
      <c r="D75" s="162"/>
      <c r="E75" s="187"/>
      <c r="F75" s="441"/>
      <c r="G75" s="162"/>
      <c r="H75" s="162"/>
      <c r="I75" s="206"/>
      <c r="J75" s="549"/>
      <c r="K75" s="57"/>
      <c r="L75" s="57"/>
      <c r="M75" s="57"/>
      <c r="N75" s="57"/>
      <c r="O75" s="53"/>
      <c r="P75" s="53"/>
      <c r="Q75" s="53"/>
    </row>
    <row r="76" spans="1:17">
      <c r="A76" s="167"/>
      <c r="B76" s="162"/>
      <c r="C76" s="162"/>
      <c r="D76" s="162"/>
      <c r="E76" s="187"/>
      <c r="F76" s="441"/>
      <c r="G76" s="162"/>
      <c r="H76" s="162"/>
      <c r="I76" s="206"/>
      <c r="J76" s="549"/>
      <c r="K76" s="57"/>
      <c r="L76" s="57"/>
      <c r="M76" s="57"/>
      <c r="N76" s="57"/>
      <c r="O76" s="53"/>
      <c r="P76" s="53"/>
      <c r="Q76" s="53"/>
    </row>
    <row r="77" spans="1:17">
      <c r="A77" s="202"/>
      <c r="B77" s="189"/>
      <c r="C77" s="187"/>
      <c r="D77" s="190"/>
      <c r="E77" s="187"/>
      <c r="F77" s="191"/>
      <c r="G77" s="192"/>
      <c r="H77" s="192"/>
      <c r="I77" s="206"/>
      <c r="J77" s="549"/>
      <c r="K77" s="57"/>
      <c r="L77" s="57"/>
      <c r="M77" s="57"/>
      <c r="N77" s="57"/>
      <c r="O77" s="53"/>
      <c r="P77" s="53"/>
      <c r="Q77" s="53"/>
    </row>
    <row r="78" spans="1:17" ht="15">
      <c r="A78" s="990"/>
      <c r="B78" s="991"/>
      <c r="C78" s="991"/>
      <c r="D78" s="991"/>
      <c r="E78" s="991"/>
      <c r="F78" s="991"/>
      <c r="G78" s="991"/>
      <c r="H78" s="991"/>
      <c r="I78" s="206"/>
      <c r="J78" s="549"/>
      <c r="K78" s="57"/>
      <c r="L78" s="57"/>
      <c r="M78" s="57"/>
      <c r="N78" s="57"/>
      <c r="O78" s="53"/>
      <c r="P78" s="53"/>
      <c r="Q78" s="53"/>
    </row>
    <row r="79" spans="1:17">
      <c r="A79" s="167"/>
      <c r="B79" s="162"/>
      <c r="C79" s="162"/>
      <c r="D79" s="162"/>
      <c r="E79" s="162"/>
      <c r="F79" s="162"/>
      <c r="G79" s="162"/>
      <c r="H79" s="162"/>
      <c r="I79" s="162"/>
      <c r="J79" s="168"/>
      <c r="K79" s="53"/>
      <c r="L79" s="53"/>
      <c r="M79" s="527"/>
      <c r="N79" s="527"/>
      <c r="O79" s="527"/>
      <c r="P79" s="527"/>
    </row>
    <row r="80" spans="1:17" ht="15.75" customHeight="1" thickBot="1">
      <c r="A80" s="919" t="s">
        <v>788</v>
      </c>
      <c r="B80" s="992"/>
      <c r="C80" s="992"/>
      <c r="D80" s="992"/>
      <c r="E80" s="162"/>
      <c r="F80" s="162"/>
      <c r="G80" s="162"/>
      <c r="H80" s="162"/>
      <c r="I80" s="162"/>
      <c r="J80" s="168"/>
      <c r="K80" s="53"/>
      <c r="L80" s="53"/>
    </row>
    <row r="81" spans="1:12" ht="12.75" thickBot="1">
      <c r="A81" s="1022" t="s">
        <v>648</v>
      </c>
      <c r="B81" s="884" t="s">
        <v>649</v>
      </c>
      <c r="C81" s="885"/>
      <c r="D81" s="901"/>
      <c r="E81" s="162"/>
      <c r="F81" s="162"/>
      <c r="G81" s="162"/>
      <c r="H81" s="162"/>
      <c r="I81" s="162"/>
      <c r="J81" s="168"/>
      <c r="K81" s="53"/>
      <c r="L81" s="53"/>
    </row>
    <row r="82" spans="1:12" ht="12.75" customHeight="1">
      <c r="A82" s="981"/>
      <c r="B82" s="102" t="s">
        <v>689</v>
      </c>
      <c r="C82" s="86" t="s">
        <v>690</v>
      </c>
      <c r="D82" s="102" t="s">
        <v>691</v>
      </c>
      <c r="E82" s="162"/>
      <c r="F82" s="162"/>
      <c r="G82" s="162"/>
      <c r="H82" s="162"/>
      <c r="I82" s="162"/>
      <c r="J82" s="168"/>
      <c r="K82" s="53"/>
      <c r="L82" s="53"/>
    </row>
    <row r="83" spans="1:12" ht="12.75" customHeight="1">
      <c r="A83" s="1023"/>
      <c r="B83" s="96" t="s">
        <v>692</v>
      </c>
      <c r="C83" s="440" t="s">
        <v>693</v>
      </c>
      <c r="D83" s="96" t="s">
        <v>694</v>
      </c>
      <c r="E83" s="162"/>
      <c r="F83" s="162"/>
      <c r="G83" s="162"/>
      <c r="H83" s="162"/>
      <c r="I83" s="162"/>
      <c r="J83" s="168"/>
      <c r="K83" s="53"/>
      <c r="L83" s="53"/>
    </row>
    <row r="84" spans="1:12">
      <c r="A84" s="256" t="s">
        <v>631</v>
      </c>
      <c r="B84" s="238">
        <f>'Combust Móvil Activ'!$K$14*'Combust Móvil Activ'!$E$16*'Combust Móvil Activ'!E83*'Combust Móvil Activ'!$Q$120</f>
        <v>381377.92444908654</v>
      </c>
      <c r="C84" s="237">
        <f>'Combust Móvil Activ'!$K$15*'Combust Móvil Activ'!$E$16*'Combust Móvil Activ'!E83*'Combust Móvil Activ'!$Q$120</f>
        <v>20.072522339425607</v>
      </c>
      <c r="D84" s="237">
        <f>'Combust Móvil Activ'!$K$16*'Combust Móvil Activ'!$E$16*'Combust Móvil Activ'!E83*'Combust Móvil Activ'!$Q$120</f>
        <v>20.072522339425607</v>
      </c>
      <c r="E84" s="162"/>
      <c r="F84" s="162"/>
      <c r="G84" s="162"/>
      <c r="H84" s="162"/>
      <c r="I84" s="162"/>
      <c r="J84" s="168"/>
      <c r="K84" s="53"/>
      <c r="L84" s="53"/>
    </row>
    <row r="85" spans="1:12">
      <c r="A85" s="254" t="s">
        <v>632</v>
      </c>
      <c r="B85" s="238">
        <f>'Combust Móvil Activ'!$K$14*'Combust Móvil Activ'!$E$16*'Combust Móvil Activ'!E83*'Combust Móvil Activ'!$Q$130</f>
        <v>150080.75731382915</v>
      </c>
      <c r="C85" s="237">
        <f>'Combust Móvil Activ'!$K$15*'Combust Móvil Activ'!$E$16*'Combust Móvil Activ'!E83*'Combust Móvil Activ'!$Q$130</f>
        <v>7.8989872270436399</v>
      </c>
      <c r="D85" s="237">
        <f>'Combust Móvil Activ'!$K$16*'Combust Móvil Activ'!$E$16*'Combust Móvil Activ'!E83*'Combust Móvil Activ'!$Q$130</f>
        <v>7.8989872270436399</v>
      </c>
      <c r="E85" s="162"/>
      <c r="F85" s="162"/>
      <c r="G85" s="162"/>
      <c r="H85" s="162"/>
      <c r="I85" s="162"/>
      <c r="J85" s="168"/>
      <c r="K85" s="53"/>
      <c r="L85" s="53"/>
    </row>
    <row r="86" spans="1:12">
      <c r="A86" s="254" t="s">
        <v>633</v>
      </c>
      <c r="B86" s="238">
        <f>'Combust Móvil Activ'!$K$14*'Combust Móvil Activ'!$E$16*'Combust Móvil Activ'!E85*'Combust Móvil Activ'!$Q$140</f>
        <v>212781.80771112896</v>
      </c>
      <c r="C86" s="237">
        <f>'Combust Móvil Activ'!$K$15*'Combust Móvil Activ'!$E$16*'Combust Móvil Activ'!E85*'Combust Móvil Activ'!$Q$140</f>
        <v>11.199042511112051</v>
      </c>
      <c r="D86" s="237">
        <f>'Combust Móvil Activ'!$K$16*'Combust Móvil Activ'!$E$16*'Combust Móvil Activ'!E85*'Combust Móvil Activ'!$Q$140</f>
        <v>11.199042511112051</v>
      </c>
      <c r="E86" s="162"/>
      <c r="F86" s="162"/>
      <c r="G86" s="162"/>
      <c r="H86" s="162"/>
      <c r="I86" s="162"/>
      <c r="J86" s="168"/>
      <c r="K86" s="53"/>
      <c r="L86" s="53"/>
    </row>
    <row r="87" spans="1:12" ht="13.5" customHeight="1" thickBot="1">
      <c r="A87" s="262" t="s">
        <v>9</v>
      </c>
      <c r="B87" s="239">
        <f>SUM(B84:B86)</f>
        <v>744240.48947404465</v>
      </c>
      <c r="C87" s="536">
        <f>SUM(C84:C86)</f>
        <v>39.170552077581299</v>
      </c>
      <c r="D87" s="536">
        <f>SUM(D84:D86)</f>
        <v>39.170552077581299</v>
      </c>
      <c r="E87" s="460"/>
      <c r="F87" s="162"/>
      <c r="G87" s="162"/>
      <c r="H87" s="162"/>
      <c r="I87" s="162"/>
      <c r="J87" s="168"/>
      <c r="K87" s="53"/>
      <c r="L87" s="53"/>
    </row>
    <row r="88" spans="1:12">
      <c r="A88" s="167"/>
      <c r="B88" s="162"/>
      <c r="C88" s="162"/>
      <c r="D88" s="162"/>
      <c r="E88" s="162"/>
      <c r="F88" s="162"/>
      <c r="G88" s="162"/>
      <c r="H88" s="162"/>
      <c r="I88" s="162"/>
      <c r="J88" s="168"/>
      <c r="K88" s="53"/>
      <c r="L88" s="53"/>
    </row>
    <row r="89" spans="1:12">
      <c r="A89" s="167"/>
      <c r="B89" s="162"/>
      <c r="C89" s="162"/>
      <c r="D89" s="162"/>
      <c r="E89" s="162"/>
      <c r="F89" s="162"/>
      <c r="G89" s="162"/>
      <c r="H89" s="162"/>
      <c r="I89" s="162"/>
      <c r="J89" s="168"/>
      <c r="K89" s="53"/>
      <c r="L89" s="53"/>
    </row>
    <row r="90" spans="1:12" ht="27" customHeight="1" thickBot="1">
      <c r="A90" s="1020" t="s">
        <v>789</v>
      </c>
      <c r="B90" s="1021"/>
      <c r="C90" s="1021"/>
      <c r="D90" s="1021"/>
      <c r="E90" s="162"/>
      <c r="F90" s="162"/>
      <c r="G90" s="162"/>
      <c r="H90" s="162"/>
      <c r="I90" s="162"/>
      <c r="J90" s="168"/>
      <c r="K90" s="53"/>
      <c r="L90" s="53"/>
    </row>
    <row r="91" spans="1:12" ht="15.75" customHeight="1">
      <c r="A91" s="1022" t="s">
        <v>648</v>
      </c>
      <c r="B91" s="884" t="s">
        <v>649</v>
      </c>
      <c r="C91" s="885"/>
      <c r="D91" s="901"/>
      <c r="E91" s="162"/>
      <c r="F91" s="162"/>
      <c r="G91" s="162"/>
      <c r="H91" s="162"/>
      <c r="I91" s="162"/>
      <c r="J91" s="168"/>
      <c r="K91" s="53"/>
      <c r="L91" s="53"/>
    </row>
    <row r="92" spans="1:12" ht="12.75">
      <c r="A92" s="1017"/>
      <c r="B92" s="96" t="s">
        <v>685</v>
      </c>
      <c r="C92" s="96" t="s">
        <v>686</v>
      </c>
      <c r="D92" s="440" t="s">
        <v>687</v>
      </c>
      <c r="E92" s="162"/>
      <c r="F92" s="162"/>
      <c r="G92" s="162"/>
      <c r="H92" s="162"/>
      <c r="I92" s="162"/>
      <c r="J92" s="168"/>
      <c r="K92" s="53"/>
      <c r="L92" s="53"/>
    </row>
    <row r="93" spans="1:12">
      <c r="A93" s="204" t="s">
        <v>682</v>
      </c>
      <c r="B93" s="118">
        <f>'Combust Móvil Cálc'!B87/1000</f>
        <v>744.24048947404469</v>
      </c>
      <c r="C93" s="244">
        <f>'Combust Móvil Cálc'!C87/1000</f>
        <v>3.91705520775813E-2</v>
      </c>
      <c r="D93" s="245">
        <f>'Combust Móvil Cálc'!D87/1000</f>
        <v>3.91705520775813E-2</v>
      </c>
      <c r="E93" s="162"/>
      <c r="F93" s="162"/>
      <c r="G93" s="162"/>
      <c r="H93" s="162"/>
      <c r="I93" s="162"/>
      <c r="J93" s="168"/>
      <c r="K93" s="53"/>
      <c r="L93" s="53"/>
    </row>
    <row r="94" spans="1:12">
      <c r="A94" s="204" t="s">
        <v>683</v>
      </c>
      <c r="B94" s="118">
        <f>B93/'Combust Móvil Activ'!$J$20</f>
        <v>148.84809789480894</v>
      </c>
      <c r="C94" s="244">
        <f>C93/'Combust Móvil Activ'!$J$20</f>
        <v>7.8341104155162603E-3</v>
      </c>
      <c r="D94" s="244">
        <f>D93/'Combust Móvil Activ'!$J$20</f>
        <v>7.8341104155162603E-3</v>
      </c>
      <c r="E94" s="162"/>
      <c r="F94" s="162"/>
      <c r="G94" s="162"/>
      <c r="H94" s="162"/>
      <c r="I94" s="162"/>
      <c r="J94" s="168"/>
      <c r="K94" s="53"/>
      <c r="L94" s="53"/>
    </row>
    <row r="95" spans="1:12" ht="12.75">
      <c r="A95" s="437" t="s">
        <v>695</v>
      </c>
      <c r="B95" s="242">
        <f>B93*'GEI Gral Combust'!$B$13</f>
        <v>744.24048947404469</v>
      </c>
      <c r="C95" s="246">
        <f>C93*'GEI Gral Combust'!C13</f>
        <v>12.142871144050202</v>
      </c>
      <c r="D95" s="246">
        <f>D93*'GEI Gral Combust'!D13</f>
        <v>0.82258159362920735</v>
      </c>
      <c r="E95" s="348">
        <f>SUM(B95:D95)</f>
        <v>757.20594221172416</v>
      </c>
      <c r="F95" s="162"/>
      <c r="G95" s="162"/>
      <c r="H95" s="162"/>
      <c r="I95" s="162"/>
      <c r="J95" s="168"/>
      <c r="K95" s="53"/>
      <c r="L95" s="53"/>
    </row>
    <row r="96" spans="1:12" ht="13.5" thickBot="1">
      <c r="A96" s="205" t="s">
        <v>696</v>
      </c>
      <c r="B96" s="243">
        <f>B95/'Combust Móvil Activ'!$J$20</f>
        <v>148.84809789480894</v>
      </c>
      <c r="C96" s="247">
        <f>C95/'Combust Móvil Activ'!$J$20</f>
        <v>2.4285742288100405</v>
      </c>
      <c r="D96" s="248">
        <f>D95/'Combust Móvil Activ'!$J$20</f>
        <v>0.16451631872584146</v>
      </c>
      <c r="E96" s="348"/>
      <c r="F96" s="162"/>
      <c r="G96" s="162"/>
      <c r="H96" s="162"/>
      <c r="I96" s="162"/>
      <c r="J96" s="168"/>
      <c r="K96" s="53"/>
      <c r="L96" s="53"/>
    </row>
    <row r="97" spans="1:23" s="53" customFormat="1">
      <c r="A97" s="565"/>
      <c r="B97" s="566"/>
      <c r="C97" s="567"/>
      <c r="D97" s="567"/>
      <c r="E97" s="162"/>
      <c r="F97" s="162"/>
      <c r="G97" s="162"/>
      <c r="H97" s="162"/>
      <c r="I97" s="162"/>
      <c r="J97" s="168"/>
    </row>
    <row r="98" spans="1:23" s="53" customFormat="1">
      <c r="A98" s="565"/>
      <c r="B98" s="566"/>
      <c r="C98" s="567"/>
      <c r="D98" s="567"/>
      <c r="E98" s="162"/>
      <c r="F98" s="162"/>
      <c r="G98" s="162"/>
      <c r="H98" s="162"/>
      <c r="I98" s="162"/>
      <c r="J98" s="168"/>
    </row>
    <row r="99" spans="1:23" s="53" customFormat="1" ht="27.75" customHeight="1" thickBot="1">
      <c r="A99" s="1024" t="s">
        <v>963</v>
      </c>
      <c r="B99" s="1025"/>
      <c r="C99" s="1025"/>
      <c r="D99" s="1025"/>
      <c r="E99" s="162"/>
      <c r="F99" s="162"/>
      <c r="G99" s="162"/>
      <c r="H99" s="162"/>
      <c r="I99" s="162"/>
      <c r="J99" s="168"/>
    </row>
    <row r="100" spans="1:23" s="53" customFormat="1" ht="36">
      <c r="A100" s="538" t="s">
        <v>649</v>
      </c>
      <c r="B100" s="148">
        <v>2011</v>
      </c>
      <c r="C100" s="148">
        <v>2012</v>
      </c>
      <c r="D100" s="148">
        <v>2013</v>
      </c>
      <c r="E100" s="148">
        <v>2014</v>
      </c>
      <c r="F100" s="148">
        <v>2015</v>
      </c>
      <c r="G100" s="148">
        <v>2016</v>
      </c>
      <c r="H100" s="390" t="s">
        <v>861</v>
      </c>
      <c r="I100" s="162"/>
      <c r="J100" s="168"/>
    </row>
    <row r="101" spans="1:23" s="53" customFormat="1">
      <c r="A101" s="439" t="s">
        <v>842</v>
      </c>
      <c r="B101" s="150">
        <f>$K$14*$E$16*($E$63*'Combust Móvil Activ'!K120+$E$63*'Combust Móvil Activ'!K130+$E$65*'Combust Móvil Activ'!K140)/1000</f>
        <v>18.149095210191117</v>
      </c>
      <c r="C101" s="150">
        <f>$K$14*$E$16*($E$63*'Combust Móvil Activ'!L120+$E$63*'Combust Móvil Activ'!L130+$E$65*'Combust Móvil Activ'!L140)/1000</f>
        <v>141.73929519634112</v>
      </c>
      <c r="D101" s="150">
        <f>$K$14*$E$16*($E$63*'Combust Móvil Activ'!M120+$E$63*'Combust Móvil Activ'!M130+$E$65*'Combust Móvil Activ'!M140)/1000</f>
        <v>187.71986860629843</v>
      </c>
      <c r="E101" s="150">
        <f>$K$14*$E$16*($E$63*'Combust Móvil Activ'!N120+$E$63*'Combust Móvil Activ'!N130+$E$65*'Combust Móvil Activ'!N140)/1000</f>
        <v>186.24718789155111</v>
      </c>
      <c r="F101" s="150">
        <f>$K$14*$E$16*($E$63*'Combust Móvil Activ'!O120+$E$63*'Combust Móvil Activ'!O130+$E$65*'Combust Móvil Activ'!O140)/1000</f>
        <v>184.70310370078113</v>
      </c>
      <c r="G101" s="150">
        <f>$K$14*$E$16*($E$63*'Combust Móvil Activ'!P120+$E$63*'Combust Móvil Activ'!P130+$E$65*'Combust Móvil Activ'!P140)/1000</f>
        <v>25.681938868881709</v>
      </c>
      <c r="H101" s="393">
        <f>SUM(B101:G101)</f>
        <v>744.24048947404469</v>
      </c>
      <c r="I101" s="162"/>
      <c r="J101" s="168"/>
    </row>
    <row r="102" spans="1:23" s="53" customFormat="1">
      <c r="A102" s="439" t="s">
        <v>858</v>
      </c>
      <c r="B102" s="150">
        <f>$K$15*$E$16*($E$63*'Combust Móvil Activ'!K120+$E$63*'Combust Móvil Activ'!K130+$E$65*'Combust Móvil Activ'!K140)/1000</f>
        <v>9.5521553737847986E-4</v>
      </c>
      <c r="C102" s="150">
        <f>$K$15*$E$16*($E$63*'Combust Móvil Activ'!L120+$E$63*'Combust Móvil Activ'!L130+$E$65*'Combust Móvil Activ'!L140)/1000</f>
        <v>7.4599629050705867E-3</v>
      </c>
      <c r="D102" s="150">
        <f>$K$15*$E$16*($E$63*'Combust Móvil Activ'!M120+$E$63*'Combust Móvil Activ'!M130+$E$65*'Combust Móvil Activ'!M140)/1000</f>
        <v>9.8799930845420245E-3</v>
      </c>
      <c r="E102" s="150">
        <f>$K$15*$E$16*($E$63*'Combust Móvil Activ'!N120+$E$63*'Combust Móvil Activ'!N130+$E$65*'Combust Móvil Activ'!N140)/1000</f>
        <v>9.802483573239533E-3</v>
      </c>
      <c r="F102" s="150">
        <f>$K$15*$E$16*($E$63*'Combust Móvil Activ'!O120+$E$63*'Combust Móvil Activ'!O130+$E$65*'Combust Móvil Activ'!O140)/1000</f>
        <v>9.7212159842516369E-3</v>
      </c>
      <c r="G102" s="150">
        <f>$K$15*$E$16*($E$63*'Combust Móvil Activ'!P120+$E$63*'Combust Móvil Activ'!P130+$E$65*'Combust Móvil Activ'!P140)/1000</f>
        <v>1.3516809930990373E-3</v>
      </c>
      <c r="H102" s="651">
        <f>SUM(B102:G102)</f>
        <v>3.9170552077581293E-2</v>
      </c>
      <c r="I102" s="162"/>
      <c r="J102" s="168"/>
    </row>
    <row r="103" spans="1:23" s="53" customFormat="1" ht="12.75" thickBot="1">
      <c r="A103" s="439" t="s">
        <v>857</v>
      </c>
      <c r="B103" s="150">
        <f>$K$16*$E$16*($E$63*'Combust Móvil Activ'!K120+$E$63*'Combust Móvil Activ'!K130+$E$65*'Combust Móvil Activ'!K140)/1000</f>
        <v>9.5521553737847986E-4</v>
      </c>
      <c r="C103" s="150">
        <f>$K$16*$E$16*($E$63*'Combust Móvil Activ'!L120+$E$63*'Combust Móvil Activ'!L130+$E$65*'Combust Móvil Activ'!L140)/1000</f>
        <v>7.4599629050705867E-3</v>
      </c>
      <c r="D103" s="150">
        <f>$K$16*$E$16*($E$63*'Combust Móvil Activ'!M120+$E$63*'Combust Móvil Activ'!M130+$E$65*'Combust Móvil Activ'!M140)/1000</f>
        <v>9.8799930845420245E-3</v>
      </c>
      <c r="E103" s="150">
        <f>$K$16*$E$16*($E$63*'Combust Móvil Activ'!N120+$E$63*'Combust Móvil Activ'!N130+$E$65*'Combust Móvil Activ'!N140)/1000</f>
        <v>9.802483573239533E-3</v>
      </c>
      <c r="F103" s="150">
        <f>$K$16*$E$16*($E$63*'Combust Móvil Activ'!O120+$E$63*'Combust Móvil Activ'!O130+$E$65*'Combust Móvil Activ'!O140)/1000</f>
        <v>9.7212159842516369E-3</v>
      </c>
      <c r="G103" s="150">
        <f>$K$16*$E$16*($E$63*'Combust Móvil Activ'!P120+$E$63*'Combust Móvil Activ'!P130+$E$65*'Combust Móvil Activ'!P140)/1000</f>
        <v>1.3516809930990373E-3</v>
      </c>
      <c r="H103" s="655">
        <f>SUM(B103:G103)</f>
        <v>3.9170552077581293E-2</v>
      </c>
      <c r="I103" s="162"/>
      <c r="J103" s="168"/>
    </row>
    <row r="104" spans="1:23" s="53" customFormat="1" ht="14.25" thickBot="1">
      <c r="A104" s="539" t="s">
        <v>860</v>
      </c>
      <c r="B104" s="153">
        <f>B101+B102*'GEI Gral Combust'!$C$13+'Combust Móvil Cálc'!B103*'GEI Gral Combust'!$D$13</f>
        <v>18.465271553063396</v>
      </c>
      <c r="C104" s="153">
        <f>C101+C102*'GEI Gral Combust'!$C$13+'Combust Móvil Cálc'!C103*'GEI Gral Combust'!$D$13</f>
        <v>144.20854291791949</v>
      </c>
      <c r="D104" s="153">
        <f>D101+D102*'GEI Gral Combust'!$C$13+'Combust Móvil Cálc'!D103*'GEI Gral Combust'!$D$13</f>
        <v>190.99014631728184</v>
      </c>
      <c r="E104" s="153">
        <f>E101+E102*'GEI Gral Combust'!$C$13+'Combust Móvil Cálc'!E103*'GEI Gral Combust'!$D$13</f>
        <v>189.49180995429339</v>
      </c>
      <c r="F104" s="153">
        <f>F101+F102*'GEI Gral Combust'!$C$13+'Combust Móvil Cálc'!F103*'GEI Gral Combust'!$D$13</f>
        <v>187.92082619156841</v>
      </c>
      <c r="G104" s="153">
        <f>G101+G102*'GEI Gral Combust'!$C$13+'Combust Móvil Cálc'!G103*'GEI Gral Combust'!$D$13</f>
        <v>26.129345277597491</v>
      </c>
      <c r="H104" s="396">
        <f>SUM(B104:G104)</f>
        <v>757.20594221172405</v>
      </c>
      <c r="I104" s="554" t="s">
        <v>925</v>
      </c>
      <c r="J104" s="168"/>
    </row>
    <row r="105" spans="1:23" s="53" customFormat="1">
      <c r="A105" s="563"/>
      <c r="B105" s="564"/>
      <c r="C105" s="564"/>
      <c r="D105" s="564"/>
      <c r="E105" s="162"/>
      <c r="F105" s="162"/>
      <c r="G105" s="162"/>
      <c r="H105" s="162"/>
      <c r="I105" s="162" t="s">
        <v>926</v>
      </c>
      <c r="J105" s="168"/>
    </row>
    <row r="106" spans="1:23" s="53" customFormat="1" ht="30" customHeight="1" thickBot="1">
      <c r="A106" s="1024" t="s">
        <v>964</v>
      </c>
      <c r="B106" s="1025"/>
      <c r="C106" s="1025"/>
      <c r="D106" s="1025"/>
      <c r="E106" s="162"/>
      <c r="F106" s="162"/>
      <c r="G106" s="162"/>
      <c r="H106" s="162"/>
      <c r="I106" s="162"/>
      <c r="J106" s="168"/>
    </row>
    <row r="107" spans="1:23" s="53" customFormat="1" ht="36">
      <c r="A107" s="538" t="s">
        <v>649</v>
      </c>
      <c r="B107" s="148">
        <v>2011</v>
      </c>
      <c r="C107" s="148">
        <v>2012</v>
      </c>
      <c r="D107" s="148">
        <v>2013</v>
      </c>
      <c r="E107" s="148">
        <v>2014</v>
      </c>
      <c r="F107" s="148">
        <v>2015</v>
      </c>
      <c r="G107" s="148">
        <v>2016</v>
      </c>
      <c r="H107" s="390" t="s">
        <v>927</v>
      </c>
      <c r="I107" s="162"/>
      <c r="J107" s="168"/>
    </row>
    <row r="108" spans="1:23" s="53" customFormat="1" ht="14.25" thickBot="1">
      <c r="A108" s="539" t="s">
        <v>860</v>
      </c>
      <c r="B108" s="150">
        <f>B104</f>
        <v>18.465271553063396</v>
      </c>
      <c r="C108" s="150">
        <f t="shared" ref="C108:G108" si="1">C104</f>
        <v>144.20854291791949</v>
      </c>
      <c r="D108" s="150">
        <f t="shared" si="1"/>
        <v>190.99014631728184</v>
      </c>
      <c r="E108" s="150">
        <f t="shared" si="1"/>
        <v>189.49180995429339</v>
      </c>
      <c r="F108" s="150">
        <f t="shared" si="1"/>
        <v>187.92082619156841</v>
      </c>
      <c r="G108" s="150">
        <f t="shared" si="1"/>
        <v>26.129345277597491</v>
      </c>
      <c r="H108" s="396">
        <f>SUM(B108:G108)</f>
        <v>757.20594221172405</v>
      </c>
      <c r="I108" s="554"/>
      <c r="J108" s="168"/>
    </row>
    <row r="109" spans="1:23" s="53" customFormat="1">
      <c r="A109" s="498"/>
      <c r="B109" s="525"/>
      <c r="C109" s="526"/>
      <c r="D109" s="526"/>
      <c r="J109" s="168"/>
    </row>
    <row r="110" spans="1:23" ht="12.75" thickBot="1">
      <c r="A110" s="183"/>
      <c r="B110" s="184"/>
      <c r="C110" s="184"/>
      <c r="D110" s="184"/>
      <c r="E110" s="184"/>
      <c r="F110" s="184"/>
      <c r="G110" s="184"/>
      <c r="H110" s="184"/>
      <c r="I110" s="184"/>
      <c r="J110" s="186"/>
      <c r="K110" s="53"/>
      <c r="L110" s="53"/>
    </row>
    <row r="111" spans="1:23" ht="12.75" thickBot="1"/>
    <row r="112" spans="1:23">
      <c r="A112" s="163" t="s">
        <v>737</v>
      </c>
      <c r="B112" s="165" t="s">
        <v>790</v>
      </c>
      <c r="C112" s="200"/>
      <c r="D112" s="200"/>
      <c r="E112" s="165"/>
      <c r="F112" s="165"/>
      <c r="G112" s="165"/>
      <c r="H112" s="165"/>
      <c r="I112" s="165"/>
      <c r="J112" s="166"/>
      <c r="K112" s="53"/>
      <c r="L112" s="53"/>
      <c r="M112" s="53"/>
      <c r="N112" s="53"/>
      <c r="O112" s="53"/>
      <c r="P112" s="53"/>
      <c r="Q112" s="53"/>
      <c r="R112" s="53"/>
      <c r="S112" s="53"/>
      <c r="T112" s="53"/>
      <c r="U112" s="53"/>
      <c r="V112" s="53"/>
      <c r="W112" s="53"/>
    </row>
    <row r="113" spans="1:23">
      <c r="A113" s="167"/>
      <c r="B113" s="162"/>
      <c r="C113" s="156"/>
      <c r="D113" s="156"/>
      <c r="E113" s="162"/>
      <c r="F113" s="162"/>
      <c r="G113" s="162"/>
      <c r="H113" s="162"/>
      <c r="I113" s="162"/>
      <c r="J113" s="168"/>
      <c r="K113" s="53"/>
      <c r="L113" s="53"/>
      <c r="M113" s="53"/>
      <c r="N113" s="53"/>
      <c r="O113" s="53"/>
      <c r="P113" s="53"/>
      <c r="Q113" s="53"/>
      <c r="R113" s="53"/>
      <c r="S113" s="53"/>
      <c r="T113" s="53"/>
      <c r="U113" s="53"/>
      <c r="V113" s="53"/>
      <c r="W113" s="53"/>
    </row>
    <row r="114" spans="1:23" ht="15.75" thickBot="1">
      <c r="A114" s="926" t="s">
        <v>741</v>
      </c>
      <c r="B114" s="927"/>
      <c r="C114" s="927"/>
      <c r="D114" s="156"/>
      <c r="E114" s="187"/>
      <c r="F114" s="208"/>
      <c r="G114" s="162"/>
      <c r="H114" s="162"/>
      <c r="I114" s="162"/>
      <c r="J114" s="168"/>
      <c r="K114" s="53"/>
      <c r="L114" s="53"/>
      <c r="M114" s="53"/>
      <c r="N114" s="53"/>
      <c r="O114" s="53"/>
      <c r="P114" s="53"/>
      <c r="Q114" s="53"/>
      <c r="R114" s="53"/>
      <c r="S114" s="53"/>
      <c r="T114" s="53"/>
      <c r="U114" s="53"/>
      <c r="V114" s="53"/>
      <c r="W114" s="53"/>
    </row>
    <row r="115" spans="1:23" ht="24">
      <c r="A115" s="249" t="s">
        <v>747</v>
      </c>
      <c r="B115" s="928" t="s">
        <v>748</v>
      </c>
      <c r="C115" s="930" t="s">
        <v>739</v>
      </c>
      <c r="D115" s="931"/>
      <c r="E115" s="217"/>
      <c r="F115" s="266"/>
      <c r="G115" s="188"/>
      <c r="H115" s="188"/>
      <c r="I115" s="162"/>
      <c r="J115" s="168"/>
      <c r="K115" s="53"/>
      <c r="L115" s="53"/>
      <c r="M115" s="53"/>
      <c r="N115" s="53"/>
      <c r="O115" s="53"/>
      <c r="P115" s="53"/>
      <c r="Q115" s="53"/>
      <c r="R115" s="53"/>
      <c r="S115" s="53"/>
      <c r="T115" s="53"/>
      <c r="U115" s="53"/>
      <c r="V115" s="53"/>
      <c r="W115" s="53"/>
    </row>
    <row r="116" spans="1:23">
      <c r="A116" s="250"/>
      <c r="B116" s="929"/>
      <c r="C116" s="122" t="s">
        <v>621</v>
      </c>
      <c r="D116" s="429" t="s">
        <v>622</v>
      </c>
      <c r="E116" s="217"/>
      <c r="F116" s="267"/>
      <c r="G116" s="172"/>
      <c r="H116" s="209"/>
      <c r="I116" s="162"/>
      <c r="J116" s="168"/>
      <c r="K116" s="53"/>
      <c r="L116" s="53"/>
      <c r="M116" s="53"/>
      <c r="N116" s="53"/>
      <c r="O116" s="53"/>
      <c r="P116" s="53"/>
      <c r="Q116" s="53"/>
      <c r="R116" s="53"/>
      <c r="S116" s="53"/>
      <c r="T116" s="53"/>
      <c r="U116" s="53"/>
      <c r="V116" s="53"/>
      <c r="W116" s="53"/>
    </row>
    <row r="117" spans="1:23">
      <c r="A117" s="254" t="s">
        <v>634</v>
      </c>
      <c r="B117" s="213" t="s">
        <v>791</v>
      </c>
      <c r="C117" s="431">
        <v>247</v>
      </c>
      <c r="D117" s="436">
        <f>C117/1000</f>
        <v>0.247</v>
      </c>
      <c r="E117" s="218"/>
      <c r="F117" s="267"/>
      <c r="G117" s="172"/>
      <c r="H117" s="209"/>
      <c r="I117" s="162"/>
      <c r="J117" s="168"/>
      <c r="K117" s="53"/>
      <c r="L117" s="53"/>
      <c r="M117" s="53"/>
      <c r="N117" s="53"/>
      <c r="O117" s="53"/>
      <c r="P117" s="53"/>
      <c r="Q117" s="53"/>
      <c r="R117" s="53"/>
      <c r="S117" s="53"/>
      <c r="T117" s="53"/>
      <c r="U117" s="53"/>
      <c r="V117" s="53"/>
      <c r="W117" s="53"/>
    </row>
    <row r="118" spans="1:23" ht="12.75" thickBot="1">
      <c r="A118" s="254" t="s">
        <v>635</v>
      </c>
      <c r="B118" s="214" t="s">
        <v>792</v>
      </c>
      <c r="C118" s="215">
        <v>89</v>
      </c>
      <c r="D118" s="216">
        <f>C118/1000</f>
        <v>8.8999999999999996E-2</v>
      </c>
      <c r="E118" s="218"/>
      <c r="F118" s="218"/>
      <c r="G118" s="219"/>
      <c r="H118" s="219"/>
      <c r="I118" s="162"/>
      <c r="J118" s="168"/>
      <c r="K118" s="53"/>
      <c r="L118" s="53"/>
      <c r="M118" s="53"/>
      <c r="N118" s="53"/>
      <c r="O118" s="53"/>
      <c r="P118" s="53"/>
      <c r="Q118" s="53"/>
      <c r="R118" s="53"/>
      <c r="S118" s="53"/>
      <c r="T118" s="53"/>
      <c r="U118" s="53"/>
      <c r="V118" s="53"/>
      <c r="W118" s="53"/>
    </row>
    <row r="119" spans="1:23">
      <c r="A119" s="176" t="s">
        <v>754</v>
      </c>
      <c r="B119" s="56"/>
      <c r="C119" s="56"/>
      <c r="D119" s="56"/>
      <c r="E119" s="162"/>
      <c r="F119" s="162"/>
      <c r="G119" s="162"/>
      <c r="H119" s="162"/>
      <c r="I119" s="162"/>
      <c r="J119" s="168"/>
      <c r="K119" s="53"/>
      <c r="L119" s="53"/>
      <c r="M119" s="53"/>
      <c r="N119" s="53"/>
      <c r="O119" s="53"/>
      <c r="P119" s="53"/>
      <c r="Q119" s="53"/>
      <c r="R119" s="53"/>
      <c r="S119" s="53"/>
      <c r="T119" s="53"/>
      <c r="U119" s="53"/>
      <c r="V119" s="53"/>
      <c r="W119" s="53"/>
    </row>
    <row r="120" spans="1:23">
      <c r="A120" s="176"/>
      <c r="B120" s="56"/>
      <c r="C120" s="56"/>
      <c r="D120" s="56"/>
      <c r="E120" s="162"/>
      <c r="F120" s="162"/>
      <c r="G120" s="162"/>
      <c r="H120" s="162"/>
      <c r="I120" s="162"/>
      <c r="J120" s="168"/>
      <c r="K120" s="53"/>
      <c r="L120" s="53"/>
      <c r="M120" s="53"/>
      <c r="N120" s="53"/>
      <c r="O120" s="53"/>
      <c r="P120" s="53"/>
      <c r="Q120" s="53"/>
      <c r="R120" s="53"/>
      <c r="S120" s="53"/>
      <c r="T120" s="53"/>
      <c r="U120" s="53"/>
      <c r="V120" s="53"/>
      <c r="W120" s="53"/>
    </row>
    <row r="121" spans="1:23">
      <c r="A121" s="167"/>
      <c r="B121" s="162"/>
      <c r="C121" s="162"/>
      <c r="D121" s="162"/>
      <c r="E121" s="162"/>
      <c r="F121" s="162"/>
      <c r="G121" s="162"/>
      <c r="H121" s="162"/>
      <c r="I121" s="162"/>
      <c r="J121" s="168"/>
      <c r="K121" s="53"/>
      <c r="L121" s="53"/>
      <c r="M121" s="53"/>
      <c r="N121" s="53"/>
      <c r="O121" s="53"/>
      <c r="P121" s="53"/>
      <c r="Q121" s="53"/>
      <c r="R121" s="53"/>
      <c r="S121" s="53"/>
      <c r="T121" s="53"/>
      <c r="U121" s="53"/>
      <c r="V121" s="53"/>
      <c r="W121" s="53"/>
    </row>
    <row r="122" spans="1:23" ht="15.75" thickBot="1">
      <c r="A122" s="919" t="s">
        <v>827</v>
      </c>
      <c r="B122" s="992"/>
      <c r="C122" s="992"/>
      <c r="D122" s="992"/>
      <c r="E122" s="162"/>
      <c r="F122" s="162"/>
      <c r="G122" s="162"/>
      <c r="H122" s="162"/>
      <c r="I122" s="162"/>
      <c r="J122" s="168"/>
      <c r="K122" s="53"/>
      <c r="L122" s="53"/>
      <c r="M122" s="53"/>
      <c r="N122" s="53"/>
      <c r="O122" s="53"/>
      <c r="P122" s="53"/>
      <c r="Q122" s="53"/>
      <c r="R122" s="53"/>
      <c r="S122" s="53"/>
      <c r="T122" s="53"/>
      <c r="U122" s="53"/>
      <c r="V122" s="53"/>
      <c r="W122" s="53"/>
    </row>
    <row r="123" spans="1:23" ht="12.75" thickBot="1">
      <c r="A123" s="1022" t="s">
        <v>648</v>
      </c>
      <c r="B123" s="884" t="s">
        <v>649</v>
      </c>
      <c r="C123" s="885"/>
      <c r="D123" s="901"/>
      <c r="E123" s="162"/>
      <c r="F123" s="162"/>
      <c r="G123" s="162"/>
      <c r="H123" s="162"/>
      <c r="I123" s="162"/>
      <c r="J123" s="168"/>
      <c r="K123" s="53"/>
      <c r="L123" s="53"/>
      <c r="M123" s="53"/>
      <c r="N123" s="53"/>
      <c r="O123" s="53"/>
      <c r="P123" s="53"/>
      <c r="Q123" s="53"/>
      <c r="R123" s="53"/>
      <c r="S123" s="53"/>
      <c r="T123" s="53"/>
      <c r="U123" s="53"/>
      <c r="V123" s="53"/>
      <c r="W123" s="53"/>
    </row>
    <row r="124" spans="1:23" ht="12.75">
      <c r="A124" s="981"/>
      <c r="B124" s="102" t="s">
        <v>689</v>
      </c>
      <c r="C124" s="86" t="s">
        <v>690</v>
      </c>
      <c r="D124" s="102" t="s">
        <v>691</v>
      </c>
      <c r="E124" s="162"/>
      <c r="F124" s="162"/>
      <c r="G124" s="162"/>
      <c r="H124" s="162"/>
      <c r="I124" s="162"/>
      <c r="J124" s="168"/>
      <c r="K124" s="53"/>
      <c r="L124" s="53"/>
      <c r="M124" s="53"/>
      <c r="N124" s="53"/>
      <c r="O124" s="53"/>
      <c r="P124" s="53"/>
      <c r="Q124" s="53"/>
      <c r="R124" s="53"/>
      <c r="S124" s="53"/>
      <c r="T124" s="53"/>
      <c r="U124" s="53"/>
      <c r="V124" s="53"/>
      <c r="W124" s="53"/>
    </row>
    <row r="125" spans="1:23" ht="12.75">
      <c r="A125" s="1023"/>
      <c r="B125" s="96" t="s">
        <v>692</v>
      </c>
      <c r="C125" s="440" t="s">
        <v>693</v>
      </c>
      <c r="D125" s="96" t="s">
        <v>694</v>
      </c>
      <c r="E125" s="162"/>
      <c r="F125" s="162"/>
      <c r="G125" s="162"/>
      <c r="H125" s="162"/>
      <c r="I125" s="162"/>
      <c r="J125" s="168"/>
      <c r="K125" s="53"/>
      <c r="L125" s="53"/>
      <c r="M125" s="53"/>
      <c r="N125" s="53"/>
      <c r="O125" s="53"/>
      <c r="P125" s="53"/>
      <c r="Q125" s="53"/>
      <c r="R125" s="53"/>
      <c r="S125" s="53"/>
      <c r="T125" s="53"/>
      <c r="U125" s="53"/>
      <c r="V125" s="53"/>
      <c r="W125" s="53"/>
    </row>
    <row r="126" spans="1:23">
      <c r="A126" s="256" t="s">
        <v>806</v>
      </c>
      <c r="B126" s="238">
        <f>$K$14*$E$16*D117*'Combust Móvil Activ'!H337</f>
        <v>1622103.5936493403</v>
      </c>
      <c r="C126" s="238">
        <f>$K$15*$E$16*D117*'Combust Móvil Activ'!H337</f>
        <v>85.37387334996528</v>
      </c>
      <c r="D126" s="238">
        <f>$K$16*$E$16*D117*'Combust Móvil Activ'!H337</f>
        <v>85.37387334996528</v>
      </c>
      <c r="E126" s="162"/>
      <c r="F126" s="162"/>
      <c r="G126" s="162"/>
      <c r="H126" s="162"/>
      <c r="I126" s="162"/>
      <c r="J126" s="168"/>
      <c r="K126" s="53"/>
      <c r="L126" s="53"/>
      <c r="M126" s="53"/>
      <c r="N126" s="53"/>
      <c r="O126" s="53"/>
      <c r="P126" s="53"/>
      <c r="Q126" s="53"/>
      <c r="R126" s="53"/>
      <c r="S126" s="53"/>
      <c r="T126" s="53"/>
      <c r="U126" s="53"/>
      <c r="V126" s="53"/>
      <c r="W126" s="53"/>
    </row>
    <row r="127" spans="1:23">
      <c r="A127" s="254" t="s">
        <v>635</v>
      </c>
      <c r="B127" s="238">
        <f>$K$14*$E$16*D118*'Combust Móvil Activ'!H338</f>
        <v>3156765.2263815841</v>
      </c>
      <c r="C127" s="238">
        <f>$K$15*$E$16*D118*'Combust Móvil Activ'!H338</f>
        <v>166.1455382306097</v>
      </c>
      <c r="D127" s="238">
        <f>$K$16*$E$16*D118*'Combust Móvil Activ'!H338</f>
        <v>166.1455382306097</v>
      </c>
      <c r="E127" s="162"/>
      <c r="F127" s="162"/>
      <c r="G127" s="162"/>
      <c r="H127" s="162"/>
      <c r="I127" s="162"/>
      <c r="J127" s="168"/>
      <c r="K127" s="53"/>
      <c r="L127" s="53"/>
      <c r="M127" s="53"/>
      <c r="N127" s="53"/>
      <c r="O127" s="53"/>
      <c r="P127" s="53"/>
      <c r="Q127" s="53"/>
      <c r="R127" s="53"/>
      <c r="S127" s="53"/>
      <c r="T127" s="53"/>
      <c r="U127" s="53"/>
      <c r="V127" s="53"/>
      <c r="W127" s="53"/>
    </row>
    <row r="128" spans="1:23" ht="12.75" thickBot="1">
      <c r="A128" s="262" t="s">
        <v>9</v>
      </c>
      <c r="B128" s="239">
        <f>SUM(B126:B127)</f>
        <v>4778868.8200309239</v>
      </c>
      <c r="C128" s="239">
        <f>SUM(C126:C127)</f>
        <v>251.51941158057497</v>
      </c>
      <c r="D128" s="239">
        <f>SUM(D126:D127)</f>
        <v>251.51941158057497</v>
      </c>
      <c r="E128" s="56"/>
      <c r="F128" s="162"/>
      <c r="G128" s="162"/>
      <c r="H128" s="162"/>
      <c r="I128" s="162"/>
      <c r="J128" s="168"/>
      <c r="K128" s="53"/>
      <c r="L128" s="53"/>
      <c r="M128" s="53"/>
      <c r="N128" s="53"/>
      <c r="O128" s="53"/>
      <c r="P128" s="53"/>
      <c r="Q128" s="53"/>
      <c r="R128" s="53"/>
      <c r="S128" s="53"/>
      <c r="T128" s="53"/>
      <c r="U128" s="53"/>
      <c r="V128" s="53"/>
      <c r="W128" s="53"/>
    </row>
    <row r="129" spans="1:23">
      <c r="A129" s="167"/>
      <c r="B129" s="162"/>
      <c r="C129" s="162"/>
      <c r="D129" s="162"/>
      <c r="E129" s="162"/>
      <c r="F129" s="162"/>
      <c r="G129" s="162"/>
      <c r="H129" s="162"/>
      <c r="I129" s="162"/>
      <c r="J129" s="168"/>
      <c r="K129" s="53"/>
      <c r="L129" s="53"/>
      <c r="M129" s="53"/>
      <c r="N129" s="53"/>
      <c r="O129" s="53"/>
      <c r="P129" s="53"/>
      <c r="Q129" s="53"/>
      <c r="R129" s="53"/>
      <c r="S129" s="53"/>
      <c r="T129" s="53"/>
      <c r="U129" s="53"/>
      <c r="V129" s="53"/>
      <c r="W129" s="53"/>
    </row>
    <row r="130" spans="1:23">
      <c r="A130" s="167"/>
      <c r="B130" s="162"/>
      <c r="C130" s="162"/>
      <c r="D130" s="162"/>
      <c r="E130" s="162"/>
      <c r="F130" s="162"/>
      <c r="G130" s="162"/>
      <c r="H130" s="162"/>
      <c r="I130" s="162"/>
      <c r="J130" s="168"/>
      <c r="K130" s="53"/>
      <c r="L130" s="53"/>
      <c r="M130" s="53"/>
      <c r="N130" s="53"/>
      <c r="O130" s="53"/>
      <c r="P130" s="53"/>
      <c r="Q130" s="53"/>
      <c r="R130" s="53"/>
      <c r="S130" s="53"/>
      <c r="T130" s="53"/>
      <c r="U130" s="53"/>
      <c r="V130" s="53"/>
      <c r="W130" s="53"/>
    </row>
    <row r="131" spans="1:23" ht="27.75" customHeight="1" thickBot="1">
      <c r="A131" s="1020" t="s">
        <v>807</v>
      </c>
      <c r="B131" s="1021"/>
      <c r="C131" s="1021"/>
      <c r="D131" s="1021"/>
      <c r="E131" s="162"/>
      <c r="F131" s="162"/>
      <c r="G131" s="162"/>
      <c r="H131" s="162"/>
      <c r="I131" s="162"/>
      <c r="J131" s="168"/>
      <c r="K131" s="53"/>
      <c r="L131" s="53"/>
      <c r="M131" s="53"/>
      <c r="N131" s="53"/>
      <c r="O131" s="53"/>
      <c r="P131" s="53"/>
      <c r="Q131" s="53"/>
      <c r="R131" s="53"/>
      <c r="S131" s="53"/>
      <c r="T131" s="53"/>
      <c r="U131" s="53"/>
      <c r="V131" s="53"/>
      <c r="W131" s="53"/>
    </row>
    <row r="132" spans="1:23">
      <c r="A132" s="1022" t="s">
        <v>648</v>
      </c>
      <c r="B132" s="884" t="s">
        <v>649</v>
      </c>
      <c r="C132" s="885"/>
      <c r="D132" s="901"/>
      <c r="E132" s="162"/>
      <c r="F132" s="162"/>
      <c r="G132" s="162"/>
      <c r="H132" s="162"/>
      <c r="I132" s="162"/>
      <c r="J132" s="168"/>
      <c r="K132" s="53"/>
      <c r="L132" s="53"/>
      <c r="M132" s="53"/>
      <c r="N132" s="53"/>
      <c r="O132" s="53"/>
      <c r="P132" s="53"/>
      <c r="Q132" s="53"/>
      <c r="R132" s="53"/>
      <c r="S132" s="53"/>
      <c r="T132" s="53"/>
      <c r="U132" s="53"/>
      <c r="V132" s="53"/>
      <c r="W132" s="53"/>
    </row>
    <row r="133" spans="1:23" ht="12.75">
      <c r="A133" s="1017"/>
      <c r="B133" s="96" t="s">
        <v>685</v>
      </c>
      <c r="C133" s="96" t="s">
        <v>686</v>
      </c>
      <c r="D133" s="440" t="s">
        <v>687</v>
      </c>
      <c r="E133" s="162"/>
      <c r="F133" s="162"/>
      <c r="G133" s="162"/>
      <c r="H133" s="162"/>
      <c r="I133" s="162"/>
      <c r="J133" s="168"/>
      <c r="K133" s="53"/>
      <c r="L133" s="53"/>
      <c r="M133" s="53"/>
      <c r="N133" s="53"/>
      <c r="O133" s="53"/>
      <c r="P133" s="53"/>
      <c r="Q133" s="53"/>
      <c r="R133" s="53"/>
      <c r="S133" s="53"/>
      <c r="T133" s="53"/>
      <c r="U133" s="53"/>
      <c r="V133" s="53"/>
      <c r="W133" s="53"/>
    </row>
    <row r="134" spans="1:23">
      <c r="A134" s="204" t="s">
        <v>682</v>
      </c>
      <c r="B134" s="118">
        <f>B128/1000</f>
        <v>4778.8688200309243</v>
      </c>
      <c r="C134" s="118">
        <f>C128/1000</f>
        <v>0.25151941158057495</v>
      </c>
      <c r="D134" s="118">
        <f>D128/1000</f>
        <v>0.25151941158057495</v>
      </c>
      <c r="E134" s="162"/>
      <c r="F134" s="162"/>
      <c r="G134" s="162"/>
      <c r="H134" s="162"/>
      <c r="I134" s="162"/>
      <c r="J134" s="168"/>
      <c r="K134" s="53"/>
      <c r="L134" s="53"/>
      <c r="M134" s="53"/>
      <c r="N134" s="53"/>
      <c r="O134" s="53"/>
      <c r="P134" s="53"/>
      <c r="Q134" s="53"/>
      <c r="R134" s="53"/>
      <c r="S134" s="53"/>
      <c r="T134" s="53"/>
      <c r="U134" s="53"/>
      <c r="V134" s="53"/>
      <c r="W134" s="53"/>
    </row>
    <row r="135" spans="1:23">
      <c r="A135" s="204" t="s">
        <v>683</v>
      </c>
      <c r="B135" s="118">
        <f>B134/$J$20</f>
        <v>955.77376400618482</v>
      </c>
      <c r="C135" s="244">
        <f>C134/$J$20</f>
        <v>5.030388231611499E-2</v>
      </c>
      <c r="D135" s="244">
        <f t="shared" ref="D135" si="2">D134/$J$20</f>
        <v>5.030388231611499E-2</v>
      </c>
      <c r="E135" s="162"/>
      <c r="F135" s="162"/>
      <c r="G135" s="162"/>
      <c r="H135" s="162"/>
      <c r="I135" s="162"/>
      <c r="J135" s="168"/>
      <c r="K135" s="53"/>
      <c r="L135" s="53"/>
      <c r="M135" s="53"/>
      <c r="N135" s="53"/>
      <c r="O135" s="53"/>
      <c r="P135" s="53"/>
      <c r="Q135" s="53"/>
      <c r="R135" s="53"/>
      <c r="S135" s="53"/>
      <c r="T135" s="53"/>
      <c r="U135" s="53"/>
      <c r="V135" s="53"/>
      <c r="W135" s="53"/>
    </row>
    <row r="136" spans="1:23" ht="12.75">
      <c r="A136" s="437" t="s">
        <v>695</v>
      </c>
      <c r="B136" s="242">
        <f>B134*'GEI Gral Combust'!$B$13</f>
        <v>4778.8688200309243</v>
      </c>
      <c r="C136" s="242">
        <f>C134*'GEI Gral Combust'!$C$13</f>
        <v>77.971017589978231</v>
      </c>
      <c r="D136" s="246">
        <f>D134*'GEI Gral Combust'!$D$13</f>
        <v>5.2819076431920742</v>
      </c>
      <c r="E136" s="348"/>
      <c r="F136" s="162"/>
      <c r="G136" s="162"/>
      <c r="H136" s="162"/>
      <c r="I136" s="162"/>
      <c r="J136" s="168"/>
      <c r="K136" s="53"/>
      <c r="L136" s="53"/>
      <c r="M136" s="53"/>
      <c r="N136" s="53"/>
      <c r="O136" s="53"/>
      <c r="P136" s="53"/>
      <c r="Q136" s="53"/>
      <c r="R136" s="53"/>
      <c r="S136" s="53"/>
      <c r="T136" s="53"/>
      <c r="U136" s="53"/>
      <c r="V136" s="53"/>
      <c r="W136" s="53"/>
    </row>
    <row r="137" spans="1:23" ht="13.5" thickBot="1">
      <c r="A137" s="205" t="s">
        <v>696</v>
      </c>
      <c r="B137" s="243">
        <f>B136/$J$20</f>
        <v>955.77376400618482</v>
      </c>
      <c r="C137" s="243">
        <f>C136/$J$20</f>
        <v>15.594203517995647</v>
      </c>
      <c r="D137" s="349">
        <f>D136/$J$20</f>
        <v>1.0563815286384148</v>
      </c>
      <c r="E137" s="554"/>
      <c r="F137" s="162"/>
      <c r="G137" s="162"/>
      <c r="H137" s="162"/>
      <c r="I137" s="162"/>
      <c r="J137" s="168"/>
      <c r="K137" s="53"/>
      <c r="L137" s="53"/>
      <c r="M137" s="53"/>
      <c r="N137" s="53"/>
      <c r="O137" s="53"/>
      <c r="P137" s="53"/>
      <c r="Q137" s="53"/>
      <c r="R137" s="53"/>
      <c r="S137" s="53"/>
      <c r="T137" s="53"/>
      <c r="U137" s="53"/>
      <c r="V137" s="53"/>
      <c r="W137" s="53"/>
    </row>
    <row r="138" spans="1:23">
      <c r="A138" s="167"/>
      <c r="B138" s="162"/>
      <c r="C138" s="162"/>
      <c r="D138" s="162"/>
      <c r="E138" s="162"/>
      <c r="F138" s="162"/>
      <c r="G138" s="162"/>
      <c r="H138" s="162"/>
      <c r="I138" s="162"/>
      <c r="J138" s="168"/>
      <c r="K138" s="53"/>
      <c r="L138" s="53"/>
      <c r="M138" s="53"/>
      <c r="N138" s="53"/>
      <c r="O138" s="53"/>
      <c r="P138" s="53"/>
      <c r="Q138" s="53"/>
      <c r="R138" s="53"/>
      <c r="S138" s="53"/>
      <c r="T138" s="53"/>
      <c r="U138" s="53"/>
      <c r="V138" s="53"/>
      <c r="W138" s="53"/>
    </row>
    <row r="139" spans="1:23">
      <c r="A139" s="167"/>
      <c r="B139" s="162"/>
      <c r="C139" s="162"/>
      <c r="D139" s="162"/>
      <c r="E139" s="162"/>
      <c r="F139" s="162"/>
      <c r="G139" s="162"/>
      <c r="H139" s="162"/>
      <c r="I139" s="162"/>
      <c r="J139" s="168"/>
      <c r="K139" s="53"/>
      <c r="L139" s="53"/>
      <c r="M139" s="53"/>
      <c r="N139" s="53"/>
      <c r="O139" s="53"/>
      <c r="P139" s="53"/>
      <c r="Q139" s="53"/>
      <c r="R139" s="53"/>
      <c r="S139" s="53"/>
      <c r="T139" s="53"/>
      <c r="U139" s="53"/>
      <c r="V139" s="53"/>
      <c r="W139" s="53"/>
    </row>
    <row r="140" spans="1:23" ht="25.5" customHeight="1" thickBot="1">
      <c r="A140" s="1024" t="s">
        <v>959</v>
      </c>
      <c r="B140" s="1025"/>
      <c r="C140" s="1025"/>
      <c r="D140" s="1025"/>
      <c r="E140" s="162"/>
      <c r="F140" s="162"/>
      <c r="G140" s="162"/>
      <c r="H140" s="162"/>
      <c r="I140" s="162"/>
      <c r="J140" s="168"/>
      <c r="K140" s="53"/>
      <c r="L140" s="53"/>
      <c r="M140" s="53"/>
      <c r="N140" s="53"/>
      <c r="O140" s="53"/>
      <c r="P140" s="53"/>
      <c r="Q140" s="53"/>
      <c r="R140" s="53"/>
      <c r="S140" s="53"/>
      <c r="T140" s="53"/>
      <c r="U140" s="53"/>
      <c r="V140" s="53"/>
      <c r="W140" s="53"/>
    </row>
    <row r="141" spans="1:23" ht="36">
      <c r="A141" s="538" t="s">
        <v>649</v>
      </c>
      <c r="B141" s="148">
        <v>2011</v>
      </c>
      <c r="C141" s="148">
        <v>2012</v>
      </c>
      <c r="D141" s="148">
        <v>2013</v>
      </c>
      <c r="E141" s="148">
        <v>2014</v>
      </c>
      <c r="F141" s="148">
        <v>2015</v>
      </c>
      <c r="G141" s="148">
        <v>2016</v>
      </c>
      <c r="H141" s="390" t="s">
        <v>861</v>
      </c>
      <c r="I141" s="162"/>
      <c r="J141" s="168"/>
      <c r="K141" s="53"/>
      <c r="L141" s="53"/>
      <c r="M141" s="53"/>
      <c r="N141" s="53"/>
      <c r="O141" s="53"/>
      <c r="P141" s="53"/>
      <c r="Q141" s="53"/>
      <c r="R141" s="53"/>
      <c r="S141" s="53"/>
      <c r="T141" s="53"/>
      <c r="U141" s="53"/>
      <c r="V141" s="53"/>
      <c r="W141" s="53"/>
    </row>
    <row r="142" spans="1:23">
      <c r="A142" s="439" t="s">
        <v>842</v>
      </c>
      <c r="B142" s="150">
        <f>('Combust Móvil Activ'!B337*$D$117+'Combust Móvil Activ'!B338*$D$118)*'Combust Móvil Cálc'!$K$14*'Combust Móvil Cálc'!$E$16/1000</f>
        <v>84.063099564430772</v>
      </c>
      <c r="C142" s="150">
        <f>('Combust Móvil Activ'!C337*$D$117+'Combust Móvil Activ'!C338*$D$118)*'Combust Móvil Cálc'!$K$14*'Combust Móvil Cálc'!$E$16/1000</f>
        <v>1198.8204531232527</v>
      </c>
      <c r="D142" s="150">
        <f>('Combust Móvil Activ'!D337*$D$117+'Combust Móvil Activ'!D338*$D$118)*'Combust Móvil Cálc'!$K$14*'Combust Móvil Cálc'!$E$16/1000</f>
        <v>1693.7492906347156</v>
      </c>
      <c r="E142" s="150">
        <f>('Combust Móvil Activ'!E337*$D$117+'Combust Móvil Activ'!E338*$D$118)*'Combust Móvil Cálc'!$K$14*'Combust Móvil Cálc'!$E$16/1000</f>
        <v>1435.2857177313704</v>
      </c>
      <c r="F142" s="150">
        <f>('Combust Móvil Activ'!F337*$D$117+'Combust Móvil Activ'!F338*$D$118)*'Combust Móvil Cálc'!$K$14*'Combust Móvil Cálc'!$E$16/1000</f>
        <v>364.51980209145376</v>
      </c>
      <c r="G142" s="150">
        <f>('Combust Móvil Activ'!G337*$D$117+'Combust Móvil Activ'!G338*$D$118)*'Combust Móvil Cálc'!$K$14*'Combust Móvil Cálc'!$E$16/1000</f>
        <v>2.4304568857018629</v>
      </c>
      <c r="H142" s="393">
        <f>SUM(B142:G142)</f>
        <v>4778.8688200309252</v>
      </c>
      <c r="I142" s="162"/>
      <c r="J142" s="560"/>
      <c r="K142" s="527"/>
      <c r="L142" s="527"/>
    </row>
    <row r="143" spans="1:23">
      <c r="A143" s="439" t="s">
        <v>858</v>
      </c>
      <c r="B143" s="389">
        <f>('Combust Móvil Activ'!B337*$D$117+'Combust Móvil Activ'!B338*$D$118)*'Combust Móvil Cálc'!$K$15*'Combust Móvil Cálc'!$E$16/1000</f>
        <v>4.4243736612858296E-3</v>
      </c>
      <c r="C143" s="389">
        <f>('Combust Móvil Activ'!C337*$D$117+'Combust Móvil Activ'!C338*$D$118)*'Combust Móvil Cálc'!$K$15*'Combust Móvil Cálc'!$E$16/1000</f>
        <v>6.3095813322276456E-2</v>
      </c>
      <c r="D143" s="389">
        <f>('Combust Móvil Activ'!D337*$D$117+'Combust Móvil Activ'!D338*$D$118)*'Combust Móvil Cálc'!$K$15*'Combust Móvil Cálc'!$E$16/1000</f>
        <v>8.9144699507090294E-2</v>
      </c>
      <c r="E143" s="389">
        <f>('Combust Móvil Activ'!E337*$D$117+'Combust Móvil Activ'!E338*$D$118)*'Combust Móvil Cálc'!$K$15*'Combust Móvil Cálc'!$E$16/1000</f>
        <v>7.5541353564808955E-2</v>
      </c>
      <c r="F143" s="389">
        <f>('Combust Móvil Activ'!F337*$D$117+'Combust Móvil Activ'!F338*$D$118)*'Combust Móvil Cálc'!$K$15*'Combust Móvil Cálc'!$E$16/1000</f>
        <v>1.9185252741655459E-2</v>
      </c>
      <c r="G143" s="389">
        <f>('Combust Móvil Activ'!G337*$D$117+'Combust Móvil Activ'!G338*$D$118)*'Combust Móvil Cálc'!$K$15*'Combust Móvil Cálc'!$E$16/1000</f>
        <v>1.2791878345799279E-4</v>
      </c>
      <c r="H143" s="394">
        <f>SUM(B143:G143)</f>
        <v>0.25151941158057495</v>
      </c>
      <c r="I143" s="162"/>
      <c r="J143" s="561"/>
      <c r="K143" s="527"/>
      <c r="L143" s="527"/>
    </row>
    <row r="144" spans="1:23" ht="12.75" thickBot="1">
      <c r="A144" s="439" t="s">
        <v>857</v>
      </c>
      <c r="B144" s="389">
        <f>('Combust Móvil Activ'!B337*$D$117+'Combust Móvil Activ'!B338*$D$118)*'Combust Móvil Cálc'!$K$16*'Combust Móvil Cálc'!$E$16/1000</f>
        <v>4.4243736612858296E-3</v>
      </c>
      <c r="C144" s="389">
        <f>('Combust Móvil Activ'!C337*$D$117+'Combust Móvil Activ'!C338*$D$118)*'Combust Móvil Cálc'!$K$16*'Combust Móvil Cálc'!$E$16/1000</f>
        <v>6.3095813322276456E-2</v>
      </c>
      <c r="D144" s="389">
        <f>('Combust Móvil Activ'!D337*$D$117+'Combust Móvil Activ'!D338*$D$118)*'Combust Móvil Cálc'!$K$16*'Combust Móvil Cálc'!$E$16/1000</f>
        <v>8.9144699507090294E-2</v>
      </c>
      <c r="E144" s="389">
        <f>('Combust Móvil Activ'!E337*$D$117+'Combust Móvil Activ'!E338*$D$118)*'Combust Móvil Cálc'!$K$16*'Combust Móvil Cálc'!$E$16/1000</f>
        <v>7.5541353564808955E-2</v>
      </c>
      <c r="F144" s="389">
        <f>('Combust Móvil Activ'!F337*$D$117+'Combust Móvil Activ'!F338*$D$118)*'Combust Móvil Cálc'!$K$16*'Combust Móvil Cálc'!$E$16/1000</f>
        <v>1.9185252741655459E-2</v>
      </c>
      <c r="G144" s="389">
        <f>('Combust Móvil Activ'!G337*$D$117+'Combust Móvil Activ'!G338*$D$118)*'Combust Móvil Cálc'!$K$16*'Combust Móvil Cálc'!$E$16/1000</f>
        <v>1.2791878345799279E-4</v>
      </c>
      <c r="H144" s="395">
        <f>SUM(B144:G144)</f>
        <v>0.25151941158057495</v>
      </c>
      <c r="I144" s="162"/>
      <c r="J144" s="561"/>
      <c r="K144" s="527"/>
      <c r="L144" s="527"/>
    </row>
    <row r="145" spans="1:12" ht="14.25" thickBot="1">
      <c r="A145" s="539" t="s">
        <v>860</v>
      </c>
      <c r="B145" s="153">
        <f>B142+(B143*'GEI Gral Combust'!$C$13)+('Combust Móvil Cálc'!B144*'GEI Gral Combust'!$D$13)</f>
        <v>85.52756724631638</v>
      </c>
      <c r="C145" s="153">
        <f>C142+(C143*'GEI Gral Combust'!$C$13)+('Combust Móvil Cálc'!C144*'GEI Gral Combust'!$D$13)</f>
        <v>1219.7051673329261</v>
      </c>
      <c r="D145" s="153">
        <f>D142+(D143*'GEI Gral Combust'!$C$13)+('Combust Móvil Cálc'!D144*'GEI Gral Combust'!$D$13)</f>
        <v>1723.2561861715626</v>
      </c>
      <c r="E145" s="153">
        <f>E142+(E143*'GEI Gral Combust'!$C$13)+('Combust Móvil Cálc'!E144*'GEI Gral Combust'!$D$13)</f>
        <v>1460.289905761322</v>
      </c>
      <c r="F145" s="153">
        <f>F142+(F143*'GEI Gral Combust'!$C$13)+('Combust Móvil Cálc'!F144*'GEI Gral Combust'!$D$13)</f>
        <v>370.8701207489417</v>
      </c>
      <c r="G145" s="153">
        <f>G142+(G143*'GEI Gral Combust'!$C$13)+('Combust Móvil Cálc'!G144*'GEI Gral Combust'!$D$13)</f>
        <v>2.4727980030264587</v>
      </c>
      <c r="H145" s="396">
        <f>SUM(B145:G145)</f>
        <v>4862.1217452640958</v>
      </c>
      <c r="I145" s="554" t="s">
        <v>925</v>
      </c>
      <c r="J145" s="562"/>
      <c r="K145" s="527"/>
      <c r="L145" s="527"/>
    </row>
    <row r="146" spans="1:12">
      <c r="A146" s="563"/>
      <c r="B146" s="564"/>
      <c r="C146" s="564"/>
      <c r="D146" s="564"/>
      <c r="E146" s="162"/>
      <c r="F146" s="162"/>
      <c r="G146" s="162"/>
      <c r="H146" s="162"/>
      <c r="I146" s="162" t="s">
        <v>926</v>
      </c>
      <c r="J146" s="168"/>
      <c r="K146" s="527"/>
      <c r="L146" s="527"/>
    </row>
    <row r="147" spans="1:12" ht="30" customHeight="1" thickBot="1">
      <c r="A147" s="1024" t="s">
        <v>959</v>
      </c>
      <c r="B147" s="1025"/>
      <c r="C147" s="1025"/>
      <c r="D147" s="1025"/>
      <c r="E147" s="162"/>
      <c r="F147" s="162"/>
      <c r="G147" s="162"/>
      <c r="H147" s="162"/>
      <c r="I147" s="162"/>
      <c r="J147" s="168"/>
      <c r="K147" s="527"/>
      <c r="L147" s="527"/>
    </row>
    <row r="148" spans="1:12" ht="36">
      <c r="A148" s="538" t="s">
        <v>649</v>
      </c>
      <c r="B148" s="148">
        <v>2011</v>
      </c>
      <c r="C148" s="148">
        <v>2012</v>
      </c>
      <c r="D148" s="148">
        <v>2013</v>
      </c>
      <c r="E148" s="148">
        <v>2014</v>
      </c>
      <c r="F148" s="148">
        <v>2015</v>
      </c>
      <c r="G148" s="148">
        <v>2016</v>
      </c>
      <c r="H148" s="390" t="s">
        <v>927</v>
      </c>
      <c r="I148" s="162"/>
      <c r="J148" s="168"/>
      <c r="K148" s="527"/>
      <c r="L148" s="527"/>
    </row>
    <row r="149" spans="1:12" ht="14.25" thickBot="1">
      <c r="A149" s="539" t="s">
        <v>860</v>
      </c>
      <c r="B149" s="150">
        <f>B145</f>
        <v>85.52756724631638</v>
      </c>
      <c r="C149" s="150">
        <f>C145</f>
        <v>1219.7051673329261</v>
      </c>
      <c r="D149" s="150">
        <f t="shared" ref="D149:G149" si="3">D145</f>
        <v>1723.2561861715626</v>
      </c>
      <c r="E149" s="150">
        <f t="shared" si="3"/>
        <v>1460.289905761322</v>
      </c>
      <c r="F149" s="150">
        <f t="shared" si="3"/>
        <v>370.8701207489417</v>
      </c>
      <c r="G149" s="150">
        <f t="shared" si="3"/>
        <v>2.4727980030264587</v>
      </c>
      <c r="H149" s="396">
        <f>SUM(B149:G149)</f>
        <v>4862.1217452640958</v>
      </c>
      <c r="I149" s="554"/>
      <c r="J149" s="168"/>
      <c r="K149" s="527"/>
      <c r="L149" s="527"/>
    </row>
    <row r="150" spans="1:12" ht="12.75" thickBot="1">
      <c r="A150" s="183"/>
      <c r="B150" s="184"/>
      <c r="C150" s="184"/>
      <c r="D150" s="184"/>
      <c r="E150" s="184"/>
      <c r="F150" s="184"/>
      <c r="G150" s="184"/>
      <c r="H150" s="184"/>
      <c r="I150" s="184"/>
      <c r="J150" s="186"/>
      <c r="K150" s="527"/>
      <c r="L150" s="527"/>
    </row>
    <row r="151" spans="1:12">
      <c r="H151" s="527"/>
      <c r="I151" s="527"/>
      <c r="J151" s="527" t="s">
        <v>5</v>
      </c>
      <c r="K151" s="527"/>
      <c r="L151" s="527"/>
    </row>
    <row r="152" spans="1:12">
      <c r="A152" s="30"/>
      <c r="H152" s="527"/>
      <c r="I152" s="527"/>
      <c r="J152" s="527" t="s">
        <v>5</v>
      </c>
      <c r="K152" s="527"/>
      <c r="L152" s="527"/>
    </row>
    <row r="153" spans="1:12">
      <c r="H153" s="527"/>
      <c r="I153" s="527"/>
      <c r="J153" s="527"/>
      <c r="K153" s="527"/>
      <c r="L153" s="527"/>
    </row>
    <row r="154" spans="1:12">
      <c r="H154" s="527"/>
      <c r="I154" s="527"/>
      <c r="J154" s="527"/>
      <c r="K154" s="527"/>
      <c r="L154" s="527"/>
    </row>
    <row r="155" spans="1:12">
      <c r="A155" s="552"/>
      <c r="B155" s="36"/>
      <c r="C155" s="36"/>
      <c r="D155" s="36"/>
      <c r="E155" s="36"/>
      <c r="F155" s="36"/>
      <c r="G155" s="36"/>
      <c r="H155" s="527"/>
      <c r="I155" s="527"/>
      <c r="J155" s="527"/>
      <c r="K155" s="527"/>
      <c r="L155" s="527"/>
    </row>
    <row r="156" spans="1:12">
      <c r="A156" s="552"/>
      <c r="B156" s="36"/>
      <c r="C156" s="36"/>
      <c r="D156" s="36"/>
      <c r="E156" s="36"/>
      <c r="F156" s="36"/>
      <c r="G156" s="36"/>
      <c r="H156" s="527"/>
      <c r="I156" s="527"/>
      <c r="J156" s="527"/>
      <c r="K156" s="527"/>
      <c r="L156" s="527"/>
    </row>
    <row r="157" spans="1:12">
      <c r="A157" s="552"/>
      <c r="B157" s="36"/>
      <c r="C157" s="36"/>
      <c r="D157" s="36"/>
      <c r="E157" s="36"/>
      <c r="F157" s="36"/>
      <c r="G157" s="36"/>
      <c r="H157" s="527"/>
      <c r="I157" s="527"/>
      <c r="J157" s="527"/>
      <c r="K157" s="527"/>
      <c r="L157" s="527"/>
    </row>
    <row r="158" spans="1:12">
      <c r="A158" s="552"/>
      <c r="B158" s="36"/>
      <c r="C158" s="36"/>
      <c r="D158" s="36"/>
      <c r="E158" s="36"/>
      <c r="F158" s="36"/>
      <c r="G158" s="36"/>
      <c r="H158" s="527"/>
      <c r="I158" s="527"/>
      <c r="J158" s="527"/>
      <c r="K158" s="527"/>
      <c r="L158" s="527"/>
    </row>
    <row r="159" spans="1:12">
      <c r="A159" s="552"/>
      <c r="B159" s="36"/>
      <c r="C159" s="36"/>
      <c r="D159" s="36"/>
      <c r="E159" s="36"/>
      <c r="F159" s="36"/>
      <c r="G159" s="36"/>
      <c r="K159" s="527"/>
      <c r="L159" s="527"/>
    </row>
    <row r="160" spans="1:12">
      <c r="A160" s="552"/>
      <c r="B160" s="36"/>
      <c r="C160" s="36"/>
      <c r="D160" s="36"/>
      <c r="E160" s="36"/>
      <c r="F160" s="36"/>
      <c r="G160" s="36"/>
      <c r="K160" s="527"/>
      <c r="L160" s="527"/>
    </row>
    <row r="161" spans="1:12">
      <c r="A161" s="552"/>
      <c r="B161" s="36"/>
      <c r="C161" s="36"/>
      <c r="D161" s="36"/>
      <c r="E161" s="36"/>
      <c r="F161" s="36"/>
      <c r="G161" s="36"/>
      <c r="K161" s="527"/>
      <c r="L161" s="527"/>
    </row>
  </sheetData>
  <mergeCells count="43">
    <mergeCell ref="A140:D140"/>
    <mergeCell ref="A147:D147"/>
    <mergeCell ref="A131:D131"/>
    <mergeCell ref="A132:A133"/>
    <mergeCell ref="B132:D132"/>
    <mergeCell ref="A122:D122"/>
    <mergeCell ref="A123:A125"/>
    <mergeCell ref="B123:D123"/>
    <mergeCell ref="B81:D81"/>
    <mergeCell ref="A81:A83"/>
    <mergeCell ref="A114:C114"/>
    <mergeCell ref="B115:B116"/>
    <mergeCell ref="C115:D115"/>
    <mergeCell ref="A99:D99"/>
    <mergeCell ref="A106:D106"/>
    <mergeCell ref="A80:D80"/>
    <mergeCell ref="A90:D90"/>
    <mergeCell ref="A91:A92"/>
    <mergeCell ref="B91:D91"/>
    <mergeCell ref="E63:E64"/>
    <mergeCell ref="A69:C69"/>
    <mergeCell ref="A78:H78"/>
    <mergeCell ref="A60:C60"/>
    <mergeCell ref="B61:B62"/>
    <mergeCell ref="C61:C62"/>
    <mergeCell ref="D61:E61"/>
    <mergeCell ref="D63:D64"/>
    <mergeCell ref="A63:A64"/>
    <mergeCell ref="A48:D48"/>
    <mergeCell ref="O12:O13"/>
    <mergeCell ref="J17:O17"/>
    <mergeCell ref="C10:E10"/>
    <mergeCell ref="J12:J13"/>
    <mergeCell ref="F14:H14"/>
    <mergeCell ref="F15:H15"/>
    <mergeCell ref="A26:A27"/>
    <mergeCell ref="B26:C26"/>
    <mergeCell ref="A25:C25"/>
    <mergeCell ref="A31:C31"/>
    <mergeCell ref="A36:H36"/>
    <mergeCell ref="A40:A41"/>
    <mergeCell ref="B40:D40"/>
    <mergeCell ref="A39:H39"/>
  </mergeCells>
  <pageMargins left="0.7" right="0.7" top="0.75" bottom="0.75" header="0.3" footer="0.3"/>
  <pageSetup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35"/>
  <sheetViews>
    <sheetView topLeftCell="A100" workbookViewId="0">
      <selection activeCell="M163" sqref="M163"/>
    </sheetView>
  </sheetViews>
  <sheetFormatPr baseColWidth="10" defaultRowHeight="12"/>
  <cols>
    <col min="1" max="1" width="15.7109375" style="29" customWidth="1"/>
    <col min="2" max="2" width="17" style="29" customWidth="1"/>
    <col min="3" max="9" width="9.7109375" style="29" customWidth="1"/>
    <col min="10" max="21" width="9.140625" style="29" customWidth="1"/>
    <col min="22" max="22" width="13.28515625" style="29" customWidth="1"/>
    <col min="23" max="16384" width="11.42578125" style="29"/>
  </cols>
  <sheetData>
    <row r="1" spans="1:29">
      <c r="A1" s="587" t="s">
        <v>967</v>
      </c>
      <c r="B1" s="527"/>
      <c r="C1" s="527"/>
      <c r="D1" s="527"/>
      <c r="E1" s="527"/>
      <c r="F1" s="527"/>
      <c r="G1" s="527"/>
      <c r="H1" s="527"/>
      <c r="I1" s="527"/>
      <c r="J1" s="527"/>
      <c r="K1" s="527"/>
      <c r="L1" s="527"/>
      <c r="M1" s="527"/>
      <c r="N1" s="527"/>
    </row>
    <row r="2" spans="1:29">
      <c r="A2" s="527"/>
      <c r="B2" s="527"/>
      <c r="C2" s="527"/>
      <c r="D2" s="527"/>
      <c r="E2" s="527"/>
      <c r="F2" s="527"/>
      <c r="G2" s="527"/>
      <c r="H2" s="527"/>
      <c r="I2" s="527"/>
      <c r="J2" s="527"/>
      <c r="K2" s="527"/>
      <c r="L2" s="527"/>
      <c r="M2" s="527"/>
      <c r="N2" s="527"/>
    </row>
    <row r="3" spans="1:29">
      <c r="A3" s="37" t="s">
        <v>968</v>
      </c>
      <c r="B3" s="37"/>
      <c r="C3" s="37"/>
      <c r="D3" s="37"/>
      <c r="E3" s="37"/>
      <c r="F3" s="37"/>
      <c r="G3" s="37"/>
      <c r="H3" s="37"/>
      <c r="I3" s="37"/>
      <c r="J3" s="37"/>
      <c r="K3" s="37"/>
      <c r="L3" s="527"/>
      <c r="M3" s="37" t="s">
        <v>1011</v>
      </c>
      <c r="N3" s="162"/>
      <c r="O3" s="162" t="s">
        <v>1012</v>
      </c>
      <c r="P3" s="162"/>
      <c r="Q3" s="162"/>
      <c r="R3" s="162"/>
      <c r="S3" s="162"/>
      <c r="T3" s="162"/>
      <c r="U3" s="162"/>
      <c r="V3" s="162"/>
      <c r="W3" s="527"/>
      <c r="X3" s="527"/>
      <c r="Y3" s="527"/>
    </row>
    <row r="4" spans="1:29">
      <c r="A4" s="37" t="s">
        <v>969</v>
      </c>
      <c r="B4" s="37"/>
      <c r="C4" s="37"/>
      <c r="D4" s="37"/>
      <c r="E4" s="37"/>
      <c r="F4" s="37"/>
      <c r="G4" s="37"/>
      <c r="H4" s="37"/>
      <c r="I4" s="37"/>
      <c r="J4" s="37"/>
      <c r="K4" s="37"/>
      <c r="L4" s="527"/>
      <c r="M4" s="37" t="s">
        <v>1013</v>
      </c>
      <c r="N4" s="162"/>
      <c r="O4" s="162"/>
      <c r="P4" s="162"/>
      <c r="Q4" s="162"/>
      <c r="R4" s="162"/>
      <c r="S4" s="162"/>
      <c r="T4" s="162"/>
      <c r="U4" s="162"/>
      <c r="V4" s="162"/>
      <c r="W4" s="527"/>
      <c r="X4" s="527"/>
      <c r="Y4" s="527"/>
    </row>
    <row r="5" spans="1:29">
      <c r="A5" s="37"/>
      <c r="B5" s="37"/>
      <c r="C5" s="37"/>
      <c r="D5" s="37"/>
      <c r="E5" s="37"/>
      <c r="F5" s="37"/>
      <c r="G5" s="37"/>
      <c r="H5" s="37"/>
      <c r="I5" s="37"/>
      <c r="J5" s="37"/>
      <c r="K5" s="37"/>
      <c r="L5" s="527"/>
      <c r="M5" s="162"/>
      <c r="N5" s="162"/>
      <c r="O5" s="162"/>
      <c r="P5" s="162"/>
      <c r="Q5" s="162"/>
      <c r="R5" s="162"/>
      <c r="S5" s="162"/>
      <c r="T5" s="162"/>
      <c r="U5" s="162"/>
      <c r="V5" s="162"/>
      <c r="W5" s="527"/>
      <c r="X5" s="527"/>
      <c r="Y5" s="527"/>
    </row>
    <row r="6" spans="1:29" ht="28.5" customHeight="1" thickBot="1">
      <c r="A6" s="37" t="s">
        <v>970</v>
      </c>
      <c r="B6" s="37"/>
      <c r="C6" s="37"/>
      <c r="D6" s="37"/>
      <c r="E6" s="37"/>
      <c r="F6" s="37"/>
      <c r="G6" s="37"/>
      <c r="H6" s="37"/>
      <c r="I6" s="37"/>
      <c r="J6" s="37"/>
      <c r="K6" s="37"/>
      <c r="L6" s="527"/>
      <c r="M6" s="1028" t="s">
        <v>1014</v>
      </c>
      <c r="N6" s="1029"/>
      <c r="O6" s="1029"/>
      <c r="P6" s="1029"/>
      <c r="Q6" s="1029"/>
      <c r="R6" s="1029"/>
      <c r="S6" s="1029"/>
      <c r="T6" s="1029"/>
      <c r="U6" s="1029"/>
      <c r="V6" s="1029"/>
      <c r="W6" s="527"/>
      <c r="X6" s="527"/>
      <c r="Y6" s="527"/>
    </row>
    <row r="7" spans="1:29" ht="15.75" thickBot="1">
      <c r="A7" s="593"/>
      <c r="B7" s="602"/>
      <c r="C7" s="602"/>
      <c r="D7" s="602" t="s">
        <v>344</v>
      </c>
      <c r="E7" s="602" t="s">
        <v>295</v>
      </c>
      <c r="F7" s="594"/>
      <c r="G7" s="594"/>
      <c r="H7" s="594"/>
      <c r="I7" s="594"/>
      <c r="J7" s="595"/>
      <c r="K7" s="37"/>
      <c r="L7" s="527"/>
      <c r="M7" s="1028" t="s">
        <v>1015</v>
      </c>
      <c r="N7" s="1029"/>
      <c r="O7" s="1029"/>
      <c r="P7" s="1029"/>
      <c r="Q7" s="1029"/>
      <c r="R7" s="1029"/>
      <c r="S7" s="1029"/>
      <c r="T7" s="1029"/>
      <c r="U7" s="1029"/>
      <c r="V7" s="1029"/>
      <c r="W7" s="527"/>
      <c r="X7" s="527"/>
      <c r="Y7" s="527"/>
    </row>
    <row r="8" spans="1:29">
      <c r="A8" s="317" t="s">
        <v>971</v>
      </c>
      <c r="B8" s="296"/>
      <c r="C8" s="296"/>
      <c r="D8" s="319">
        <v>68</v>
      </c>
      <c r="E8" s="296" t="s">
        <v>972</v>
      </c>
      <c r="F8" s="296"/>
      <c r="G8" s="296"/>
      <c r="H8" s="296"/>
      <c r="I8" s="296"/>
      <c r="J8" s="596"/>
      <c r="K8" s="37"/>
      <c r="L8" s="527"/>
      <c r="M8" s="162"/>
      <c r="N8" s="162"/>
      <c r="O8" s="162"/>
      <c r="P8" s="162"/>
      <c r="Q8" s="162"/>
      <c r="R8" s="162"/>
      <c r="S8" s="162"/>
      <c r="T8" s="53"/>
      <c r="U8" s="148" t="s">
        <v>1021</v>
      </c>
      <c r="V8" s="148" t="s">
        <v>60</v>
      </c>
      <c r="W8" s="932" t="s">
        <v>1023</v>
      </c>
      <c r="X8" s="933"/>
      <c r="Y8" s="933"/>
      <c r="Z8" s="933"/>
      <c r="AA8" s="933"/>
      <c r="AB8" s="933"/>
    </row>
    <row r="9" spans="1:29">
      <c r="A9" s="317" t="s">
        <v>973</v>
      </c>
      <c r="B9" s="296"/>
      <c r="C9" s="296"/>
      <c r="D9" s="319">
        <v>400</v>
      </c>
      <c r="E9" s="296" t="s">
        <v>977</v>
      </c>
      <c r="F9" s="296"/>
      <c r="G9" s="296"/>
      <c r="H9" s="296"/>
      <c r="I9" s="296"/>
      <c r="J9" s="596"/>
      <c r="K9" s="37"/>
      <c r="L9" s="527"/>
      <c r="M9" s="162"/>
      <c r="N9" s="162"/>
      <c r="O9" s="162"/>
      <c r="P9" s="162"/>
      <c r="Q9" s="162"/>
      <c r="R9" s="162"/>
      <c r="S9" s="162"/>
      <c r="T9" s="53"/>
      <c r="U9" s="148"/>
      <c r="V9" s="148"/>
      <c r="W9" s="148">
        <v>2011</v>
      </c>
      <c r="X9" s="148">
        <v>2012</v>
      </c>
      <c r="Y9" s="148">
        <v>2013</v>
      </c>
      <c r="Z9" s="148">
        <v>2014</v>
      </c>
      <c r="AA9" s="148">
        <v>2015</v>
      </c>
      <c r="AB9" s="148">
        <v>2016</v>
      </c>
      <c r="AC9" s="29" t="s">
        <v>852</v>
      </c>
    </row>
    <row r="10" spans="1:29">
      <c r="A10" s="317" t="s">
        <v>974</v>
      </c>
      <c r="B10" s="296"/>
      <c r="C10" s="296"/>
      <c r="D10" s="319">
        <v>200</v>
      </c>
      <c r="E10" s="296" t="s">
        <v>975</v>
      </c>
      <c r="F10" s="296"/>
      <c r="G10" s="296" t="s">
        <v>976</v>
      </c>
      <c r="H10" s="296"/>
      <c r="I10" s="296"/>
      <c r="J10" s="596"/>
      <c r="K10" s="37"/>
      <c r="L10" s="527"/>
      <c r="M10" s="162"/>
      <c r="N10" s="162"/>
      <c r="O10" s="162"/>
      <c r="P10" s="162"/>
      <c r="Q10" s="162"/>
      <c r="R10" s="162"/>
      <c r="S10" s="162"/>
      <c r="T10" s="53"/>
      <c r="U10" s="486">
        <v>1</v>
      </c>
      <c r="V10" s="150" t="s">
        <v>1016</v>
      </c>
      <c r="W10" s="150"/>
      <c r="X10" s="150"/>
      <c r="Y10" s="486">
        <v>12</v>
      </c>
      <c r="Z10" s="486">
        <v>12</v>
      </c>
      <c r="AA10" s="486">
        <v>12</v>
      </c>
      <c r="AB10" s="486">
        <v>12</v>
      </c>
      <c r="AC10" s="589">
        <f>SUM(W10:AB10)</f>
        <v>48</v>
      </c>
    </row>
    <row r="11" spans="1:29">
      <c r="A11" s="317" t="s">
        <v>1006</v>
      </c>
      <c r="B11" s="296"/>
      <c r="C11" s="296"/>
      <c r="D11" s="319">
        <v>5</v>
      </c>
      <c r="E11" s="296" t="s">
        <v>1007</v>
      </c>
      <c r="F11" s="296"/>
      <c r="G11" s="296"/>
      <c r="H11" s="296"/>
      <c r="I11" s="296"/>
      <c r="J11" s="596"/>
      <c r="K11" s="37"/>
      <c r="L11" s="527"/>
      <c r="M11" s="162"/>
      <c r="N11" s="162"/>
      <c r="O11" s="162"/>
      <c r="P11" s="162"/>
      <c r="Q11" s="162"/>
      <c r="R11" s="162"/>
      <c r="S11" s="162"/>
      <c r="T11" s="53"/>
      <c r="U11" s="486">
        <v>2</v>
      </c>
      <c r="V11" s="150" t="s">
        <v>1017</v>
      </c>
      <c r="W11" s="150"/>
      <c r="X11" s="150"/>
      <c r="Y11" s="486">
        <v>12</v>
      </c>
      <c r="Z11" s="486">
        <v>12</v>
      </c>
      <c r="AA11" s="486">
        <v>12</v>
      </c>
      <c r="AB11" s="486">
        <v>12</v>
      </c>
      <c r="AC11" s="589">
        <f t="shared" ref="AC11:AC14" si="0">SUM(W11:AB11)</f>
        <v>48</v>
      </c>
    </row>
    <row r="12" spans="1:29">
      <c r="A12" s="317" t="s">
        <v>1008</v>
      </c>
      <c r="B12" s="296"/>
      <c r="C12" s="296"/>
      <c r="D12" s="319">
        <v>1</v>
      </c>
      <c r="E12" s="296" t="s">
        <v>1009</v>
      </c>
      <c r="F12" s="296"/>
      <c r="G12" s="296"/>
      <c r="H12" s="296"/>
      <c r="I12" s="296"/>
      <c r="J12" s="596"/>
      <c r="K12" s="37"/>
      <c r="L12" s="527"/>
      <c r="M12" s="162"/>
      <c r="N12" s="162"/>
      <c r="O12" s="162"/>
      <c r="P12" s="162"/>
      <c r="Q12" s="162"/>
      <c r="R12" s="162"/>
      <c r="S12" s="162"/>
      <c r="T12" s="53"/>
      <c r="U12" s="486">
        <v>3</v>
      </c>
      <c r="V12" s="150" t="s">
        <v>1018</v>
      </c>
      <c r="W12" s="150"/>
      <c r="X12" s="150"/>
      <c r="Y12" s="486">
        <v>12</v>
      </c>
      <c r="Z12" s="486">
        <v>12</v>
      </c>
      <c r="AA12" s="486">
        <v>12</v>
      </c>
      <c r="AB12" s="486">
        <v>12</v>
      </c>
      <c r="AC12" s="589">
        <f t="shared" si="0"/>
        <v>48</v>
      </c>
    </row>
    <row r="13" spans="1:29" ht="12.75" thickBot="1">
      <c r="A13" s="597"/>
      <c r="B13" s="598"/>
      <c r="C13" s="598"/>
      <c r="D13" s="598"/>
      <c r="E13" s="598"/>
      <c r="F13" s="598"/>
      <c r="G13" s="598"/>
      <c r="H13" s="598"/>
      <c r="I13" s="598"/>
      <c r="J13" s="599"/>
      <c r="K13" s="37"/>
      <c r="L13" s="527"/>
      <c r="M13" s="162"/>
      <c r="N13" s="162"/>
      <c r="O13" s="162"/>
      <c r="P13" s="162"/>
      <c r="Q13" s="162"/>
      <c r="R13" s="162"/>
      <c r="S13" s="162"/>
      <c r="T13" s="53"/>
      <c r="U13" s="486">
        <v>4</v>
      </c>
      <c r="V13" s="150" t="s">
        <v>1019</v>
      </c>
      <c r="W13" s="150"/>
      <c r="X13" s="150"/>
      <c r="Y13" s="486">
        <v>12</v>
      </c>
      <c r="Z13" s="486">
        <v>12</v>
      </c>
      <c r="AA13" s="486">
        <v>12</v>
      </c>
      <c r="AB13" s="486">
        <v>12</v>
      </c>
      <c r="AC13" s="589">
        <f t="shared" si="0"/>
        <v>48</v>
      </c>
    </row>
    <row r="14" spans="1:29">
      <c r="A14" s="162"/>
      <c r="B14" s="162"/>
      <c r="C14" s="162"/>
      <c r="D14" s="162"/>
      <c r="E14" s="162"/>
      <c r="F14" s="162"/>
      <c r="G14" s="162"/>
      <c r="H14" s="162"/>
      <c r="I14" s="162"/>
      <c r="J14" s="162"/>
      <c r="K14" s="37"/>
      <c r="L14" s="527"/>
      <c r="M14" s="162"/>
      <c r="N14" s="162"/>
      <c r="O14" s="162"/>
      <c r="P14" s="162"/>
      <c r="Q14" s="162"/>
      <c r="R14" s="162"/>
      <c r="S14" s="162"/>
      <c r="T14" s="53"/>
      <c r="U14" s="486">
        <v>5</v>
      </c>
      <c r="V14" s="150" t="s">
        <v>1020</v>
      </c>
      <c r="W14" s="150"/>
      <c r="X14" s="150"/>
      <c r="Y14" s="486">
        <v>12</v>
      </c>
      <c r="Z14" s="486">
        <v>12</v>
      </c>
      <c r="AA14" s="486">
        <v>12</v>
      </c>
      <c r="AB14" s="486">
        <v>12</v>
      </c>
      <c r="AC14" s="589">
        <f t="shared" si="0"/>
        <v>48</v>
      </c>
    </row>
    <row r="15" spans="1:29">
      <c r="K15" s="527"/>
      <c r="L15" s="527"/>
      <c r="M15" s="162"/>
      <c r="N15" s="162"/>
      <c r="O15" s="162"/>
      <c r="P15" s="162"/>
      <c r="Q15" s="162"/>
      <c r="R15" s="162"/>
      <c r="S15" s="162"/>
      <c r="T15" s="53"/>
      <c r="U15" s="53"/>
      <c r="V15" s="53"/>
      <c r="W15" s="527"/>
      <c r="X15" s="527"/>
      <c r="Y15" s="527"/>
    </row>
    <row r="16" spans="1:29">
      <c r="K16" s="527"/>
      <c r="L16" s="527"/>
      <c r="M16" s="162"/>
      <c r="N16" s="162"/>
      <c r="O16" s="162"/>
      <c r="P16" s="162"/>
      <c r="Q16" s="162"/>
      <c r="R16" s="162"/>
      <c r="S16" s="162"/>
      <c r="T16" s="53"/>
      <c r="U16" s="590" t="s">
        <v>1024</v>
      </c>
      <c r="V16" s="53"/>
      <c r="W16" s="527"/>
      <c r="X16" s="527"/>
      <c r="Y16" s="527"/>
    </row>
    <row r="17" spans="1:27">
      <c r="K17" s="527"/>
      <c r="L17" s="527"/>
      <c r="M17" s="37"/>
      <c r="N17" s="37"/>
      <c r="O17" s="37"/>
      <c r="P17" s="37"/>
      <c r="Q17" s="37"/>
      <c r="R17" s="37"/>
      <c r="S17" s="37"/>
      <c r="T17" s="527"/>
      <c r="U17" s="527"/>
      <c r="V17" s="527"/>
      <c r="W17" s="527"/>
      <c r="X17" s="527"/>
      <c r="Y17" s="527"/>
    </row>
    <row r="18" spans="1:27">
      <c r="K18" s="527"/>
      <c r="L18" s="527"/>
      <c r="M18" s="527"/>
      <c r="N18" s="527"/>
    </row>
    <row r="19" spans="1:27">
      <c r="A19" s="600" t="s">
        <v>1000</v>
      </c>
      <c r="B19" s="600"/>
      <c r="C19" s="37"/>
      <c r="D19" s="37"/>
      <c r="E19" s="37"/>
      <c r="F19" s="37"/>
      <c r="G19" s="37"/>
      <c r="H19" s="37"/>
      <c r="I19" s="37"/>
      <c r="J19" s="37"/>
      <c r="K19" s="37"/>
      <c r="L19" s="37"/>
      <c r="M19" s="37"/>
      <c r="N19" s="37"/>
      <c r="O19" s="37"/>
      <c r="P19" s="37"/>
      <c r="Q19" s="37"/>
      <c r="R19" s="37"/>
      <c r="S19" s="37"/>
      <c r="T19" s="37"/>
      <c r="U19" s="37"/>
      <c r="V19" s="37"/>
      <c r="W19" s="37"/>
      <c r="X19" s="37"/>
      <c r="Y19" s="37"/>
      <c r="Z19" s="37"/>
      <c r="AA19" s="37"/>
    </row>
    <row r="20" spans="1:27">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row>
    <row r="21" spans="1:27">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1:27">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row>
    <row r="23" spans="1:27">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row>
    <row r="24" spans="1:27">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row>
    <row r="25" spans="1:27">
      <c r="A25" s="37"/>
      <c r="B25" s="37"/>
      <c r="C25" s="37"/>
      <c r="D25" s="37"/>
      <c r="E25" s="601"/>
      <c r="F25" s="601"/>
      <c r="G25" s="601"/>
      <c r="H25" s="601"/>
      <c r="I25" s="601"/>
      <c r="J25" s="601"/>
      <c r="K25" s="37"/>
      <c r="L25" s="37"/>
      <c r="M25" s="37"/>
      <c r="N25" s="37"/>
      <c r="O25" s="37"/>
      <c r="P25" s="37"/>
      <c r="Q25" s="37"/>
      <c r="R25" s="37"/>
      <c r="S25" s="37"/>
      <c r="T25" s="37"/>
      <c r="U25" s="37"/>
      <c r="V25" s="37"/>
      <c r="W25" s="37"/>
      <c r="X25" s="37"/>
      <c r="Y25" s="37"/>
      <c r="Z25" s="37"/>
      <c r="AA25" s="37"/>
    </row>
    <row r="26" spans="1:27">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row>
    <row r="27" spans="1:27">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27">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row>
    <row r="29" spans="1:27">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row>
    <row r="30" spans="1:27">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row>
    <row r="31" spans="1:27">
      <c r="A31" s="37"/>
      <c r="B31" s="37"/>
      <c r="C31" s="37"/>
      <c r="D31" s="37"/>
      <c r="E31" s="37"/>
      <c r="F31" s="37"/>
      <c r="G31" s="37"/>
      <c r="H31" s="37"/>
      <c r="I31" s="37"/>
      <c r="J31" s="37" t="s">
        <v>5</v>
      </c>
      <c r="K31" s="37"/>
      <c r="L31" s="37"/>
      <c r="M31" s="37"/>
      <c r="N31" s="37"/>
      <c r="O31" s="37"/>
      <c r="P31" s="37"/>
      <c r="Q31" s="37"/>
      <c r="R31" s="37"/>
      <c r="S31" s="37"/>
      <c r="T31" s="37"/>
      <c r="U31" s="37"/>
      <c r="V31" s="37"/>
      <c r="W31" s="37"/>
      <c r="X31" s="37"/>
      <c r="Y31" s="37"/>
      <c r="Z31" s="37"/>
      <c r="AA31" s="37"/>
    </row>
    <row r="32" spans="1:27" ht="12.75" thickBot="1">
      <c r="A32" s="37"/>
      <c r="B32" s="37"/>
      <c r="C32" s="37"/>
      <c r="D32" s="37"/>
      <c r="E32" s="37"/>
      <c r="F32" s="37"/>
      <c r="G32" s="37"/>
      <c r="H32" s="37"/>
      <c r="I32" s="37"/>
      <c r="J32" s="37" t="s">
        <v>5</v>
      </c>
      <c r="K32" s="37"/>
      <c r="L32" s="37"/>
      <c r="M32" s="37"/>
      <c r="N32" s="37"/>
      <c r="O32" s="37"/>
      <c r="P32" s="37"/>
      <c r="Q32" s="37"/>
      <c r="R32" s="37"/>
      <c r="S32" s="37"/>
      <c r="T32" s="37"/>
      <c r="U32" s="37"/>
      <c r="V32" s="37"/>
      <c r="W32" s="37"/>
      <c r="X32" s="37"/>
      <c r="Y32" s="37"/>
      <c r="Z32" s="37"/>
      <c r="AA32" s="37"/>
    </row>
    <row r="33" spans="1:27">
      <c r="A33" s="37"/>
      <c r="B33" s="37"/>
      <c r="C33" s="37"/>
      <c r="D33" s="37"/>
      <c r="E33" s="37"/>
      <c r="F33" s="37"/>
      <c r="G33" s="37"/>
      <c r="H33" s="37"/>
      <c r="I33" s="37"/>
      <c r="J33" s="37"/>
      <c r="K33" s="37"/>
      <c r="L33" s="37"/>
      <c r="M33" s="37"/>
      <c r="N33" s="37"/>
      <c r="O33" s="37"/>
      <c r="P33" s="37"/>
      <c r="Q33" s="588" t="s">
        <v>986</v>
      </c>
      <c r="R33" s="165"/>
      <c r="S33" s="165"/>
      <c r="T33" s="165"/>
      <c r="U33" s="165"/>
      <c r="V33" s="165"/>
      <c r="W33" s="165"/>
      <c r="X33" s="165"/>
      <c r="Y33" s="165"/>
      <c r="Z33" s="166"/>
      <c r="AA33" s="37"/>
    </row>
    <row r="34" spans="1:27">
      <c r="A34" s="37"/>
      <c r="B34" s="37"/>
      <c r="C34" s="37"/>
      <c r="D34" s="37"/>
      <c r="E34" s="37"/>
      <c r="F34" s="37"/>
      <c r="G34" s="37"/>
      <c r="H34" s="37"/>
      <c r="I34" s="37"/>
      <c r="J34" s="37"/>
      <c r="K34" s="37"/>
      <c r="L34" s="37"/>
      <c r="M34" s="37"/>
      <c r="N34" s="37"/>
      <c r="O34" s="37"/>
      <c r="P34" s="37"/>
      <c r="Q34" s="167"/>
      <c r="R34" s="162"/>
      <c r="S34" s="162"/>
      <c r="T34" s="162"/>
      <c r="U34" s="162"/>
      <c r="V34" s="162"/>
      <c r="W34" s="162"/>
      <c r="X34" s="162"/>
      <c r="Y34" s="162"/>
      <c r="Z34" s="168"/>
      <c r="AA34" s="37"/>
    </row>
    <row r="35" spans="1:27">
      <c r="A35" s="37"/>
      <c r="B35" s="37"/>
      <c r="C35" s="37"/>
      <c r="D35" s="37"/>
      <c r="E35" s="37"/>
      <c r="F35" s="37"/>
      <c r="G35" s="37"/>
      <c r="H35" s="37"/>
      <c r="I35" s="37"/>
      <c r="J35" s="37"/>
      <c r="K35" s="37"/>
      <c r="L35" s="37"/>
      <c r="M35" s="37"/>
      <c r="N35" s="37"/>
      <c r="O35" s="37"/>
      <c r="P35" s="37"/>
      <c r="Q35" s="167"/>
      <c r="R35" s="162"/>
      <c r="S35" s="162"/>
      <c r="T35" s="162"/>
      <c r="U35" s="162"/>
      <c r="V35" s="162"/>
      <c r="W35" s="162"/>
      <c r="X35" s="162"/>
      <c r="Y35" s="162"/>
      <c r="Z35" s="168"/>
      <c r="AA35" s="37"/>
    </row>
    <row r="36" spans="1:27">
      <c r="A36" s="37"/>
      <c r="B36" s="37"/>
      <c r="C36" s="37"/>
      <c r="D36" s="37"/>
      <c r="E36" s="37"/>
      <c r="F36" s="37"/>
      <c r="G36" s="37"/>
      <c r="H36" s="37"/>
      <c r="I36" s="37"/>
      <c r="J36" s="37"/>
      <c r="K36" s="37"/>
      <c r="L36" s="37"/>
      <c r="M36" s="37"/>
      <c r="N36" s="37"/>
      <c r="O36" s="37"/>
      <c r="P36" s="37"/>
      <c r="Q36" s="167"/>
      <c r="R36" s="162"/>
      <c r="S36" s="162"/>
      <c r="T36" s="162"/>
      <c r="U36" s="162"/>
      <c r="V36" s="162"/>
      <c r="W36" s="162"/>
      <c r="X36" s="162"/>
      <c r="Y36" s="162"/>
      <c r="Z36" s="168"/>
      <c r="AA36" s="37"/>
    </row>
    <row r="37" spans="1:27">
      <c r="A37" s="37"/>
      <c r="B37" s="37"/>
      <c r="C37" s="37"/>
      <c r="D37" s="37"/>
      <c r="E37" s="37"/>
      <c r="F37" s="37"/>
      <c r="G37" s="37"/>
      <c r="H37" s="37"/>
      <c r="I37" s="37"/>
      <c r="J37" s="37"/>
      <c r="K37" s="37"/>
      <c r="L37" s="37"/>
      <c r="M37" s="37"/>
      <c r="N37" s="37"/>
      <c r="O37" s="37"/>
      <c r="P37" s="37"/>
      <c r="Q37" s="167"/>
      <c r="R37" s="162"/>
      <c r="S37" s="162"/>
      <c r="T37" s="162"/>
      <c r="U37" s="162"/>
      <c r="V37" s="162"/>
      <c r="W37" s="162"/>
      <c r="X37" s="162"/>
      <c r="Y37" s="162"/>
      <c r="Z37" s="168"/>
      <c r="AA37" s="37"/>
    </row>
    <row r="38" spans="1:27">
      <c r="A38" s="37"/>
      <c r="B38" s="37"/>
      <c r="C38" s="37"/>
      <c r="D38" s="37"/>
      <c r="E38" s="37"/>
      <c r="F38" s="37"/>
      <c r="G38" s="37"/>
      <c r="H38" s="37"/>
      <c r="I38" s="37"/>
      <c r="J38" s="37"/>
      <c r="K38" s="37"/>
      <c r="L38" s="37"/>
      <c r="M38" s="37"/>
      <c r="N38" s="37"/>
      <c r="O38" s="37"/>
      <c r="P38" s="37"/>
      <c r="Q38" s="167"/>
      <c r="R38" s="162"/>
      <c r="S38" s="162"/>
      <c r="T38" s="162"/>
      <c r="U38" s="162"/>
      <c r="V38" s="162"/>
      <c r="W38" s="162"/>
      <c r="X38" s="162"/>
      <c r="Y38" s="162"/>
      <c r="Z38" s="168"/>
      <c r="AA38" s="37"/>
    </row>
    <row r="39" spans="1:27">
      <c r="A39" s="37"/>
      <c r="B39" s="37"/>
      <c r="C39" s="37"/>
      <c r="D39" s="37"/>
      <c r="E39" s="37"/>
      <c r="F39" s="37"/>
      <c r="G39" s="37"/>
      <c r="H39" s="37"/>
      <c r="I39" s="37"/>
      <c r="J39" s="37"/>
      <c r="K39" s="37"/>
      <c r="L39" s="37"/>
      <c r="M39" s="37"/>
      <c r="N39" s="37"/>
      <c r="O39" s="37"/>
      <c r="P39" s="37"/>
      <c r="Q39" s="167"/>
      <c r="R39" s="162"/>
      <c r="S39" s="162"/>
      <c r="T39" s="162"/>
      <c r="U39" s="162"/>
      <c r="V39" s="162"/>
      <c r="W39" s="162"/>
      <c r="X39" s="162"/>
      <c r="Y39" s="162"/>
      <c r="Z39" s="168"/>
      <c r="AA39" s="37"/>
    </row>
    <row r="40" spans="1:27">
      <c r="A40" s="37"/>
      <c r="B40" s="37"/>
      <c r="C40" s="37"/>
      <c r="D40" s="37"/>
      <c r="E40" s="37"/>
      <c r="F40" s="37"/>
      <c r="G40" s="37"/>
      <c r="H40" s="37"/>
      <c r="I40" s="37"/>
      <c r="J40" s="37"/>
      <c r="K40" s="37"/>
      <c r="L40" s="37"/>
      <c r="M40" s="37"/>
      <c r="N40" s="37"/>
      <c r="O40" s="37"/>
      <c r="P40" s="37"/>
      <c r="Q40" s="321" t="s">
        <v>702</v>
      </c>
      <c r="R40" s="172" t="s">
        <v>512</v>
      </c>
      <c r="S40" s="172"/>
      <c r="T40" s="172"/>
      <c r="U40" s="172"/>
      <c r="V40" s="172"/>
      <c r="W40" s="172" t="s">
        <v>295</v>
      </c>
      <c r="X40" s="172"/>
      <c r="Y40" s="172" t="s">
        <v>981</v>
      </c>
      <c r="Z40" s="168"/>
      <c r="AA40" s="37"/>
    </row>
    <row r="41" spans="1:27">
      <c r="A41" s="37"/>
      <c r="B41" s="37"/>
      <c r="C41" s="37"/>
      <c r="D41" s="37"/>
      <c r="E41" s="37"/>
      <c r="F41" s="37"/>
      <c r="G41" s="37"/>
      <c r="H41" s="37"/>
      <c r="I41" s="37"/>
      <c r="J41" s="37"/>
      <c r="K41" s="37"/>
      <c r="L41" s="37"/>
      <c r="M41" s="37"/>
      <c r="N41" s="37"/>
      <c r="O41" s="37"/>
      <c r="P41" s="37"/>
      <c r="Q41" s="167" t="s">
        <v>987</v>
      </c>
      <c r="R41" s="162" t="s">
        <v>988</v>
      </c>
      <c r="S41" s="162"/>
      <c r="T41" s="162"/>
      <c r="U41" s="162"/>
      <c r="V41" s="162"/>
      <c r="W41" s="162" t="s">
        <v>989</v>
      </c>
      <c r="X41" s="162"/>
      <c r="Y41" s="162"/>
      <c r="Z41" s="168"/>
      <c r="AA41" s="37"/>
    </row>
    <row r="42" spans="1:27">
      <c r="A42" s="37"/>
      <c r="B42" s="37"/>
      <c r="C42" s="37"/>
      <c r="D42" s="37"/>
      <c r="E42" s="37"/>
      <c r="F42" s="37"/>
      <c r="G42" s="37"/>
      <c r="H42" s="37"/>
      <c r="I42" s="37"/>
      <c r="J42" s="37"/>
      <c r="K42" s="37"/>
      <c r="L42" s="37"/>
      <c r="M42" s="37"/>
      <c r="N42" s="37"/>
      <c r="O42" s="37"/>
      <c r="P42" s="37"/>
      <c r="Q42" s="167" t="s">
        <v>978</v>
      </c>
      <c r="R42" s="162" t="s">
        <v>979</v>
      </c>
      <c r="S42" s="162"/>
      <c r="T42" s="162"/>
      <c r="U42" s="162"/>
      <c r="V42" s="162"/>
      <c r="W42" s="162" t="s">
        <v>980</v>
      </c>
      <c r="X42" s="172"/>
      <c r="Y42" s="162"/>
      <c r="Z42" s="168"/>
      <c r="AA42" s="37"/>
    </row>
    <row r="43" spans="1:27">
      <c r="A43" s="37"/>
      <c r="B43" s="37"/>
      <c r="C43" s="37"/>
      <c r="D43" s="37"/>
      <c r="E43" s="37"/>
      <c r="F43" s="37"/>
      <c r="G43" s="37"/>
      <c r="H43" s="37"/>
      <c r="I43" s="37"/>
      <c r="J43" s="37"/>
      <c r="K43" s="37"/>
      <c r="L43" s="37"/>
      <c r="M43" s="37"/>
      <c r="N43" s="37"/>
      <c r="O43" s="37"/>
      <c r="P43" s="37"/>
      <c r="Q43" s="167" t="s">
        <v>990</v>
      </c>
      <c r="R43" s="162" t="s">
        <v>991</v>
      </c>
      <c r="S43" s="162"/>
      <c r="T43" s="162"/>
      <c r="U43" s="162"/>
      <c r="V43" s="162"/>
      <c r="W43" s="162" t="s">
        <v>980</v>
      </c>
      <c r="X43" s="172"/>
      <c r="Y43" s="162">
        <v>0.5</v>
      </c>
      <c r="Z43" s="168" t="s">
        <v>1025</v>
      </c>
      <c r="AA43" s="37"/>
    </row>
    <row r="44" spans="1:27">
      <c r="A44" s="37"/>
      <c r="B44" s="37"/>
      <c r="C44" s="37"/>
      <c r="D44" s="37"/>
      <c r="E44" s="37"/>
      <c r="F44" s="37"/>
      <c r="G44" s="37"/>
      <c r="H44" s="37"/>
      <c r="I44" s="37"/>
      <c r="J44" s="37"/>
      <c r="K44" s="37"/>
      <c r="L44" s="37"/>
      <c r="M44" s="37"/>
      <c r="N44" s="37"/>
      <c r="O44" s="37"/>
      <c r="P44" s="37"/>
      <c r="Q44" s="167" t="s">
        <v>992</v>
      </c>
      <c r="R44" s="162" t="s">
        <v>993</v>
      </c>
      <c r="S44" s="162"/>
      <c r="T44" s="162"/>
      <c r="U44" s="162"/>
      <c r="V44" s="162"/>
      <c r="W44" s="162"/>
      <c r="X44" s="172"/>
      <c r="Y44" s="162" t="s">
        <v>995</v>
      </c>
      <c r="Z44" s="168"/>
      <c r="AA44" s="37"/>
    </row>
    <row r="45" spans="1:27">
      <c r="A45" s="37"/>
      <c r="B45" s="37"/>
      <c r="C45" s="37"/>
      <c r="D45" s="37"/>
      <c r="E45" s="37"/>
      <c r="F45" s="37"/>
      <c r="G45" s="37"/>
      <c r="H45" s="37"/>
      <c r="I45" s="37"/>
      <c r="J45" s="37"/>
      <c r="K45" s="37"/>
      <c r="L45" s="37"/>
      <c r="M45" s="37"/>
      <c r="N45" s="37"/>
      <c r="O45" s="37"/>
      <c r="P45" s="37"/>
      <c r="Q45" s="167" t="s">
        <v>994</v>
      </c>
      <c r="R45" s="162" t="s">
        <v>1041</v>
      </c>
      <c r="S45" s="162"/>
      <c r="T45" s="162"/>
      <c r="U45" s="162"/>
      <c r="V45" s="162"/>
      <c r="W45" s="162"/>
      <c r="X45" s="172"/>
      <c r="Y45" s="162" t="s">
        <v>995</v>
      </c>
      <c r="Z45" s="168"/>
      <c r="AA45" s="37"/>
    </row>
    <row r="46" spans="1:27">
      <c r="A46" s="37"/>
      <c r="B46" s="37"/>
      <c r="C46" s="37"/>
      <c r="D46" s="37"/>
      <c r="E46" s="37"/>
      <c r="F46" s="37"/>
      <c r="G46" s="37"/>
      <c r="H46" s="37"/>
      <c r="I46" s="37"/>
      <c r="J46" s="37"/>
      <c r="K46" s="37"/>
      <c r="L46" s="37"/>
      <c r="M46" s="37"/>
      <c r="N46" s="37"/>
      <c r="O46" s="37"/>
      <c r="P46" s="37"/>
      <c r="Q46" s="167" t="s">
        <v>982</v>
      </c>
      <c r="R46" s="162" t="s">
        <v>370</v>
      </c>
      <c r="S46" s="162"/>
      <c r="T46" s="162"/>
      <c r="U46" s="162"/>
      <c r="V46" s="162"/>
      <c r="W46" s="162" t="s">
        <v>985</v>
      </c>
      <c r="X46" s="162"/>
      <c r="Y46" s="162">
        <v>0.6</v>
      </c>
      <c r="Z46" s="168"/>
      <c r="AA46" s="37"/>
    </row>
    <row r="47" spans="1:27">
      <c r="A47" s="37"/>
      <c r="B47" s="37"/>
      <c r="C47" s="37"/>
      <c r="D47" s="37"/>
      <c r="E47" s="37"/>
      <c r="F47" s="37"/>
      <c r="G47" s="37"/>
      <c r="H47" s="37"/>
      <c r="I47" s="37"/>
      <c r="J47" s="37"/>
      <c r="K47" s="37"/>
      <c r="L47" s="37"/>
      <c r="M47" s="37"/>
      <c r="N47" s="37"/>
      <c r="O47" s="37"/>
      <c r="P47" s="37"/>
      <c r="Q47" s="167" t="s">
        <v>983</v>
      </c>
      <c r="R47" s="162" t="s">
        <v>984</v>
      </c>
      <c r="S47" s="162"/>
      <c r="T47" s="162"/>
      <c r="U47" s="162"/>
      <c r="V47" s="162"/>
      <c r="W47" s="162"/>
      <c r="X47" s="162"/>
      <c r="Y47" s="162"/>
      <c r="Z47" s="168"/>
      <c r="AA47" s="37"/>
    </row>
    <row r="48" spans="1:27">
      <c r="A48" s="37"/>
      <c r="B48" s="37"/>
      <c r="C48" s="37"/>
      <c r="D48" s="37"/>
      <c r="E48" s="37"/>
      <c r="F48" s="37"/>
      <c r="G48" s="37"/>
      <c r="H48" s="37"/>
      <c r="I48" s="37"/>
      <c r="J48" s="37"/>
      <c r="K48" s="37"/>
      <c r="L48" s="37"/>
      <c r="M48" s="37"/>
      <c r="N48" s="37"/>
      <c r="O48" s="37"/>
      <c r="P48" s="37"/>
      <c r="Q48" s="167" t="s">
        <v>996</v>
      </c>
      <c r="R48" s="162" t="s">
        <v>997</v>
      </c>
      <c r="S48" s="162"/>
      <c r="T48" s="162"/>
      <c r="U48" s="162"/>
      <c r="V48" s="162"/>
      <c r="W48" s="162"/>
      <c r="X48" s="162"/>
      <c r="Y48" s="162"/>
      <c r="Z48" s="168"/>
      <c r="AA48" s="37"/>
    </row>
    <row r="49" spans="1:27" ht="12.75" thickBot="1">
      <c r="A49" s="37"/>
      <c r="B49" s="37"/>
      <c r="C49" s="37"/>
      <c r="D49" s="37"/>
      <c r="E49" s="37"/>
      <c r="F49" s="37"/>
      <c r="G49" s="37"/>
      <c r="H49" s="37"/>
      <c r="I49" s="37"/>
      <c r="J49" s="37"/>
      <c r="K49" s="37"/>
      <c r="L49" s="37"/>
      <c r="M49" s="37"/>
      <c r="N49" s="37"/>
      <c r="O49" s="37"/>
      <c r="P49" s="37"/>
      <c r="Q49" s="183" t="s">
        <v>998</v>
      </c>
      <c r="R49" s="184" t="s">
        <v>999</v>
      </c>
      <c r="S49" s="184"/>
      <c r="T49" s="184"/>
      <c r="U49" s="184"/>
      <c r="V49" s="184"/>
      <c r="W49" s="184" t="s">
        <v>989</v>
      </c>
      <c r="X49" s="184"/>
      <c r="Y49" s="184"/>
      <c r="Z49" s="186"/>
      <c r="AA49" s="37"/>
    </row>
    <row r="50" spans="1:27">
      <c r="A50" s="37"/>
      <c r="B50" s="37"/>
      <c r="C50" s="37"/>
      <c r="D50" s="37"/>
      <c r="E50" s="37"/>
      <c r="F50" s="37"/>
      <c r="G50" s="37"/>
      <c r="H50" s="37"/>
      <c r="I50" s="37"/>
      <c r="J50" s="37"/>
      <c r="K50" s="37"/>
      <c r="L50" s="37"/>
      <c r="M50" s="37"/>
      <c r="N50" s="37"/>
      <c r="O50" s="37"/>
      <c r="P50" s="37"/>
      <c r="Q50" s="1030" t="s">
        <v>1042</v>
      </c>
      <c r="R50" s="1031"/>
      <c r="S50" s="1031"/>
      <c r="T50" s="1031"/>
      <c r="U50" s="1031"/>
      <c r="V50" s="1031"/>
      <c r="W50" s="1031"/>
      <c r="X50" s="1031"/>
      <c r="Y50" s="1031"/>
      <c r="Z50" s="1032"/>
      <c r="AA50" s="37"/>
    </row>
    <row r="51" spans="1:27" ht="12.75" thickBot="1">
      <c r="A51" s="37"/>
      <c r="B51" s="37"/>
      <c r="C51" s="37"/>
      <c r="D51" s="37"/>
      <c r="E51" s="37"/>
      <c r="F51" s="37"/>
      <c r="G51" s="37"/>
      <c r="H51" s="37"/>
      <c r="I51" s="37"/>
      <c r="J51" s="37"/>
      <c r="K51" s="37"/>
      <c r="L51" s="37"/>
      <c r="M51" s="37"/>
      <c r="N51" s="37"/>
      <c r="O51" s="37"/>
      <c r="P51" s="37"/>
      <c r="Q51" s="1033"/>
      <c r="R51" s="1034"/>
      <c r="S51" s="1034"/>
      <c r="T51" s="1034"/>
      <c r="U51" s="1034"/>
      <c r="V51" s="1034"/>
      <c r="W51" s="1034"/>
      <c r="X51" s="1034"/>
      <c r="Y51" s="1034"/>
      <c r="Z51" s="1035"/>
      <c r="AA51" s="37"/>
    </row>
    <row r="52" spans="1:27">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1:27">
      <c r="B53" s="527"/>
      <c r="C53" s="527"/>
      <c r="D53" s="527"/>
      <c r="E53" s="527"/>
      <c r="F53" s="527"/>
      <c r="G53" s="527"/>
      <c r="H53" s="527"/>
      <c r="I53" s="527"/>
      <c r="J53" s="527"/>
      <c r="K53" s="527"/>
      <c r="L53" s="527"/>
      <c r="M53" s="527"/>
      <c r="N53" s="527"/>
    </row>
    <row r="55" spans="1:27">
      <c r="A55" s="42" t="s">
        <v>1001</v>
      </c>
      <c r="B55" s="29" t="s">
        <v>1002</v>
      </c>
    </row>
    <row r="56" spans="1:27">
      <c r="A56" s="28"/>
      <c r="B56" s="29" t="s">
        <v>1003</v>
      </c>
      <c r="J56" s="29" t="s">
        <v>1005</v>
      </c>
    </row>
    <row r="57" spans="1:27">
      <c r="A57" s="28"/>
      <c r="B57" s="29" t="s">
        <v>1004</v>
      </c>
    </row>
    <row r="58" spans="1:27" ht="12.75" thickBot="1"/>
    <row r="59" spans="1:27">
      <c r="A59" s="163" t="s">
        <v>1043</v>
      </c>
      <c r="B59" s="165"/>
      <c r="C59" s="165"/>
      <c r="D59" s="165"/>
      <c r="E59" s="165"/>
      <c r="F59" s="165"/>
      <c r="G59" s="165"/>
      <c r="H59" s="165"/>
      <c r="I59" s="165"/>
      <c r="J59" s="165"/>
      <c r="K59" s="165"/>
      <c r="L59" s="165"/>
      <c r="M59" s="165"/>
      <c r="N59" s="165"/>
      <c r="O59" s="165"/>
      <c r="P59" s="165"/>
      <c r="Q59" s="165"/>
      <c r="R59" s="166"/>
    </row>
    <row r="60" spans="1:27">
      <c r="A60" s="167"/>
      <c r="B60" s="162"/>
      <c r="C60" s="162"/>
      <c r="D60" s="162"/>
      <c r="E60" s="162"/>
      <c r="F60" s="162"/>
      <c r="G60" s="162"/>
      <c r="H60" s="162"/>
      <c r="I60" s="162"/>
      <c r="J60" s="162"/>
      <c r="K60" s="162"/>
      <c r="L60" s="162"/>
      <c r="M60" s="162"/>
      <c r="N60" s="162"/>
      <c r="O60" s="162"/>
      <c r="P60" s="162"/>
      <c r="Q60" s="162"/>
      <c r="R60" s="168"/>
    </row>
    <row r="61" spans="1:27">
      <c r="A61" s="321" t="s">
        <v>1052</v>
      </c>
      <c r="B61" s="162"/>
      <c r="C61" s="162"/>
      <c r="D61" s="162"/>
      <c r="E61" s="162"/>
      <c r="F61" s="162"/>
      <c r="G61" s="162"/>
      <c r="H61" s="162"/>
      <c r="I61" s="162"/>
      <c r="J61" s="162"/>
      <c r="K61" s="162"/>
      <c r="L61" s="162"/>
      <c r="M61" s="162"/>
      <c r="N61" s="162"/>
      <c r="O61" s="162"/>
      <c r="P61" s="162"/>
      <c r="Q61" s="162"/>
      <c r="R61" s="168"/>
    </row>
    <row r="62" spans="1:27">
      <c r="A62" s="167"/>
      <c r="B62" s="162"/>
      <c r="C62" s="162"/>
      <c r="D62" s="162"/>
      <c r="E62" s="162"/>
      <c r="F62" s="162"/>
      <c r="G62" s="162"/>
      <c r="H62" s="162"/>
      <c r="I62" s="1028" t="s">
        <v>1044</v>
      </c>
      <c r="J62" s="927"/>
      <c r="K62" s="927"/>
      <c r="L62" s="927"/>
      <c r="M62" s="927"/>
      <c r="N62" s="927"/>
      <c r="O62" s="927"/>
      <c r="P62" s="927"/>
      <c r="Q62" s="927"/>
      <c r="R62" s="1036"/>
    </row>
    <row r="63" spans="1:27">
      <c r="A63" s="167"/>
      <c r="B63" s="162"/>
      <c r="C63" s="162"/>
      <c r="D63" s="162"/>
      <c r="E63" s="162"/>
      <c r="F63" s="162"/>
      <c r="G63" s="162"/>
      <c r="H63" s="162"/>
      <c r="I63" s="927"/>
      <c r="J63" s="927"/>
      <c r="K63" s="927"/>
      <c r="L63" s="927"/>
      <c r="M63" s="927"/>
      <c r="N63" s="927"/>
      <c r="O63" s="927"/>
      <c r="P63" s="927"/>
      <c r="Q63" s="927"/>
      <c r="R63" s="1036"/>
    </row>
    <row r="64" spans="1:27" ht="24.75" customHeight="1">
      <c r="A64" s="167"/>
      <c r="B64" s="162"/>
      <c r="C64" s="162"/>
      <c r="D64" s="162"/>
      <c r="E64" s="162"/>
      <c r="F64" s="162"/>
      <c r="G64" s="162"/>
      <c r="H64" s="162"/>
      <c r="I64" s="927"/>
      <c r="J64" s="927"/>
      <c r="K64" s="927"/>
      <c r="L64" s="927"/>
      <c r="M64" s="927"/>
      <c r="N64" s="927"/>
      <c r="O64" s="927"/>
      <c r="P64" s="927"/>
      <c r="Q64" s="927"/>
      <c r="R64" s="1036"/>
    </row>
    <row r="65" spans="1:18">
      <c r="A65" s="167"/>
      <c r="B65" s="162"/>
      <c r="C65" s="162"/>
      <c r="D65" s="162"/>
      <c r="E65" s="162"/>
      <c r="F65" s="162"/>
      <c r="G65" s="162"/>
      <c r="H65" s="162"/>
      <c r="I65" s="162"/>
      <c r="J65" s="162"/>
      <c r="K65" s="162"/>
      <c r="L65" s="162"/>
      <c r="M65" s="162"/>
      <c r="N65" s="162"/>
      <c r="O65" s="162"/>
      <c r="P65" s="162"/>
      <c r="Q65" s="162"/>
      <c r="R65" s="168"/>
    </row>
    <row r="66" spans="1:18">
      <c r="A66" s="321" t="s">
        <v>702</v>
      </c>
      <c r="B66" s="172" t="s">
        <v>512</v>
      </c>
      <c r="C66" s="172"/>
      <c r="D66" s="172"/>
      <c r="E66" s="172"/>
      <c r="F66" s="172"/>
      <c r="G66" s="172" t="s">
        <v>295</v>
      </c>
      <c r="H66" s="172"/>
      <c r="I66" s="172" t="s">
        <v>344</v>
      </c>
      <c r="J66" s="162"/>
      <c r="K66" s="162"/>
      <c r="L66" s="172" t="s">
        <v>1059</v>
      </c>
      <c r="M66" s="162"/>
      <c r="N66" s="162"/>
      <c r="O66" s="162"/>
      <c r="P66" s="162"/>
      <c r="Q66" s="162"/>
      <c r="R66" s="168"/>
    </row>
    <row r="67" spans="1:18">
      <c r="A67" s="167" t="s">
        <v>987</v>
      </c>
      <c r="B67" s="162" t="s">
        <v>988</v>
      </c>
      <c r="C67" s="162"/>
      <c r="D67" s="162"/>
      <c r="E67" s="162"/>
      <c r="F67" s="162"/>
      <c r="G67" s="162" t="s">
        <v>1057</v>
      </c>
      <c r="H67" s="162"/>
      <c r="I67" s="162"/>
      <c r="J67" s="162"/>
      <c r="K67" s="162"/>
      <c r="L67" s="162"/>
      <c r="M67" s="162"/>
      <c r="N67" s="162"/>
      <c r="O67" s="162"/>
      <c r="P67" s="162"/>
      <c r="Q67" s="162"/>
      <c r="R67" s="168"/>
    </row>
    <row r="68" spans="1:18">
      <c r="A68" s="167" t="s">
        <v>1026</v>
      </c>
      <c r="B68" s="162" t="s">
        <v>1027</v>
      </c>
      <c r="C68" s="162"/>
      <c r="D68" s="162"/>
      <c r="E68" s="162"/>
      <c r="F68" s="162"/>
      <c r="G68" s="162"/>
      <c r="H68" s="172"/>
      <c r="I68" s="172"/>
      <c r="J68" s="162"/>
      <c r="K68" s="162"/>
      <c r="L68" s="162"/>
      <c r="M68" s="162"/>
      <c r="N68" s="162"/>
      <c r="O68" s="162"/>
      <c r="P68" s="162"/>
      <c r="Q68" s="162"/>
      <c r="R68" s="168"/>
    </row>
    <row r="69" spans="1:18">
      <c r="A69" s="167" t="s">
        <v>1028</v>
      </c>
      <c r="B69" s="162" t="s">
        <v>1029</v>
      </c>
      <c r="C69" s="162"/>
      <c r="D69" s="162"/>
      <c r="E69" s="162"/>
      <c r="F69" s="162"/>
      <c r="G69" s="162" t="s">
        <v>1058</v>
      </c>
      <c r="H69" s="172"/>
      <c r="I69" s="319">
        <f>'GEI PTAS Cálc'!J12</f>
        <v>21.9</v>
      </c>
      <c r="J69" s="319" t="s">
        <v>1038</v>
      </c>
      <c r="K69" s="296"/>
      <c r="L69" s="162" t="s">
        <v>1037</v>
      </c>
      <c r="M69" s="162"/>
      <c r="N69" s="162"/>
      <c r="O69" s="162" t="s">
        <v>1040</v>
      </c>
      <c r="P69" s="162"/>
      <c r="Q69" s="162"/>
      <c r="R69" s="168"/>
    </row>
    <row r="70" spans="1:18">
      <c r="A70" s="167" t="s">
        <v>1030</v>
      </c>
      <c r="B70" s="162" t="s">
        <v>1031</v>
      </c>
      <c r="C70" s="162"/>
      <c r="D70" s="162"/>
      <c r="E70" s="162"/>
      <c r="F70" s="162"/>
      <c r="G70" s="162"/>
      <c r="H70" s="172"/>
      <c r="I70" s="319">
        <f>'GEI PTAS Cálc'!J13</f>
        <v>0.5</v>
      </c>
      <c r="J70" s="296" t="s">
        <v>1039</v>
      </c>
      <c r="K70" s="296"/>
      <c r="L70" s="162" t="s">
        <v>1036</v>
      </c>
      <c r="M70" s="162"/>
      <c r="N70" s="162"/>
      <c r="O70" s="162"/>
      <c r="P70" s="162"/>
      <c r="Q70" s="162"/>
      <c r="R70" s="168"/>
    </row>
    <row r="71" spans="1:18">
      <c r="A71" s="167" t="s">
        <v>982</v>
      </c>
      <c r="B71" s="162" t="s">
        <v>370</v>
      </c>
      <c r="C71" s="162"/>
      <c r="D71" s="162"/>
      <c r="E71" s="162"/>
      <c r="F71" s="162"/>
      <c r="G71" s="162" t="s">
        <v>985</v>
      </c>
      <c r="H71" s="172"/>
      <c r="I71" s="319">
        <f>'GEI PTAS Cálc'!J14</f>
        <v>0.22</v>
      </c>
      <c r="J71" s="296" t="s">
        <v>1053</v>
      </c>
      <c r="K71" s="296"/>
      <c r="L71" s="162" t="s">
        <v>1045</v>
      </c>
      <c r="M71" s="162"/>
      <c r="N71" s="162"/>
      <c r="O71" s="162"/>
      <c r="P71" s="162"/>
      <c r="Q71" s="162"/>
      <c r="R71" s="168"/>
    </row>
    <row r="72" spans="1:18">
      <c r="A72" s="167" t="s">
        <v>1032</v>
      </c>
      <c r="B72" s="162" t="s">
        <v>1033</v>
      </c>
      <c r="C72" s="162"/>
      <c r="D72" s="162"/>
      <c r="E72" s="162"/>
      <c r="F72" s="162"/>
      <c r="G72" s="162" t="s">
        <v>1034</v>
      </c>
      <c r="H72" s="162"/>
      <c r="I72" s="319">
        <f>'GEI PTAS Cálc'!J15</f>
        <v>0</v>
      </c>
      <c r="J72" s="296"/>
      <c r="K72" s="296"/>
      <c r="L72" s="162" t="s">
        <v>1037</v>
      </c>
      <c r="M72" s="162"/>
      <c r="N72" s="162"/>
      <c r="O72" s="162"/>
      <c r="P72" s="162"/>
      <c r="Q72" s="162"/>
      <c r="R72" s="168"/>
    </row>
    <row r="73" spans="1:18" ht="12.75" thickBot="1">
      <c r="A73" s="183"/>
      <c r="B73" s="184"/>
      <c r="C73" s="184"/>
      <c r="D73" s="184"/>
      <c r="E73" s="184"/>
      <c r="F73" s="184"/>
      <c r="G73" s="184"/>
      <c r="H73" s="184"/>
      <c r="I73" s="184"/>
      <c r="J73" s="184"/>
      <c r="K73" s="184"/>
      <c r="L73" s="184"/>
      <c r="M73" s="184"/>
      <c r="N73" s="184"/>
      <c r="O73" s="184"/>
      <c r="P73" s="184"/>
      <c r="Q73" s="184"/>
      <c r="R73" s="186"/>
    </row>
    <row r="74" spans="1:18" ht="12.75" thickBot="1"/>
    <row r="75" spans="1:18">
      <c r="A75" s="610" t="s">
        <v>1060</v>
      </c>
      <c r="B75" s="611"/>
      <c r="C75" s="611" t="s">
        <v>1083</v>
      </c>
      <c r="D75" s="611"/>
      <c r="E75" s="611"/>
      <c r="F75" s="611"/>
      <c r="G75" s="611"/>
      <c r="H75" s="611"/>
      <c r="I75" s="611"/>
      <c r="J75" s="611"/>
      <c r="K75" s="611"/>
      <c r="L75" s="611"/>
      <c r="M75" s="611"/>
      <c r="N75" s="611"/>
      <c r="O75" s="611"/>
      <c r="P75" s="611"/>
      <c r="Q75" s="611"/>
      <c r="R75" s="612"/>
    </row>
    <row r="76" spans="1:18">
      <c r="A76" s="613"/>
      <c r="B76" s="206"/>
      <c r="C76" s="206" t="s">
        <v>1120</v>
      </c>
      <c r="D76" s="206"/>
      <c r="E76" s="206"/>
      <c r="F76" s="206"/>
      <c r="G76" s="206"/>
      <c r="H76" s="206"/>
      <c r="I76" s="206"/>
      <c r="J76" s="206"/>
      <c r="K76" s="206"/>
      <c r="L76" s="206"/>
      <c r="M76" s="206"/>
      <c r="N76" s="206"/>
      <c r="O76" s="206"/>
      <c r="P76" s="206"/>
      <c r="Q76" s="206"/>
      <c r="R76" s="614"/>
    </row>
    <row r="77" spans="1:18">
      <c r="A77" s="615"/>
      <c r="B77" s="206"/>
      <c r="C77" s="206"/>
      <c r="D77" s="206"/>
      <c r="E77" s="206"/>
      <c r="F77" s="206"/>
      <c r="G77" s="206"/>
      <c r="H77" s="206"/>
      <c r="I77" s="206"/>
      <c r="J77" s="206"/>
      <c r="K77" s="206"/>
      <c r="L77" s="206"/>
      <c r="M77" s="206"/>
      <c r="N77" s="206"/>
      <c r="O77" s="206"/>
      <c r="P77" s="206"/>
      <c r="Q77" s="206"/>
      <c r="R77" s="614"/>
    </row>
    <row r="78" spans="1:18">
      <c r="A78" s="616" t="s">
        <v>1061</v>
      </c>
      <c r="B78" s="206"/>
      <c r="C78" s="206"/>
      <c r="D78" s="206"/>
      <c r="E78" s="206"/>
      <c r="F78" s="206"/>
      <c r="G78" s="206"/>
      <c r="H78" s="206"/>
      <c r="I78" s="206"/>
      <c r="J78" s="206"/>
      <c r="K78" s="206"/>
      <c r="L78" s="206"/>
      <c r="M78" s="206"/>
      <c r="N78" s="206"/>
      <c r="O78" s="206"/>
      <c r="P78" s="206"/>
      <c r="Q78" s="206"/>
      <c r="R78" s="614"/>
    </row>
    <row r="79" spans="1:18">
      <c r="A79" s="615"/>
      <c r="B79" s="206"/>
      <c r="C79" s="206"/>
      <c r="D79" s="206"/>
      <c r="E79" s="206"/>
      <c r="F79" s="206"/>
      <c r="G79" s="206"/>
      <c r="H79" s="206"/>
      <c r="I79" s="1037" t="s">
        <v>1124</v>
      </c>
      <c r="J79" s="1038"/>
      <c r="K79" s="1038"/>
      <c r="L79" s="1038"/>
      <c r="M79" s="1038"/>
      <c r="N79" s="1038"/>
      <c r="O79" s="1038"/>
      <c r="P79" s="1038"/>
      <c r="Q79" s="1038"/>
      <c r="R79" s="1039"/>
    </row>
    <row r="80" spans="1:18">
      <c r="A80" s="615"/>
      <c r="B80" s="206"/>
      <c r="C80" s="206"/>
      <c r="D80" s="206"/>
      <c r="E80" s="206"/>
      <c r="F80" s="206"/>
      <c r="G80" s="206"/>
      <c r="H80" s="206"/>
      <c r="I80" s="1038"/>
      <c r="J80" s="1038"/>
      <c r="K80" s="1038"/>
      <c r="L80" s="1038"/>
      <c r="M80" s="1038"/>
      <c r="N80" s="1038"/>
      <c r="O80" s="1038"/>
      <c r="P80" s="1038"/>
      <c r="Q80" s="1038"/>
      <c r="R80" s="1039"/>
    </row>
    <row r="81" spans="1:18" ht="24" customHeight="1">
      <c r="A81" s="615"/>
      <c r="B81" s="206"/>
      <c r="C81" s="206"/>
      <c r="D81" s="206"/>
      <c r="E81" s="206"/>
      <c r="F81" s="206"/>
      <c r="G81" s="206"/>
      <c r="H81" s="206"/>
      <c r="I81" s="1038"/>
      <c r="J81" s="1038"/>
      <c r="K81" s="1038"/>
      <c r="L81" s="1038"/>
      <c r="M81" s="1038"/>
      <c r="N81" s="1038"/>
      <c r="O81" s="1038"/>
      <c r="P81" s="1038"/>
      <c r="Q81" s="1038"/>
      <c r="R81" s="1039"/>
    </row>
    <row r="82" spans="1:18">
      <c r="A82" s="615"/>
      <c r="B82" s="206"/>
      <c r="C82" s="206"/>
      <c r="D82" s="206"/>
      <c r="E82" s="206"/>
      <c r="F82" s="206"/>
      <c r="G82" s="206"/>
      <c r="H82" s="206"/>
      <c r="I82" s="206"/>
      <c r="J82" s="206"/>
      <c r="K82" s="206"/>
      <c r="L82" s="206"/>
      <c r="M82" s="206"/>
      <c r="N82" s="206"/>
      <c r="O82" s="206"/>
      <c r="P82" s="206"/>
      <c r="Q82" s="206"/>
      <c r="R82" s="614"/>
    </row>
    <row r="83" spans="1:18">
      <c r="A83" s="616" t="s">
        <v>702</v>
      </c>
      <c r="B83" s="211" t="s">
        <v>512</v>
      </c>
      <c r="C83" s="211"/>
      <c r="D83" s="211"/>
      <c r="E83" s="211"/>
      <c r="F83" s="211"/>
      <c r="G83" s="211" t="s">
        <v>295</v>
      </c>
      <c r="H83" s="211"/>
      <c r="I83" s="211" t="s">
        <v>344</v>
      </c>
      <c r="J83" s="206"/>
      <c r="K83" s="206"/>
      <c r="L83" s="211" t="s">
        <v>1059</v>
      </c>
      <c r="M83" s="206"/>
      <c r="N83" s="206"/>
      <c r="O83" s="206"/>
      <c r="P83" s="206"/>
      <c r="Q83" s="206"/>
      <c r="R83" s="614"/>
    </row>
    <row r="84" spans="1:18">
      <c r="A84" s="615" t="s">
        <v>1062</v>
      </c>
      <c r="B84" s="206" t="s">
        <v>1063</v>
      </c>
      <c r="C84" s="206"/>
      <c r="D84" s="206"/>
      <c r="E84" s="206"/>
      <c r="F84" s="206"/>
      <c r="G84" s="206" t="s">
        <v>1082</v>
      </c>
      <c r="H84" s="206"/>
      <c r="I84" s="206"/>
      <c r="J84" s="206"/>
      <c r="K84" s="206"/>
      <c r="L84" s="206"/>
      <c r="M84" s="206"/>
      <c r="N84" s="206"/>
      <c r="O84" s="206"/>
      <c r="P84" s="206"/>
      <c r="Q84" s="206"/>
      <c r="R84" s="614"/>
    </row>
    <row r="85" spans="1:18">
      <c r="A85" s="615" t="s">
        <v>1026</v>
      </c>
      <c r="B85" s="206" t="s">
        <v>1027</v>
      </c>
      <c r="C85" s="206"/>
      <c r="D85" s="206"/>
      <c r="E85" s="206"/>
      <c r="F85" s="206"/>
      <c r="G85" s="206" t="s">
        <v>1064</v>
      </c>
      <c r="H85" s="211"/>
      <c r="I85" s="211"/>
      <c r="J85" s="206"/>
      <c r="K85" s="206"/>
      <c r="L85" s="206"/>
      <c r="M85" s="206"/>
      <c r="N85" s="206"/>
      <c r="O85" s="206"/>
      <c r="P85" s="206"/>
      <c r="Q85" s="206"/>
      <c r="R85" s="614"/>
    </row>
    <row r="86" spans="1:18">
      <c r="A86" s="615" t="s">
        <v>1065</v>
      </c>
      <c r="B86" s="206" t="s">
        <v>1066</v>
      </c>
      <c r="C86" s="206"/>
      <c r="D86" s="206"/>
      <c r="E86" s="206"/>
      <c r="F86" s="206"/>
      <c r="G86" s="206" t="s">
        <v>1067</v>
      </c>
      <c r="H86" s="211"/>
      <c r="I86" s="211"/>
      <c r="J86" s="206"/>
      <c r="K86" s="206"/>
      <c r="L86" s="206"/>
      <c r="M86" s="206"/>
      <c r="N86" s="206"/>
      <c r="O86" s="206"/>
      <c r="P86" s="206"/>
      <c r="Q86" s="206"/>
      <c r="R86" s="614"/>
    </row>
    <row r="87" spans="1:18">
      <c r="A87" s="615" t="s">
        <v>1068</v>
      </c>
      <c r="B87" s="206" t="s">
        <v>1069</v>
      </c>
      <c r="C87" s="206"/>
      <c r="D87" s="206"/>
      <c r="E87" s="206"/>
      <c r="F87" s="206"/>
      <c r="G87" s="206"/>
      <c r="H87" s="211"/>
      <c r="I87" s="211">
        <v>1</v>
      </c>
      <c r="J87" s="206"/>
      <c r="K87" s="206"/>
      <c r="L87" s="206"/>
      <c r="M87" s="206"/>
      <c r="N87" s="206"/>
      <c r="O87" s="206"/>
      <c r="P87" s="206"/>
      <c r="Q87" s="206"/>
      <c r="R87" s="614"/>
    </row>
    <row r="88" spans="1:18">
      <c r="A88" s="615" t="s">
        <v>1122</v>
      </c>
      <c r="B88" s="206" t="s">
        <v>1071</v>
      </c>
      <c r="C88" s="206"/>
      <c r="D88" s="206"/>
      <c r="E88" s="206"/>
      <c r="F88" s="206"/>
      <c r="G88" s="206"/>
      <c r="H88" s="211"/>
      <c r="I88" s="211"/>
      <c r="J88" s="206"/>
      <c r="K88" s="206"/>
      <c r="L88" s="206"/>
      <c r="M88" s="206"/>
      <c r="N88" s="206"/>
      <c r="O88" s="206"/>
      <c r="P88" s="206"/>
      <c r="Q88" s="206"/>
      <c r="R88" s="614"/>
    </row>
    <row r="89" spans="1:18">
      <c r="A89" s="615" t="s">
        <v>1070</v>
      </c>
      <c r="B89" s="206" t="s">
        <v>1072</v>
      </c>
      <c r="C89" s="206"/>
      <c r="D89" s="206"/>
      <c r="E89" s="206"/>
      <c r="F89" s="206"/>
      <c r="G89" s="206"/>
      <c r="H89" s="211"/>
      <c r="I89" s="211">
        <v>0.5</v>
      </c>
      <c r="J89" s="206"/>
      <c r="K89" s="206"/>
      <c r="L89" s="206" t="s">
        <v>1121</v>
      </c>
      <c r="M89" s="206"/>
      <c r="N89" s="206"/>
      <c r="O89" s="206"/>
      <c r="P89" s="206"/>
      <c r="Q89" s="206"/>
      <c r="R89" s="614"/>
    </row>
    <row r="90" spans="1:18">
      <c r="A90" s="615" t="s">
        <v>1073</v>
      </c>
      <c r="B90" s="206" t="s">
        <v>1074</v>
      </c>
      <c r="C90" s="206"/>
      <c r="D90" s="206"/>
      <c r="E90" s="206"/>
      <c r="F90" s="206"/>
      <c r="G90" s="206" t="s">
        <v>1075</v>
      </c>
      <c r="H90" s="211"/>
      <c r="I90" s="211">
        <v>0.32500000000000001</v>
      </c>
      <c r="J90" s="206" t="s">
        <v>1075</v>
      </c>
      <c r="K90" s="206"/>
      <c r="L90" s="206" t="s">
        <v>1037</v>
      </c>
      <c r="M90" s="206"/>
      <c r="N90" s="206"/>
      <c r="O90" s="206"/>
      <c r="P90" s="206"/>
      <c r="Q90" s="206"/>
      <c r="R90" s="614"/>
    </row>
    <row r="91" spans="1:18">
      <c r="A91" s="615" t="s">
        <v>1076</v>
      </c>
      <c r="B91" s="206" t="s">
        <v>1077</v>
      </c>
      <c r="C91" s="206"/>
      <c r="D91" s="206"/>
      <c r="E91" s="206"/>
      <c r="F91" s="206"/>
      <c r="G91" s="206" t="s">
        <v>1078</v>
      </c>
      <c r="H91" s="211"/>
      <c r="I91" s="211"/>
      <c r="J91" s="206"/>
      <c r="K91" s="206"/>
      <c r="L91" s="206" t="s">
        <v>1036</v>
      </c>
      <c r="M91" s="206"/>
      <c r="N91" s="206"/>
      <c r="O91" s="206"/>
      <c r="P91" s="206"/>
      <c r="Q91" s="206"/>
      <c r="R91" s="614"/>
    </row>
    <row r="92" spans="1:18">
      <c r="A92" s="615" t="s">
        <v>1079</v>
      </c>
      <c r="B92" s="206" t="s">
        <v>1080</v>
      </c>
      <c r="C92" s="206"/>
      <c r="D92" s="206"/>
      <c r="E92" s="206"/>
      <c r="F92" s="206"/>
      <c r="G92" s="206" t="s">
        <v>1123</v>
      </c>
      <c r="H92" s="211"/>
      <c r="I92" s="211"/>
      <c r="J92" s="206"/>
      <c r="K92" s="206"/>
      <c r="L92" s="206" t="s">
        <v>1045</v>
      </c>
      <c r="M92" s="206"/>
      <c r="N92" s="206"/>
      <c r="O92" s="206"/>
      <c r="P92" s="206"/>
      <c r="Q92" s="206"/>
      <c r="R92" s="614"/>
    </row>
    <row r="93" spans="1:18" ht="12.75" thickBot="1">
      <c r="A93" s="617" t="s">
        <v>1104</v>
      </c>
      <c r="B93" s="618" t="s">
        <v>1081</v>
      </c>
      <c r="C93" s="618"/>
      <c r="D93" s="618"/>
      <c r="E93" s="618"/>
      <c r="F93" s="618"/>
      <c r="G93" s="618"/>
      <c r="H93" s="618"/>
      <c r="I93" s="619"/>
      <c r="J93" s="618"/>
      <c r="K93" s="618"/>
      <c r="L93" s="618" t="s">
        <v>1037</v>
      </c>
      <c r="M93" s="618"/>
      <c r="N93" s="618"/>
      <c r="O93" s="618"/>
      <c r="P93" s="618"/>
      <c r="Q93" s="618"/>
      <c r="R93" s="620"/>
    </row>
    <row r="94" spans="1:18">
      <c r="A94" s="606"/>
      <c r="B94" s="606"/>
      <c r="C94" s="606"/>
      <c r="D94" s="606"/>
      <c r="E94" s="606"/>
      <c r="F94" s="606"/>
      <c r="G94" s="606"/>
      <c r="H94" s="606"/>
      <c r="I94" s="606"/>
      <c r="J94" s="606"/>
      <c r="K94" s="606"/>
      <c r="L94" s="606"/>
      <c r="M94" s="606"/>
      <c r="N94" s="606"/>
      <c r="O94" s="606"/>
      <c r="P94" s="606"/>
      <c r="Q94" s="606"/>
      <c r="R94" s="606"/>
    </row>
    <row r="95" spans="1:18">
      <c r="A95" s="606"/>
      <c r="B95" s="606"/>
      <c r="C95" s="606"/>
      <c r="D95" s="606"/>
      <c r="E95" s="606"/>
      <c r="F95" s="606"/>
      <c r="G95" s="606"/>
      <c r="H95" s="606"/>
      <c r="I95" s="606"/>
      <c r="J95" s="606"/>
      <c r="K95" s="606"/>
      <c r="L95" s="606"/>
      <c r="M95" s="606"/>
      <c r="N95" s="606"/>
      <c r="O95" s="606"/>
      <c r="P95" s="606"/>
      <c r="Q95" s="606"/>
      <c r="R95" s="606"/>
    </row>
    <row r="96" spans="1:18">
      <c r="A96" s="606"/>
      <c r="B96" s="606"/>
      <c r="C96" s="606"/>
      <c r="D96" s="606"/>
      <c r="E96" s="606"/>
      <c r="F96" s="606"/>
      <c r="G96" s="606"/>
      <c r="H96" s="606"/>
      <c r="I96" s="606"/>
      <c r="J96" s="606"/>
      <c r="K96" s="606"/>
      <c r="L96" s="606"/>
      <c r="M96" s="606"/>
      <c r="N96" s="606"/>
      <c r="O96" s="606"/>
      <c r="P96" s="606"/>
      <c r="Q96" s="606"/>
      <c r="R96" s="606"/>
    </row>
    <row r="97" spans="1:18">
      <c r="A97" s="606"/>
      <c r="B97" s="606"/>
      <c r="C97" s="606"/>
      <c r="D97" s="606"/>
      <c r="E97" s="606"/>
      <c r="F97" s="606"/>
      <c r="G97" s="606"/>
      <c r="H97" s="606"/>
      <c r="I97" s="606"/>
      <c r="J97" s="606"/>
      <c r="K97" s="606"/>
      <c r="L97" s="606"/>
      <c r="M97" s="606"/>
      <c r="N97" s="606"/>
      <c r="O97" s="606"/>
      <c r="P97" s="606"/>
      <c r="Q97" s="606"/>
      <c r="R97" s="606"/>
    </row>
    <row r="98" spans="1:18">
      <c r="A98" s="606"/>
      <c r="B98" s="606"/>
      <c r="C98" s="606"/>
      <c r="D98" s="606"/>
      <c r="E98" s="606"/>
      <c r="F98" s="606"/>
      <c r="G98" s="606"/>
      <c r="H98" s="606"/>
      <c r="I98" s="606"/>
      <c r="J98" s="606"/>
      <c r="K98" s="606"/>
      <c r="L98" s="606"/>
      <c r="M98" s="606"/>
      <c r="N98" s="606"/>
      <c r="O98" s="606"/>
      <c r="P98" s="606"/>
      <c r="Q98" s="606"/>
      <c r="R98" s="606"/>
    </row>
    <row r="99" spans="1:18">
      <c r="A99" s="606"/>
      <c r="B99" s="606"/>
      <c r="C99" s="606"/>
      <c r="D99" s="606"/>
      <c r="E99" s="606"/>
      <c r="F99" s="606"/>
      <c r="G99" s="606"/>
      <c r="H99" s="606"/>
      <c r="I99" s="606"/>
      <c r="J99" s="606"/>
      <c r="K99" s="606"/>
      <c r="L99" s="606"/>
      <c r="M99" s="606"/>
      <c r="N99" s="606"/>
      <c r="O99" s="606"/>
      <c r="P99" s="606"/>
      <c r="Q99" s="606"/>
      <c r="R99" s="606"/>
    </row>
    <row r="100" spans="1:18">
      <c r="A100" s="606"/>
      <c r="B100" s="606"/>
      <c r="C100" s="606"/>
      <c r="D100" s="606"/>
      <c r="E100" s="606"/>
      <c r="F100" s="606"/>
      <c r="G100" s="606"/>
      <c r="H100" s="606"/>
      <c r="I100" s="606"/>
      <c r="J100" s="606"/>
      <c r="K100" s="606"/>
      <c r="L100" s="606"/>
      <c r="M100" s="606"/>
      <c r="N100" s="606"/>
      <c r="O100" s="606"/>
      <c r="P100" s="606"/>
      <c r="Q100" s="606"/>
      <c r="R100" s="606"/>
    </row>
    <row r="101" spans="1:18">
      <c r="A101" s="606"/>
      <c r="B101" s="606"/>
      <c r="C101" s="606"/>
      <c r="D101" s="606"/>
      <c r="E101" s="606"/>
      <c r="F101" s="606"/>
      <c r="G101" s="606"/>
      <c r="H101" s="606"/>
      <c r="I101" s="606"/>
      <c r="J101" s="606"/>
      <c r="K101" s="606"/>
      <c r="L101" s="606"/>
      <c r="M101" s="606"/>
      <c r="N101" s="606"/>
      <c r="O101" s="606"/>
      <c r="P101" s="606"/>
      <c r="Q101" s="606"/>
      <c r="R101" s="606"/>
    </row>
    <row r="102" spans="1:18" ht="12.75" thickBot="1"/>
    <row r="103" spans="1:18">
      <c r="A103" s="163" t="s">
        <v>1084</v>
      </c>
      <c r="B103" s="165"/>
      <c r="C103" s="165"/>
      <c r="D103" s="165"/>
      <c r="E103" s="165"/>
      <c r="F103" s="165"/>
      <c r="G103" s="165"/>
      <c r="H103" s="165"/>
      <c r="I103" s="165"/>
      <c r="J103" s="165"/>
      <c r="K103" s="165"/>
      <c r="L103" s="165"/>
      <c r="M103" s="165"/>
      <c r="N103" s="165"/>
      <c r="O103" s="165"/>
      <c r="P103" s="165"/>
      <c r="Q103" s="165"/>
      <c r="R103" s="166"/>
    </row>
    <row r="104" spans="1:18">
      <c r="A104" s="167"/>
      <c r="B104" s="162"/>
      <c r="C104" s="162"/>
      <c r="D104" s="162"/>
      <c r="E104" s="162"/>
      <c r="F104" s="162"/>
      <c r="G104" s="162"/>
      <c r="H104" s="162"/>
      <c r="I104" s="162"/>
      <c r="J104" s="162"/>
      <c r="K104" s="162"/>
      <c r="L104" s="162"/>
      <c r="M104" s="162"/>
      <c r="N104" s="162"/>
      <c r="O104" s="162"/>
      <c r="P104" s="162"/>
      <c r="Q104" s="162"/>
      <c r="R104" s="168"/>
    </row>
    <row r="105" spans="1:18">
      <c r="A105" s="321" t="s">
        <v>1085</v>
      </c>
      <c r="B105" s="162"/>
      <c r="C105" s="162"/>
      <c r="D105" s="162"/>
      <c r="E105" s="162"/>
      <c r="F105" s="162"/>
      <c r="G105" s="162"/>
      <c r="H105" s="162"/>
      <c r="I105" s="162"/>
      <c r="J105" s="162"/>
      <c r="K105" s="162"/>
      <c r="L105" s="162"/>
      <c r="M105" s="162"/>
      <c r="N105" s="162"/>
      <c r="O105" s="162"/>
      <c r="P105" s="162"/>
      <c r="Q105" s="162"/>
      <c r="R105" s="168"/>
    </row>
    <row r="106" spans="1:18">
      <c r="A106" s="167"/>
      <c r="B106" s="162"/>
      <c r="C106" s="162"/>
      <c r="D106" s="162"/>
      <c r="E106" s="162"/>
      <c r="F106" s="162"/>
      <c r="G106" s="162"/>
      <c r="H106" s="162"/>
      <c r="I106" s="1028" t="s">
        <v>1087</v>
      </c>
      <c r="J106" s="927"/>
      <c r="K106" s="927"/>
      <c r="L106" s="927"/>
      <c r="M106" s="927"/>
      <c r="N106" s="927"/>
      <c r="O106" s="927"/>
      <c r="P106" s="927"/>
      <c r="Q106" s="927"/>
      <c r="R106" s="1036"/>
    </row>
    <row r="107" spans="1:18">
      <c r="A107" s="167"/>
      <c r="B107" s="162"/>
      <c r="C107" s="162"/>
      <c r="D107" s="162"/>
      <c r="E107" s="162"/>
      <c r="F107" s="162"/>
      <c r="G107" s="162"/>
      <c r="H107" s="162"/>
      <c r="I107" s="927"/>
      <c r="J107" s="927"/>
      <c r="K107" s="927"/>
      <c r="L107" s="927"/>
      <c r="M107" s="927"/>
      <c r="N107" s="927"/>
      <c r="O107" s="927"/>
      <c r="P107" s="927"/>
      <c r="Q107" s="927"/>
      <c r="R107" s="1036"/>
    </row>
    <row r="108" spans="1:18" ht="24.75" customHeight="1">
      <c r="A108" s="167"/>
      <c r="B108" s="162"/>
      <c r="C108" s="162"/>
      <c r="D108" s="162"/>
      <c r="E108" s="162"/>
      <c r="F108" s="162"/>
      <c r="G108" s="162"/>
      <c r="H108" s="162"/>
      <c r="I108" s="927"/>
      <c r="J108" s="927"/>
      <c r="K108" s="927"/>
      <c r="L108" s="927"/>
      <c r="M108" s="927"/>
      <c r="N108" s="927"/>
      <c r="O108" s="927"/>
      <c r="P108" s="927"/>
      <c r="Q108" s="927"/>
      <c r="R108" s="1036"/>
    </row>
    <row r="109" spans="1:18">
      <c r="A109" s="167"/>
      <c r="B109" s="162"/>
      <c r="C109" s="162"/>
      <c r="D109" s="162"/>
      <c r="E109" s="162"/>
      <c r="F109" s="162"/>
      <c r="G109" s="162"/>
      <c r="H109" s="162"/>
      <c r="I109" s="162"/>
      <c r="J109" s="162"/>
      <c r="K109" s="162"/>
      <c r="L109" s="162"/>
      <c r="M109" s="162"/>
      <c r="N109" s="162"/>
      <c r="O109" s="162"/>
      <c r="P109" s="162"/>
      <c r="Q109" s="162"/>
      <c r="R109" s="168"/>
    </row>
    <row r="110" spans="1:18">
      <c r="A110" s="321" t="s">
        <v>702</v>
      </c>
      <c r="B110" s="172" t="s">
        <v>512</v>
      </c>
      <c r="C110" s="172"/>
      <c r="D110" s="172"/>
      <c r="E110" s="172"/>
      <c r="F110" s="172"/>
      <c r="G110" s="172" t="s">
        <v>295</v>
      </c>
      <c r="H110" s="172"/>
      <c r="I110" s="172" t="s">
        <v>344</v>
      </c>
      <c r="J110" s="162"/>
      <c r="K110" s="162"/>
      <c r="L110" s="172" t="s">
        <v>1059</v>
      </c>
      <c r="M110" s="162"/>
      <c r="N110" s="162"/>
      <c r="O110" s="162"/>
      <c r="P110" s="162"/>
      <c r="Q110" s="162"/>
      <c r="R110" s="168"/>
    </row>
    <row r="111" spans="1:18">
      <c r="A111" s="167" t="s">
        <v>1088</v>
      </c>
      <c r="B111" s="162" t="s">
        <v>1093</v>
      </c>
      <c r="C111" s="162"/>
      <c r="D111" s="162"/>
      <c r="E111" s="162"/>
      <c r="F111" s="162"/>
      <c r="G111" s="162" t="s">
        <v>1091</v>
      </c>
      <c r="H111" s="162"/>
      <c r="I111" s="162"/>
      <c r="J111" s="162"/>
      <c r="K111" s="162"/>
      <c r="L111" s="162"/>
      <c r="M111" s="162"/>
      <c r="N111" s="162"/>
      <c r="O111" s="162"/>
      <c r="P111" s="162"/>
      <c r="Q111" s="162"/>
      <c r="R111" s="168"/>
    </row>
    <row r="112" spans="1:18">
      <c r="A112" s="167" t="s">
        <v>1026</v>
      </c>
      <c r="B112" s="162" t="s">
        <v>1027</v>
      </c>
      <c r="C112" s="162"/>
      <c r="D112" s="162"/>
      <c r="E112" s="162"/>
      <c r="F112" s="162"/>
      <c r="G112" s="162" t="s">
        <v>1050</v>
      </c>
      <c r="H112" s="172"/>
      <c r="I112" s="172"/>
      <c r="J112" s="162"/>
      <c r="K112" s="162"/>
      <c r="L112" s="162"/>
      <c r="M112" s="162"/>
      <c r="N112" s="162"/>
      <c r="O112" s="162"/>
      <c r="P112" s="162"/>
      <c r="Q112" s="162"/>
      <c r="R112" s="168"/>
    </row>
    <row r="113" spans="1:18">
      <c r="A113" s="167" t="s">
        <v>1028</v>
      </c>
      <c r="B113" s="162" t="s">
        <v>1116</v>
      </c>
      <c r="C113" s="162"/>
      <c r="D113" s="162"/>
      <c r="E113" s="162"/>
      <c r="F113" s="162"/>
      <c r="G113" s="162" t="s">
        <v>1058</v>
      </c>
      <c r="H113" s="172"/>
      <c r="I113" s="319">
        <f>'GEI PTAS Cálc'!I40</f>
        <v>21.9</v>
      </c>
      <c r="J113" s="319" t="s">
        <v>1038</v>
      </c>
      <c r="K113" s="296"/>
      <c r="L113" s="162" t="s">
        <v>1037</v>
      </c>
      <c r="M113" s="162"/>
      <c r="N113" s="162"/>
      <c r="O113" s="162" t="s">
        <v>1040</v>
      </c>
      <c r="P113" s="162"/>
      <c r="Q113" s="162"/>
      <c r="R113" s="168"/>
    </row>
    <row r="114" spans="1:18">
      <c r="A114" s="167" t="s">
        <v>1030</v>
      </c>
      <c r="B114" s="162" t="s">
        <v>1031</v>
      </c>
      <c r="C114" s="162"/>
      <c r="D114" s="162"/>
      <c r="E114" s="162"/>
      <c r="F114" s="162"/>
      <c r="G114" s="162"/>
      <c r="H114" s="172"/>
      <c r="I114" s="319">
        <f>'GEI PTAS Cálc'!I41</f>
        <v>0.5</v>
      </c>
      <c r="J114" s="296"/>
      <c r="K114" s="296"/>
      <c r="L114" s="162" t="s">
        <v>1036</v>
      </c>
      <c r="M114" s="162"/>
      <c r="N114" s="162"/>
      <c r="O114" s="162"/>
      <c r="P114" s="162"/>
      <c r="Q114" s="162"/>
      <c r="R114" s="168"/>
    </row>
    <row r="115" spans="1:18">
      <c r="A115" s="167" t="s">
        <v>1089</v>
      </c>
      <c r="B115" s="162" t="s">
        <v>1090</v>
      </c>
      <c r="C115" s="162"/>
      <c r="D115" s="162"/>
      <c r="E115" s="162"/>
      <c r="F115" s="162"/>
      <c r="G115" s="162" t="s">
        <v>1117</v>
      </c>
      <c r="H115" s="172"/>
      <c r="I115" s="319">
        <f>'GEI PTAS Cálc'!I42</f>
        <v>5.0999999999999997E-2</v>
      </c>
      <c r="J115" s="296" t="s">
        <v>1117</v>
      </c>
      <c r="K115" s="296"/>
      <c r="L115" s="162" t="s">
        <v>1114</v>
      </c>
      <c r="M115" s="162"/>
      <c r="N115" s="162"/>
      <c r="O115" s="162"/>
      <c r="P115" s="162"/>
      <c r="Q115" s="162"/>
      <c r="R115" s="168"/>
    </row>
    <row r="116" spans="1:18">
      <c r="A116" s="605" t="s">
        <v>1104</v>
      </c>
      <c r="B116" s="162" t="s">
        <v>1092</v>
      </c>
      <c r="C116" s="162"/>
      <c r="D116" s="162"/>
      <c r="E116" s="162"/>
      <c r="F116" s="162"/>
      <c r="G116" s="162" t="s">
        <v>1034</v>
      </c>
      <c r="H116" s="162"/>
      <c r="I116" s="319"/>
      <c r="J116" s="296"/>
      <c r="K116" s="296"/>
      <c r="L116" s="162"/>
      <c r="M116" s="162"/>
      <c r="N116" s="162"/>
      <c r="O116" s="162"/>
      <c r="P116" s="162"/>
      <c r="Q116" s="162"/>
      <c r="R116" s="168"/>
    </row>
    <row r="117" spans="1:18" ht="12.75" thickBot="1">
      <c r="A117" s="183"/>
      <c r="B117" s="184"/>
      <c r="C117" s="184"/>
      <c r="D117" s="184"/>
      <c r="E117" s="184"/>
      <c r="F117" s="184"/>
      <c r="G117" s="184"/>
      <c r="H117" s="184"/>
      <c r="I117" s="184"/>
      <c r="J117" s="184"/>
      <c r="K117" s="184"/>
      <c r="L117" s="184"/>
      <c r="M117" s="184"/>
      <c r="N117" s="184"/>
      <c r="O117" s="184"/>
      <c r="P117" s="184"/>
      <c r="Q117" s="184"/>
      <c r="R117" s="186"/>
    </row>
    <row r="119" spans="1:18">
      <c r="A119" s="608" t="s">
        <v>1084</v>
      </c>
      <c r="B119" s="57"/>
      <c r="C119" s="57"/>
      <c r="D119" s="57"/>
      <c r="E119" s="57"/>
      <c r="F119" s="57"/>
      <c r="G119" s="57"/>
      <c r="H119" s="57"/>
      <c r="I119" s="57"/>
      <c r="J119" s="57"/>
      <c r="K119" s="57"/>
      <c r="L119" s="57"/>
      <c r="M119" s="57"/>
      <c r="N119" s="57"/>
      <c r="O119" s="57"/>
      <c r="P119" s="57"/>
      <c r="Q119" s="57"/>
      <c r="R119" s="57"/>
    </row>
    <row r="120" spans="1:18">
      <c r="A120" s="57"/>
      <c r="B120" s="57"/>
      <c r="C120" s="57"/>
      <c r="D120" s="57"/>
      <c r="E120" s="57"/>
      <c r="F120" s="57"/>
      <c r="G120" s="57"/>
      <c r="H120" s="57"/>
      <c r="I120" s="57"/>
      <c r="J120" s="57"/>
      <c r="K120" s="57"/>
      <c r="L120" s="57"/>
      <c r="M120" s="57"/>
      <c r="N120" s="57"/>
      <c r="O120" s="57"/>
      <c r="P120" s="57"/>
      <c r="Q120" s="57"/>
      <c r="R120" s="57"/>
    </row>
    <row r="121" spans="1:18">
      <c r="A121" s="607" t="s">
        <v>1086</v>
      </c>
      <c r="B121" s="57"/>
      <c r="C121" s="57"/>
      <c r="D121" s="57"/>
      <c r="E121" s="57"/>
      <c r="F121" s="57"/>
      <c r="G121" s="57"/>
      <c r="H121" s="57"/>
      <c r="I121" s="57"/>
      <c r="J121" s="57"/>
      <c r="K121" s="57"/>
      <c r="L121" s="57"/>
      <c r="M121" s="57"/>
      <c r="N121" s="57"/>
      <c r="O121" s="57"/>
      <c r="P121" s="57"/>
      <c r="Q121" s="57"/>
      <c r="R121" s="57"/>
    </row>
    <row r="122" spans="1:18" ht="12" customHeight="1">
      <c r="A122" s="57"/>
      <c r="B122" s="57"/>
      <c r="C122" s="57"/>
      <c r="D122" s="57"/>
      <c r="E122" s="57"/>
      <c r="F122" s="57"/>
      <c r="G122" s="57"/>
      <c r="H122" s="57"/>
      <c r="I122" s="1026" t="s">
        <v>1119</v>
      </c>
      <c r="J122" s="1027"/>
      <c r="K122" s="1027"/>
      <c r="L122" s="1027"/>
      <c r="M122" s="1027"/>
      <c r="N122" s="1027"/>
      <c r="O122" s="1027"/>
      <c r="P122" s="1027"/>
      <c r="Q122" s="1027"/>
      <c r="R122" s="1027"/>
    </row>
    <row r="123" spans="1:18" ht="12" customHeight="1">
      <c r="A123" s="57"/>
      <c r="B123" s="57"/>
      <c r="C123" s="57"/>
      <c r="D123" s="57"/>
      <c r="E123" s="57"/>
      <c r="F123" s="57"/>
      <c r="G123" s="57"/>
      <c r="H123" s="57"/>
      <c r="I123" s="1027"/>
      <c r="J123" s="1027"/>
      <c r="K123" s="1027"/>
      <c r="L123" s="1027"/>
      <c r="M123" s="1027"/>
      <c r="N123" s="1027"/>
      <c r="O123" s="1027"/>
      <c r="P123" s="1027"/>
      <c r="Q123" s="1027"/>
      <c r="R123" s="1027"/>
    </row>
    <row r="124" spans="1:18" ht="12" customHeight="1">
      <c r="A124" s="57"/>
      <c r="B124" s="57"/>
      <c r="C124" s="57"/>
      <c r="D124" s="57"/>
      <c r="E124" s="57"/>
      <c r="F124" s="57"/>
      <c r="G124" s="57"/>
      <c r="H124" s="57"/>
      <c r="I124" s="1027"/>
      <c r="J124" s="1027"/>
      <c r="K124" s="1027"/>
      <c r="L124" s="1027"/>
      <c r="M124" s="1027"/>
      <c r="N124" s="1027"/>
      <c r="O124" s="1027"/>
      <c r="P124" s="1027"/>
      <c r="Q124" s="1027"/>
      <c r="R124" s="1027"/>
    </row>
    <row r="125" spans="1:18">
      <c r="A125" s="57"/>
      <c r="B125" s="57"/>
      <c r="C125" s="57"/>
      <c r="D125" s="57"/>
      <c r="E125" s="57"/>
      <c r="F125" s="57"/>
      <c r="G125" s="57"/>
      <c r="H125" s="57"/>
      <c r="I125" s="57"/>
      <c r="J125" s="57"/>
      <c r="K125" s="57"/>
      <c r="L125" s="57"/>
      <c r="M125" s="57"/>
      <c r="N125" s="57"/>
      <c r="O125" s="57"/>
      <c r="P125" s="57"/>
      <c r="Q125" s="57"/>
      <c r="R125" s="57"/>
    </row>
    <row r="126" spans="1:18">
      <c r="A126" s="607" t="s">
        <v>702</v>
      </c>
      <c r="B126" s="607" t="s">
        <v>512</v>
      </c>
      <c r="C126" s="607"/>
      <c r="D126" s="607"/>
      <c r="E126" s="607"/>
      <c r="F126" s="607"/>
      <c r="G126" s="607" t="s">
        <v>295</v>
      </c>
      <c r="H126" s="607"/>
      <c r="I126" s="607" t="s">
        <v>344</v>
      </c>
      <c r="J126" s="57"/>
      <c r="K126" s="57"/>
      <c r="L126" s="607" t="s">
        <v>1059</v>
      </c>
      <c r="M126" s="57"/>
      <c r="N126" s="57"/>
      <c r="O126" s="57"/>
      <c r="P126" s="57"/>
      <c r="Q126" s="57"/>
      <c r="R126" s="57"/>
    </row>
    <row r="127" spans="1:18">
      <c r="A127" s="57" t="s">
        <v>1088</v>
      </c>
      <c r="B127" s="57" t="s">
        <v>1094</v>
      </c>
      <c r="C127" s="57"/>
      <c r="D127" s="57"/>
      <c r="E127" s="57"/>
      <c r="F127" s="57"/>
      <c r="G127" s="57" t="s">
        <v>1091</v>
      </c>
      <c r="H127" s="57"/>
      <c r="I127" s="57"/>
      <c r="J127" s="57"/>
      <c r="K127" s="57"/>
      <c r="L127" s="57"/>
      <c r="M127" s="57"/>
      <c r="N127" s="57"/>
      <c r="O127" s="57"/>
      <c r="P127" s="57"/>
      <c r="Q127" s="57"/>
      <c r="R127" s="57"/>
    </row>
    <row r="128" spans="1:18">
      <c r="A128" s="57" t="s">
        <v>1026</v>
      </c>
      <c r="B128" s="57" t="s">
        <v>1027</v>
      </c>
      <c r="C128" s="57"/>
      <c r="D128" s="57"/>
      <c r="E128" s="57"/>
      <c r="F128" s="57"/>
      <c r="G128" s="57" t="s">
        <v>1050</v>
      </c>
      <c r="H128" s="607"/>
      <c r="I128" s="607"/>
      <c r="J128" s="57"/>
      <c r="K128" s="57"/>
      <c r="L128" s="57"/>
      <c r="M128" s="57"/>
      <c r="N128" s="57"/>
      <c r="O128" s="57"/>
      <c r="P128" s="57"/>
      <c r="Q128" s="57"/>
      <c r="R128" s="57"/>
    </row>
    <row r="129" spans="1:23">
      <c r="A129" s="57" t="s">
        <v>1095</v>
      </c>
      <c r="B129" s="57" t="s">
        <v>1096</v>
      </c>
      <c r="C129" s="57"/>
      <c r="D129" s="57"/>
      <c r="E129" s="57"/>
      <c r="F129" s="57"/>
      <c r="G129" s="57" t="s">
        <v>1097</v>
      </c>
      <c r="H129" s="607"/>
      <c r="I129" s="607">
        <v>11</v>
      </c>
      <c r="J129" s="607" t="s">
        <v>1106</v>
      </c>
      <c r="K129" s="57"/>
      <c r="L129" s="57" t="s">
        <v>1109</v>
      </c>
      <c r="M129" s="57"/>
      <c r="N129" s="57"/>
      <c r="O129" s="57"/>
      <c r="P129" s="57"/>
      <c r="Q129" s="57"/>
      <c r="R129" s="57"/>
      <c r="T129" s="29">
        <v>78.7</v>
      </c>
      <c r="U129" s="29" t="s">
        <v>1111</v>
      </c>
      <c r="V129" s="29">
        <f>T129*365/1000</f>
        <v>28.7255</v>
      </c>
      <c r="W129" s="29" t="s">
        <v>1112</v>
      </c>
    </row>
    <row r="130" spans="1:23">
      <c r="A130" s="57" t="s">
        <v>1098</v>
      </c>
      <c r="B130" s="57" t="s">
        <v>1099</v>
      </c>
      <c r="C130" s="57"/>
      <c r="D130" s="57"/>
      <c r="E130" s="57"/>
      <c r="F130" s="57"/>
      <c r="G130" s="57" t="s">
        <v>1107</v>
      </c>
      <c r="H130" s="607"/>
      <c r="I130" s="607">
        <v>0.16</v>
      </c>
      <c r="J130" s="607" t="s">
        <v>1107</v>
      </c>
      <c r="K130" s="57"/>
      <c r="L130" s="57" t="s">
        <v>1110</v>
      </c>
      <c r="M130" s="57"/>
      <c r="N130" s="57"/>
      <c r="O130" s="57"/>
      <c r="P130" s="57"/>
      <c r="Q130" s="57"/>
      <c r="R130" s="57"/>
    </row>
    <row r="131" spans="1:23">
      <c r="A131" s="57" t="s">
        <v>1100</v>
      </c>
      <c r="B131" s="57" t="s">
        <v>1101</v>
      </c>
      <c r="C131" s="57"/>
      <c r="D131" s="57"/>
      <c r="E131" s="57"/>
      <c r="F131" s="57"/>
      <c r="G131" s="57" t="s">
        <v>1108</v>
      </c>
      <c r="H131" s="607"/>
      <c r="I131" s="607"/>
      <c r="J131" s="57"/>
      <c r="K131" s="57"/>
      <c r="L131" s="57"/>
      <c r="M131" s="57"/>
      <c r="N131" s="57"/>
      <c r="O131" s="57"/>
      <c r="P131" s="57"/>
      <c r="Q131" s="57"/>
      <c r="R131" s="57"/>
    </row>
    <row r="132" spans="1:23">
      <c r="A132" s="609" t="s">
        <v>1089</v>
      </c>
      <c r="B132" s="57" t="s">
        <v>1102</v>
      </c>
      <c r="C132" s="57"/>
      <c r="D132" s="57"/>
      <c r="E132" s="57"/>
      <c r="F132" s="57"/>
      <c r="G132" s="57" t="s">
        <v>1115</v>
      </c>
      <c r="H132" s="57"/>
      <c r="I132" s="607">
        <v>0.01</v>
      </c>
      <c r="J132" s="57" t="s">
        <v>1115</v>
      </c>
      <c r="K132" s="57"/>
      <c r="L132" s="57" t="s">
        <v>1110</v>
      </c>
      <c r="M132" s="57"/>
      <c r="N132" s="57"/>
      <c r="O132" s="57"/>
      <c r="P132" s="57"/>
      <c r="Q132" s="57"/>
      <c r="R132" s="57"/>
      <c r="T132" s="29">
        <v>2.5000000000000001E-2</v>
      </c>
      <c r="U132" s="29" t="s">
        <v>1113</v>
      </c>
    </row>
    <row r="133" spans="1:23">
      <c r="A133" s="609" t="s">
        <v>1079</v>
      </c>
      <c r="B133" s="57" t="s">
        <v>1103</v>
      </c>
      <c r="C133" s="57"/>
      <c r="D133" s="57"/>
      <c r="E133" s="57"/>
      <c r="F133" s="57"/>
      <c r="G133" s="57"/>
      <c r="H133" s="57"/>
      <c r="I133" s="607"/>
      <c r="J133" s="57"/>
      <c r="K133" s="57"/>
      <c r="L133" s="57"/>
      <c r="M133" s="57"/>
      <c r="N133" s="57"/>
      <c r="O133" s="57"/>
      <c r="P133" s="57"/>
      <c r="Q133" s="57"/>
      <c r="R133" s="57"/>
    </row>
    <row r="134" spans="1:23">
      <c r="A134" s="609" t="s">
        <v>1104</v>
      </c>
      <c r="B134" s="57" t="s">
        <v>1105</v>
      </c>
      <c r="C134" s="57"/>
      <c r="D134" s="57"/>
      <c r="E134" s="57"/>
      <c r="F134" s="57"/>
      <c r="G134" s="57"/>
      <c r="H134" s="57"/>
      <c r="I134" s="607"/>
      <c r="J134" s="57"/>
      <c r="K134" s="57"/>
      <c r="L134" s="57"/>
      <c r="M134" s="57"/>
      <c r="N134" s="57"/>
      <c r="O134" s="57"/>
      <c r="P134" s="57"/>
      <c r="Q134" s="57"/>
      <c r="R134" s="57"/>
    </row>
    <row r="135" spans="1:23">
      <c r="A135" s="57"/>
      <c r="B135" s="57"/>
      <c r="C135" s="57"/>
      <c r="D135" s="57"/>
      <c r="E135" s="57"/>
      <c r="F135" s="57"/>
      <c r="G135" s="57"/>
      <c r="H135" s="57"/>
      <c r="I135" s="57"/>
      <c r="J135" s="57"/>
      <c r="K135" s="57"/>
      <c r="L135" s="57"/>
      <c r="M135" s="57"/>
      <c r="N135" s="57"/>
      <c r="O135" s="57"/>
      <c r="P135" s="57"/>
      <c r="Q135" s="57"/>
      <c r="R135" s="57"/>
    </row>
  </sheetData>
  <mergeCells count="8">
    <mergeCell ref="I122:R124"/>
    <mergeCell ref="M6:V6"/>
    <mergeCell ref="M7:V7"/>
    <mergeCell ref="W8:AB8"/>
    <mergeCell ref="Q50:Z51"/>
    <mergeCell ref="I62:R64"/>
    <mergeCell ref="I79:R81"/>
    <mergeCell ref="I106:R108"/>
  </mergeCells>
  <pageMargins left="0.7" right="0.7" top="0.75" bottom="0.75" header="0.3" footer="0.3"/>
  <pageSetup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54"/>
  <sheetViews>
    <sheetView topLeftCell="A10" workbookViewId="0">
      <selection activeCell="P27" sqref="P27"/>
    </sheetView>
  </sheetViews>
  <sheetFormatPr baseColWidth="10" defaultRowHeight="12"/>
  <cols>
    <col min="1" max="1" width="15.5703125" style="29" customWidth="1"/>
    <col min="2" max="2" width="13.5703125" style="29" customWidth="1"/>
    <col min="3" max="3" width="13.85546875" style="29" customWidth="1"/>
    <col min="4" max="9" width="9.7109375" style="29" customWidth="1"/>
    <col min="10" max="22" width="9.140625" style="29" customWidth="1"/>
    <col min="23" max="16384" width="11.42578125" style="29"/>
  </cols>
  <sheetData>
    <row r="1" spans="1:16">
      <c r="A1" s="28" t="s">
        <v>1010</v>
      </c>
    </row>
    <row r="4" spans="1:16">
      <c r="A4" s="30" t="s">
        <v>1046</v>
      </c>
    </row>
    <row r="5" spans="1:16">
      <c r="I5" s="1040" t="s">
        <v>1047</v>
      </c>
      <c r="J5" s="1041"/>
      <c r="K5" s="1041"/>
      <c r="L5" s="1041"/>
      <c r="M5" s="1041"/>
      <c r="N5" s="1041"/>
      <c r="O5" s="1041"/>
      <c r="P5" s="1041"/>
    </row>
    <row r="6" spans="1:16">
      <c r="I6" s="1041"/>
      <c r="J6" s="1041"/>
      <c r="K6" s="1041"/>
      <c r="L6" s="1041"/>
      <c r="M6" s="1041"/>
      <c r="N6" s="1041"/>
      <c r="O6" s="1041"/>
      <c r="P6" s="1041"/>
    </row>
    <row r="7" spans="1:16">
      <c r="I7" s="1041"/>
      <c r="J7" s="1041"/>
      <c r="K7" s="1041"/>
      <c r="L7" s="1041"/>
      <c r="M7" s="1041"/>
      <c r="N7" s="1041"/>
      <c r="O7" s="1041"/>
      <c r="P7" s="1041"/>
    </row>
    <row r="9" spans="1:16">
      <c r="A9" s="30" t="s">
        <v>702</v>
      </c>
      <c r="B9" s="30" t="s">
        <v>512</v>
      </c>
      <c r="C9" s="30"/>
      <c r="D9" s="30"/>
      <c r="E9" s="30"/>
      <c r="F9" s="30"/>
      <c r="G9" s="30" t="s">
        <v>295</v>
      </c>
      <c r="H9" s="30"/>
      <c r="J9" s="30" t="s">
        <v>344</v>
      </c>
      <c r="M9" s="30" t="s">
        <v>981</v>
      </c>
    </row>
    <row r="10" spans="1:16">
      <c r="A10" s="29" t="s">
        <v>987</v>
      </c>
      <c r="B10" s="29" t="s">
        <v>988</v>
      </c>
      <c r="G10" s="29" t="s">
        <v>1049</v>
      </c>
    </row>
    <row r="11" spans="1:16">
      <c r="A11" s="29" t="s">
        <v>1026</v>
      </c>
      <c r="B11" s="29" t="s">
        <v>1027</v>
      </c>
      <c r="G11" s="29" t="s">
        <v>1050</v>
      </c>
      <c r="H11" s="30"/>
      <c r="J11" s="30"/>
    </row>
    <row r="12" spans="1:16">
      <c r="A12" s="29" t="s">
        <v>1028</v>
      </c>
      <c r="B12" s="29" t="s">
        <v>1029</v>
      </c>
      <c r="G12" s="29" t="s">
        <v>1051</v>
      </c>
      <c r="H12" s="30"/>
      <c r="J12" s="591">
        <v>21.9</v>
      </c>
      <c r="K12" s="591" t="s">
        <v>1038</v>
      </c>
      <c r="L12" s="592"/>
      <c r="M12" s="29" t="s">
        <v>1037</v>
      </c>
      <c r="P12" s="29" t="s">
        <v>1048</v>
      </c>
    </row>
    <row r="13" spans="1:16">
      <c r="A13" s="29" t="s">
        <v>1030</v>
      </c>
      <c r="B13" s="29" t="s">
        <v>1031</v>
      </c>
      <c r="H13" s="30"/>
      <c r="J13" s="591">
        <v>0.5</v>
      </c>
      <c r="K13" s="592" t="s">
        <v>1039</v>
      </c>
      <c r="L13" s="592"/>
      <c r="M13" s="29" t="s">
        <v>1036</v>
      </c>
    </row>
    <row r="14" spans="1:16">
      <c r="A14" s="29" t="s">
        <v>982</v>
      </c>
      <c r="B14" s="29" t="s">
        <v>370</v>
      </c>
      <c r="G14" s="29" t="s">
        <v>1035</v>
      </c>
      <c r="H14" s="30"/>
      <c r="J14" s="591">
        <v>0.22</v>
      </c>
      <c r="K14" s="592" t="s">
        <v>1053</v>
      </c>
      <c r="L14" s="592"/>
      <c r="M14" s="29" t="s">
        <v>1045</v>
      </c>
    </row>
    <row r="15" spans="1:16">
      <c r="A15" s="29" t="s">
        <v>1032</v>
      </c>
      <c r="B15" s="29" t="s">
        <v>1033</v>
      </c>
      <c r="G15" s="29" t="s">
        <v>989</v>
      </c>
      <c r="J15" s="591">
        <v>0</v>
      </c>
      <c r="K15" s="592"/>
      <c r="L15" s="592"/>
      <c r="M15" s="29" t="s">
        <v>1037</v>
      </c>
    </row>
    <row r="17" spans="1:23" ht="12.75" thickBot="1">
      <c r="P17" s="53"/>
      <c r="Q17" s="53"/>
      <c r="R17" s="53"/>
      <c r="S17" s="53"/>
      <c r="T17" s="53"/>
      <c r="U17" s="53"/>
      <c r="V17" s="53"/>
      <c r="W17" s="53"/>
    </row>
    <row r="18" spans="1:23">
      <c r="A18" s="148" t="s">
        <v>1021</v>
      </c>
      <c r="B18" s="148" t="s">
        <v>60</v>
      </c>
      <c r="C18" s="932" t="s">
        <v>1022</v>
      </c>
      <c r="D18" s="933"/>
      <c r="E18" s="933"/>
      <c r="F18" s="933"/>
      <c r="G18" s="933"/>
      <c r="H18" s="933"/>
      <c r="I18" s="932" t="s">
        <v>1056</v>
      </c>
      <c r="J18" s="933"/>
      <c r="K18" s="933"/>
      <c r="L18" s="933"/>
      <c r="M18" s="933"/>
      <c r="N18" s="933"/>
      <c r="P18" s="585"/>
      <c r="Q18" s="585"/>
      <c r="R18" s="1042"/>
      <c r="S18" s="1042"/>
      <c r="T18" s="1042"/>
      <c r="U18" s="1042"/>
      <c r="V18" s="1042"/>
      <c r="W18" s="1042"/>
    </row>
    <row r="19" spans="1:23">
      <c r="A19" s="148"/>
      <c r="B19" s="148"/>
      <c r="C19" s="148">
        <v>2011</v>
      </c>
      <c r="D19" s="148">
        <v>2012</v>
      </c>
      <c r="E19" s="148">
        <v>2013</v>
      </c>
      <c r="F19" s="148">
        <v>2014</v>
      </c>
      <c r="G19" s="148">
        <v>2015</v>
      </c>
      <c r="H19" s="148">
        <v>2016</v>
      </c>
      <c r="I19" s="148">
        <v>2011</v>
      </c>
      <c r="J19" s="148">
        <v>2012</v>
      </c>
      <c r="K19" s="148">
        <v>2013</v>
      </c>
      <c r="L19" s="148">
        <v>2014</v>
      </c>
      <c r="M19" s="148">
        <v>2015</v>
      </c>
      <c r="N19" s="148">
        <v>2016</v>
      </c>
      <c r="P19" s="585"/>
      <c r="Q19" s="585"/>
      <c r="R19" s="585"/>
      <c r="S19" s="585"/>
      <c r="T19" s="585"/>
      <c r="U19" s="585"/>
      <c r="V19" s="585"/>
      <c r="W19" s="585"/>
    </row>
    <row r="20" spans="1:23">
      <c r="A20" s="486">
        <v>1</v>
      </c>
      <c r="B20" s="150" t="s">
        <v>1016</v>
      </c>
      <c r="C20" s="150">
        <v>0</v>
      </c>
      <c r="D20" s="150">
        <v>0.5</v>
      </c>
      <c r="E20" s="486">
        <v>1</v>
      </c>
      <c r="F20" s="486">
        <v>1</v>
      </c>
      <c r="G20" s="486">
        <v>1</v>
      </c>
      <c r="H20" s="486">
        <v>1</v>
      </c>
      <c r="I20" s="485">
        <f>(('GEI Gral PTAS'!$D$9*'GEI PTAS Cálc'!$J$12*'GEI PTAS Cálc'!$J$13*'GEI PTAS Cálc'!$J$14)-'GEI PTAS Cálc'!$J$15)*C20/(1000*SUM(C20:H20))</f>
        <v>0</v>
      </c>
      <c r="J20" s="485">
        <f>(('GEI Gral PTAS'!$D$9*'GEI PTAS Cálc'!$J$12*'GEI PTAS Cálc'!$J$13*'GEI PTAS Cálc'!$J$14)-'GEI PTAS Cálc'!$J$15)*D20/(1000*SUM(C20:H20))</f>
        <v>0.10706666666666667</v>
      </c>
      <c r="K20" s="485">
        <f>(('GEI Gral PTAS'!$D$9*'GEI PTAS Cálc'!$J$12*'GEI PTAS Cálc'!$J$13*'GEI PTAS Cálc'!$J$14)-'GEI PTAS Cálc'!$J$15)*E20/(1000*SUM(C20:H20))</f>
        <v>0.21413333333333334</v>
      </c>
      <c r="L20" s="485">
        <f>(('GEI Gral PTAS'!$D$9*'GEI PTAS Cálc'!$J$12*'GEI PTAS Cálc'!$J$13*'GEI PTAS Cálc'!$J$14)-'GEI PTAS Cálc'!$J$15)*F20/(1000*SUM(C20:H20))</f>
        <v>0.21413333333333334</v>
      </c>
      <c r="M20" s="485">
        <f>(('GEI Gral PTAS'!$D$9*'GEI PTAS Cálc'!$J$12*'GEI PTAS Cálc'!$J$13*'GEI PTAS Cálc'!$J$14)-'GEI PTAS Cálc'!$J$15)*G20/(1000*SUM(C20:H20))</f>
        <v>0.21413333333333334</v>
      </c>
      <c r="N20" s="485">
        <f>(('GEI Gral PTAS'!$D$9*'GEI PTAS Cálc'!$J$12*'GEI PTAS Cálc'!$J$13*'GEI PTAS Cálc'!$J$14)-'GEI PTAS Cálc'!$J$15)*H20/(1000*SUM(C20:H20))</f>
        <v>0.21413333333333334</v>
      </c>
      <c r="P20" s="622"/>
      <c r="Q20" s="361"/>
      <c r="R20" s="623"/>
      <c r="S20" s="623"/>
      <c r="T20" s="623"/>
      <c r="U20" s="623"/>
      <c r="V20" s="623"/>
      <c r="W20" s="623"/>
    </row>
    <row r="21" spans="1:23">
      <c r="A21" s="486">
        <v>2</v>
      </c>
      <c r="B21" s="150" t="s">
        <v>1017</v>
      </c>
      <c r="C21" s="150">
        <v>0</v>
      </c>
      <c r="D21" s="150">
        <v>0.5</v>
      </c>
      <c r="E21" s="486">
        <v>1</v>
      </c>
      <c r="F21" s="486">
        <v>1</v>
      </c>
      <c r="G21" s="486">
        <v>1</v>
      </c>
      <c r="H21" s="486">
        <v>1</v>
      </c>
      <c r="I21" s="485">
        <f>(('GEI Gral PTAS'!$D$9*'GEI PTAS Cálc'!$J$12*'GEI PTAS Cálc'!$J$13*'GEI PTAS Cálc'!$J$14)-'GEI PTAS Cálc'!$J$15)*C21/(1000*SUM(C21:H21))</f>
        <v>0</v>
      </c>
      <c r="J21" s="485">
        <f>(('GEI Gral PTAS'!$D$9*'GEI PTAS Cálc'!$J$12*'GEI PTAS Cálc'!$J$13*'GEI PTAS Cálc'!$J$14)-'GEI PTAS Cálc'!$J$15)*D21/(1000*SUM(C21:H21))</f>
        <v>0.10706666666666667</v>
      </c>
      <c r="K21" s="485">
        <f>(('GEI Gral PTAS'!$D$9*'GEI PTAS Cálc'!$J$12*'GEI PTAS Cálc'!$J$13*'GEI PTAS Cálc'!$J$14)-'GEI PTAS Cálc'!$J$15)*E21/(1000*SUM(C21:H21))</f>
        <v>0.21413333333333334</v>
      </c>
      <c r="L21" s="485">
        <f>(('GEI Gral PTAS'!$D$9*'GEI PTAS Cálc'!$J$12*'GEI PTAS Cálc'!$J$13*'GEI PTAS Cálc'!$J$14)-'GEI PTAS Cálc'!$J$15)*F21/(1000*SUM(C21:H21))</f>
        <v>0.21413333333333334</v>
      </c>
      <c r="M21" s="485">
        <f>(('GEI Gral PTAS'!$D$9*'GEI PTAS Cálc'!$J$12*'GEI PTAS Cálc'!$J$13*'GEI PTAS Cálc'!$J$14)-'GEI PTAS Cálc'!$J$15)*G21/(1000*SUM(C21:H21))</f>
        <v>0.21413333333333334</v>
      </c>
      <c r="N21" s="485">
        <f>(('GEI Gral PTAS'!$D$9*'GEI PTAS Cálc'!$J$12*'GEI PTAS Cálc'!$J$13*'GEI PTAS Cálc'!$J$14)-'GEI PTAS Cálc'!$J$15)*H21/(1000*SUM(C21:H21))</f>
        <v>0.21413333333333334</v>
      </c>
      <c r="P21" s="622"/>
      <c r="Q21" s="361"/>
      <c r="R21" s="623"/>
      <c r="S21" s="623"/>
      <c r="T21" s="623"/>
      <c r="U21" s="623"/>
      <c r="V21" s="623"/>
      <c r="W21" s="623"/>
    </row>
    <row r="22" spans="1:23">
      <c r="A22" s="486">
        <v>3</v>
      </c>
      <c r="B22" s="150" t="s">
        <v>1018</v>
      </c>
      <c r="C22" s="150">
        <v>0</v>
      </c>
      <c r="D22" s="150">
        <v>0.5</v>
      </c>
      <c r="E22" s="486">
        <v>1</v>
      </c>
      <c r="F22" s="486">
        <v>1</v>
      </c>
      <c r="G22" s="486">
        <v>1</v>
      </c>
      <c r="H22" s="486">
        <v>1</v>
      </c>
      <c r="I22" s="485">
        <f>(('GEI Gral PTAS'!$D$9*'GEI PTAS Cálc'!$J$12*'GEI PTAS Cálc'!$J$13*'GEI PTAS Cálc'!$J$14)-'GEI PTAS Cálc'!$J$15)*C22/(1000*SUM(C22:H22))</f>
        <v>0</v>
      </c>
      <c r="J22" s="485">
        <f>(('GEI Gral PTAS'!$D$9*'GEI PTAS Cálc'!$J$12*'GEI PTAS Cálc'!$J$13*'GEI PTAS Cálc'!$J$14)-'GEI PTAS Cálc'!$J$15)*D22/(1000*SUM(C22:H22))</f>
        <v>0.10706666666666667</v>
      </c>
      <c r="K22" s="485">
        <f>(('GEI Gral PTAS'!$D$9*'GEI PTAS Cálc'!$J$12*'GEI PTAS Cálc'!$J$13*'GEI PTAS Cálc'!$J$14)-'GEI PTAS Cálc'!$J$15)*E22/(1000*SUM(C22:H22))</f>
        <v>0.21413333333333334</v>
      </c>
      <c r="L22" s="485">
        <f>(('GEI Gral PTAS'!$D$9*'GEI PTAS Cálc'!$J$12*'GEI PTAS Cálc'!$J$13*'GEI PTAS Cálc'!$J$14)-'GEI PTAS Cálc'!$J$15)*F22/(1000*SUM(C22:H22))</f>
        <v>0.21413333333333334</v>
      </c>
      <c r="M22" s="485">
        <f>(('GEI Gral PTAS'!$D$9*'GEI PTAS Cálc'!$J$12*'GEI PTAS Cálc'!$J$13*'GEI PTAS Cálc'!$J$14)-'GEI PTAS Cálc'!$J$15)*G22/(1000*SUM(C22:H22))</f>
        <v>0.21413333333333334</v>
      </c>
      <c r="N22" s="485">
        <f>(('GEI Gral PTAS'!$D$9*'GEI PTAS Cálc'!$J$12*'GEI PTAS Cálc'!$J$13*'GEI PTAS Cálc'!$J$14)-'GEI PTAS Cálc'!$J$15)*H22/(1000*SUM(C22:H22))</f>
        <v>0.21413333333333334</v>
      </c>
      <c r="P22" s="622"/>
      <c r="Q22" s="361"/>
      <c r="R22" s="623"/>
      <c r="S22" s="623"/>
      <c r="T22" s="623"/>
      <c r="U22" s="623"/>
      <c r="V22" s="623"/>
      <c r="W22" s="623"/>
    </row>
    <row r="23" spans="1:23">
      <c r="A23" s="486">
        <v>4</v>
      </c>
      <c r="B23" s="150" t="s">
        <v>1019</v>
      </c>
      <c r="C23" s="150">
        <v>0</v>
      </c>
      <c r="D23" s="150">
        <v>0.5</v>
      </c>
      <c r="E23" s="486">
        <v>1</v>
      </c>
      <c r="F23" s="486">
        <v>1</v>
      </c>
      <c r="G23" s="486">
        <v>1</v>
      </c>
      <c r="H23" s="486">
        <v>1</v>
      </c>
      <c r="I23" s="485">
        <f>(('GEI Gral PTAS'!$D$9*'GEI PTAS Cálc'!$J$12*'GEI PTAS Cálc'!$J$13*'GEI PTAS Cálc'!$J$14)-'GEI PTAS Cálc'!$J$15)*C23/(1000*SUM(C23:H23))</f>
        <v>0</v>
      </c>
      <c r="J23" s="485">
        <f>(('GEI Gral PTAS'!$D$9*'GEI PTAS Cálc'!$J$12*'GEI PTAS Cálc'!$J$13*'GEI PTAS Cálc'!$J$14)-'GEI PTAS Cálc'!$J$15)*D23/(1000*SUM(C23:H23))</f>
        <v>0.10706666666666667</v>
      </c>
      <c r="K23" s="485">
        <f>(('GEI Gral PTAS'!$D$9*'GEI PTAS Cálc'!$J$12*'GEI PTAS Cálc'!$J$13*'GEI PTAS Cálc'!$J$14)-'GEI PTAS Cálc'!$J$15)*E23/(1000*SUM(C23:H23))</f>
        <v>0.21413333333333334</v>
      </c>
      <c r="L23" s="485">
        <f>(('GEI Gral PTAS'!$D$9*'GEI PTAS Cálc'!$J$12*'GEI PTAS Cálc'!$J$13*'GEI PTAS Cálc'!$J$14)-'GEI PTAS Cálc'!$J$15)*F23/(1000*SUM(C23:H23))</f>
        <v>0.21413333333333334</v>
      </c>
      <c r="M23" s="485">
        <f>(('GEI Gral PTAS'!$D$9*'GEI PTAS Cálc'!$J$12*'GEI PTAS Cálc'!$J$13*'GEI PTAS Cálc'!$J$14)-'GEI PTAS Cálc'!$J$15)*G23/(1000*SUM(C23:H23))</f>
        <v>0.21413333333333334</v>
      </c>
      <c r="N23" s="485">
        <f>(('GEI Gral PTAS'!$D$9*'GEI PTAS Cálc'!$J$12*'GEI PTAS Cálc'!$J$13*'GEI PTAS Cálc'!$J$14)-'GEI PTAS Cálc'!$J$15)*H23/(1000*SUM(C23:H23))</f>
        <v>0.21413333333333334</v>
      </c>
      <c r="P23" s="622"/>
      <c r="Q23" s="361"/>
      <c r="R23" s="623"/>
      <c r="S23" s="623"/>
      <c r="T23" s="623"/>
      <c r="U23" s="623"/>
      <c r="V23" s="623"/>
      <c r="W23" s="623"/>
    </row>
    <row r="24" spans="1:23">
      <c r="A24" s="486">
        <v>5</v>
      </c>
      <c r="B24" s="150" t="s">
        <v>1020</v>
      </c>
      <c r="C24" s="150">
        <v>0</v>
      </c>
      <c r="D24" s="150">
        <v>0.5</v>
      </c>
      <c r="E24" s="486">
        <v>1</v>
      </c>
      <c r="F24" s="486">
        <v>1</v>
      </c>
      <c r="G24" s="486">
        <v>1</v>
      </c>
      <c r="H24" s="486">
        <v>1</v>
      </c>
      <c r="I24" s="485">
        <f>(('GEI Gral PTAS'!$D$9*'GEI PTAS Cálc'!$J$12*'GEI PTAS Cálc'!$J$13*'GEI PTAS Cálc'!$J$14)-'GEI PTAS Cálc'!$J$15)*C24/(1000*SUM(C24:H24))</f>
        <v>0</v>
      </c>
      <c r="J24" s="485">
        <f>(('GEI Gral PTAS'!$D$9*'GEI PTAS Cálc'!$J$12*'GEI PTAS Cálc'!$J$13*'GEI PTAS Cálc'!$J$14)-'GEI PTAS Cálc'!$J$15)*D24/(1000*SUM(C24:H24))</f>
        <v>0.10706666666666667</v>
      </c>
      <c r="K24" s="485">
        <f>(('GEI Gral PTAS'!$D$9*'GEI PTAS Cálc'!$J$12*'GEI PTAS Cálc'!$J$13*'GEI PTAS Cálc'!$J$14)-'GEI PTAS Cálc'!$J$15)*E24/(1000*SUM(C24:H24))</f>
        <v>0.21413333333333334</v>
      </c>
      <c r="L24" s="485">
        <f>(('GEI Gral PTAS'!$D$9*'GEI PTAS Cálc'!$J$12*'GEI PTAS Cálc'!$J$13*'GEI PTAS Cálc'!$J$14)-'GEI PTAS Cálc'!$J$15)*F24/(1000*SUM(C24:H24))</f>
        <v>0.21413333333333334</v>
      </c>
      <c r="M24" s="485">
        <f>(('GEI Gral PTAS'!$D$9*'GEI PTAS Cálc'!$J$12*'GEI PTAS Cálc'!$J$13*'GEI PTAS Cálc'!$J$14)-'GEI PTAS Cálc'!$J$15)*G24/(1000*SUM(C24:H24))</f>
        <v>0.21413333333333334</v>
      </c>
      <c r="N24" s="485">
        <f>(('GEI Gral PTAS'!$D$9*'GEI PTAS Cálc'!$J$12*'GEI PTAS Cálc'!$J$13*'GEI PTAS Cálc'!$J$14)-'GEI PTAS Cálc'!$J$15)*H24/(1000*SUM(C24:H24))</f>
        <v>0.21413333333333334</v>
      </c>
      <c r="P24" s="622"/>
      <c r="Q24" s="361"/>
      <c r="R24" s="623"/>
      <c r="S24" s="623"/>
      <c r="T24" s="623"/>
      <c r="U24" s="623"/>
      <c r="V24" s="623"/>
      <c r="W24" s="623"/>
    </row>
    <row r="25" spans="1:23" ht="24">
      <c r="A25" s="148" t="s">
        <v>1054</v>
      </c>
      <c r="I25" s="604">
        <f>SUM(I20:I24)</f>
        <v>0</v>
      </c>
      <c r="J25" s="604">
        <f>SUM(J20:J24)</f>
        <v>0.53533333333333333</v>
      </c>
      <c r="K25" s="604">
        <f t="shared" ref="K25:N25" si="0">SUM(K20:K24)</f>
        <v>1.0706666666666667</v>
      </c>
      <c r="L25" s="604">
        <f t="shared" si="0"/>
        <v>1.0706666666666667</v>
      </c>
      <c r="M25" s="604">
        <f t="shared" si="0"/>
        <v>1.0706666666666667</v>
      </c>
      <c r="N25" s="604">
        <f t="shared" si="0"/>
        <v>1.0706666666666667</v>
      </c>
      <c r="P25" s="585"/>
      <c r="Q25" s="53"/>
      <c r="R25" s="623"/>
      <c r="S25" s="623"/>
      <c r="T25" s="623"/>
      <c r="U25" s="623"/>
      <c r="V25" s="623"/>
      <c r="W25" s="623"/>
    </row>
    <row r="26" spans="1:23" ht="24">
      <c r="A26" s="148" t="s">
        <v>1055</v>
      </c>
      <c r="I26" s="603">
        <f>I25*'GEI Gral Combust'!$D$13</f>
        <v>0</v>
      </c>
      <c r="J26" s="603">
        <f>J25*'GEI Gral Combust'!$D$13</f>
        <v>11.241999999999999</v>
      </c>
      <c r="K26" s="603">
        <f>K25*'GEI Gral Combust'!$D$13</f>
        <v>22.483999999999998</v>
      </c>
      <c r="L26" s="603">
        <f>L25*'GEI Gral Combust'!$D$13</f>
        <v>22.483999999999998</v>
      </c>
      <c r="M26" s="603">
        <f>M25*'GEI Gral Combust'!$D$13</f>
        <v>22.483999999999998</v>
      </c>
      <c r="N26" s="603">
        <f>N25*'GEI Gral Combust'!$D$13</f>
        <v>22.483999999999998</v>
      </c>
      <c r="P26" s="585"/>
      <c r="Q26" s="53"/>
      <c r="R26" s="624"/>
      <c r="S26" s="624"/>
      <c r="T26" s="624"/>
      <c r="U26" s="624"/>
      <c r="V26" s="624"/>
      <c r="W26" s="624"/>
    </row>
    <row r="27" spans="1:23">
      <c r="A27" s="29" t="s">
        <v>1125</v>
      </c>
    </row>
    <row r="28" spans="1:23">
      <c r="A28" s="29" t="s">
        <v>1126</v>
      </c>
    </row>
    <row r="29" spans="1:23" ht="12.75" thickBot="1"/>
    <row r="30" spans="1:23">
      <c r="A30" s="163" t="s">
        <v>1084</v>
      </c>
      <c r="B30" s="165"/>
      <c r="C30" s="165"/>
      <c r="D30" s="165"/>
      <c r="E30" s="165"/>
      <c r="F30" s="165"/>
      <c r="G30" s="165"/>
      <c r="H30" s="165"/>
      <c r="I30" s="165"/>
      <c r="J30" s="165"/>
      <c r="K30" s="165"/>
      <c r="L30" s="165"/>
      <c r="M30" s="165"/>
      <c r="N30" s="165"/>
      <c r="O30" s="165"/>
      <c r="P30" s="165"/>
      <c r="Q30" s="165"/>
      <c r="R30" s="166"/>
    </row>
    <row r="31" spans="1:23">
      <c r="A31" s="167"/>
      <c r="B31" s="162"/>
      <c r="C31" s="162"/>
      <c r="D31" s="162"/>
      <c r="E31" s="162"/>
      <c r="F31" s="162"/>
      <c r="G31" s="162"/>
      <c r="H31" s="162"/>
      <c r="I31" s="162"/>
      <c r="J31" s="162"/>
      <c r="K31" s="162"/>
      <c r="L31" s="162"/>
      <c r="M31" s="162"/>
      <c r="N31" s="162"/>
      <c r="O31" s="162"/>
      <c r="P31" s="162"/>
      <c r="Q31" s="162"/>
      <c r="R31" s="168"/>
    </row>
    <row r="32" spans="1:23">
      <c r="A32" s="321" t="s">
        <v>1085</v>
      </c>
      <c r="B32" s="162"/>
      <c r="C32" s="162"/>
      <c r="D32" s="162"/>
      <c r="E32" s="162"/>
      <c r="F32" s="162"/>
      <c r="G32" s="162"/>
      <c r="H32" s="162"/>
      <c r="I32" s="162"/>
      <c r="J32" s="162"/>
      <c r="K32" s="162"/>
      <c r="L32" s="162"/>
      <c r="M32" s="162"/>
      <c r="N32" s="162"/>
      <c r="O32" s="162"/>
      <c r="P32" s="162"/>
      <c r="Q32" s="162"/>
      <c r="R32" s="168"/>
    </row>
    <row r="33" spans="1:18">
      <c r="A33" s="167"/>
      <c r="B33" s="162"/>
      <c r="C33" s="162"/>
      <c r="D33" s="162"/>
      <c r="E33" s="162"/>
      <c r="F33" s="162"/>
      <c r="G33" s="162"/>
      <c r="H33" s="162"/>
      <c r="I33" s="1028" t="s">
        <v>1087</v>
      </c>
      <c r="J33" s="927"/>
      <c r="K33" s="927"/>
      <c r="L33" s="927"/>
      <c r="M33" s="927"/>
      <c r="N33" s="927"/>
      <c r="O33" s="927"/>
      <c r="P33" s="927"/>
      <c r="Q33" s="927"/>
      <c r="R33" s="1036"/>
    </row>
    <row r="34" spans="1:18">
      <c r="A34" s="167"/>
      <c r="B34" s="162"/>
      <c r="C34" s="162"/>
      <c r="D34" s="162"/>
      <c r="E34" s="162"/>
      <c r="F34" s="162"/>
      <c r="G34" s="162"/>
      <c r="H34" s="162"/>
      <c r="I34" s="927"/>
      <c r="J34" s="927"/>
      <c r="K34" s="927"/>
      <c r="L34" s="927"/>
      <c r="M34" s="927"/>
      <c r="N34" s="927"/>
      <c r="O34" s="927"/>
      <c r="P34" s="927"/>
      <c r="Q34" s="927"/>
      <c r="R34" s="1036"/>
    </row>
    <row r="35" spans="1:18">
      <c r="A35" s="167"/>
      <c r="B35" s="162"/>
      <c r="C35" s="162"/>
      <c r="D35" s="162"/>
      <c r="E35" s="162"/>
      <c r="F35" s="162"/>
      <c r="G35" s="162"/>
      <c r="H35" s="162"/>
      <c r="I35" s="927"/>
      <c r="J35" s="927"/>
      <c r="K35" s="927"/>
      <c r="L35" s="927"/>
      <c r="M35" s="927"/>
      <c r="N35" s="927"/>
      <c r="O35" s="927"/>
      <c r="P35" s="927"/>
      <c r="Q35" s="927"/>
      <c r="R35" s="1036"/>
    </row>
    <row r="36" spans="1:18">
      <c r="A36" s="167"/>
      <c r="B36" s="162"/>
      <c r="C36" s="162"/>
      <c r="D36" s="162"/>
      <c r="E36" s="162"/>
      <c r="F36" s="162"/>
      <c r="G36" s="162"/>
      <c r="H36" s="162"/>
      <c r="I36" s="162"/>
      <c r="J36" s="162"/>
      <c r="K36" s="162"/>
      <c r="L36" s="162"/>
      <c r="M36" s="162"/>
      <c r="N36" s="162"/>
      <c r="O36" s="162"/>
      <c r="P36" s="162"/>
      <c r="Q36" s="162"/>
      <c r="R36" s="168"/>
    </row>
    <row r="37" spans="1:18">
      <c r="A37" s="321" t="s">
        <v>702</v>
      </c>
      <c r="B37" s="172" t="s">
        <v>512</v>
      </c>
      <c r="C37" s="172"/>
      <c r="D37" s="172"/>
      <c r="E37" s="172"/>
      <c r="F37" s="172"/>
      <c r="G37" s="172" t="s">
        <v>295</v>
      </c>
      <c r="H37" s="172"/>
      <c r="I37" s="172" t="s">
        <v>344</v>
      </c>
      <c r="J37" s="162"/>
      <c r="K37" s="162"/>
      <c r="L37" s="172" t="s">
        <v>1059</v>
      </c>
      <c r="M37" s="162"/>
      <c r="N37" s="162"/>
      <c r="O37" s="162"/>
      <c r="P37" s="162"/>
      <c r="Q37" s="162"/>
      <c r="R37" s="168"/>
    </row>
    <row r="38" spans="1:18">
      <c r="A38" s="167" t="s">
        <v>1088</v>
      </c>
      <c r="B38" s="162" t="s">
        <v>1093</v>
      </c>
      <c r="C38" s="162"/>
      <c r="D38" s="162"/>
      <c r="E38" s="162"/>
      <c r="F38" s="162"/>
      <c r="G38" s="162" t="s">
        <v>1091</v>
      </c>
      <c r="H38" s="162"/>
      <c r="I38" s="162"/>
      <c r="J38" s="162"/>
      <c r="K38" s="162"/>
      <c r="L38" s="162"/>
      <c r="M38" s="162"/>
      <c r="N38" s="162"/>
      <c r="O38" s="162"/>
      <c r="P38" s="162"/>
      <c r="Q38" s="162"/>
      <c r="R38" s="168"/>
    </row>
    <row r="39" spans="1:18">
      <c r="A39" s="167" t="s">
        <v>1026</v>
      </c>
      <c r="B39" s="162" t="s">
        <v>1027</v>
      </c>
      <c r="C39" s="162"/>
      <c r="D39" s="162"/>
      <c r="E39" s="162"/>
      <c r="F39" s="162"/>
      <c r="G39" s="162" t="s">
        <v>1050</v>
      </c>
      <c r="H39" s="172"/>
      <c r="I39" s="172"/>
      <c r="J39" s="162"/>
      <c r="K39" s="162"/>
      <c r="L39" s="162"/>
      <c r="M39" s="162"/>
      <c r="N39" s="162"/>
      <c r="O39" s="162"/>
      <c r="P39" s="162"/>
      <c r="Q39" s="162"/>
      <c r="R39" s="168"/>
    </row>
    <row r="40" spans="1:18">
      <c r="A40" s="167" t="s">
        <v>1028</v>
      </c>
      <c r="B40" s="162" t="s">
        <v>1116</v>
      </c>
      <c r="C40" s="162"/>
      <c r="D40" s="162"/>
      <c r="E40" s="162"/>
      <c r="F40" s="162"/>
      <c r="G40" s="162" t="s">
        <v>1058</v>
      </c>
      <c r="H40" s="172"/>
      <c r="I40" s="319">
        <v>21.9</v>
      </c>
      <c r="J40" s="319" t="s">
        <v>1038</v>
      </c>
      <c r="K40" s="296"/>
      <c r="L40" s="162" t="s">
        <v>1037</v>
      </c>
      <c r="M40" s="162"/>
      <c r="N40" s="162"/>
      <c r="O40" s="162" t="s">
        <v>1040</v>
      </c>
      <c r="P40" s="162"/>
      <c r="Q40" s="162"/>
      <c r="R40" s="168"/>
    </row>
    <row r="41" spans="1:18">
      <c r="A41" s="167" t="s">
        <v>1030</v>
      </c>
      <c r="B41" s="162" t="s">
        <v>1031</v>
      </c>
      <c r="C41" s="162"/>
      <c r="D41" s="162"/>
      <c r="E41" s="162"/>
      <c r="F41" s="162"/>
      <c r="G41" s="162"/>
      <c r="H41" s="172"/>
      <c r="I41" s="319">
        <v>0.5</v>
      </c>
      <c r="J41" s="296"/>
      <c r="K41" s="296"/>
      <c r="L41" s="162" t="s">
        <v>1036</v>
      </c>
      <c r="M41" s="162"/>
      <c r="N41" s="162"/>
      <c r="O41" s="162"/>
      <c r="P41" s="162"/>
      <c r="Q41" s="162"/>
      <c r="R41" s="168"/>
    </row>
    <row r="42" spans="1:18">
      <c r="A42" s="167" t="s">
        <v>1089</v>
      </c>
      <c r="B42" s="162" t="s">
        <v>1090</v>
      </c>
      <c r="C42" s="162"/>
      <c r="D42" s="162"/>
      <c r="E42" s="162"/>
      <c r="F42" s="162"/>
      <c r="G42" s="162" t="s">
        <v>1117</v>
      </c>
      <c r="H42" s="172"/>
      <c r="I42" s="319">
        <v>5.0999999999999997E-2</v>
      </c>
      <c r="J42" s="319" t="s">
        <v>1117</v>
      </c>
      <c r="K42" s="296"/>
      <c r="L42" s="162" t="s">
        <v>1114</v>
      </c>
      <c r="M42" s="162"/>
      <c r="N42" s="162"/>
      <c r="O42" s="162"/>
      <c r="P42" s="162"/>
      <c r="Q42" s="162"/>
      <c r="R42" s="168"/>
    </row>
    <row r="43" spans="1:18">
      <c r="A43" s="605" t="s">
        <v>1104</v>
      </c>
      <c r="B43" s="162" t="s">
        <v>1092</v>
      </c>
      <c r="C43" s="162"/>
      <c r="D43" s="162"/>
      <c r="E43" s="162"/>
      <c r="F43" s="162"/>
      <c r="G43" s="162" t="s">
        <v>1034</v>
      </c>
      <c r="H43" s="162"/>
      <c r="I43" s="319"/>
      <c r="J43" s="296"/>
      <c r="K43" s="296"/>
      <c r="L43" s="162"/>
      <c r="M43" s="162"/>
      <c r="N43" s="162"/>
      <c r="O43" s="162"/>
      <c r="P43" s="162"/>
      <c r="Q43" s="162"/>
      <c r="R43" s="168"/>
    </row>
    <row r="44" spans="1:18" ht="12.75" thickBot="1">
      <c r="A44" s="183"/>
      <c r="B44" s="184"/>
      <c r="C44" s="184"/>
      <c r="D44" s="184"/>
      <c r="E44" s="184"/>
      <c r="F44" s="184"/>
      <c r="G44" s="184"/>
      <c r="H44" s="184"/>
      <c r="I44" s="184"/>
      <c r="J44" s="184"/>
      <c r="K44" s="184"/>
      <c r="L44" s="184"/>
      <c r="M44" s="184"/>
      <c r="N44" s="184"/>
      <c r="O44" s="184"/>
      <c r="P44" s="184"/>
      <c r="Q44" s="184"/>
      <c r="R44" s="186"/>
    </row>
    <row r="45" spans="1:18" ht="12.75" thickBot="1"/>
    <row r="46" spans="1:18">
      <c r="A46" s="148" t="s">
        <v>1021</v>
      </c>
      <c r="B46" s="148" t="s">
        <v>60</v>
      </c>
      <c r="C46" s="932" t="s">
        <v>1022</v>
      </c>
      <c r="D46" s="933"/>
      <c r="E46" s="933"/>
      <c r="F46" s="933"/>
      <c r="G46" s="933"/>
      <c r="H46" s="933"/>
      <c r="I46" s="932" t="s">
        <v>1056</v>
      </c>
      <c r="J46" s="933"/>
      <c r="K46" s="933"/>
      <c r="L46" s="933"/>
      <c r="M46" s="933"/>
      <c r="N46" s="933"/>
    </row>
    <row r="47" spans="1:18">
      <c r="A47" s="148"/>
      <c r="B47" s="148"/>
      <c r="C47" s="148">
        <v>2011</v>
      </c>
      <c r="D47" s="148">
        <v>2012</v>
      </c>
      <c r="E47" s="148">
        <v>2013</v>
      </c>
      <c r="F47" s="148">
        <v>2014</v>
      </c>
      <c r="G47" s="148">
        <v>2015</v>
      </c>
      <c r="H47" s="148">
        <v>2016</v>
      </c>
      <c r="I47" s="148">
        <v>2011</v>
      </c>
      <c r="J47" s="148">
        <v>2012</v>
      </c>
      <c r="K47" s="148">
        <v>2013</v>
      </c>
      <c r="L47" s="148">
        <v>2014</v>
      </c>
      <c r="M47" s="148">
        <v>2015</v>
      </c>
      <c r="N47" s="148">
        <v>2016</v>
      </c>
    </row>
    <row r="48" spans="1:18">
      <c r="A48" s="486">
        <v>1</v>
      </c>
      <c r="B48" s="150" t="s">
        <v>1016</v>
      </c>
      <c r="C48" s="150">
        <v>0</v>
      </c>
      <c r="D48" s="150">
        <v>0.5</v>
      </c>
      <c r="E48" s="486">
        <v>1</v>
      </c>
      <c r="F48" s="486">
        <v>1</v>
      </c>
      <c r="G48" s="486">
        <v>1</v>
      </c>
      <c r="H48" s="486">
        <v>1</v>
      </c>
      <c r="I48" s="485">
        <f>(('GEI Gral PTAS'!$D$9*'GEI PTAS Cálc'!$I$40*'GEI PTAS Cálc'!$I$41*'GEI PTAS Cálc'!$I$42)-'GEI PTAS Cálc'!$J$15)*C48/(1000*SUM(C48:H48))</f>
        <v>0</v>
      </c>
      <c r="J48" s="485">
        <f>(('GEI Gral PTAS'!$D$9*'GEI PTAS Cálc'!$I$40*'GEI PTAS Cálc'!$I$41*'GEI PTAS Cálc'!$I$42)-'GEI PTAS Cálc'!$J$15)*D48/(1000*SUM(C48:H48))</f>
        <v>2.4819999999999998E-2</v>
      </c>
      <c r="K48" s="485">
        <f>(('GEI Gral PTAS'!$D$9*'GEI PTAS Cálc'!$I$40*'GEI PTAS Cálc'!$I$41*'GEI PTAS Cálc'!$I$42)-'GEI PTAS Cálc'!$J$15)*E48/(1000*SUM(C48:H48))</f>
        <v>4.9639999999999997E-2</v>
      </c>
      <c r="L48" s="485">
        <f>(('GEI Gral PTAS'!$D$9*'GEI PTAS Cálc'!$I$40*'GEI PTAS Cálc'!$I$41*'GEI PTAS Cálc'!$I$42)-'GEI PTAS Cálc'!$J$15)*F48/(1000*SUM(C48:H48))</f>
        <v>4.9639999999999997E-2</v>
      </c>
      <c r="M48" s="485">
        <f>(('GEI Gral PTAS'!$D$9*'GEI PTAS Cálc'!$I$40*'GEI PTAS Cálc'!$I$41*'GEI PTAS Cálc'!$I$42)-'GEI PTAS Cálc'!$J$15)*G48/(1000*SUM(C48:H48))</f>
        <v>4.9639999999999997E-2</v>
      </c>
      <c r="N48" s="485">
        <f>(('GEI Gral PTAS'!$D$9*'GEI PTAS Cálc'!$I$40*'GEI PTAS Cálc'!$I$41*'GEI PTAS Cálc'!$I$42)-'GEI PTAS Cálc'!$J$15)*H48/(1000*SUM(C48:H48))</f>
        <v>4.9639999999999997E-2</v>
      </c>
    </row>
    <row r="49" spans="1:14">
      <c r="A49" s="486">
        <v>2</v>
      </c>
      <c r="B49" s="150" t="s">
        <v>1017</v>
      </c>
      <c r="C49" s="150">
        <v>0</v>
      </c>
      <c r="D49" s="150">
        <v>0.5</v>
      </c>
      <c r="E49" s="486">
        <v>1</v>
      </c>
      <c r="F49" s="486">
        <v>1</v>
      </c>
      <c r="G49" s="486">
        <v>1</v>
      </c>
      <c r="H49" s="486">
        <v>1</v>
      </c>
      <c r="I49" s="485">
        <f>(('GEI Gral PTAS'!$D$9*'GEI PTAS Cálc'!$I$40*'GEI PTAS Cálc'!$I$41*'GEI PTAS Cálc'!$I$42)-'GEI PTAS Cálc'!$J$15)*C49/(1000*SUM(C49:H49))</f>
        <v>0</v>
      </c>
      <c r="J49" s="485">
        <f>(('GEI Gral PTAS'!$D$9*'GEI PTAS Cálc'!$I$40*'GEI PTAS Cálc'!$I$41*'GEI PTAS Cálc'!$I$42)-'GEI PTAS Cálc'!$J$15)*D49/(1000*SUM(C49:H49))</f>
        <v>2.4819999999999998E-2</v>
      </c>
      <c r="K49" s="485">
        <f>(('GEI Gral PTAS'!$D$9*'GEI PTAS Cálc'!$I$40*'GEI PTAS Cálc'!$I$41*'GEI PTAS Cálc'!$I$42)-'GEI PTAS Cálc'!$J$15)*E49/(1000*SUM(C49:H49))</f>
        <v>4.9639999999999997E-2</v>
      </c>
      <c r="L49" s="485">
        <f>(('GEI Gral PTAS'!$D$9*'GEI PTAS Cálc'!$I$40*'GEI PTAS Cálc'!$I$41*'GEI PTAS Cálc'!$I$42)-'GEI PTAS Cálc'!$J$15)*F49/(1000*SUM(C49:H49))</f>
        <v>4.9639999999999997E-2</v>
      </c>
      <c r="M49" s="485">
        <f>(('GEI Gral PTAS'!$D$9*'GEI PTAS Cálc'!$I$40*'GEI PTAS Cálc'!$I$41*'GEI PTAS Cálc'!$I$42)-'GEI PTAS Cálc'!$J$15)*G49/(1000*SUM(C49:H49))</f>
        <v>4.9639999999999997E-2</v>
      </c>
      <c r="N49" s="485">
        <f>(('GEI Gral PTAS'!$D$9*'GEI PTAS Cálc'!$I$40*'GEI PTAS Cálc'!$I$41*'GEI PTAS Cálc'!$I$42)-'GEI PTAS Cálc'!$J$15)*H49/(1000*SUM(C49:H49))</f>
        <v>4.9639999999999997E-2</v>
      </c>
    </row>
    <row r="50" spans="1:14">
      <c r="A50" s="486">
        <v>3</v>
      </c>
      <c r="B50" s="150" t="s">
        <v>1018</v>
      </c>
      <c r="C50" s="150">
        <v>0</v>
      </c>
      <c r="D50" s="150">
        <v>0.5</v>
      </c>
      <c r="E50" s="486">
        <v>1</v>
      </c>
      <c r="F50" s="486">
        <v>1</v>
      </c>
      <c r="G50" s="486">
        <v>1</v>
      </c>
      <c r="H50" s="486">
        <v>1</v>
      </c>
      <c r="I50" s="485">
        <f>(('GEI Gral PTAS'!$D$9*'GEI PTAS Cálc'!$I$40*'GEI PTAS Cálc'!$I$41*'GEI PTAS Cálc'!$I$42)-'GEI PTAS Cálc'!$J$15)*C50/(1000*SUM(C50:H50))</f>
        <v>0</v>
      </c>
      <c r="J50" s="485">
        <f>(('GEI Gral PTAS'!$D$9*'GEI PTAS Cálc'!$I$40*'GEI PTAS Cálc'!$I$41*'GEI PTAS Cálc'!$I$42)-'GEI PTAS Cálc'!$J$15)*D50/(1000*SUM(C50:H50))</f>
        <v>2.4819999999999998E-2</v>
      </c>
      <c r="K50" s="485">
        <f>(('GEI Gral PTAS'!$D$9*'GEI PTAS Cálc'!$I$40*'GEI PTAS Cálc'!$I$41*'GEI PTAS Cálc'!$I$42)-'GEI PTAS Cálc'!$J$15)*E50/(1000*SUM(C50:H50))</f>
        <v>4.9639999999999997E-2</v>
      </c>
      <c r="L50" s="485">
        <f>(('GEI Gral PTAS'!$D$9*'GEI PTAS Cálc'!$I$40*'GEI PTAS Cálc'!$I$41*'GEI PTAS Cálc'!$I$42)-'GEI PTAS Cálc'!$J$15)*F50/(1000*SUM(C50:H50))</f>
        <v>4.9639999999999997E-2</v>
      </c>
      <c r="M50" s="485">
        <f>(('GEI Gral PTAS'!$D$9*'GEI PTAS Cálc'!$I$40*'GEI PTAS Cálc'!$I$41*'GEI PTAS Cálc'!$I$42)-'GEI PTAS Cálc'!$J$15)*G50/(1000*SUM(C50:H50))</f>
        <v>4.9639999999999997E-2</v>
      </c>
      <c r="N50" s="485">
        <f>(('GEI Gral PTAS'!$D$9*'GEI PTAS Cálc'!$I$40*'GEI PTAS Cálc'!$I$41*'GEI PTAS Cálc'!$I$42)-'GEI PTAS Cálc'!$J$15)*H50/(1000*SUM(C50:H50))</f>
        <v>4.9639999999999997E-2</v>
      </c>
    </row>
    <row r="51" spans="1:14">
      <c r="A51" s="486">
        <v>4</v>
      </c>
      <c r="B51" s="150" t="s">
        <v>1019</v>
      </c>
      <c r="C51" s="150">
        <v>0</v>
      </c>
      <c r="D51" s="150">
        <v>0.5</v>
      </c>
      <c r="E51" s="486">
        <v>1</v>
      </c>
      <c r="F51" s="486">
        <v>1</v>
      </c>
      <c r="G51" s="486">
        <v>1</v>
      </c>
      <c r="H51" s="486">
        <v>1</v>
      </c>
      <c r="I51" s="485">
        <f>(('GEI Gral PTAS'!$D$9*'GEI PTAS Cálc'!$I$40*'GEI PTAS Cálc'!$I$41*'GEI PTAS Cálc'!$I$42)-'GEI PTAS Cálc'!$J$15)*C51/(1000*SUM(C51:H51))</f>
        <v>0</v>
      </c>
      <c r="J51" s="485">
        <f>(('GEI Gral PTAS'!$D$9*'GEI PTAS Cálc'!$I$40*'GEI PTAS Cálc'!$I$41*'GEI PTAS Cálc'!$I$42)-'GEI PTAS Cálc'!$J$15)*D51/(1000*SUM(C51:H51))</f>
        <v>2.4819999999999998E-2</v>
      </c>
      <c r="K51" s="485">
        <f>(('GEI Gral PTAS'!$D$9*'GEI PTAS Cálc'!$I$40*'GEI PTAS Cálc'!$I$41*'GEI PTAS Cálc'!$I$42)-'GEI PTAS Cálc'!$J$15)*E51/(1000*SUM(C51:H51))</f>
        <v>4.9639999999999997E-2</v>
      </c>
      <c r="L51" s="485">
        <f>(('GEI Gral PTAS'!$D$9*'GEI PTAS Cálc'!$I$40*'GEI PTAS Cálc'!$I$41*'GEI PTAS Cálc'!$I$42)-'GEI PTAS Cálc'!$J$15)*F51/(1000*SUM(C51:H51))</f>
        <v>4.9639999999999997E-2</v>
      </c>
      <c r="M51" s="485">
        <f>(('GEI Gral PTAS'!$D$9*'GEI PTAS Cálc'!$I$40*'GEI PTAS Cálc'!$I$41*'GEI PTAS Cálc'!$I$42)-'GEI PTAS Cálc'!$J$15)*G51/(1000*SUM(C51:H51))</f>
        <v>4.9639999999999997E-2</v>
      </c>
      <c r="N51" s="485">
        <f>(('GEI Gral PTAS'!$D$9*'GEI PTAS Cálc'!$I$40*'GEI PTAS Cálc'!$I$41*'GEI PTAS Cálc'!$I$42)-'GEI PTAS Cálc'!$J$15)*H51/(1000*SUM(C51:H51))</f>
        <v>4.9639999999999997E-2</v>
      </c>
    </row>
    <row r="52" spans="1:14">
      <c r="A52" s="486">
        <v>5</v>
      </c>
      <c r="B52" s="150" t="s">
        <v>1020</v>
      </c>
      <c r="C52" s="150">
        <v>0</v>
      </c>
      <c r="D52" s="150">
        <v>0.5</v>
      </c>
      <c r="E52" s="486">
        <v>1</v>
      </c>
      <c r="F52" s="486">
        <v>1</v>
      </c>
      <c r="G52" s="486">
        <v>1</v>
      </c>
      <c r="H52" s="486">
        <v>1</v>
      </c>
      <c r="I52" s="485">
        <f>(('GEI Gral PTAS'!$D$9*'GEI PTAS Cálc'!$I$40*'GEI PTAS Cálc'!$I$41*'GEI PTAS Cálc'!$I$42)-'GEI PTAS Cálc'!$J$15)*C52/(1000*SUM(C52:H52))</f>
        <v>0</v>
      </c>
      <c r="J52" s="485">
        <f>(('GEI Gral PTAS'!$D$9*'GEI PTAS Cálc'!$I$40*'GEI PTAS Cálc'!$I$41*'GEI PTAS Cálc'!$I$42)-'GEI PTAS Cálc'!$J$15)*D52/(1000*SUM(C52:H52))</f>
        <v>2.4819999999999998E-2</v>
      </c>
      <c r="K52" s="485">
        <f>(('GEI Gral PTAS'!$D$9*'GEI PTAS Cálc'!$I$40*'GEI PTAS Cálc'!$I$41*'GEI PTAS Cálc'!$I$42)-'GEI PTAS Cálc'!$J$15)*E52/(1000*SUM(C52:H52))</f>
        <v>4.9639999999999997E-2</v>
      </c>
      <c r="L52" s="485">
        <f>(('GEI Gral PTAS'!$D$9*'GEI PTAS Cálc'!$I$40*'GEI PTAS Cálc'!$I$41*'GEI PTAS Cálc'!$I$42)-'GEI PTAS Cálc'!$J$15)*F52/(1000*SUM(C52:H52))</f>
        <v>4.9639999999999997E-2</v>
      </c>
      <c r="M52" s="485">
        <f>(('GEI Gral PTAS'!$D$9*'GEI PTAS Cálc'!$I$40*'GEI PTAS Cálc'!$I$41*'GEI PTAS Cálc'!$I$42)-'GEI PTAS Cálc'!$J$15)*G52/(1000*SUM(C52:H52))</f>
        <v>4.9639999999999997E-2</v>
      </c>
      <c r="N52" s="485">
        <f>(('GEI Gral PTAS'!$D$9*'GEI PTAS Cálc'!$I$40*'GEI PTAS Cálc'!$I$41*'GEI PTAS Cálc'!$I$42)-'GEI PTAS Cálc'!$J$15)*H52/(1000*SUM(C52:H52))</f>
        <v>4.9639999999999997E-2</v>
      </c>
    </row>
    <row r="53" spans="1:14" ht="24">
      <c r="A53" s="148" t="s">
        <v>1118</v>
      </c>
      <c r="I53" s="604">
        <f>SUM(I48:I52)</f>
        <v>0</v>
      </c>
      <c r="J53" s="604">
        <f t="shared" ref="J53" si="1">SUM(J48:J52)</f>
        <v>0.12409999999999999</v>
      </c>
      <c r="K53" s="604">
        <f t="shared" ref="K53" si="2">SUM(K48:K52)</f>
        <v>0.24819999999999998</v>
      </c>
      <c r="L53" s="604">
        <f t="shared" ref="L53" si="3">SUM(L48:L52)</f>
        <v>0.24819999999999998</v>
      </c>
      <c r="M53" s="604">
        <f t="shared" ref="M53" si="4">SUM(M48:M52)</f>
        <v>0.24819999999999998</v>
      </c>
      <c r="N53" s="604">
        <f t="shared" ref="N53" si="5">SUM(N48:N52)</f>
        <v>0.24819999999999998</v>
      </c>
    </row>
    <row r="54" spans="1:14" ht="24">
      <c r="A54" s="148" t="s">
        <v>1055</v>
      </c>
      <c r="I54" s="603">
        <f>I53*'GEI Gral Combust'!$D$13</f>
        <v>0</v>
      </c>
      <c r="J54" s="603">
        <f>J53*'GEI Gral Combust'!$C$13</f>
        <v>38.470999999999997</v>
      </c>
      <c r="K54" s="603">
        <f>K53*'GEI Gral Combust'!$C$13</f>
        <v>76.941999999999993</v>
      </c>
      <c r="L54" s="603">
        <f>L53*'GEI Gral Combust'!$C$13</f>
        <v>76.941999999999993</v>
      </c>
      <c r="M54" s="603">
        <f>M53*'GEI Gral Combust'!$C$13</f>
        <v>76.941999999999993</v>
      </c>
      <c r="N54" s="603">
        <f>N53*'GEI Gral Combust'!$C$13</f>
        <v>76.941999999999993</v>
      </c>
    </row>
  </sheetData>
  <mergeCells count="7">
    <mergeCell ref="C18:H18"/>
    <mergeCell ref="I5:P7"/>
    <mergeCell ref="I18:N18"/>
    <mergeCell ref="I33:R35"/>
    <mergeCell ref="C46:H46"/>
    <mergeCell ref="I46:N46"/>
    <mergeCell ref="R18:W18"/>
  </mergeCells>
  <pageMargins left="0.7" right="0.7" top="0.75" bottom="0.75" header="0.3" footer="0.3"/>
  <pageSetup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W142"/>
  <sheetViews>
    <sheetView topLeftCell="E1" workbookViewId="0">
      <selection activeCell="C142" sqref="C142"/>
    </sheetView>
  </sheetViews>
  <sheetFormatPr baseColWidth="10" defaultColWidth="42" defaultRowHeight="12.75"/>
  <cols>
    <col min="1" max="1" width="10.28515625" style="665" customWidth="1"/>
    <col min="2" max="2" width="12.7109375" style="665" bestFit="1" customWidth="1"/>
    <col min="3" max="3" width="82.28515625" style="665" bestFit="1" customWidth="1"/>
    <col min="4" max="4" width="13.7109375" style="665" bestFit="1" customWidth="1"/>
    <col min="5" max="5" width="12.42578125" style="665" customWidth="1"/>
    <col min="6" max="6" width="26.140625" style="665" customWidth="1"/>
    <col min="7" max="7" width="12.85546875" style="666" bestFit="1" customWidth="1"/>
    <col min="8" max="8" width="17.140625" style="665" bestFit="1" customWidth="1"/>
    <col min="9" max="9" width="12.85546875" style="665" bestFit="1" customWidth="1"/>
    <col min="10" max="10" width="12.140625" style="665" customWidth="1"/>
    <col min="11" max="11" width="7.28515625" style="665" bestFit="1" customWidth="1"/>
    <col min="12" max="12" width="9.28515625" style="665" bestFit="1" customWidth="1"/>
    <col min="13" max="13" width="8.7109375" style="665" bestFit="1" customWidth="1"/>
    <col min="14" max="14" width="7.7109375" style="665" bestFit="1" customWidth="1"/>
    <col min="15" max="15" width="8.7109375" style="665" bestFit="1" customWidth="1"/>
    <col min="16" max="16" width="7.28515625" style="665" bestFit="1" customWidth="1"/>
    <col min="17" max="17" width="9.28515625" style="665" bestFit="1" customWidth="1"/>
    <col min="18" max="18" width="8.7109375" style="665" bestFit="1" customWidth="1"/>
    <col min="19" max="19" width="7.7109375" style="665" bestFit="1" customWidth="1"/>
    <col min="20" max="20" width="8.7109375" style="665" bestFit="1" customWidth="1"/>
    <col min="21" max="21" width="7.28515625" style="665" bestFit="1" customWidth="1"/>
    <col min="22" max="22" width="9.28515625" style="665" bestFit="1" customWidth="1"/>
    <col min="23" max="23" width="8.7109375" style="665" bestFit="1" customWidth="1"/>
    <col min="24" max="24" width="6.28515625" style="665" bestFit="1" customWidth="1"/>
    <col min="25" max="25" width="8.7109375" style="665" bestFit="1" customWidth="1"/>
    <col min="26" max="16384" width="42" style="665"/>
  </cols>
  <sheetData>
    <row r="1" spans="1:23">
      <c r="I1" s="1043" t="s">
        <v>1143</v>
      </c>
      <c r="J1" s="1044"/>
      <c r="K1" s="1044"/>
      <c r="L1" s="1044"/>
      <c r="M1" s="1045"/>
      <c r="N1" s="1043" t="s">
        <v>1144</v>
      </c>
      <c r="O1" s="1044"/>
      <c r="P1" s="1044"/>
      <c r="Q1" s="1044"/>
      <c r="R1" s="1045"/>
      <c r="S1" s="1043" t="s">
        <v>1145</v>
      </c>
      <c r="T1" s="1044"/>
      <c r="U1" s="1044"/>
      <c r="V1" s="1044"/>
      <c r="W1" s="1045"/>
    </row>
    <row r="2" spans="1:23">
      <c r="A2" s="667" t="s">
        <v>1146</v>
      </c>
      <c r="B2" s="667" t="s">
        <v>60</v>
      </c>
      <c r="C2" s="668" t="s">
        <v>149</v>
      </c>
      <c r="D2" s="668" t="s">
        <v>1147</v>
      </c>
      <c r="E2" s="668" t="s">
        <v>1148</v>
      </c>
      <c r="F2" s="668" t="s">
        <v>1149</v>
      </c>
      <c r="G2" s="669" t="s">
        <v>1150</v>
      </c>
      <c r="H2" s="668" t="s">
        <v>1151</v>
      </c>
      <c r="I2" s="670" t="s">
        <v>1152</v>
      </c>
      <c r="J2" s="671" t="s">
        <v>1153</v>
      </c>
      <c r="K2" s="671" t="s">
        <v>1154</v>
      </c>
      <c r="L2" s="671" t="s">
        <v>1155</v>
      </c>
      <c r="M2" s="672" t="s">
        <v>32</v>
      </c>
      <c r="N2" s="670" t="s">
        <v>1152</v>
      </c>
      <c r="O2" s="671" t="s">
        <v>1153</v>
      </c>
      <c r="P2" s="671" t="s">
        <v>1154</v>
      </c>
      <c r="Q2" s="671" t="s">
        <v>1155</v>
      </c>
      <c r="R2" s="672" t="s">
        <v>32</v>
      </c>
      <c r="S2" s="670" t="s">
        <v>1152</v>
      </c>
      <c r="T2" s="671" t="s">
        <v>1153</v>
      </c>
      <c r="U2" s="671" t="s">
        <v>1154</v>
      </c>
      <c r="V2" s="671" t="s">
        <v>1155</v>
      </c>
      <c r="W2" s="672" t="s">
        <v>32</v>
      </c>
    </row>
    <row r="3" spans="1:23">
      <c r="A3" s="673">
        <v>1</v>
      </c>
      <c r="B3" s="673" t="s">
        <v>206</v>
      </c>
      <c r="C3" s="674" t="s">
        <v>1156</v>
      </c>
      <c r="D3" s="674">
        <v>0.1</v>
      </c>
      <c r="E3" s="674" t="s">
        <v>1157</v>
      </c>
      <c r="F3" s="674" t="s">
        <v>1158</v>
      </c>
      <c r="G3" s="675">
        <v>2013</v>
      </c>
      <c r="H3" s="674">
        <v>2016</v>
      </c>
      <c r="I3" s="676">
        <v>0</v>
      </c>
      <c r="J3" s="677">
        <v>0</v>
      </c>
      <c r="K3" s="677">
        <v>0</v>
      </c>
      <c r="L3" s="677">
        <v>0</v>
      </c>
      <c r="M3" s="678">
        <v>0</v>
      </c>
      <c r="N3" s="676">
        <f>I3*$B$139</f>
        <v>0</v>
      </c>
      <c r="O3" s="677">
        <f>J3*$B$142</f>
        <v>0</v>
      </c>
      <c r="P3" s="677">
        <f>K3*$B$141</f>
        <v>0</v>
      </c>
      <c r="Q3" s="677">
        <f>L3*$B$140</f>
        <v>0</v>
      </c>
      <c r="R3" s="678">
        <f>SUM(N3:Q3)</f>
        <v>0</v>
      </c>
      <c r="S3" s="676">
        <f>I3-N3</f>
        <v>0</v>
      </c>
      <c r="T3" s="677">
        <f>J3-O3</f>
        <v>0</v>
      </c>
      <c r="U3" s="677">
        <f>K3-P3</f>
        <v>0</v>
      </c>
      <c r="V3" s="677">
        <f>L3-Q3</f>
        <v>0</v>
      </c>
      <c r="W3" s="678">
        <f>SUM(S3:V3)</f>
        <v>0</v>
      </c>
    </row>
    <row r="4" spans="1:23">
      <c r="A4" s="673">
        <v>2</v>
      </c>
      <c r="B4" s="673" t="s">
        <v>206</v>
      </c>
      <c r="C4" s="674" t="s">
        <v>1159</v>
      </c>
      <c r="D4" s="674">
        <v>0.15</v>
      </c>
      <c r="E4" s="674" t="s">
        <v>1157</v>
      </c>
      <c r="F4" s="674" t="s">
        <v>1158</v>
      </c>
      <c r="G4" s="675">
        <v>2013</v>
      </c>
      <c r="H4" s="674">
        <v>2016</v>
      </c>
      <c r="I4" s="676">
        <v>0</v>
      </c>
      <c r="J4" s="677">
        <v>0</v>
      </c>
      <c r="K4" s="677">
        <v>0</v>
      </c>
      <c r="L4" s="677">
        <v>0</v>
      </c>
      <c r="M4" s="678">
        <v>0</v>
      </c>
      <c r="N4" s="676">
        <f t="shared" ref="N4:N67" si="0">I4*$B$139</f>
        <v>0</v>
      </c>
      <c r="O4" s="677">
        <f t="shared" ref="O4:O67" si="1">J4*$B$142</f>
        <v>0</v>
      </c>
      <c r="P4" s="677">
        <f t="shared" ref="P4:P67" si="2">K4*$B$141</f>
        <v>0</v>
      </c>
      <c r="Q4" s="677">
        <f t="shared" ref="Q4:Q67" si="3">L4*$B$140</f>
        <v>0</v>
      </c>
      <c r="R4" s="678">
        <f t="shared" ref="R4:R67" si="4">SUM(N4:Q4)</f>
        <v>0</v>
      </c>
      <c r="S4" s="676">
        <f t="shared" ref="S4:V67" si="5">I4-N4</f>
        <v>0</v>
      </c>
      <c r="T4" s="677">
        <f t="shared" si="5"/>
        <v>0</v>
      </c>
      <c r="U4" s="677">
        <f t="shared" si="5"/>
        <v>0</v>
      </c>
      <c r="V4" s="677">
        <f t="shared" si="5"/>
        <v>0</v>
      </c>
      <c r="W4" s="678">
        <f t="shared" ref="W4:W67" si="6">SUM(S4:V4)</f>
        <v>0</v>
      </c>
    </row>
    <row r="5" spans="1:23">
      <c r="A5" s="673">
        <v>3</v>
      </c>
      <c r="B5" s="673" t="s">
        <v>206</v>
      </c>
      <c r="C5" s="674" t="s">
        <v>1160</v>
      </c>
      <c r="D5" s="674">
        <v>0.05</v>
      </c>
      <c r="E5" s="674" t="s">
        <v>1161</v>
      </c>
      <c r="F5" s="674" t="s">
        <v>1162</v>
      </c>
      <c r="G5" s="675">
        <v>2013</v>
      </c>
      <c r="H5" s="674">
        <v>2016</v>
      </c>
      <c r="I5" s="676">
        <v>0</v>
      </c>
      <c r="J5" s="677">
        <v>0</v>
      </c>
      <c r="K5" s="677">
        <v>0</v>
      </c>
      <c r="L5" s="677">
        <v>0</v>
      </c>
      <c r="M5" s="678">
        <v>0</v>
      </c>
      <c r="N5" s="676">
        <f t="shared" si="0"/>
        <v>0</v>
      </c>
      <c r="O5" s="677">
        <f t="shared" si="1"/>
        <v>0</v>
      </c>
      <c r="P5" s="677">
        <f t="shared" si="2"/>
        <v>0</v>
      </c>
      <c r="Q5" s="677">
        <f t="shared" si="3"/>
        <v>0</v>
      </c>
      <c r="R5" s="678">
        <f t="shared" si="4"/>
        <v>0</v>
      </c>
      <c r="S5" s="676">
        <f t="shared" si="5"/>
        <v>0</v>
      </c>
      <c r="T5" s="677">
        <f t="shared" si="5"/>
        <v>0</v>
      </c>
      <c r="U5" s="677">
        <f t="shared" si="5"/>
        <v>0</v>
      </c>
      <c r="V5" s="677">
        <f t="shared" si="5"/>
        <v>0</v>
      </c>
      <c r="W5" s="678">
        <f t="shared" si="6"/>
        <v>0</v>
      </c>
    </row>
    <row r="6" spans="1:23">
      <c r="A6" s="673">
        <v>4</v>
      </c>
      <c r="B6" s="673" t="s">
        <v>206</v>
      </c>
      <c r="C6" s="674" t="s">
        <v>1163</v>
      </c>
      <c r="D6" s="674">
        <v>0.21</v>
      </c>
      <c r="E6" s="674" t="s">
        <v>1164</v>
      </c>
      <c r="F6" s="674" t="s">
        <v>1162</v>
      </c>
      <c r="G6" s="675">
        <v>2013</v>
      </c>
      <c r="H6" s="674">
        <v>2016</v>
      </c>
      <c r="I6" s="676">
        <v>0</v>
      </c>
      <c r="J6" s="677">
        <v>0</v>
      </c>
      <c r="K6" s="677">
        <v>0</v>
      </c>
      <c r="L6" s="677">
        <v>0</v>
      </c>
      <c r="M6" s="678">
        <v>0</v>
      </c>
      <c r="N6" s="676">
        <f t="shared" si="0"/>
        <v>0</v>
      </c>
      <c r="O6" s="677">
        <f t="shared" si="1"/>
        <v>0</v>
      </c>
      <c r="P6" s="677">
        <f t="shared" si="2"/>
        <v>0</v>
      </c>
      <c r="Q6" s="677">
        <f t="shared" si="3"/>
        <v>0</v>
      </c>
      <c r="R6" s="678">
        <f t="shared" si="4"/>
        <v>0</v>
      </c>
      <c r="S6" s="676">
        <f t="shared" si="5"/>
        <v>0</v>
      </c>
      <c r="T6" s="677">
        <f t="shared" si="5"/>
        <v>0</v>
      </c>
      <c r="U6" s="677">
        <f t="shared" si="5"/>
        <v>0</v>
      </c>
      <c r="V6" s="677">
        <f t="shared" si="5"/>
        <v>0</v>
      </c>
      <c r="W6" s="678">
        <f t="shared" si="6"/>
        <v>0</v>
      </c>
    </row>
    <row r="7" spans="1:23">
      <c r="A7" s="673">
        <v>5</v>
      </c>
      <c r="B7" s="673" t="s">
        <v>182</v>
      </c>
      <c r="C7" s="674" t="s">
        <v>1165</v>
      </c>
      <c r="D7" s="674">
        <v>0.63</v>
      </c>
      <c r="E7" s="674" t="s">
        <v>1166</v>
      </c>
      <c r="F7" s="674" t="s">
        <v>1162</v>
      </c>
      <c r="G7" s="675">
        <v>2013</v>
      </c>
      <c r="H7" s="674">
        <v>2015</v>
      </c>
      <c r="I7" s="676">
        <v>0</v>
      </c>
      <c r="J7" s="677">
        <v>0</v>
      </c>
      <c r="K7" s="677">
        <v>0</v>
      </c>
      <c r="L7" s="677">
        <v>0</v>
      </c>
      <c r="M7" s="678">
        <v>0</v>
      </c>
      <c r="N7" s="676">
        <f t="shared" si="0"/>
        <v>0</v>
      </c>
      <c r="O7" s="677">
        <f t="shared" si="1"/>
        <v>0</v>
      </c>
      <c r="P7" s="677">
        <f t="shared" si="2"/>
        <v>0</v>
      </c>
      <c r="Q7" s="677">
        <f t="shared" si="3"/>
        <v>0</v>
      </c>
      <c r="R7" s="678">
        <f t="shared" si="4"/>
        <v>0</v>
      </c>
      <c r="S7" s="676">
        <f t="shared" si="5"/>
        <v>0</v>
      </c>
      <c r="T7" s="677">
        <f t="shared" si="5"/>
        <v>0</v>
      </c>
      <c r="U7" s="677">
        <f t="shared" si="5"/>
        <v>0</v>
      </c>
      <c r="V7" s="677">
        <f t="shared" si="5"/>
        <v>0</v>
      </c>
      <c r="W7" s="678">
        <f t="shared" si="6"/>
        <v>0</v>
      </c>
    </row>
    <row r="8" spans="1:23" ht="14.45" customHeight="1">
      <c r="A8" s="673">
        <v>6</v>
      </c>
      <c r="B8" s="673" t="s">
        <v>1167</v>
      </c>
      <c r="C8" s="674" t="s">
        <v>1168</v>
      </c>
      <c r="D8" s="674">
        <v>0.25</v>
      </c>
      <c r="E8" s="674" t="s">
        <v>1169</v>
      </c>
      <c r="F8" s="674" t="s">
        <v>1170</v>
      </c>
      <c r="G8" s="675">
        <v>2013</v>
      </c>
      <c r="H8" s="674">
        <v>2015</v>
      </c>
      <c r="I8" s="676">
        <v>0</v>
      </c>
      <c r="J8" s="677">
        <v>0</v>
      </c>
      <c r="K8" s="677">
        <v>0</v>
      </c>
      <c r="L8" s="677">
        <v>0</v>
      </c>
      <c r="M8" s="678">
        <v>0</v>
      </c>
      <c r="N8" s="676">
        <f t="shared" si="0"/>
        <v>0</v>
      </c>
      <c r="O8" s="677">
        <f t="shared" si="1"/>
        <v>0</v>
      </c>
      <c r="P8" s="677">
        <f t="shared" si="2"/>
        <v>0</v>
      </c>
      <c r="Q8" s="677">
        <f t="shared" si="3"/>
        <v>0</v>
      </c>
      <c r="R8" s="678">
        <f t="shared" si="4"/>
        <v>0</v>
      </c>
      <c r="S8" s="676">
        <f t="shared" si="5"/>
        <v>0</v>
      </c>
      <c r="T8" s="677">
        <f t="shared" si="5"/>
        <v>0</v>
      </c>
      <c r="U8" s="677">
        <f t="shared" si="5"/>
        <v>0</v>
      </c>
      <c r="V8" s="677">
        <f t="shared" si="5"/>
        <v>0</v>
      </c>
      <c r="W8" s="678">
        <f t="shared" si="6"/>
        <v>0</v>
      </c>
    </row>
    <row r="9" spans="1:23">
      <c r="A9" s="673">
        <v>7</v>
      </c>
      <c r="B9" s="673" t="s">
        <v>1167</v>
      </c>
      <c r="C9" s="674" t="s">
        <v>1171</v>
      </c>
      <c r="D9" s="674">
        <v>0</v>
      </c>
      <c r="E9" s="674" t="s">
        <v>1172</v>
      </c>
      <c r="F9" s="674" t="s">
        <v>1172</v>
      </c>
      <c r="G9" s="675">
        <v>2013</v>
      </c>
      <c r="H9" s="674">
        <v>2015</v>
      </c>
      <c r="I9" s="676">
        <v>0</v>
      </c>
      <c r="J9" s="677">
        <v>0</v>
      </c>
      <c r="K9" s="677">
        <v>0</v>
      </c>
      <c r="L9" s="677">
        <v>0</v>
      </c>
      <c r="M9" s="678">
        <v>0</v>
      </c>
      <c r="N9" s="676">
        <f t="shared" si="0"/>
        <v>0</v>
      </c>
      <c r="O9" s="677">
        <f t="shared" si="1"/>
        <v>0</v>
      </c>
      <c r="P9" s="677">
        <f t="shared" si="2"/>
        <v>0</v>
      </c>
      <c r="Q9" s="677">
        <f t="shared" si="3"/>
        <v>0</v>
      </c>
      <c r="R9" s="678">
        <f t="shared" si="4"/>
        <v>0</v>
      </c>
      <c r="S9" s="676">
        <f t="shared" si="5"/>
        <v>0</v>
      </c>
      <c r="T9" s="677">
        <f t="shared" si="5"/>
        <v>0</v>
      </c>
      <c r="U9" s="677">
        <f t="shared" si="5"/>
        <v>0</v>
      </c>
      <c r="V9" s="677">
        <f t="shared" si="5"/>
        <v>0</v>
      </c>
      <c r="W9" s="678">
        <f t="shared" si="6"/>
        <v>0</v>
      </c>
    </row>
    <row r="10" spans="1:23">
      <c r="A10" s="673">
        <v>8</v>
      </c>
      <c r="B10" s="673" t="s">
        <v>182</v>
      </c>
      <c r="C10" s="674" t="s">
        <v>1173</v>
      </c>
      <c r="D10" s="674">
        <v>0.83</v>
      </c>
      <c r="E10" s="674" t="s">
        <v>1166</v>
      </c>
      <c r="F10" s="674" t="s">
        <v>1162</v>
      </c>
      <c r="G10" s="675">
        <v>2013</v>
      </c>
      <c r="H10" s="674">
        <v>2015</v>
      </c>
      <c r="I10" s="676">
        <v>0</v>
      </c>
      <c r="J10" s="677">
        <v>0</v>
      </c>
      <c r="K10" s="677">
        <v>0</v>
      </c>
      <c r="L10" s="677">
        <v>0</v>
      </c>
      <c r="M10" s="678">
        <v>0</v>
      </c>
      <c r="N10" s="676">
        <f t="shared" si="0"/>
        <v>0</v>
      </c>
      <c r="O10" s="677">
        <f t="shared" si="1"/>
        <v>0</v>
      </c>
      <c r="P10" s="677">
        <f t="shared" si="2"/>
        <v>0</v>
      </c>
      <c r="Q10" s="677">
        <f t="shared" si="3"/>
        <v>0</v>
      </c>
      <c r="R10" s="678">
        <f t="shared" si="4"/>
        <v>0</v>
      </c>
      <c r="S10" s="676">
        <f t="shared" si="5"/>
        <v>0</v>
      </c>
      <c r="T10" s="677">
        <f t="shared" si="5"/>
        <v>0</v>
      </c>
      <c r="U10" s="677">
        <f t="shared" si="5"/>
        <v>0</v>
      </c>
      <c r="V10" s="677">
        <f t="shared" si="5"/>
        <v>0</v>
      </c>
      <c r="W10" s="678">
        <f t="shared" si="6"/>
        <v>0</v>
      </c>
    </row>
    <row r="11" spans="1:23" ht="14.45" customHeight="1">
      <c r="A11" s="673">
        <v>9</v>
      </c>
      <c r="B11" s="673" t="s">
        <v>1167</v>
      </c>
      <c r="C11" s="674" t="s">
        <v>1174</v>
      </c>
      <c r="D11" s="674">
        <v>0.16</v>
      </c>
      <c r="E11" s="674" t="s">
        <v>1169</v>
      </c>
      <c r="F11" s="674" t="s">
        <v>1170</v>
      </c>
      <c r="G11" s="675">
        <v>2014</v>
      </c>
      <c r="H11" s="674">
        <v>2015</v>
      </c>
      <c r="I11" s="676">
        <v>0</v>
      </c>
      <c r="J11" s="677">
        <v>0</v>
      </c>
      <c r="K11" s="677">
        <v>0</v>
      </c>
      <c r="L11" s="677">
        <v>0</v>
      </c>
      <c r="M11" s="678">
        <v>0</v>
      </c>
      <c r="N11" s="676">
        <f t="shared" si="0"/>
        <v>0</v>
      </c>
      <c r="O11" s="677">
        <f t="shared" si="1"/>
        <v>0</v>
      </c>
      <c r="P11" s="677">
        <f t="shared" si="2"/>
        <v>0</v>
      </c>
      <c r="Q11" s="677">
        <f t="shared" si="3"/>
        <v>0</v>
      </c>
      <c r="R11" s="678">
        <f t="shared" si="4"/>
        <v>0</v>
      </c>
      <c r="S11" s="676">
        <f t="shared" si="5"/>
        <v>0</v>
      </c>
      <c r="T11" s="677">
        <f t="shared" si="5"/>
        <v>0</v>
      </c>
      <c r="U11" s="677">
        <f t="shared" si="5"/>
        <v>0</v>
      </c>
      <c r="V11" s="677">
        <f t="shared" si="5"/>
        <v>0</v>
      </c>
      <c r="W11" s="678">
        <f t="shared" si="6"/>
        <v>0</v>
      </c>
    </row>
    <row r="12" spans="1:23">
      <c r="A12" s="673">
        <v>10</v>
      </c>
      <c r="B12" s="673" t="s">
        <v>1175</v>
      </c>
      <c r="C12" s="674" t="s">
        <v>1176</v>
      </c>
      <c r="D12" s="674">
        <v>2</v>
      </c>
      <c r="E12" s="674" t="s">
        <v>1177</v>
      </c>
      <c r="F12" s="674" t="s">
        <v>1178</v>
      </c>
      <c r="G12" s="675">
        <v>2015</v>
      </c>
      <c r="H12" s="674">
        <v>2015</v>
      </c>
      <c r="I12" s="676">
        <v>0</v>
      </c>
      <c r="J12" s="677">
        <f>D12*$H$125</f>
        <v>2439.0061841890542</v>
      </c>
      <c r="K12" s="677">
        <f>$A$135*D12</f>
        <v>1.6</v>
      </c>
      <c r="L12" s="677">
        <v>0</v>
      </c>
      <c r="M12" s="678">
        <v>2442.2061841890541</v>
      </c>
      <c r="N12" s="676">
        <f t="shared" si="0"/>
        <v>0</v>
      </c>
      <c r="O12" s="677">
        <f t="shared" si="1"/>
        <v>1155.3572294503549</v>
      </c>
      <c r="P12" s="677">
        <f t="shared" si="2"/>
        <v>1.056</v>
      </c>
      <c r="Q12" s="677">
        <f t="shared" si="3"/>
        <v>0</v>
      </c>
      <c r="R12" s="678">
        <f t="shared" si="4"/>
        <v>1156.4132294503549</v>
      </c>
      <c r="S12" s="676">
        <f t="shared" si="5"/>
        <v>0</v>
      </c>
      <c r="T12" s="677">
        <f>J12-O12</f>
        <v>1283.6489547386993</v>
      </c>
      <c r="U12" s="677">
        <f t="shared" si="5"/>
        <v>0.54400000000000004</v>
      </c>
      <c r="V12" s="677">
        <f t="shared" si="5"/>
        <v>0</v>
      </c>
      <c r="W12" s="678">
        <f t="shared" si="6"/>
        <v>1284.1929547386994</v>
      </c>
    </row>
    <row r="13" spans="1:23">
      <c r="A13" s="673">
        <v>11</v>
      </c>
      <c r="B13" s="673" t="s">
        <v>206</v>
      </c>
      <c r="C13" s="674" t="s">
        <v>67</v>
      </c>
      <c r="D13" s="674">
        <v>1.84</v>
      </c>
      <c r="E13" s="674" t="s">
        <v>1179</v>
      </c>
      <c r="F13" s="674" t="s">
        <v>1162</v>
      </c>
      <c r="G13" s="675">
        <v>2012</v>
      </c>
      <c r="H13" s="674">
        <v>2016</v>
      </c>
      <c r="I13" s="676">
        <v>0</v>
      </c>
      <c r="J13" s="677">
        <v>0</v>
      </c>
      <c r="K13" s="677">
        <v>0</v>
      </c>
      <c r="L13" s="677">
        <v>0</v>
      </c>
      <c r="M13" s="678">
        <v>0</v>
      </c>
      <c r="N13" s="676">
        <f t="shared" si="0"/>
        <v>0</v>
      </c>
      <c r="O13" s="677">
        <f t="shared" si="1"/>
        <v>0</v>
      </c>
      <c r="P13" s="677">
        <f t="shared" si="2"/>
        <v>0</v>
      </c>
      <c r="Q13" s="677">
        <f t="shared" si="3"/>
        <v>0</v>
      </c>
      <c r="R13" s="678">
        <f t="shared" si="4"/>
        <v>0</v>
      </c>
      <c r="S13" s="676">
        <f t="shared" si="5"/>
        <v>0</v>
      </c>
      <c r="T13" s="677">
        <f t="shared" si="5"/>
        <v>0</v>
      </c>
      <c r="U13" s="677">
        <f t="shared" si="5"/>
        <v>0</v>
      </c>
      <c r="V13" s="677">
        <f t="shared" si="5"/>
        <v>0</v>
      </c>
      <c r="W13" s="678">
        <f t="shared" si="6"/>
        <v>0</v>
      </c>
    </row>
    <row r="14" spans="1:23">
      <c r="A14" s="673">
        <v>12</v>
      </c>
      <c r="B14" s="673" t="s">
        <v>182</v>
      </c>
      <c r="C14" s="674" t="s">
        <v>68</v>
      </c>
      <c r="D14" s="674">
        <v>3</v>
      </c>
      <c r="E14" s="674" t="s">
        <v>1180</v>
      </c>
      <c r="F14" s="674" t="s">
        <v>1162</v>
      </c>
      <c r="G14" s="675">
        <v>2012</v>
      </c>
      <c r="H14" s="674">
        <v>2016</v>
      </c>
      <c r="I14" s="676">
        <v>0</v>
      </c>
      <c r="J14" s="677">
        <v>0</v>
      </c>
      <c r="K14" s="677">
        <v>0</v>
      </c>
      <c r="L14" s="677">
        <v>0</v>
      </c>
      <c r="M14" s="678">
        <v>0</v>
      </c>
      <c r="N14" s="676">
        <f t="shared" si="0"/>
        <v>0</v>
      </c>
      <c r="O14" s="677">
        <f t="shared" si="1"/>
        <v>0</v>
      </c>
      <c r="P14" s="677">
        <f t="shared" si="2"/>
        <v>0</v>
      </c>
      <c r="Q14" s="677">
        <f t="shared" si="3"/>
        <v>0</v>
      </c>
      <c r="R14" s="678">
        <f t="shared" si="4"/>
        <v>0</v>
      </c>
      <c r="S14" s="676">
        <f t="shared" si="5"/>
        <v>0</v>
      </c>
      <c r="T14" s="677">
        <f t="shared" si="5"/>
        <v>0</v>
      </c>
      <c r="U14" s="677">
        <f t="shared" si="5"/>
        <v>0</v>
      </c>
      <c r="V14" s="677">
        <f t="shared" si="5"/>
        <v>0</v>
      </c>
      <c r="W14" s="678">
        <f t="shared" si="6"/>
        <v>0</v>
      </c>
    </row>
    <row r="15" spans="1:23">
      <c r="A15" s="673">
        <v>13</v>
      </c>
      <c r="B15" s="673" t="s">
        <v>1181</v>
      </c>
      <c r="C15" s="674" t="s">
        <v>69</v>
      </c>
      <c r="D15" s="674">
        <v>0.83</v>
      </c>
      <c r="E15" s="674" t="s">
        <v>1182</v>
      </c>
      <c r="F15" s="674" t="s">
        <v>1162</v>
      </c>
      <c r="G15" s="675">
        <v>2013</v>
      </c>
      <c r="H15" s="674">
        <v>2016</v>
      </c>
      <c r="I15" s="676">
        <v>0</v>
      </c>
      <c r="J15" s="677">
        <v>0</v>
      </c>
      <c r="K15" s="677">
        <v>0</v>
      </c>
      <c r="L15" s="677">
        <v>0</v>
      </c>
      <c r="M15" s="678">
        <v>0</v>
      </c>
      <c r="N15" s="676">
        <f t="shared" si="0"/>
        <v>0</v>
      </c>
      <c r="O15" s="677">
        <f t="shared" si="1"/>
        <v>0</v>
      </c>
      <c r="P15" s="677">
        <f t="shared" si="2"/>
        <v>0</v>
      </c>
      <c r="Q15" s="677">
        <f t="shared" si="3"/>
        <v>0</v>
      </c>
      <c r="R15" s="678">
        <f t="shared" si="4"/>
        <v>0</v>
      </c>
      <c r="S15" s="676">
        <f t="shared" si="5"/>
        <v>0</v>
      </c>
      <c r="T15" s="677">
        <f t="shared" si="5"/>
        <v>0</v>
      </c>
      <c r="U15" s="677">
        <f t="shared" si="5"/>
        <v>0</v>
      </c>
      <c r="V15" s="677">
        <f t="shared" si="5"/>
        <v>0</v>
      </c>
      <c r="W15" s="678">
        <f t="shared" si="6"/>
        <v>0</v>
      </c>
    </row>
    <row r="16" spans="1:23" ht="12" customHeight="1">
      <c r="A16" s="673">
        <v>14</v>
      </c>
      <c r="B16" s="673" t="s">
        <v>1181</v>
      </c>
      <c r="C16" s="674" t="s">
        <v>70</v>
      </c>
      <c r="D16" s="674">
        <v>2.3199999999999998</v>
      </c>
      <c r="E16" s="674" t="s">
        <v>1183</v>
      </c>
      <c r="F16" s="674" t="s">
        <v>1162</v>
      </c>
      <c r="G16" s="675">
        <v>2013</v>
      </c>
      <c r="H16" s="674">
        <v>2016</v>
      </c>
      <c r="I16" s="676">
        <v>0</v>
      </c>
      <c r="J16" s="677">
        <v>0</v>
      </c>
      <c r="K16" s="677">
        <v>0</v>
      </c>
      <c r="L16" s="677">
        <v>0</v>
      </c>
      <c r="M16" s="678">
        <v>0</v>
      </c>
      <c r="N16" s="676">
        <f t="shared" si="0"/>
        <v>0</v>
      </c>
      <c r="O16" s="677">
        <f t="shared" si="1"/>
        <v>0</v>
      </c>
      <c r="P16" s="677">
        <f t="shared" si="2"/>
        <v>0</v>
      </c>
      <c r="Q16" s="677">
        <f t="shared" si="3"/>
        <v>0</v>
      </c>
      <c r="R16" s="678">
        <f t="shared" si="4"/>
        <v>0</v>
      </c>
      <c r="S16" s="676">
        <f t="shared" si="5"/>
        <v>0</v>
      </c>
      <c r="T16" s="677">
        <f t="shared" si="5"/>
        <v>0</v>
      </c>
      <c r="U16" s="677">
        <f t="shared" si="5"/>
        <v>0</v>
      </c>
      <c r="V16" s="677">
        <f t="shared" si="5"/>
        <v>0</v>
      </c>
      <c r="W16" s="678">
        <f t="shared" si="6"/>
        <v>0</v>
      </c>
    </row>
    <row r="17" spans="1:23">
      <c r="A17" s="673">
        <v>15</v>
      </c>
      <c r="B17" s="673" t="s">
        <v>1167</v>
      </c>
      <c r="C17" s="674" t="s">
        <v>1184</v>
      </c>
      <c r="D17" s="674">
        <v>3.43</v>
      </c>
      <c r="E17" s="674" t="s">
        <v>1185</v>
      </c>
      <c r="F17" s="674" t="s">
        <v>1186</v>
      </c>
      <c r="G17" s="675">
        <v>2013</v>
      </c>
      <c r="H17" s="674">
        <v>2015</v>
      </c>
      <c r="I17" s="676">
        <f>D17*$J$105</f>
        <v>13.199646918877651</v>
      </c>
      <c r="J17" s="677">
        <v>0</v>
      </c>
      <c r="K17" s="677">
        <v>0</v>
      </c>
      <c r="L17" s="677">
        <v>0</v>
      </c>
      <c r="M17" s="678">
        <v>13.199646918877653</v>
      </c>
      <c r="N17" s="676">
        <f t="shared" si="0"/>
        <v>8.7117669664592494</v>
      </c>
      <c r="O17" s="677">
        <f t="shared" si="1"/>
        <v>0</v>
      </c>
      <c r="P17" s="677">
        <f t="shared" si="2"/>
        <v>0</v>
      </c>
      <c r="Q17" s="677">
        <f t="shared" si="3"/>
        <v>0</v>
      </c>
      <c r="R17" s="678">
        <f t="shared" si="4"/>
        <v>8.7117669664592494</v>
      </c>
      <c r="S17" s="676">
        <f t="shared" si="5"/>
        <v>4.4878799524184014</v>
      </c>
      <c r="T17" s="677">
        <f t="shared" si="5"/>
        <v>0</v>
      </c>
      <c r="U17" s="677">
        <f t="shared" si="5"/>
        <v>0</v>
      </c>
      <c r="V17" s="677">
        <f t="shared" si="5"/>
        <v>0</v>
      </c>
      <c r="W17" s="678">
        <f t="shared" si="6"/>
        <v>4.4878799524184014</v>
      </c>
    </row>
    <row r="18" spans="1:23">
      <c r="A18" s="673">
        <v>16</v>
      </c>
      <c r="B18" s="673" t="s">
        <v>1167</v>
      </c>
      <c r="C18" s="674" t="s">
        <v>72</v>
      </c>
      <c r="D18" s="674">
        <v>2.2400000000000002</v>
      </c>
      <c r="E18" s="674" t="s">
        <v>1185</v>
      </c>
      <c r="F18" s="674" t="s">
        <v>1186</v>
      </c>
      <c r="G18" s="675">
        <v>2012</v>
      </c>
      <c r="H18" s="674">
        <v>2015</v>
      </c>
      <c r="I18" s="676">
        <f>D18*$J$105</f>
        <v>8.620177579675202</v>
      </c>
      <c r="J18" s="677">
        <v>0</v>
      </c>
      <c r="K18" s="677">
        <v>0</v>
      </c>
      <c r="L18" s="677">
        <v>0</v>
      </c>
      <c r="M18" s="678">
        <v>8.620177579675202</v>
      </c>
      <c r="N18" s="676">
        <f t="shared" si="0"/>
        <v>5.6893172025856336</v>
      </c>
      <c r="O18" s="677">
        <f t="shared" si="1"/>
        <v>0</v>
      </c>
      <c r="P18" s="677">
        <f t="shared" si="2"/>
        <v>0</v>
      </c>
      <c r="Q18" s="677">
        <f t="shared" si="3"/>
        <v>0</v>
      </c>
      <c r="R18" s="678">
        <f t="shared" si="4"/>
        <v>5.6893172025856336</v>
      </c>
      <c r="S18" s="676">
        <f t="shared" si="5"/>
        <v>2.9308603770895685</v>
      </c>
      <c r="T18" s="677">
        <f t="shared" si="5"/>
        <v>0</v>
      </c>
      <c r="U18" s="677">
        <f t="shared" si="5"/>
        <v>0</v>
      </c>
      <c r="V18" s="677">
        <f t="shared" si="5"/>
        <v>0</v>
      </c>
      <c r="W18" s="678">
        <f t="shared" si="6"/>
        <v>2.9308603770895685</v>
      </c>
    </row>
    <row r="19" spans="1:23">
      <c r="A19" s="673">
        <v>17</v>
      </c>
      <c r="B19" s="673" t="s">
        <v>1167</v>
      </c>
      <c r="C19" s="674" t="s">
        <v>73</v>
      </c>
      <c r="D19" s="674">
        <v>2.12</v>
      </c>
      <c r="E19" s="674" t="s">
        <v>1187</v>
      </c>
      <c r="F19" s="674" t="s">
        <v>1188</v>
      </c>
      <c r="G19" s="675">
        <v>2013</v>
      </c>
      <c r="H19" s="674">
        <v>2013</v>
      </c>
      <c r="I19" s="676">
        <f>D19*$J$104</f>
        <v>295.97547148337549</v>
      </c>
      <c r="J19" s="677">
        <v>0</v>
      </c>
      <c r="K19" s="677">
        <v>0</v>
      </c>
      <c r="L19" s="677">
        <v>0</v>
      </c>
      <c r="M19" s="678">
        <v>295.97547148337549</v>
      </c>
      <c r="N19" s="676">
        <f t="shared" si="0"/>
        <v>195.34381117902782</v>
      </c>
      <c r="O19" s="677">
        <f t="shared" si="1"/>
        <v>0</v>
      </c>
      <c r="P19" s="677">
        <f t="shared" si="2"/>
        <v>0</v>
      </c>
      <c r="Q19" s="677">
        <f t="shared" si="3"/>
        <v>0</v>
      </c>
      <c r="R19" s="678">
        <f t="shared" si="4"/>
        <v>195.34381117902782</v>
      </c>
      <c r="S19" s="676">
        <f t="shared" si="5"/>
        <v>100.63166030434766</v>
      </c>
      <c r="T19" s="677">
        <f t="shared" si="5"/>
        <v>0</v>
      </c>
      <c r="U19" s="677">
        <f t="shared" si="5"/>
        <v>0</v>
      </c>
      <c r="V19" s="677">
        <f t="shared" si="5"/>
        <v>0</v>
      </c>
      <c r="W19" s="678">
        <f t="shared" si="6"/>
        <v>100.63166030434766</v>
      </c>
    </row>
    <row r="20" spans="1:23">
      <c r="A20" s="673">
        <v>18</v>
      </c>
      <c r="B20" s="673" t="s">
        <v>1167</v>
      </c>
      <c r="C20" s="674" t="s">
        <v>1189</v>
      </c>
      <c r="D20" s="674">
        <v>3.09</v>
      </c>
      <c r="E20" s="674" t="s">
        <v>1190</v>
      </c>
      <c r="F20" s="674" t="s">
        <v>1191</v>
      </c>
      <c r="G20" s="675">
        <v>2012</v>
      </c>
      <c r="H20" s="674">
        <v>2014</v>
      </c>
      <c r="I20" s="676">
        <f>D20*$J$112</f>
        <v>112.45141287662346</v>
      </c>
      <c r="J20" s="677">
        <v>0</v>
      </c>
      <c r="K20" s="677">
        <v>0</v>
      </c>
      <c r="L20" s="677">
        <v>0</v>
      </c>
      <c r="M20" s="678">
        <v>112.45141287662346</v>
      </c>
      <c r="N20" s="676">
        <f t="shared" si="0"/>
        <v>74.217932498571486</v>
      </c>
      <c r="O20" s="677">
        <f t="shared" si="1"/>
        <v>0</v>
      </c>
      <c r="P20" s="677">
        <f t="shared" si="2"/>
        <v>0</v>
      </c>
      <c r="Q20" s="677">
        <f t="shared" si="3"/>
        <v>0</v>
      </c>
      <c r="R20" s="678">
        <f t="shared" si="4"/>
        <v>74.217932498571486</v>
      </c>
      <c r="S20" s="676">
        <f t="shared" si="5"/>
        <v>38.233480378051979</v>
      </c>
      <c r="T20" s="677">
        <f t="shared" si="5"/>
        <v>0</v>
      </c>
      <c r="U20" s="677">
        <f t="shared" si="5"/>
        <v>0</v>
      </c>
      <c r="V20" s="677">
        <f t="shared" si="5"/>
        <v>0</v>
      </c>
      <c r="W20" s="678">
        <f t="shared" si="6"/>
        <v>38.233480378051979</v>
      </c>
    </row>
    <row r="21" spans="1:23">
      <c r="A21" s="673">
        <v>19</v>
      </c>
      <c r="B21" s="673" t="s">
        <v>1192</v>
      </c>
      <c r="C21" s="674" t="s">
        <v>75</v>
      </c>
      <c r="D21" s="674">
        <v>5.61</v>
      </c>
      <c r="E21" s="674" t="s">
        <v>1193</v>
      </c>
      <c r="F21" s="674" t="s">
        <v>1194</v>
      </c>
      <c r="G21" s="675">
        <v>2012</v>
      </c>
      <c r="H21" s="674">
        <v>2015</v>
      </c>
      <c r="I21" s="676">
        <v>0</v>
      </c>
      <c r="J21" s="677">
        <v>0</v>
      </c>
      <c r="K21" s="677">
        <v>0</v>
      </c>
      <c r="L21" s="677">
        <v>0</v>
      </c>
      <c r="M21" s="678">
        <v>0</v>
      </c>
      <c r="N21" s="676">
        <f t="shared" si="0"/>
        <v>0</v>
      </c>
      <c r="O21" s="677">
        <f t="shared" si="1"/>
        <v>0</v>
      </c>
      <c r="P21" s="677">
        <f t="shared" si="2"/>
        <v>0</v>
      </c>
      <c r="Q21" s="677">
        <f t="shared" si="3"/>
        <v>0</v>
      </c>
      <c r="R21" s="678">
        <f t="shared" si="4"/>
        <v>0</v>
      </c>
      <c r="S21" s="676">
        <f t="shared" si="5"/>
        <v>0</v>
      </c>
      <c r="T21" s="677">
        <f t="shared" si="5"/>
        <v>0</v>
      </c>
      <c r="U21" s="677">
        <f t="shared" si="5"/>
        <v>0</v>
      </c>
      <c r="V21" s="677">
        <f t="shared" si="5"/>
        <v>0</v>
      </c>
      <c r="W21" s="678">
        <f t="shared" si="6"/>
        <v>0</v>
      </c>
    </row>
    <row r="22" spans="1:23">
      <c r="A22" s="673">
        <v>20</v>
      </c>
      <c r="B22" s="673" t="s">
        <v>1167</v>
      </c>
      <c r="C22" s="674" t="s">
        <v>76</v>
      </c>
      <c r="D22" s="674">
        <v>1.18</v>
      </c>
      <c r="E22" s="674" t="s">
        <v>1195</v>
      </c>
      <c r="F22" s="674" t="s">
        <v>1196</v>
      </c>
      <c r="G22" s="675">
        <v>2013</v>
      </c>
      <c r="H22" s="674">
        <v>2015</v>
      </c>
      <c r="I22" s="676">
        <f>D22*$J$101</f>
        <v>26.873611084435503</v>
      </c>
      <c r="J22" s="677">
        <v>0</v>
      </c>
      <c r="K22" s="677">
        <f>$A$135*D22</f>
        <v>0.94399999999999995</v>
      </c>
      <c r="L22" s="677">
        <f>$A$131*D22</f>
        <v>15.575999999999999</v>
      </c>
      <c r="M22" s="678">
        <v>44.337611084435508</v>
      </c>
      <c r="N22" s="676">
        <f t="shared" si="0"/>
        <v>17.736583315727433</v>
      </c>
      <c r="O22" s="677">
        <f t="shared" si="1"/>
        <v>0</v>
      </c>
      <c r="P22" s="677">
        <f t="shared" si="2"/>
        <v>0.62304000000000004</v>
      </c>
      <c r="Q22" s="677">
        <f t="shared" si="3"/>
        <v>10.435919999999999</v>
      </c>
      <c r="R22" s="678">
        <f t="shared" si="4"/>
        <v>28.795543315727432</v>
      </c>
      <c r="S22" s="676">
        <f t="shared" si="5"/>
        <v>9.1370277687080694</v>
      </c>
      <c r="T22" s="677">
        <f t="shared" si="5"/>
        <v>0</v>
      </c>
      <c r="U22" s="677">
        <f t="shared" si="5"/>
        <v>0.32095999999999991</v>
      </c>
      <c r="V22" s="677">
        <f t="shared" si="5"/>
        <v>5.1400799999999993</v>
      </c>
      <c r="W22" s="678">
        <f t="shared" si="6"/>
        <v>14.598067768708068</v>
      </c>
    </row>
    <row r="23" spans="1:23">
      <c r="A23" s="673">
        <v>21</v>
      </c>
      <c r="B23" s="673" t="s">
        <v>1167</v>
      </c>
      <c r="C23" s="674" t="s">
        <v>1197</v>
      </c>
      <c r="D23" s="674">
        <v>1.63</v>
      </c>
      <c r="E23" s="674" t="s">
        <v>1195</v>
      </c>
      <c r="F23" s="674" t="s">
        <v>1196</v>
      </c>
      <c r="G23" s="675">
        <v>2011</v>
      </c>
      <c r="H23" s="674">
        <v>2013</v>
      </c>
      <c r="I23" s="676">
        <f>D23*$J$101</f>
        <v>37.122022091211754</v>
      </c>
      <c r="J23" s="677">
        <v>0</v>
      </c>
      <c r="K23" s="677">
        <f>$A$135*D23</f>
        <v>1.304</v>
      </c>
      <c r="L23" s="677">
        <f>$A$131*D23</f>
        <v>21.515999999999998</v>
      </c>
      <c r="M23" s="678">
        <v>61.246022091211749</v>
      </c>
      <c r="N23" s="676">
        <f t="shared" si="0"/>
        <v>24.500534580199758</v>
      </c>
      <c r="O23" s="677">
        <f t="shared" si="1"/>
        <v>0</v>
      </c>
      <c r="P23" s="677">
        <f t="shared" si="2"/>
        <v>0.86064000000000007</v>
      </c>
      <c r="Q23" s="677">
        <f t="shared" si="3"/>
        <v>14.41572</v>
      </c>
      <c r="R23" s="678">
        <f t="shared" si="4"/>
        <v>39.776894580199759</v>
      </c>
      <c r="S23" s="676">
        <f t="shared" si="5"/>
        <v>12.621487511011996</v>
      </c>
      <c r="T23" s="677">
        <f t="shared" si="5"/>
        <v>0</v>
      </c>
      <c r="U23" s="677">
        <f t="shared" si="5"/>
        <v>0.44335999999999998</v>
      </c>
      <c r="V23" s="677">
        <f t="shared" si="5"/>
        <v>7.1002799999999979</v>
      </c>
      <c r="W23" s="678">
        <f t="shared" si="6"/>
        <v>20.165127511011995</v>
      </c>
    </row>
    <row r="24" spans="1:23">
      <c r="A24" s="673">
        <v>22</v>
      </c>
      <c r="B24" s="673" t="s">
        <v>1175</v>
      </c>
      <c r="C24" s="674" t="s">
        <v>78</v>
      </c>
      <c r="D24" s="674">
        <v>2.36</v>
      </c>
      <c r="E24" s="674" t="s">
        <v>1177</v>
      </c>
      <c r="F24" s="674" t="s">
        <v>1178</v>
      </c>
      <c r="G24" s="675">
        <v>2013</v>
      </c>
      <c r="H24" s="674">
        <v>2015</v>
      </c>
      <c r="I24" s="676">
        <v>0</v>
      </c>
      <c r="J24" s="677">
        <f>D24*$H$125</f>
        <v>2878.0272973430838</v>
      </c>
      <c r="K24" s="677">
        <f>$A$135*D24</f>
        <v>1.8879999999999999</v>
      </c>
      <c r="L24" s="677">
        <v>0</v>
      </c>
      <c r="M24" s="678">
        <v>2881.8032973430841</v>
      </c>
      <c r="N24" s="676">
        <f t="shared" si="0"/>
        <v>0</v>
      </c>
      <c r="O24" s="677">
        <f t="shared" si="1"/>
        <v>1363.3215307514188</v>
      </c>
      <c r="P24" s="677">
        <f t="shared" si="2"/>
        <v>1.2460800000000001</v>
      </c>
      <c r="Q24" s="677">
        <f t="shared" si="3"/>
        <v>0</v>
      </c>
      <c r="R24" s="678">
        <f t="shared" si="4"/>
        <v>1364.5676107514187</v>
      </c>
      <c r="S24" s="676">
        <f t="shared" si="5"/>
        <v>0</v>
      </c>
      <c r="T24" s="677">
        <f t="shared" si="5"/>
        <v>1514.705766591665</v>
      </c>
      <c r="U24" s="677">
        <f t="shared" si="5"/>
        <v>0.64191999999999982</v>
      </c>
      <c r="V24" s="677">
        <f t="shared" si="5"/>
        <v>0</v>
      </c>
      <c r="W24" s="678">
        <f t="shared" si="6"/>
        <v>1515.347686591665</v>
      </c>
    </row>
    <row r="25" spans="1:23">
      <c r="A25" s="673">
        <v>23</v>
      </c>
      <c r="B25" s="673" t="s">
        <v>1167</v>
      </c>
      <c r="C25" s="674" t="s">
        <v>1198</v>
      </c>
      <c r="D25" s="674">
        <v>1.1200000000000001</v>
      </c>
      <c r="E25" s="674" t="s">
        <v>1199</v>
      </c>
      <c r="F25" s="674" t="s">
        <v>1200</v>
      </c>
      <c r="G25" s="675">
        <v>2013</v>
      </c>
      <c r="H25" s="674">
        <v>2014</v>
      </c>
      <c r="I25" s="676">
        <v>0</v>
      </c>
      <c r="J25" s="677">
        <v>0</v>
      </c>
      <c r="K25" s="677">
        <v>0</v>
      </c>
      <c r="L25" s="677">
        <v>0</v>
      </c>
      <c r="M25" s="678">
        <v>0</v>
      </c>
      <c r="N25" s="676">
        <f t="shared" si="0"/>
        <v>0</v>
      </c>
      <c r="O25" s="677">
        <f t="shared" si="1"/>
        <v>0</v>
      </c>
      <c r="P25" s="677">
        <f t="shared" si="2"/>
        <v>0</v>
      </c>
      <c r="Q25" s="677">
        <f t="shared" si="3"/>
        <v>0</v>
      </c>
      <c r="R25" s="678">
        <f t="shared" si="4"/>
        <v>0</v>
      </c>
      <c r="S25" s="676">
        <f t="shared" si="5"/>
        <v>0</v>
      </c>
      <c r="T25" s="677">
        <f t="shared" si="5"/>
        <v>0</v>
      </c>
      <c r="U25" s="677">
        <f t="shared" si="5"/>
        <v>0</v>
      </c>
      <c r="V25" s="677">
        <f t="shared" si="5"/>
        <v>0</v>
      </c>
      <c r="W25" s="678">
        <f t="shared" si="6"/>
        <v>0</v>
      </c>
    </row>
    <row r="26" spans="1:23" ht="12.75" customHeight="1">
      <c r="A26" s="673">
        <v>24</v>
      </c>
      <c r="B26" s="673" t="s">
        <v>1167</v>
      </c>
      <c r="C26" s="674" t="s">
        <v>1201</v>
      </c>
      <c r="D26" s="674">
        <v>2</v>
      </c>
      <c r="E26" s="674" t="s">
        <v>1190</v>
      </c>
      <c r="F26" s="674" t="s">
        <v>1202</v>
      </c>
      <c r="G26" s="675">
        <v>2012</v>
      </c>
      <c r="H26" s="674">
        <v>2014</v>
      </c>
      <c r="I26" s="676">
        <f t="shared" ref="I26:I27" si="7">D26*$J$112</f>
        <v>72.784086004287033</v>
      </c>
      <c r="J26" s="677">
        <v>0</v>
      </c>
      <c r="K26" s="677">
        <v>0</v>
      </c>
      <c r="L26" s="677">
        <v>0</v>
      </c>
      <c r="M26" s="678">
        <v>72.784086004287033</v>
      </c>
      <c r="N26" s="676">
        <f t="shared" si="0"/>
        <v>48.037496762829441</v>
      </c>
      <c r="O26" s="677">
        <f t="shared" si="1"/>
        <v>0</v>
      </c>
      <c r="P26" s="677">
        <f t="shared" si="2"/>
        <v>0</v>
      </c>
      <c r="Q26" s="677">
        <f t="shared" si="3"/>
        <v>0</v>
      </c>
      <c r="R26" s="678">
        <f t="shared" si="4"/>
        <v>48.037496762829441</v>
      </c>
      <c r="S26" s="676">
        <f t="shared" si="5"/>
        <v>24.746589241457592</v>
      </c>
      <c r="T26" s="677">
        <f t="shared" si="5"/>
        <v>0</v>
      </c>
      <c r="U26" s="677">
        <f t="shared" si="5"/>
        <v>0</v>
      </c>
      <c r="V26" s="677">
        <f t="shared" si="5"/>
        <v>0</v>
      </c>
      <c r="W26" s="678">
        <f t="shared" si="6"/>
        <v>24.746589241457592</v>
      </c>
    </row>
    <row r="27" spans="1:23">
      <c r="A27" s="673">
        <v>25</v>
      </c>
      <c r="B27" s="673" t="s">
        <v>1167</v>
      </c>
      <c r="C27" s="674" t="s">
        <v>1201</v>
      </c>
      <c r="D27" s="674">
        <v>0.97</v>
      </c>
      <c r="E27" s="674" t="s">
        <v>1190</v>
      </c>
      <c r="F27" s="674" t="s">
        <v>1202</v>
      </c>
      <c r="G27" s="675">
        <v>2011</v>
      </c>
      <c r="H27" s="674">
        <v>2014</v>
      </c>
      <c r="I27" s="676">
        <f t="shared" si="7"/>
        <v>35.300281712079212</v>
      </c>
      <c r="J27" s="677">
        <v>0</v>
      </c>
      <c r="K27" s="677">
        <v>0</v>
      </c>
      <c r="L27" s="677">
        <v>0</v>
      </c>
      <c r="M27" s="678">
        <v>35.300281712079212</v>
      </c>
      <c r="N27" s="676">
        <f t="shared" si="0"/>
        <v>23.298185929972281</v>
      </c>
      <c r="O27" s="677">
        <f t="shared" si="1"/>
        <v>0</v>
      </c>
      <c r="P27" s="677">
        <f t="shared" si="2"/>
        <v>0</v>
      </c>
      <c r="Q27" s="677">
        <f t="shared" si="3"/>
        <v>0</v>
      </c>
      <c r="R27" s="678">
        <f t="shared" si="4"/>
        <v>23.298185929972281</v>
      </c>
      <c r="S27" s="676">
        <f t="shared" si="5"/>
        <v>12.002095782106931</v>
      </c>
      <c r="T27" s="677">
        <f t="shared" si="5"/>
        <v>0</v>
      </c>
      <c r="U27" s="677">
        <f t="shared" si="5"/>
        <v>0</v>
      </c>
      <c r="V27" s="677">
        <f t="shared" si="5"/>
        <v>0</v>
      </c>
      <c r="W27" s="678">
        <f t="shared" si="6"/>
        <v>12.002095782106931</v>
      </c>
    </row>
    <row r="28" spans="1:23">
      <c r="A28" s="673">
        <v>26</v>
      </c>
      <c r="B28" s="673" t="s">
        <v>1192</v>
      </c>
      <c r="C28" s="674" t="s">
        <v>1203</v>
      </c>
      <c r="D28" s="674">
        <v>0.2</v>
      </c>
      <c r="E28" s="674" t="s">
        <v>1204</v>
      </c>
      <c r="F28" s="674" t="s">
        <v>1186</v>
      </c>
      <c r="G28" s="675">
        <v>2012</v>
      </c>
      <c r="H28" s="674">
        <v>2012</v>
      </c>
      <c r="I28" s="676">
        <f>D28*$J$106</f>
        <v>1.0746130233484801</v>
      </c>
      <c r="J28" s="677">
        <v>0</v>
      </c>
      <c r="K28" s="677">
        <f>$A$135*D28</f>
        <v>0.16000000000000003</v>
      </c>
      <c r="L28" s="677">
        <v>0</v>
      </c>
      <c r="M28" s="678">
        <v>1.3946130233484801</v>
      </c>
      <c r="N28" s="676">
        <f t="shared" si="0"/>
        <v>0.70924459540999685</v>
      </c>
      <c r="O28" s="677">
        <f t="shared" si="1"/>
        <v>0</v>
      </c>
      <c r="P28" s="677">
        <f t="shared" si="2"/>
        <v>0.10560000000000003</v>
      </c>
      <c r="Q28" s="677">
        <f t="shared" si="3"/>
        <v>0</v>
      </c>
      <c r="R28" s="678">
        <f t="shared" si="4"/>
        <v>0.81484459540999687</v>
      </c>
      <c r="S28" s="676">
        <f t="shared" si="5"/>
        <v>0.36536842793848323</v>
      </c>
      <c r="T28" s="677">
        <f t="shared" si="5"/>
        <v>0</v>
      </c>
      <c r="U28" s="677">
        <f t="shared" si="5"/>
        <v>5.4400000000000004E-2</v>
      </c>
      <c r="V28" s="677">
        <f t="shared" si="5"/>
        <v>0</v>
      </c>
      <c r="W28" s="678">
        <f t="shared" si="6"/>
        <v>0.41976842793848324</v>
      </c>
    </row>
    <row r="29" spans="1:23">
      <c r="A29" s="673">
        <v>27</v>
      </c>
      <c r="B29" s="673" t="s">
        <v>182</v>
      </c>
      <c r="C29" s="674" t="s">
        <v>1205</v>
      </c>
      <c r="D29" s="674">
        <v>0.2</v>
      </c>
      <c r="E29" s="674" t="s">
        <v>1166</v>
      </c>
      <c r="F29" s="674" t="s">
        <v>1162</v>
      </c>
      <c r="G29" s="675">
        <v>2012</v>
      </c>
      <c r="H29" s="674">
        <v>2013</v>
      </c>
      <c r="I29" s="676">
        <v>0</v>
      </c>
      <c r="J29" s="677">
        <v>0</v>
      </c>
      <c r="K29" s="677">
        <v>0</v>
      </c>
      <c r="L29" s="677">
        <v>0</v>
      </c>
      <c r="M29" s="678">
        <v>0</v>
      </c>
      <c r="N29" s="676">
        <f t="shared" si="0"/>
        <v>0</v>
      </c>
      <c r="O29" s="677">
        <f t="shared" si="1"/>
        <v>0</v>
      </c>
      <c r="P29" s="677">
        <f t="shared" si="2"/>
        <v>0</v>
      </c>
      <c r="Q29" s="677">
        <f t="shared" si="3"/>
        <v>0</v>
      </c>
      <c r="R29" s="678">
        <f t="shared" si="4"/>
        <v>0</v>
      </c>
      <c r="S29" s="676">
        <f t="shared" si="5"/>
        <v>0</v>
      </c>
      <c r="T29" s="677">
        <f t="shared" si="5"/>
        <v>0</v>
      </c>
      <c r="U29" s="677">
        <f t="shared" si="5"/>
        <v>0</v>
      </c>
      <c r="V29" s="677">
        <f t="shared" si="5"/>
        <v>0</v>
      </c>
      <c r="W29" s="678">
        <f t="shared" si="6"/>
        <v>0</v>
      </c>
    </row>
    <row r="30" spans="1:23">
      <c r="A30" s="673">
        <v>28</v>
      </c>
      <c r="B30" s="673" t="s">
        <v>1181</v>
      </c>
      <c r="C30" s="674" t="s">
        <v>1206</v>
      </c>
      <c r="D30" s="674">
        <v>0.2</v>
      </c>
      <c r="E30" s="674" t="s">
        <v>1207</v>
      </c>
      <c r="F30" s="674" t="s">
        <v>1208</v>
      </c>
      <c r="G30" s="675">
        <v>2012</v>
      </c>
      <c r="H30" s="674">
        <v>2013</v>
      </c>
      <c r="I30" s="676">
        <v>0</v>
      </c>
      <c r="J30" s="677">
        <v>0</v>
      </c>
      <c r="K30" s="677">
        <v>0</v>
      </c>
      <c r="L30" s="677">
        <v>0</v>
      </c>
      <c r="M30" s="678">
        <v>0</v>
      </c>
      <c r="N30" s="676">
        <f t="shared" si="0"/>
        <v>0</v>
      </c>
      <c r="O30" s="677">
        <f t="shared" si="1"/>
        <v>0</v>
      </c>
      <c r="P30" s="677">
        <f t="shared" si="2"/>
        <v>0</v>
      </c>
      <c r="Q30" s="677">
        <f t="shared" si="3"/>
        <v>0</v>
      </c>
      <c r="R30" s="678">
        <f t="shared" si="4"/>
        <v>0</v>
      </c>
      <c r="S30" s="676">
        <f t="shared" si="5"/>
        <v>0</v>
      </c>
      <c r="T30" s="677">
        <f t="shared" si="5"/>
        <v>0</v>
      </c>
      <c r="U30" s="677">
        <f t="shared" si="5"/>
        <v>0</v>
      </c>
      <c r="V30" s="677">
        <f t="shared" si="5"/>
        <v>0</v>
      </c>
      <c r="W30" s="678">
        <f t="shared" si="6"/>
        <v>0</v>
      </c>
    </row>
    <row r="31" spans="1:23">
      <c r="A31" s="673">
        <v>29</v>
      </c>
      <c r="B31" s="673" t="s">
        <v>1167</v>
      </c>
      <c r="C31" s="674" t="s">
        <v>1209</v>
      </c>
      <c r="D31" s="674">
        <v>0.2</v>
      </c>
      <c r="E31" s="674" t="s">
        <v>1210</v>
      </c>
      <c r="F31" s="674" t="s">
        <v>1211</v>
      </c>
      <c r="G31" s="675">
        <v>2013</v>
      </c>
      <c r="H31" s="674">
        <v>2013</v>
      </c>
      <c r="I31" s="676">
        <v>0</v>
      </c>
      <c r="J31" s="677">
        <v>0</v>
      </c>
      <c r="K31" s="677">
        <v>0</v>
      </c>
      <c r="L31" s="677">
        <v>0</v>
      </c>
      <c r="M31" s="678">
        <v>0</v>
      </c>
      <c r="N31" s="676">
        <f t="shared" si="0"/>
        <v>0</v>
      </c>
      <c r="O31" s="677">
        <f t="shared" si="1"/>
        <v>0</v>
      </c>
      <c r="P31" s="677">
        <f t="shared" si="2"/>
        <v>0</v>
      </c>
      <c r="Q31" s="677">
        <f t="shared" si="3"/>
        <v>0</v>
      </c>
      <c r="R31" s="678">
        <f t="shared" si="4"/>
        <v>0</v>
      </c>
      <c r="S31" s="676">
        <f t="shared" si="5"/>
        <v>0</v>
      </c>
      <c r="T31" s="677">
        <f t="shared" si="5"/>
        <v>0</v>
      </c>
      <c r="U31" s="677">
        <f t="shared" si="5"/>
        <v>0</v>
      </c>
      <c r="V31" s="677">
        <f t="shared" si="5"/>
        <v>0</v>
      </c>
      <c r="W31" s="678">
        <f t="shared" si="6"/>
        <v>0</v>
      </c>
    </row>
    <row r="32" spans="1:23">
      <c r="A32" s="673">
        <v>30</v>
      </c>
      <c r="B32" s="673" t="s">
        <v>206</v>
      </c>
      <c r="C32" s="674" t="s">
        <v>1212</v>
      </c>
      <c r="D32" s="674">
        <v>1</v>
      </c>
      <c r="E32" s="674" t="s">
        <v>1164</v>
      </c>
      <c r="F32" s="674" t="s">
        <v>1162</v>
      </c>
      <c r="G32" s="675">
        <v>2013</v>
      </c>
      <c r="H32" s="674">
        <v>2016</v>
      </c>
      <c r="I32" s="676">
        <v>0</v>
      </c>
      <c r="J32" s="677">
        <v>0</v>
      </c>
      <c r="K32" s="677">
        <v>0</v>
      </c>
      <c r="L32" s="677">
        <v>0</v>
      </c>
      <c r="M32" s="678">
        <v>0</v>
      </c>
      <c r="N32" s="676">
        <f t="shared" si="0"/>
        <v>0</v>
      </c>
      <c r="O32" s="677">
        <f t="shared" si="1"/>
        <v>0</v>
      </c>
      <c r="P32" s="677">
        <f t="shared" si="2"/>
        <v>0</v>
      </c>
      <c r="Q32" s="677">
        <f t="shared" si="3"/>
        <v>0</v>
      </c>
      <c r="R32" s="678">
        <f t="shared" si="4"/>
        <v>0</v>
      </c>
      <c r="S32" s="676">
        <f t="shared" si="5"/>
        <v>0</v>
      </c>
      <c r="T32" s="677">
        <f t="shared" si="5"/>
        <v>0</v>
      </c>
      <c r="U32" s="677">
        <f t="shared" si="5"/>
        <v>0</v>
      </c>
      <c r="V32" s="677">
        <f t="shared" si="5"/>
        <v>0</v>
      </c>
      <c r="W32" s="678">
        <f t="shared" si="6"/>
        <v>0</v>
      </c>
    </row>
    <row r="33" spans="1:23">
      <c r="A33" s="673">
        <v>31</v>
      </c>
      <c r="B33" s="673" t="s">
        <v>182</v>
      </c>
      <c r="C33" s="674" t="s">
        <v>1213</v>
      </c>
      <c r="D33" s="674">
        <v>1</v>
      </c>
      <c r="E33" s="674" t="s">
        <v>1180</v>
      </c>
      <c r="F33" s="674" t="s">
        <v>1162</v>
      </c>
      <c r="G33" s="675">
        <v>2015</v>
      </c>
      <c r="H33" s="674">
        <v>2016</v>
      </c>
      <c r="I33" s="676">
        <v>0</v>
      </c>
      <c r="J33" s="677">
        <v>0</v>
      </c>
      <c r="K33" s="677">
        <v>0</v>
      </c>
      <c r="L33" s="677">
        <v>0</v>
      </c>
      <c r="M33" s="678">
        <v>0</v>
      </c>
      <c r="N33" s="676">
        <f t="shared" si="0"/>
        <v>0</v>
      </c>
      <c r="O33" s="677">
        <f t="shared" si="1"/>
        <v>0</v>
      </c>
      <c r="P33" s="677">
        <f t="shared" si="2"/>
        <v>0</v>
      </c>
      <c r="Q33" s="677">
        <f t="shared" si="3"/>
        <v>0</v>
      </c>
      <c r="R33" s="678">
        <f t="shared" si="4"/>
        <v>0</v>
      </c>
      <c r="S33" s="676">
        <f t="shared" si="5"/>
        <v>0</v>
      </c>
      <c r="T33" s="677">
        <f t="shared" si="5"/>
        <v>0</v>
      </c>
      <c r="U33" s="677">
        <f t="shared" si="5"/>
        <v>0</v>
      </c>
      <c r="V33" s="677">
        <f t="shared" si="5"/>
        <v>0</v>
      </c>
      <c r="W33" s="678">
        <f t="shared" si="6"/>
        <v>0</v>
      </c>
    </row>
    <row r="34" spans="1:23">
      <c r="A34" s="673">
        <v>32</v>
      </c>
      <c r="B34" s="673" t="s">
        <v>1181</v>
      </c>
      <c r="C34" s="674" t="s">
        <v>1214</v>
      </c>
      <c r="D34" s="674">
        <v>1</v>
      </c>
      <c r="E34" s="674" t="s">
        <v>1182</v>
      </c>
      <c r="F34" s="674" t="s">
        <v>1162</v>
      </c>
      <c r="G34" s="675">
        <v>2012</v>
      </c>
      <c r="H34" s="674">
        <v>2016</v>
      </c>
      <c r="I34" s="676">
        <v>0</v>
      </c>
      <c r="J34" s="677">
        <v>0</v>
      </c>
      <c r="K34" s="677">
        <v>0</v>
      </c>
      <c r="L34" s="677">
        <v>0</v>
      </c>
      <c r="M34" s="678">
        <v>0</v>
      </c>
      <c r="N34" s="676">
        <f t="shared" si="0"/>
        <v>0</v>
      </c>
      <c r="O34" s="677">
        <f t="shared" si="1"/>
        <v>0</v>
      </c>
      <c r="P34" s="677">
        <f t="shared" si="2"/>
        <v>0</v>
      </c>
      <c r="Q34" s="677">
        <f t="shared" si="3"/>
        <v>0</v>
      </c>
      <c r="R34" s="678">
        <f t="shared" si="4"/>
        <v>0</v>
      </c>
      <c r="S34" s="676">
        <f t="shared" si="5"/>
        <v>0</v>
      </c>
      <c r="T34" s="677">
        <f t="shared" si="5"/>
        <v>0</v>
      </c>
      <c r="U34" s="677">
        <f t="shared" si="5"/>
        <v>0</v>
      </c>
      <c r="V34" s="677">
        <f t="shared" si="5"/>
        <v>0</v>
      </c>
      <c r="W34" s="678">
        <f t="shared" si="6"/>
        <v>0</v>
      </c>
    </row>
    <row r="35" spans="1:23">
      <c r="A35" s="673">
        <v>33</v>
      </c>
      <c r="B35" s="673" t="s">
        <v>1018</v>
      </c>
      <c r="C35" s="674" t="s">
        <v>1215</v>
      </c>
      <c r="D35" s="674">
        <v>0.51</v>
      </c>
      <c r="E35" s="674" t="s">
        <v>1216</v>
      </c>
      <c r="F35" s="674" t="s">
        <v>1217</v>
      </c>
      <c r="G35" s="675">
        <v>2013</v>
      </c>
      <c r="H35" s="674">
        <v>2015</v>
      </c>
      <c r="I35" s="676">
        <v>0</v>
      </c>
      <c r="J35" s="677">
        <v>0</v>
      </c>
      <c r="K35" s="677">
        <v>0</v>
      </c>
      <c r="L35" s="677">
        <v>0</v>
      </c>
      <c r="M35" s="678">
        <v>0</v>
      </c>
      <c r="N35" s="676">
        <f t="shared" si="0"/>
        <v>0</v>
      </c>
      <c r="O35" s="677">
        <f t="shared" si="1"/>
        <v>0</v>
      </c>
      <c r="P35" s="677">
        <f t="shared" si="2"/>
        <v>0</v>
      </c>
      <c r="Q35" s="677">
        <f t="shared" si="3"/>
        <v>0</v>
      </c>
      <c r="R35" s="678">
        <f t="shared" si="4"/>
        <v>0</v>
      </c>
      <c r="S35" s="676">
        <f t="shared" si="5"/>
        <v>0</v>
      </c>
      <c r="T35" s="677">
        <f t="shared" si="5"/>
        <v>0</v>
      </c>
      <c r="U35" s="677">
        <f t="shared" si="5"/>
        <v>0</v>
      </c>
      <c r="V35" s="677">
        <f t="shared" si="5"/>
        <v>0</v>
      </c>
      <c r="W35" s="678">
        <f t="shared" si="6"/>
        <v>0</v>
      </c>
    </row>
    <row r="36" spans="1:23">
      <c r="A36" s="673">
        <v>34</v>
      </c>
      <c r="B36" s="673" t="s">
        <v>1192</v>
      </c>
      <c r="C36" s="674" t="s">
        <v>1218</v>
      </c>
      <c r="D36" s="674">
        <v>0.51</v>
      </c>
      <c r="E36" s="674" t="s">
        <v>1204</v>
      </c>
      <c r="F36" s="674" t="s">
        <v>1186</v>
      </c>
      <c r="G36" s="675">
        <v>2012</v>
      </c>
      <c r="H36" s="674">
        <v>2014</v>
      </c>
      <c r="I36" s="676">
        <f>D36*$J$106</f>
        <v>2.7402632095386243</v>
      </c>
      <c r="J36" s="677">
        <v>0</v>
      </c>
      <c r="K36" s="677">
        <f>$A$135*D36</f>
        <v>0.40800000000000003</v>
      </c>
      <c r="L36" s="677">
        <v>0</v>
      </c>
      <c r="M36" s="678">
        <v>3.5562632095386242</v>
      </c>
      <c r="N36" s="676">
        <f t="shared" si="0"/>
        <v>1.8085737182954922</v>
      </c>
      <c r="O36" s="677">
        <f t="shared" si="1"/>
        <v>0</v>
      </c>
      <c r="P36" s="677">
        <f t="shared" si="2"/>
        <v>0.26928000000000002</v>
      </c>
      <c r="Q36" s="677">
        <f t="shared" si="3"/>
        <v>0</v>
      </c>
      <c r="R36" s="678">
        <f t="shared" si="4"/>
        <v>2.0778537182954921</v>
      </c>
      <c r="S36" s="676">
        <f t="shared" si="5"/>
        <v>0.93168949124313216</v>
      </c>
      <c r="T36" s="677">
        <f t="shared" si="5"/>
        <v>0</v>
      </c>
      <c r="U36" s="677">
        <f t="shared" si="5"/>
        <v>0.13872000000000001</v>
      </c>
      <c r="V36" s="677">
        <f t="shared" si="5"/>
        <v>0</v>
      </c>
      <c r="W36" s="678">
        <f t="shared" si="6"/>
        <v>1.0704094912431321</v>
      </c>
    </row>
    <row r="37" spans="1:23">
      <c r="A37" s="673">
        <v>35</v>
      </c>
      <c r="B37" s="673" t="s">
        <v>1175</v>
      </c>
      <c r="C37" s="674" t="s">
        <v>1219</v>
      </c>
      <c r="D37" s="674">
        <v>0.51</v>
      </c>
      <c r="E37" s="674" t="s">
        <v>1172</v>
      </c>
      <c r="F37" s="674" t="s">
        <v>1172</v>
      </c>
      <c r="G37" s="675">
        <v>2013</v>
      </c>
      <c r="H37" s="674">
        <v>2015</v>
      </c>
      <c r="I37" s="676">
        <v>0</v>
      </c>
      <c r="J37" s="677">
        <v>0</v>
      </c>
      <c r="K37" s="677">
        <v>0</v>
      </c>
      <c r="L37" s="677">
        <v>0</v>
      </c>
      <c r="M37" s="678">
        <v>0</v>
      </c>
      <c r="N37" s="676">
        <f t="shared" si="0"/>
        <v>0</v>
      </c>
      <c r="O37" s="677">
        <f t="shared" si="1"/>
        <v>0</v>
      </c>
      <c r="P37" s="677">
        <f t="shared" si="2"/>
        <v>0</v>
      </c>
      <c r="Q37" s="677">
        <f t="shared" si="3"/>
        <v>0</v>
      </c>
      <c r="R37" s="678">
        <f t="shared" si="4"/>
        <v>0</v>
      </c>
      <c r="S37" s="676">
        <f t="shared" si="5"/>
        <v>0</v>
      </c>
      <c r="T37" s="677">
        <f t="shared" si="5"/>
        <v>0</v>
      </c>
      <c r="U37" s="677">
        <f t="shared" si="5"/>
        <v>0</v>
      </c>
      <c r="V37" s="677">
        <f t="shared" si="5"/>
        <v>0</v>
      </c>
      <c r="W37" s="678">
        <f t="shared" si="6"/>
        <v>0</v>
      </c>
    </row>
    <row r="38" spans="1:23">
      <c r="A38" s="673">
        <v>36</v>
      </c>
      <c r="B38" s="673" t="s">
        <v>1167</v>
      </c>
      <c r="C38" s="674" t="s">
        <v>1220</v>
      </c>
      <c r="D38" s="674">
        <v>0.51</v>
      </c>
      <c r="E38" s="674" t="s">
        <v>1221</v>
      </c>
      <c r="F38" s="674" t="s">
        <v>1186</v>
      </c>
      <c r="G38" s="675">
        <v>2012</v>
      </c>
      <c r="H38" s="674">
        <v>2014</v>
      </c>
      <c r="I38" s="676">
        <f>D38*$J$103</f>
        <v>1.27092646885019</v>
      </c>
      <c r="J38" s="677">
        <v>0</v>
      </c>
      <c r="K38" s="677">
        <f>$A$135*D38</f>
        <v>0.40800000000000003</v>
      </c>
      <c r="L38" s="677">
        <v>0</v>
      </c>
      <c r="M38" s="678">
        <v>2.0869264688501898</v>
      </c>
      <c r="N38" s="676">
        <f t="shared" si="0"/>
        <v>0.83881146944112539</v>
      </c>
      <c r="O38" s="677">
        <f t="shared" si="1"/>
        <v>0</v>
      </c>
      <c r="P38" s="677">
        <f t="shared" si="2"/>
        <v>0.26928000000000002</v>
      </c>
      <c r="Q38" s="677">
        <f t="shared" si="3"/>
        <v>0</v>
      </c>
      <c r="R38" s="678">
        <f t="shared" si="4"/>
        <v>1.1080914694411255</v>
      </c>
      <c r="S38" s="676">
        <f t="shared" si="5"/>
        <v>0.43211499940906462</v>
      </c>
      <c r="T38" s="677">
        <f t="shared" si="5"/>
        <v>0</v>
      </c>
      <c r="U38" s="677">
        <f t="shared" si="5"/>
        <v>0.13872000000000001</v>
      </c>
      <c r="V38" s="677">
        <f t="shared" si="5"/>
        <v>0</v>
      </c>
      <c r="W38" s="678">
        <f t="shared" si="6"/>
        <v>0.57083499940906468</v>
      </c>
    </row>
    <row r="39" spans="1:23">
      <c r="A39" s="673">
        <v>37</v>
      </c>
      <c r="B39" s="673" t="s">
        <v>1167</v>
      </c>
      <c r="C39" s="674" t="s">
        <v>1222</v>
      </c>
      <c r="D39" s="674">
        <v>0.51</v>
      </c>
      <c r="E39" s="674" t="s">
        <v>1195</v>
      </c>
      <c r="F39" s="674" t="s">
        <v>1196</v>
      </c>
      <c r="G39" s="675">
        <v>2013</v>
      </c>
      <c r="H39" s="674">
        <v>2015</v>
      </c>
      <c r="I39" s="676">
        <f>D39*$J$101</f>
        <v>11.614865807679752</v>
      </c>
      <c r="J39" s="677">
        <v>0</v>
      </c>
      <c r="K39" s="677">
        <f>$A$135*D39</f>
        <v>0.40800000000000003</v>
      </c>
      <c r="L39" s="677">
        <f>$A$131*D39</f>
        <v>6.7319999999999993</v>
      </c>
      <c r="M39" s="678">
        <v>19.162865807679751</v>
      </c>
      <c r="N39" s="676">
        <f t="shared" si="0"/>
        <v>7.6658114330686367</v>
      </c>
      <c r="O39" s="677">
        <f t="shared" si="1"/>
        <v>0</v>
      </c>
      <c r="P39" s="677">
        <f t="shared" si="2"/>
        <v>0.26928000000000002</v>
      </c>
      <c r="Q39" s="677">
        <f t="shared" si="3"/>
        <v>4.51044</v>
      </c>
      <c r="R39" s="678">
        <f t="shared" si="4"/>
        <v>12.445531433068638</v>
      </c>
      <c r="S39" s="676">
        <f t="shared" si="5"/>
        <v>3.9490543746111157</v>
      </c>
      <c r="T39" s="677">
        <f t="shared" si="5"/>
        <v>0</v>
      </c>
      <c r="U39" s="677">
        <f t="shared" si="5"/>
        <v>0.13872000000000001</v>
      </c>
      <c r="V39" s="677">
        <f t="shared" si="5"/>
        <v>2.2215599999999993</v>
      </c>
      <c r="W39" s="678">
        <f t="shared" si="6"/>
        <v>6.3093343746111152</v>
      </c>
    </row>
    <row r="40" spans="1:23">
      <c r="A40" s="673">
        <v>38</v>
      </c>
      <c r="B40" s="673" t="s">
        <v>1167</v>
      </c>
      <c r="C40" s="674" t="s">
        <v>1223</v>
      </c>
      <c r="D40" s="674">
        <v>0.51</v>
      </c>
      <c r="E40" s="674" t="s">
        <v>1224</v>
      </c>
      <c r="F40" s="674" t="s">
        <v>1191</v>
      </c>
      <c r="G40" s="675">
        <v>2013</v>
      </c>
      <c r="H40" s="674">
        <v>2015</v>
      </c>
      <c r="I40" s="676">
        <v>0</v>
      </c>
      <c r="J40" s="677">
        <v>0</v>
      </c>
      <c r="K40" s="677">
        <v>0</v>
      </c>
      <c r="L40" s="677">
        <v>0</v>
      </c>
      <c r="M40" s="678">
        <v>0</v>
      </c>
      <c r="N40" s="676">
        <f t="shared" si="0"/>
        <v>0</v>
      </c>
      <c r="O40" s="677">
        <f t="shared" si="1"/>
        <v>0</v>
      </c>
      <c r="P40" s="677">
        <f t="shared" si="2"/>
        <v>0</v>
      </c>
      <c r="Q40" s="677">
        <f t="shared" si="3"/>
        <v>0</v>
      </c>
      <c r="R40" s="678">
        <f t="shared" si="4"/>
        <v>0</v>
      </c>
      <c r="S40" s="676">
        <f t="shared" si="5"/>
        <v>0</v>
      </c>
      <c r="T40" s="677">
        <f t="shared" si="5"/>
        <v>0</v>
      </c>
      <c r="U40" s="677">
        <f t="shared" si="5"/>
        <v>0</v>
      </c>
      <c r="V40" s="677">
        <f t="shared" si="5"/>
        <v>0</v>
      </c>
      <c r="W40" s="678">
        <f t="shared" si="6"/>
        <v>0</v>
      </c>
    </row>
    <row r="41" spans="1:23" ht="13.9" customHeight="1">
      <c r="A41" s="673">
        <v>39</v>
      </c>
      <c r="B41" s="673" t="s">
        <v>1167</v>
      </c>
      <c r="C41" s="674" t="s">
        <v>1225</v>
      </c>
      <c r="D41" s="674">
        <v>0.51</v>
      </c>
      <c r="E41" s="674" t="s">
        <v>1224</v>
      </c>
      <c r="F41" s="674" t="s">
        <v>1226</v>
      </c>
      <c r="G41" s="675">
        <v>2013</v>
      </c>
      <c r="H41" s="674">
        <v>2014</v>
      </c>
      <c r="I41" s="676">
        <v>0</v>
      </c>
      <c r="J41" s="677">
        <v>0</v>
      </c>
      <c r="K41" s="677">
        <v>0</v>
      </c>
      <c r="L41" s="677">
        <v>0</v>
      </c>
      <c r="M41" s="678">
        <v>0</v>
      </c>
      <c r="N41" s="676">
        <f t="shared" si="0"/>
        <v>0</v>
      </c>
      <c r="O41" s="677">
        <f t="shared" si="1"/>
        <v>0</v>
      </c>
      <c r="P41" s="677">
        <f t="shared" si="2"/>
        <v>0</v>
      </c>
      <c r="Q41" s="677">
        <f t="shared" si="3"/>
        <v>0</v>
      </c>
      <c r="R41" s="678">
        <f t="shared" si="4"/>
        <v>0</v>
      </c>
      <c r="S41" s="676">
        <f t="shared" si="5"/>
        <v>0</v>
      </c>
      <c r="T41" s="677">
        <f t="shared" si="5"/>
        <v>0</v>
      </c>
      <c r="U41" s="677">
        <f t="shared" si="5"/>
        <v>0</v>
      </c>
      <c r="V41" s="677">
        <f t="shared" si="5"/>
        <v>0</v>
      </c>
      <c r="W41" s="678">
        <f t="shared" si="6"/>
        <v>0</v>
      </c>
    </row>
    <row r="42" spans="1:23">
      <c r="A42" s="673">
        <v>40</v>
      </c>
      <c r="B42" s="673" t="s">
        <v>1167</v>
      </c>
      <c r="C42" s="674" t="s">
        <v>1227</v>
      </c>
      <c r="D42" s="674">
        <v>0.51</v>
      </c>
      <c r="E42" s="674" t="s">
        <v>1210</v>
      </c>
      <c r="F42" s="674" t="s">
        <v>1211</v>
      </c>
      <c r="G42" s="675">
        <v>2013</v>
      </c>
      <c r="H42" s="674">
        <v>2014</v>
      </c>
      <c r="I42" s="676">
        <v>0</v>
      </c>
      <c r="J42" s="677">
        <v>0</v>
      </c>
      <c r="K42" s="677">
        <v>0</v>
      </c>
      <c r="L42" s="677">
        <v>0</v>
      </c>
      <c r="M42" s="678">
        <v>0</v>
      </c>
      <c r="N42" s="676">
        <f t="shared" si="0"/>
        <v>0</v>
      </c>
      <c r="O42" s="677">
        <f t="shared" si="1"/>
        <v>0</v>
      </c>
      <c r="P42" s="677">
        <f t="shared" si="2"/>
        <v>0</v>
      </c>
      <c r="Q42" s="677">
        <f t="shared" si="3"/>
        <v>0</v>
      </c>
      <c r="R42" s="678">
        <f t="shared" si="4"/>
        <v>0</v>
      </c>
      <c r="S42" s="676">
        <f t="shared" si="5"/>
        <v>0</v>
      </c>
      <c r="T42" s="677">
        <f t="shared" si="5"/>
        <v>0</v>
      </c>
      <c r="U42" s="677">
        <f t="shared" si="5"/>
        <v>0</v>
      </c>
      <c r="V42" s="677">
        <f t="shared" si="5"/>
        <v>0</v>
      </c>
      <c r="W42" s="678">
        <f t="shared" si="6"/>
        <v>0</v>
      </c>
    </row>
    <row r="43" spans="1:23">
      <c r="A43" s="673">
        <v>41</v>
      </c>
      <c r="B43" s="673" t="s">
        <v>206</v>
      </c>
      <c r="C43" s="674" t="s">
        <v>1228</v>
      </c>
      <c r="D43" s="674">
        <v>1.91</v>
      </c>
      <c r="E43" s="674" t="s">
        <v>1164</v>
      </c>
      <c r="F43" s="674" t="s">
        <v>1162</v>
      </c>
      <c r="G43" s="675">
        <v>2012</v>
      </c>
      <c r="H43" s="674">
        <v>2016</v>
      </c>
      <c r="I43" s="676">
        <v>0</v>
      </c>
      <c r="J43" s="677">
        <v>0</v>
      </c>
      <c r="K43" s="677">
        <v>0</v>
      </c>
      <c r="L43" s="677">
        <v>0</v>
      </c>
      <c r="M43" s="678">
        <v>0</v>
      </c>
      <c r="N43" s="676">
        <f t="shared" si="0"/>
        <v>0</v>
      </c>
      <c r="O43" s="677">
        <f t="shared" si="1"/>
        <v>0</v>
      </c>
      <c r="P43" s="677">
        <f t="shared" si="2"/>
        <v>0</v>
      </c>
      <c r="Q43" s="677">
        <f t="shared" si="3"/>
        <v>0</v>
      </c>
      <c r="R43" s="678">
        <f t="shared" si="4"/>
        <v>0</v>
      </c>
      <c r="S43" s="676">
        <f t="shared" si="5"/>
        <v>0</v>
      </c>
      <c r="T43" s="677">
        <f t="shared" si="5"/>
        <v>0</v>
      </c>
      <c r="U43" s="677">
        <f t="shared" si="5"/>
        <v>0</v>
      </c>
      <c r="V43" s="677">
        <f t="shared" si="5"/>
        <v>0</v>
      </c>
      <c r="W43" s="678">
        <f t="shared" si="6"/>
        <v>0</v>
      </c>
    </row>
    <row r="44" spans="1:23">
      <c r="A44" s="673">
        <v>42</v>
      </c>
      <c r="B44" s="673" t="s">
        <v>182</v>
      </c>
      <c r="C44" s="674" t="s">
        <v>1229</v>
      </c>
      <c r="D44" s="674">
        <v>2.19</v>
      </c>
      <c r="E44" s="674" t="s">
        <v>1180</v>
      </c>
      <c r="F44" s="674" t="s">
        <v>1162</v>
      </c>
      <c r="G44" s="675">
        <v>2012</v>
      </c>
      <c r="H44" s="674">
        <v>2016</v>
      </c>
      <c r="I44" s="676">
        <v>0</v>
      </c>
      <c r="J44" s="677">
        <v>0</v>
      </c>
      <c r="K44" s="677">
        <v>0</v>
      </c>
      <c r="L44" s="677">
        <v>0</v>
      </c>
      <c r="M44" s="678">
        <v>0</v>
      </c>
      <c r="N44" s="676">
        <f t="shared" si="0"/>
        <v>0</v>
      </c>
      <c r="O44" s="677">
        <f t="shared" si="1"/>
        <v>0</v>
      </c>
      <c r="P44" s="677">
        <f t="shared" si="2"/>
        <v>0</v>
      </c>
      <c r="Q44" s="677">
        <f t="shared" si="3"/>
        <v>0</v>
      </c>
      <c r="R44" s="678">
        <f t="shared" si="4"/>
        <v>0</v>
      </c>
      <c r="S44" s="676">
        <f t="shared" si="5"/>
        <v>0</v>
      </c>
      <c r="T44" s="677">
        <f t="shared" si="5"/>
        <v>0</v>
      </c>
      <c r="U44" s="677">
        <f t="shared" si="5"/>
        <v>0</v>
      </c>
      <c r="V44" s="677">
        <f t="shared" si="5"/>
        <v>0</v>
      </c>
      <c r="W44" s="678">
        <f t="shared" si="6"/>
        <v>0</v>
      </c>
    </row>
    <row r="45" spans="1:23">
      <c r="A45" s="673">
        <v>43</v>
      </c>
      <c r="B45" s="673" t="s">
        <v>1018</v>
      </c>
      <c r="C45" s="674" t="s">
        <v>1230</v>
      </c>
      <c r="D45" s="674">
        <v>1.5</v>
      </c>
      <c r="E45" s="674" t="s">
        <v>1185</v>
      </c>
      <c r="F45" s="674" t="s">
        <v>1186</v>
      </c>
      <c r="G45" s="675">
        <v>2013</v>
      </c>
      <c r="H45" s="674">
        <v>2015</v>
      </c>
      <c r="I45" s="676">
        <f>D45*$J$105</f>
        <v>5.7724403435325007</v>
      </c>
      <c r="J45" s="677">
        <v>0</v>
      </c>
      <c r="K45" s="677">
        <v>0</v>
      </c>
      <c r="L45" s="677">
        <v>0</v>
      </c>
      <c r="M45" s="678">
        <v>5.7724403435325007</v>
      </c>
      <c r="N45" s="676">
        <f t="shared" si="0"/>
        <v>3.8098106267314504</v>
      </c>
      <c r="O45" s="677">
        <f t="shared" si="1"/>
        <v>0</v>
      </c>
      <c r="P45" s="677">
        <f t="shared" si="2"/>
        <v>0</v>
      </c>
      <c r="Q45" s="677">
        <f t="shared" si="3"/>
        <v>0</v>
      </c>
      <c r="R45" s="678">
        <f t="shared" si="4"/>
        <v>3.8098106267314504</v>
      </c>
      <c r="S45" s="676">
        <f t="shared" si="5"/>
        <v>1.9626297168010503</v>
      </c>
      <c r="T45" s="677">
        <f t="shared" si="5"/>
        <v>0</v>
      </c>
      <c r="U45" s="677">
        <f t="shared" si="5"/>
        <v>0</v>
      </c>
      <c r="V45" s="677">
        <f t="shared" si="5"/>
        <v>0</v>
      </c>
      <c r="W45" s="678">
        <f t="shared" si="6"/>
        <v>1.9626297168010503</v>
      </c>
    </row>
    <row r="46" spans="1:23">
      <c r="A46" s="673">
        <v>44</v>
      </c>
      <c r="B46" s="673" t="s">
        <v>1018</v>
      </c>
      <c r="C46" s="674" t="s">
        <v>1230</v>
      </c>
      <c r="D46" s="674">
        <v>1.35</v>
      </c>
      <c r="E46" s="674" t="s">
        <v>1231</v>
      </c>
      <c r="F46" s="674" t="s">
        <v>1232</v>
      </c>
      <c r="G46" s="675">
        <v>2013</v>
      </c>
      <c r="H46" s="674">
        <v>2015</v>
      </c>
      <c r="I46" s="676">
        <v>0</v>
      </c>
      <c r="J46" s="677">
        <v>0</v>
      </c>
      <c r="K46" s="677">
        <v>0</v>
      </c>
      <c r="L46" s="677">
        <v>0</v>
      </c>
      <c r="M46" s="678">
        <v>0</v>
      </c>
      <c r="N46" s="676">
        <f t="shared" si="0"/>
        <v>0</v>
      </c>
      <c r="O46" s="677">
        <f t="shared" si="1"/>
        <v>0</v>
      </c>
      <c r="P46" s="677">
        <f t="shared" si="2"/>
        <v>0</v>
      </c>
      <c r="Q46" s="677">
        <f t="shared" si="3"/>
        <v>0</v>
      </c>
      <c r="R46" s="678">
        <f t="shared" si="4"/>
        <v>0</v>
      </c>
      <c r="S46" s="676">
        <f t="shared" si="5"/>
        <v>0</v>
      </c>
      <c r="T46" s="677">
        <f t="shared" si="5"/>
        <v>0</v>
      </c>
      <c r="U46" s="677">
        <f t="shared" si="5"/>
        <v>0</v>
      </c>
      <c r="V46" s="677">
        <f t="shared" si="5"/>
        <v>0</v>
      </c>
      <c r="W46" s="678">
        <f t="shared" si="6"/>
        <v>0</v>
      </c>
    </row>
    <row r="47" spans="1:23">
      <c r="A47" s="673">
        <v>45</v>
      </c>
      <c r="B47" s="673" t="s">
        <v>1167</v>
      </c>
      <c r="C47" s="674" t="s">
        <v>1233</v>
      </c>
      <c r="D47" s="674">
        <v>2.5</v>
      </c>
      <c r="E47" s="674" t="s">
        <v>1234</v>
      </c>
      <c r="F47" s="674" t="s">
        <v>1186</v>
      </c>
      <c r="G47" s="675">
        <v>2012</v>
      </c>
      <c r="H47" s="674">
        <v>2015</v>
      </c>
      <c r="I47" s="676">
        <f>D47*$J$108</f>
        <v>10.909463760131439</v>
      </c>
      <c r="J47" s="677">
        <v>0</v>
      </c>
      <c r="K47" s="677">
        <f>$A$135*D47</f>
        <v>2</v>
      </c>
      <c r="L47" s="677">
        <v>0</v>
      </c>
      <c r="M47" s="678">
        <v>14.909463760131439</v>
      </c>
      <c r="N47" s="676">
        <f t="shared" si="0"/>
        <v>7.2002460816867506</v>
      </c>
      <c r="O47" s="677">
        <f t="shared" si="1"/>
        <v>0</v>
      </c>
      <c r="P47" s="677">
        <f t="shared" si="2"/>
        <v>1.32</v>
      </c>
      <c r="Q47" s="677">
        <f t="shared" si="3"/>
        <v>0</v>
      </c>
      <c r="R47" s="678">
        <f t="shared" si="4"/>
        <v>8.52024608168675</v>
      </c>
      <c r="S47" s="676">
        <f t="shared" si="5"/>
        <v>3.7092176784446886</v>
      </c>
      <c r="T47" s="677">
        <f t="shared" si="5"/>
        <v>0</v>
      </c>
      <c r="U47" s="677">
        <f t="shared" si="5"/>
        <v>0.67999999999999994</v>
      </c>
      <c r="V47" s="677">
        <f t="shared" si="5"/>
        <v>0</v>
      </c>
      <c r="W47" s="678">
        <f t="shared" si="6"/>
        <v>4.3892176784446884</v>
      </c>
    </row>
    <row r="48" spans="1:23">
      <c r="A48" s="673">
        <v>46</v>
      </c>
      <c r="B48" s="673" t="s">
        <v>1175</v>
      </c>
      <c r="C48" s="674" t="s">
        <v>1235</v>
      </c>
      <c r="D48" s="674">
        <v>0.84</v>
      </c>
      <c r="E48" s="674" t="s">
        <v>1195</v>
      </c>
      <c r="F48" s="674" t="s">
        <v>1196</v>
      </c>
      <c r="G48" s="675">
        <v>2012</v>
      </c>
      <c r="H48" s="674">
        <v>2014</v>
      </c>
      <c r="I48" s="676">
        <f>D48*$J$101</f>
        <v>19.130367212649002</v>
      </c>
      <c r="J48" s="677">
        <v>0</v>
      </c>
      <c r="K48" s="677">
        <f>$A$135*D48</f>
        <v>0.67200000000000004</v>
      </c>
      <c r="L48" s="677">
        <f>$A$131*D48</f>
        <v>11.087999999999999</v>
      </c>
      <c r="M48" s="678">
        <v>31.562367212649001</v>
      </c>
      <c r="N48" s="676">
        <f t="shared" si="0"/>
        <v>12.626042360348341</v>
      </c>
      <c r="O48" s="677">
        <f t="shared" si="1"/>
        <v>0</v>
      </c>
      <c r="P48" s="677">
        <f t="shared" si="2"/>
        <v>0.44352000000000003</v>
      </c>
      <c r="Q48" s="677">
        <f t="shared" si="3"/>
        <v>7.42896</v>
      </c>
      <c r="R48" s="678">
        <f t="shared" si="4"/>
        <v>20.498522360348339</v>
      </c>
      <c r="S48" s="676">
        <f t="shared" si="5"/>
        <v>6.5043248523006607</v>
      </c>
      <c r="T48" s="677">
        <f t="shared" si="5"/>
        <v>0</v>
      </c>
      <c r="U48" s="677">
        <f t="shared" si="5"/>
        <v>0.22848000000000002</v>
      </c>
      <c r="V48" s="677">
        <f t="shared" si="5"/>
        <v>3.6590399999999992</v>
      </c>
      <c r="W48" s="678">
        <f t="shared" si="6"/>
        <v>10.391844852300661</v>
      </c>
    </row>
    <row r="49" spans="1:23">
      <c r="A49" s="673">
        <v>47</v>
      </c>
      <c r="B49" s="673" t="s">
        <v>1167</v>
      </c>
      <c r="C49" s="674" t="s">
        <v>1236</v>
      </c>
      <c r="D49" s="674">
        <v>1.99</v>
      </c>
      <c r="E49" s="674" t="s">
        <v>1237</v>
      </c>
      <c r="F49" s="674" t="s">
        <v>1188</v>
      </c>
      <c r="G49" s="675">
        <v>2013</v>
      </c>
      <c r="H49" s="674">
        <v>2014</v>
      </c>
      <c r="I49" s="676">
        <f>D49*$J$109</f>
        <v>0.1234483936533</v>
      </c>
      <c r="J49" s="677">
        <v>0</v>
      </c>
      <c r="K49" s="677">
        <v>0</v>
      </c>
      <c r="L49" s="677">
        <v>0</v>
      </c>
      <c r="M49" s="678">
        <v>0.1234483936533</v>
      </c>
      <c r="N49" s="676">
        <f t="shared" si="0"/>
        <v>8.1475939811178011E-2</v>
      </c>
      <c r="O49" s="677">
        <f t="shared" si="1"/>
        <v>0</v>
      </c>
      <c r="P49" s="677">
        <f t="shared" si="2"/>
        <v>0</v>
      </c>
      <c r="Q49" s="677">
        <f t="shared" si="3"/>
        <v>0</v>
      </c>
      <c r="R49" s="678">
        <f t="shared" si="4"/>
        <v>8.1475939811178011E-2</v>
      </c>
      <c r="S49" s="676">
        <f t="shared" si="5"/>
        <v>4.197245384212199E-2</v>
      </c>
      <c r="T49" s="677">
        <f t="shared" si="5"/>
        <v>0</v>
      </c>
      <c r="U49" s="677">
        <f t="shared" si="5"/>
        <v>0</v>
      </c>
      <c r="V49" s="677">
        <f t="shared" si="5"/>
        <v>0</v>
      </c>
      <c r="W49" s="678">
        <f t="shared" si="6"/>
        <v>4.197245384212199E-2</v>
      </c>
    </row>
    <row r="50" spans="1:23">
      <c r="A50" s="673">
        <v>48</v>
      </c>
      <c r="B50" s="673" t="s">
        <v>1175</v>
      </c>
      <c r="C50" s="674" t="s">
        <v>1238</v>
      </c>
      <c r="D50" s="674">
        <v>0.28000000000000003</v>
      </c>
      <c r="E50" s="674" t="s">
        <v>1177</v>
      </c>
      <c r="F50" s="674" t="s">
        <v>1178</v>
      </c>
      <c r="G50" s="675">
        <v>2013</v>
      </c>
      <c r="H50" s="674">
        <v>2015</v>
      </c>
      <c r="I50" s="676">
        <v>0</v>
      </c>
      <c r="J50" s="677">
        <f>D50*$H$125</f>
        <v>341.46086578646765</v>
      </c>
      <c r="K50" s="677">
        <f>$A$135*D50</f>
        <v>0.22400000000000003</v>
      </c>
      <c r="L50" s="677">
        <v>0</v>
      </c>
      <c r="M50" s="678">
        <v>341.90886578646757</v>
      </c>
      <c r="N50" s="676">
        <f t="shared" si="0"/>
        <v>0</v>
      </c>
      <c r="O50" s="677">
        <f t="shared" si="1"/>
        <v>161.75001212304974</v>
      </c>
      <c r="P50" s="677">
        <f t="shared" si="2"/>
        <v>0.14784000000000003</v>
      </c>
      <c r="Q50" s="677">
        <f t="shared" si="3"/>
        <v>0</v>
      </c>
      <c r="R50" s="678">
        <f t="shared" si="4"/>
        <v>161.89785212304974</v>
      </c>
      <c r="S50" s="676">
        <f t="shared" si="5"/>
        <v>0</v>
      </c>
      <c r="T50" s="677">
        <f t="shared" si="5"/>
        <v>179.71085366341791</v>
      </c>
      <c r="U50" s="677">
        <f t="shared" si="5"/>
        <v>7.6160000000000005E-2</v>
      </c>
      <c r="V50" s="677">
        <f t="shared" si="5"/>
        <v>0</v>
      </c>
      <c r="W50" s="678">
        <f t="shared" si="6"/>
        <v>179.78701366341789</v>
      </c>
    </row>
    <row r="51" spans="1:23">
      <c r="A51" s="673">
        <v>49</v>
      </c>
      <c r="B51" s="673" t="s">
        <v>206</v>
      </c>
      <c r="C51" s="674" t="s">
        <v>1239</v>
      </c>
      <c r="D51" s="674"/>
      <c r="E51" s="674" t="s">
        <v>1164</v>
      </c>
      <c r="F51" s="674" t="s">
        <v>1162</v>
      </c>
      <c r="G51" s="675">
        <v>2012</v>
      </c>
      <c r="H51" s="674">
        <v>2016</v>
      </c>
      <c r="I51" s="676">
        <v>0</v>
      </c>
      <c r="J51" s="677">
        <v>0</v>
      </c>
      <c r="K51" s="677">
        <v>0</v>
      </c>
      <c r="L51" s="677">
        <v>0</v>
      </c>
      <c r="M51" s="678">
        <v>0</v>
      </c>
      <c r="N51" s="676">
        <f t="shared" si="0"/>
        <v>0</v>
      </c>
      <c r="O51" s="677">
        <f t="shared" si="1"/>
        <v>0</v>
      </c>
      <c r="P51" s="677">
        <f t="shared" si="2"/>
        <v>0</v>
      </c>
      <c r="Q51" s="677">
        <f t="shared" si="3"/>
        <v>0</v>
      </c>
      <c r="R51" s="678">
        <f t="shared" si="4"/>
        <v>0</v>
      </c>
      <c r="S51" s="676">
        <f t="shared" si="5"/>
        <v>0</v>
      </c>
      <c r="T51" s="677">
        <f t="shared" si="5"/>
        <v>0</v>
      </c>
      <c r="U51" s="677">
        <f t="shared" si="5"/>
        <v>0</v>
      </c>
      <c r="V51" s="677">
        <f t="shared" si="5"/>
        <v>0</v>
      </c>
      <c r="W51" s="678">
        <f t="shared" si="6"/>
        <v>0</v>
      </c>
    </row>
    <row r="52" spans="1:23">
      <c r="A52" s="673">
        <v>50</v>
      </c>
      <c r="B52" s="673" t="s">
        <v>182</v>
      </c>
      <c r="C52" s="674" t="s">
        <v>1240</v>
      </c>
      <c r="D52" s="674"/>
      <c r="E52" s="674" t="s">
        <v>1180</v>
      </c>
      <c r="F52" s="674" t="s">
        <v>1162</v>
      </c>
      <c r="G52" s="675">
        <v>2012</v>
      </c>
      <c r="H52" s="674">
        <v>2016</v>
      </c>
      <c r="I52" s="676">
        <v>0</v>
      </c>
      <c r="J52" s="677">
        <v>0</v>
      </c>
      <c r="K52" s="677">
        <v>0</v>
      </c>
      <c r="L52" s="677">
        <v>0</v>
      </c>
      <c r="M52" s="678">
        <v>0</v>
      </c>
      <c r="N52" s="676">
        <f t="shared" si="0"/>
        <v>0</v>
      </c>
      <c r="O52" s="677">
        <f t="shared" si="1"/>
        <v>0</v>
      </c>
      <c r="P52" s="677">
        <f t="shared" si="2"/>
        <v>0</v>
      </c>
      <c r="Q52" s="677">
        <f t="shared" si="3"/>
        <v>0</v>
      </c>
      <c r="R52" s="678">
        <f t="shared" si="4"/>
        <v>0</v>
      </c>
      <c r="S52" s="676">
        <f t="shared" si="5"/>
        <v>0</v>
      </c>
      <c r="T52" s="677">
        <f t="shared" si="5"/>
        <v>0</v>
      </c>
      <c r="U52" s="677">
        <f t="shared" si="5"/>
        <v>0</v>
      </c>
      <c r="V52" s="677">
        <f t="shared" si="5"/>
        <v>0</v>
      </c>
      <c r="W52" s="678">
        <f t="shared" si="6"/>
        <v>0</v>
      </c>
    </row>
    <row r="53" spans="1:23">
      <c r="A53" s="673">
        <v>51</v>
      </c>
      <c r="B53" s="673" t="s">
        <v>1018</v>
      </c>
      <c r="C53" s="674" t="s">
        <v>1241</v>
      </c>
      <c r="D53" s="674"/>
      <c r="E53" s="674" t="s">
        <v>1231</v>
      </c>
      <c r="F53" s="674" t="s">
        <v>1232</v>
      </c>
      <c r="G53" s="675">
        <v>2013</v>
      </c>
      <c r="H53" s="674">
        <v>2015</v>
      </c>
      <c r="I53" s="676">
        <v>0</v>
      </c>
      <c r="J53" s="677">
        <v>0</v>
      </c>
      <c r="K53" s="677">
        <v>0</v>
      </c>
      <c r="L53" s="677">
        <v>0</v>
      </c>
      <c r="M53" s="678">
        <v>0</v>
      </c>
      <c r="N53" s="676">
        <f t="shared" si="0"/>
        <v>0</v>
      </c>
      <c r="O53" s="677">
        <f t="shared" si="1"/>
        <v>0</v>
      </c>
      <c r="P53" s="677">
        <f t="shared" si="2"/>
        <v>0</v>
      </c>
      <c r="Q53" s="677">
        <f t="shared" si="3"/>
        <v>0</v>
      </c>
      <c r="R53" s="678">
        <f t="shared" si="4"/>
        <v>0</v>
      </c>
      <c r="S53" s="676">
        <f t="shared" si="5"/>
        <v>0</v>
      </c>
      <c r="T53" s="677">
        <f t="shared" si="5"/>
        <v>0</v>
      </c>
      <c r="U53" s="677">
        <f t="shared" si="5"/>
        <v>0</v>
      </c>
      <c r="V53" s="677">
        <f t="shared" si="5"/>
        <v>0</v>
      </c>
      <c r="W53" s="678">
        <f t="shared" si="6"/>
        <v>0</v>
      </c>
    </row>
    <row r="54" spans="1:23">
      <c r="A54" s="673">
        <v>52</v>
      </c>
      <c r="B54" s="673" t="s">
        <v>1167</v>
      </c>
      <c r="C54" s="674" t="s">
        <v>1242</v>
      </c>
      <c r="D54" s="674"/>
      <c r="E54" s="674" t="s">
        <v>1185</v>
      </c>
      <c r="F54" s="674" t="s">
        <v>1186</v>
      </c>
      <c r="G54" s="675">
        <v>2012</v>
      </c>
      <c r="H54" s="674">
        <v>2015</v>
      </c>
      <c r="I54" s="676">
        <f>D54*$J$105</f>
        <v>0</v>
      </c>
      <c r="J54" s="677">
        <v>0</v>
      </c>
      <c r="K54" s="677">
        <v>0</v>
      </c>
      <c r="L54" s="677">
        <v>0</v>
      </c>
      <c r="M54" s="678">
        <v>0</v>
      </c>
      <c r="N54" s="676">
        <f t="shared" si="0"/>
        <v>0</v>
      </c>
      <c r="O54" s="677">
        <f t="shared" si="1"/>
        <v>0</v>
      </c>
      <c r="P54" s="677">
        <f t="shared" si="2"/>
        <v>0</v>
      </c>
      <c r="Q54" s="677">
        <f t="shared" si="3"/>
        <v>0</v>
      </c>
      <c r="R54" s="678">
        <f t="shared" si="4"/>
        <v>0</v>
      </c>
      <c r="S54" s="676">
        <f t="shared" si="5"/>
        <v>0</v>
      </c>
      <c r="T54" s="677">
        <f t="shared" si="5"/>
        <v>0</v>
      </c>
      <c r="U54" s="677">
        <f t="shared" si="5"/>
        <v>0</v>
      </c>
      <c r="V54" s="677">
        <f t="shared" si="5"/>
        <v>0</v>
      </c>
      <c r="W54" s="678">
        <f t="shared" si="6"/>
        <v>0</v>
      </c>
    </row>
    <row r="55" spans="1:23">
      <c r="A55" s="673">
        <v>53</v>
      </c>
      <c r="B55" s="673" t="s">
        <v>1167</v>
      </c>
      <c r="C55" s="674" t="s">
        <v>1243</v>
      </c>
      <c r="D55" s="674"/>
      <c r="E55" s="674" t="s">
        <v>1195</v>
      </c>
      <c r="F55" s="674" t="s">
        <v>1196</v>
      </c>
      <c r="G55" s="675">
        <v>2012</v>
      </c>
      <c r="H55" s="674">
        <v>2014</v>
      </c>
      <c r="I55" s="676">
        <f>D55*$J$101</f>
        <v>0</v>
      </c>
      <c r="J55" s="677">
        <v>0</v>
      </c>
      <c r="K55" s="677">
        <v>0</v>
      </c>
      <c r="L55" s="677">
        <v>0</v>
      </c>
      <c r="M55" s="678">
        <v>0</v>
      </c>
      <c r="N55" s="676">
        <f t="shared" si="0"/>
        <v>0</v>
      </c>
      <c r="O55" s="677">
        <f t="shared" si="1"/>
        <v>0</v>
      </c>
      <c r="P55" s="677">
        <f t="shared" si="2"/>
        <v>0</v>
      </c>
      <c r="Q55" s="677">
        <f t="shared" si="3"/>
        <v>0</v>
      </c>
      <c r="R55" s="678">
        <f t="shared" si="4"/>
        <v>0</v>
      </c>
      <c r="S55" s="676">
        <f t="shared" si="5"/>
        <v>0</v>
      </c>
      <c r="T55" s="677">
        <f t="shared" si="5"/>
        <v>0</v>
      </c>
      <c r="U55" s="677">
        <f t="shared" si="5"/>
        <v>0</v>
      </c>
      <c r="V55" s="677">
        <f t="shared" si="5"/>
        <v>0</v>
      </c>
      <c r="W55" s="678">
        <f t="shared" si="6"/>
        <v>0</v>
      </c>
    </row>
    <row r="56" spans="1:23">
      <c r="A56" s="673">
        <v>54</v>
      </c>
      <c r="B56" s="673" t="s">
        <v>182</v>
      </c>
      <c r="C56" s="674" t="s">
        <v>1244</v>
      </c>
      <c r="D56" s="674">
        <v>0.1</v>
      </c>
      <c r="E56" s="674" t="s">
        <v>1245</v>
      </c>
      <c r="F56" s="674" t="s">
        <v>1246</v>
      </c>
      <c r="G56" s="675">
        <v>2013</v>
      </c>
      <c r="H56" s="674">
        <v>2015</v>
      </c>
      <c r="I56" s="676">
        <v>0</v>
      </c>
      <c r="J56" s="677">
        <v>0</v>
      </c>
      <c r="K56" s="677">
        <v>0</v>
      </c>
      <c r="L56" s="677">
        <v>0</v>
      </c>
      <c r="M56" s="678">
        <v>0</v>
      </c>
      <c r="N56" s="676">
        <f t="shared" si="0"/>
        <v>0</v>
      </c>
      <c r="O56" s="677">
        <f t="shared" si="1"/>
        <v>0</v>
      </c>
      <c r="P56" s="677">
        <f t="shared" si="2"/>
        <v>0</v>
      </c>
      <c r="Q56" s="677">
        <f t="shared" si="3"/>
        <v>0</v>
      </c>
      <c r="R56" s="678">
        <f t="shared" si="4"/>
        <v>0</v>
      </c>
      <c r="S56" s="676">
        <f t="shared" si="5"/>
        <v>0</v>
      </c>
      <c r="T56" s="677">
        <f t="shared" si="5"/>
        <v>0</v>
      </c>
      <c r="U56" s="677">
        <f t="shared" si="5"/>
        <v>0</v>
      </c>
      <c r="V56" s="677">
        <f t="shared" si="5"/>
        <v>0</v>
      </c>
      <c r="W56" s="678">
        <f t="shared" si="6"/>
        <v>0</v>
      </c>
    </row>
    <row r="57" spans="1:23" ht="13.15" customHeight="1">
      <c r="A57" s="673">
        <v>55</v>
      </c>
      <c r="B57" s="673" t="s">
        <v>1167</v>
      </c>
      <c r="C57" s="674" t="s">
        <v>1247</v>
      </c>
      <c r="D57" s="674">
        <v>0.1</v>
      </c>
      <c r="E57" s="674" t="s">
        <v>1169</v>
      </c>
      <c r="F57" s="674" t="s">
        <v>1248</v>
      </c>
      <c r="G57" s="675">
        <v>2013</v>
      </c>
      <c r="H57" s="674">
        <v>2014</v>
      </c>
      <c r="I57" s="676">
        <v>0</v>
      </c>
      <c r="J57" s="677">
        <v>0</v>
      </c>
      <c r="K57" s="677">
        <v>0</v>
      </c>
      <c r="L57" s="677">
        <v>0</v>
      </c>
      <c r="M57" s="678">
        <v>0</v>
      </c>
      <c r="N57" s="676">
        <f t="shared" si="0"/>
        <v>0</v>
      </c>
      <c r="O57" s="677">
        <f t="shared" si="1"/>
        <v>0</v>
      </c>
      <c r="P57" s="677">
        <f t="shared" si="2"/>
        <v>0</v>
      </c>
      <c r="Q57" s="677">
        <f t="shared" si="3"/>
        <v>0</v>
      </c>
      <c r="R57" s="678">
        <f t="shared" si="4"/>
        <v>0</v>
      </c>
      <c r="S57" s="676">
        <f t="shared" si="5"/>
        <v>0</v>
      </c>
      <c r="T57" s="677">
        <f t="shared" si="5"/>
        <v>0</v>
      </c>
      <c r="U57" s="677">
        <f t="shared" si="5"/>
        <v>0</v>
      </c>
      <c r="V57" s="677">
        <f t="shared" si="5"/>
        <v>0</v>
      </c>
      <c r="W57" s="678">
        <f t="shared" si="6"/>
        <v>0</v>
      </c>
    </row>
    <row r="58" spans="1:23">
      <c r="A58" s="673">
        <v>56</v>
      </c>
      <c r="B58" s="673" t="s">
        <v>1167</v>
      </c>
      <c r="C58" s="674" t="s">
        <v>159</v>
      </c>
      <c r="D58" s="674">
        <v>6</v>
      </c>
      <c r="E58" s="674" t="s">
        <v>1237</v>
      </c>
      <c r="F58" s="674" t="s">
        <v>1249</v>
      </c>
      <c r="G58" s="675">
        <v>2013</v>
      </c>
      <c r="H58" s="674">
        <v>2014</v>
      </c>
      <c r="I58" s="676">
        <f>D58*$J$109</f>
        <v>0.37220621201999998</v>
      </c>
      <c r="J58" s="677">
        <v>0</v>
      </c>
      <c r="K58" s="677">
        <v>0</v>
      </c>
      <c r="L58" s="677">
        <v>0</v>
      </c>
      <c r="M58" s="678">
        <v>0.37220621201999998</v>
      </c>
      <c r="N58" s="676">
        <f t="shared" si="0"/>
        <v>0.24565609993320001</v>
      </c>
      <c r="O58" s="677">
        <f t="shared" si="1"/>
        <v>0</v>
      </c>
      <c r="P58" s="677">
        <f t="shared" si="2"/>
        <v>0</v>
      </c>
      <c r="Q58" s="677">
        <f t="shared" si="3"/>
        <v>0</v>
      </c>
      <c r="R58" s="678">
        <f t="shared" si="4"/>
        <v>0.24565609993320001</v>
      </c>
      <c r="S58" s="676">
        <f t="shared" si="5"/>
        <v>0.12655011208679998</v>
      </c>
      <c r="T58" s="677">
        <f t="shared" si="5"/>
        <v>0</v>
      </c>
      <c r="U58" s="677">
        <f t="shared" si="5"/>
        <v>0</v>
      </c>
      <c r="V58" s="677">
        <f t="shared" si="5"/>
        <v>0</v>
      </c>
      <c r="W58" s="678">
        <f t="shared" si="6"/>
        <v>0.12655011208679998</v>
      </c>
    </row>
    <row r="59" spans="1:23" ht="12.6" customHeight="1">
      <c r="A59" s="673">
        <v>57</v>
      </c>
      <c r="B59" s="673" t="s">
        <v>1167</v>
      </c>
      <c r="C59" s="674" t="s">
        <v>159</v>
      </c>
      <c r="D59" s="674">
        <v>3.2</v>
      </c>
      <c r="E59" s="674" t="s">
        <v>1169</v>
      </c>
      <c r="F59" s="674" t="s">
        <v>1170</v>
      </c>
      <c r="G59" s="675">
        <v>2013</v>
      </c>
      <c r="H59" s="674">
        <v>2014</v>
      </c>
      <c r="I59" s="676">
        <v>0</v>
      </c>
      <c r="J59" s="677">
        <v>0</v>
      </c>
      <c r="K59" s="677">
        <v>0</v>
      </c>
      <c r="L59" s="677">
        <v>0</v>
      </c>
      <c r="M59" s="678">
        <v>0</v>
      </c>
      <c r="N59" s="676">
        <f t="shared" si="0"/>
        <v>0</v>
      </c>
      <c r="O59" s="677">
        <f t="shared" si="1"/>
        <v>0</v>
      </c>
      <c r="P59" s="677">
        <f t="shared" si="2"/>
        <v>0</v>
      </c>
      <c r="Q59" s="677">
        <f t="shared" si="3"/>
        <v>0</v>
      </c>
      <c r="R59" s="678">
        <f t="shared" si="4"/>
        <v>0</v>
      </c>
      <c r="S59" s="676">
        <f t="shared" si="5"/>
        <v>0</v>
      </c>
      <c r="T59" s="677">
        <f t="shared" si="5"/>
        <v>0</v>
      </c>
      <c r="U59" s="677">
        <f t="shared" si="5"/>
        <v>0</v>
      </c>
      <c r="V59" s="677">
        <f t="shared" si="5"/>
        <v>0</v>
      </c>
      <c r="W59" s="678">
        <f t="shared" si="6"/>
        <v>0</v>
      </c>
    </row>
    <row r="60" spans="1:23">
      <c r="A60" s="673">
        <v>58</v>
      </c>
      <c r="B60" s="673" t="s">
        <v>1192</v>
      </c>
      <c r="C60" s="674" t="s">
        <v>1250</v>
      </c>
      <c r="D60" s="674">
        <v>0</v>
      </c>
      <c r="E60" s="674" t="s">
        <v>1251</v>
      </c>
      <c r="F60" s="674" t="s">
        <v>1252</v>
      </c>
      <c r="G60" s="675">
        <v>2013</v>
      </c>
      <c r="H60" s="674">
        <v>2014</v>
      </c>
      <c r="I60" s="676">
        <v>0</v>
      </c>
      <c r="J60" s="677">
        <v>0</v>
      </c>
      <c r="K60" s="677">
        <v>0</v>
      </c>
      <c r="L60" s="677">
        <v>0</v>
      </c>
      <c r="M60" s="678">
        <v>0</v>
      </c>
      <c r="N60" s="676">
        <f t="shared" si="0"/>
        <v>0</v>
      </c>
      <c r="O60" s="677">
        <f t="shared" si="1"/>
        <v>0</v>
      </c>
      <c r="P60" s="677">
        <f t="shared" si="2"/>
        <v>0</v>
      </c>
      <c r="Q60" s="677">
        <f t="shared" si="3"/>
        <v>0</v>
      </c>
      <c r="R60" s="678">
        <f t="shared" si="4"/>
        <v>0</v>
      </c>
      <c r="S60" s="676">
        <f t="shared" si="5"/>
        <v>0</v>
      </c>
      <c r="T60" s="677">
        <f t="shared" si="5"/>
        <v>0</v>
      </c>
      <c r="U60" s="677">
        <f t="shared" si="5"/>
        <v>0</v>
      </c>
      <c r="V60" s="677">
        <f t="shared" si="5"/>
        <v>0</v>
      </c>
      <c r="W60" s="678">
        <f t="shared" si="6"/>
        <v>0</v>
      </c>
    </row>
    <row r="61" spans="1:23">
      <c r="A61" s="673">
        <v>59</v>
      </c>
      <c r="B61" s="673" t="s">
        <v>1192</v>
      </c>
      <c r="C61" s="674" t="s">
        <v>1253</v>
      </c>
      <c r="D61" s="674">
        <v>0</v>
      </c>
      <c r="E61" s="674" t="s">
        <v>1254</v>
      </c>
      <c r="F61" s="674" t="s">
        <v>1254</v>
      </c>
      <c r="G61" s="675">
        <v>2015</v>
      </c>
      <c r="H61" s="674">
        <v>2015</v>
      </c>
      <c r="I61" s="676">
        <v>0</v>
      </c>
      <c r="J61" s="677">
        <v>0</v>
      </c>
      <c r="K61" s="677">
        <v>0</v>
      </c>
      <c r="L61" s="677">
        <v>0</v>
      </c>
      <c r="M61" s="678">
        <v>0</v>
      </c>
      <c r="N61" s="676">
        <f t="shared" si="0"/>
        <v>0</v>
      </c>
      <c r="O61" s="677">
        <f t="shared" si="1"/>
        <v>0</v>
      </c>
      <c r="P61" s="677">
        <f t="shared" si="2"/>
        <v>0</v>
      </c>
      <c r="Q61" s="677">
        <f t="shared" si="3"/>
        <v>0</v>
      </c>
      <c r="R61" s="678">
        <f t="shared" si="4"/>
        <v>0</v>
      </c>
      <c r="S61" s="676">
        <f t="shared" si="5"/>
        <v>0</v>
      </c>
      <c r="T61" s="677">
        <f t="shared" si="5"/>
        <v>0</v>
      </c>
      <c r="U61" s="677">
        <f t="shared" si="5"/>
        <v>0</v>
      </c>
      <c r="V61" s="677">
        <f t="shared" si="5"/>
        <v>0</v>
      </c>
      <c r="W61" s="678">
        <f t="shared" si="6"/>
        <v>0</v>
      </c>
    </row>
    <row r="62" spans="1:23">
      <c r="A62" s="673">
        <v>60</v>
      </c>
      <c r="B62" s="673" t="s">
        <v>1167</v>
      </c>
      <c r="C62" s="674" t="s">
        <v>1255</v>
      </c>
      <c r="D62" s="674"/>
      <c r="E62" s="674" t="s">
        <v>1195</v>
      </c>
      <c r="F62" s="674" t="s">
        <v>1196</v>
      </c>
      <c r="G62" s="675">
        <v>2013</v>
      </c>
      <c r="H62" s="674">
        <v>2014</v>
      </c>
      <c r="I62" s="676">
        <f>D62*$J$101</f>
        <v>0</v>
      </c>
      <c r="J62" s="677">
        <v>0</v>
      </c>
      <c r="K62" s="677">
        <v>0</v>
      </c>
      <c r="L62" s="677">
        <v>0</v>
      </c>
      <c r="M62" s="678">
        <v>0</v>
      </c>
      <c r="N62" s="676">
        <f t="shared" si="0"/>
        <v>0</v>
      </c>
      <c r="O62" s="677">
        <f t="shared" si="1"/>
        <v>0</v>
      </c>
      <c r="P62" s="677">
        <f t="shared" si="2"/>
        <v>0</v>
      </c>
      <c r="Q62" s="677">
        <f t="shared" si="3"/>
        <v>0</v>
      </c>
      <c r="R62" s="678">
        <f t="shared" si="4"/>
        <v>0</v>
      </c>
      <c r="S62" s="676">
        <f t="shared" si="5"/>
        <v>0</v>
      </c>
      <c r="T62" s="677">
        <f t="shared" si="5"/>
        <v>0</v>
      </c>
      <c r="U62" s="677">
        <f t="shared" si="5"/>
        <v>0</v>
      </c>
      <c r="V62" s="677">
        <f t="shared" si="5"/>
        <v>0</v>
      </c>
      <c r="W62" s="678">
        <f t="shared" si="6"/>
        <v>0</v>
      </c>
    </row>
    <row r="63" spans="1:23">
      <c r="A63" s="673">
        <v>61</v>
      </c>
      <c r="B63" s="673" t="s">
        <v>1167</v>
      </c>
      <c r="C63" s="674" t="s">
        <v>1256</v>
      </c>
      <c r="D63" s="674">
        <v>0.25</v>
      </c>
      <c r="E63" s="674" t="s">
        <v>1251</v>
      </c>
      <c r="F63" s="674" t="s">
        <v>1252</v>
      </c>
      <c r="G63" s="675">
        <v>2014</v>
      </c>
      <c r="H63" s="674">
        <v>2015</v>
      </c>
      <c r="I63" s="676">
        <v>0</v>
      </c>
      <c r="J63" s="677">
        <v>0</v>
      </c>
      <c r="K63" s="677">
        <v>0</v>
      </c>
      <c r="L63" s="677">
        <v>0</v>
      </c>
      <c r="M63" s="678">
        <v>0</v>
      </c>
      <c r="N63" s="676">
        <f t="shared" si="0"/>
        <v>0</v>
      </c>
      <c r="O63" s="677">
        <f t="shared" si="1"/>
        <v>0</v>
      </c>
      <c r="P63" s="677">
        <f t="shared" si="2"/>
        <v>0</v>
      </c>
      <c r="Q63" s="677">
        <f t="shared" si="3"/>
        <v>0</v>
      </c>
      <c r="R63" s="678">
        <f t="shared" si="4"/>
        <v>0</v>
      </c>
      <c r="S63" s="676">
        <f t="shared" si="5"/>
        <v>0</v>
      </c>
      <c r="T63" s="677">
        <f t="shared" si="5"/>
        <v>0</v>
      </c>
      <c r="U63" s="677">
        <f t="shared" si="5"/>
        <v>0</v>
      </c>
      <c r="V63" s="677">
        <f t="shared" si="5"/>
        <v>0</v>
      </c>
      <c r="W63" s="678">
        <f t="shared" si="6"/>
        <v>0</v>
      </c>
    </row>
    <row r="64" spans="1:23">
      <c r="A64" s="673">
        <v>65</v>
      </c>
      <c r="B64" s="673" t="s">
        <v>206</v>
      </c>
      <c r="C64" s="673" t="s">
        <v>1257</v>
      </c>
      <c r="D64" s="679">
        <f>0.65+1.06+1.76</f>
        <v>3.4699999999999998</v>
      </c>
      <c r="E64" s="673" t="s">
        <v>1161</v>
      </c>
      <c r="F64" s="673" t="s">
        <v>1162</v>
      </c>
      <c r="G64" s="675">
        <v>2013</v>
      </c>
      <c r="H64" s="673">
        <v>2016</v>
      </c>
      <c r="I64" s="676">
        <v>0</v>
      </c>
      <c r="J64" s="677">
        <v>0</v>
      </c>
      <c r="K64" s="677">
        <v>0</v>
      </c>
      <c r="L64" s="677">
        <v>0</v>
      </c>
      <c r="M64" s="678">
        <v>0</v>
      </c>
      <c r="N64" s="676">
        <f t="shared" si="0"/>
        <v>0</v>
      </c>
      <c r="O64" s="677">
        <f t="shared" si="1"/>
        <v>0</v>
      </c>
      <c r="P64" s="677">
        <f t="shared" si="2"/>
        <v>0</v>
      </c>
      <c r="Q64" s="677">
        <f t="shared" si="3"/>
        <v>0</v>
      </c>
      <c r="R64" s="678">
        <f t="shared" si="4"/>
        <v>0</v>
      </c>
      <c r="S64" s="676">
        <f t="shared" si="5"/>
        <v>0</v>
      </c>
      <c r="T64" s="677">
        <f t="shared" si="5"/>
        <v>0</v>
      </c>
      <c r="U64" s="677">
        <f t="shared" si="5"/>
        <v>0</v>
      </c>
      <c r="V64" s="677">
        <f t="shared" si="5"/>
        <v>0</v>
      </c>
      <c r="W64" s="678">
        <f t="shared" si="6"/>
        <v>0</v>
      </c>
    </row>
    <row r="65" spans="1:23">
      <c r="A65" s="673">
        <v>66</v>
      </c>
      <c r="B65" s="673" t="s">
        <v>206</v>
      </c>
      <c r="C65" s="673" t="s">
        <v>1258</v>
      </c>
      <c r="D65" s="673">
        <v>7</v>
      </c>
      <c r="E65" s="673" t="s">
        <v>1164</v>
      </c>
      <c r="F65" s="673" t="s">
        <v>1162</v>
      </c>
      <c r="G65" s="675">
        <v>2012</v>
      </c>
      <c r="H65" s="673">
        <f>G65+1</f>
        <v>2013</v>
      </c>
      <c r="I65" s="676">
        <v>0</v>
      </c>
      <c r="J65" s="677">
        <v>0</v>
      </c>
      <c r="K65" s="677">
        <v>0</v>
      </c>
      <c r="L65" s="677">
        <v>0</v>
      </c>
      <c r="M65" s="678">
        <v>0</v>
      </c>
      <c r="N65" s="676">
        <f t="shared" si="0"/>
        <v>0</v>
      </c>
      <c r="O65" s="677">
        <f t="shared" si="1"/>
        <v>0</v>
      </c>
      <c r="P65" s="677">
        <f t="shared" si="2"/>
        <v>0</v>
      </c>
      <c r="Q65" s="677">
        <f t="shared" si="3"/>
        <v>0</v>
      </c>
      <c r="R65" s="678">
        <f t="shared" si="4"/>
        <v>0</v>
      </c>
      <c r="S65" s="676">
        <f t="shared" si="5"/>
        <v>0</v>
      </c>
      <c r="T65" s="677">
        <f t="shared" si="5"/>
        <v>0</v>
      </c>
      <c r="U65" s="677">
        <f t="shared" si="5"/>
        <v>0</v>
      </c>
      <c r="V65" s="677">
        <f t="shared" si="5"/>
        <v>0</v>
      </c>
      <c r="W65" s="678">
        <f t="shared" si="6"/>
        <v>0</v>
      </c>
    </row>
    <row r="66" spans="1:23">
      <c r="A66" s="673">
        <v>68</v>
      </c>
      <c r="B66" s="673" t="s">
        <v>206</v>
      </c>
      <c r="C66" s="673" t="s">
        <v>1259</v>
      </c>
      <c r="D66" s="673">
        <f>+(10*3180)/10000</f>
        <v>3.18</v>
      </c>
      <c r="E66" s="673" t="s">
        <v>1161</v>
      </c>
      <c r="F66" s="673" t="s">
        <v>1162</v>
      </c>
      <c r="G66" s="675">
        <v>2013</v>
      </c>
      <c r="H66" s="673">
        <v>2013</v>
      </c>
      <c r="I66" s="676">
        <v>0</v>
      </c>
      <c r="J66" s="677">
        <v>0</v>
      </c>
      <c r="K66" s="677">
        <v>0</v>
      </c>
      <c r="L66" s="677">
        <v>0</v>
      </c>
      <c r="M66" s="678">
        <v>0</v>
      </c>
      <c r="N66" s="676">
        <f t="shared" si="0"/>
        <v>0</v>
      </c>
      <c r="O66" s="677">
        <f t="shared" si="1"/>
        <v>0</v>
      </c>
      <c r="P66" s="677">
        <f t="shared" si="2"/>
        <v>0</v>
      </c>
      <c r="Q66" s="677">
        <f t="shared" si="3"/>
        <v>0</v>
      </c>
      <c r="R66" s="678">
        <f t="shared" si="4"/>
        <v>0</v>
      </c>
      <c r="S66" s="676">
        <f t="shared" si="5"/>
        <v>0</v>
      </c>
      <c r="T66" s="677">
        <f t="shared" si="5"/>
        <v>0</v>
      </c>
      <c r="U66" s="677">
        <f t="shared" si="5"/>
        <v>0</v>
      </c>
      <c r="V66" s="677">
        <f t="shared" si="5"/>
        <v>0</v>
      </c>
      <c r="W66" s="678">
        <f t="shared" si="6"/>
        <v>0</v>
      </c>
    </row>
    <row r="67" spans="1:23">
      <c r="A67" s="673">
        <v>69</v>
      </c>
      <c r="B67" s="673" t="s">
        <v>206</v>
      </c>
      <c r="C67" s="673" t="s">
        <v>1260</v>
      </c>
      <c r="D67" s="673">
        <f>+(70*20)/10000</f>
        <v>0.14000000000000001</v>
      </c>
      <c r="E67" s="673" t="s">
        <v>1164</v>
      </c>
      <c r="F67" s="673" t="s">
        <v>1162</v>
      </c>
      <c r="G67" s="675">
        <v>2013</v>
      </c>
      <c r="H67" s="673">
        <v>2016</v>
      </c>
      <c r="I67" s="676">
        <v>0</v>
      </c>
      <c r="J67" s="677">
        <v>0</v>
      </c>
      <c r="K67" s="677">
        <v>0</v>
      </c>
      <c r="L67" s="677">
        <v>0</v>
      </c>
      <c r="M67" s="678">
        <v>0</v>
      </c>
      <c r="N67" s="676">
        <f t="shared" si="0"/>
        <v>0</v>
      </c>
      <c r="O67" s="677">
        <f t="shared" si="1"/>
        <v>0</v>
      </c>
      <c r="P67" s="677">
        <f t="shared" si="2"/>
        <v>0</v>
      </c>
      <c r="Q67" s="677">
        <f t="shared" si="3"/>
        <v>0</v>
      </c>
      <c r="R67" s="678">
        <f t="shared" si="4"/>
        <v>0</v>
      </c>
      <c r="S67" s="676">
        <f t="shared" si="5"/>
        <v>0</v>
      </c>
      <c r="T67" s="677">
        <f t="shared" si="5"/>
        <v>0</v>
      </c>
      <c r="U67" s="677">
        <f t="shared" si="5"/>
        <v>0</v>
      </c>
      <c r="V67" s="677">
        <f t="shared" si="5"/>
        <v>0</v>
      </c>
      <c r="W67" s="678">
        <f t="shared" si="6"/>
        <v>0</v>
      </c>
    </row>
    <row r="68" spans="1:23">
      <c r="A68" s="673">
        <v>70</v>
      </c>
      <c r="B68" s="673" t="s">
        <v>182</v>
      </c>
      <c r="C68" s="673" t="s">
        <v>1261</v>
      </c>
      <c r="D68" s="673">
        <v>0.38</v>
      </c>
      <c r="E68" s="673" t="s">
        <v>1262</v>
      </c>
      <c r="F68" s="673" t="s">
        <v>1162</v>
      </c>
      <c r="G68" s="675">
        <v>2012</v>
      </c>
      <c r="H68" s="673">
        <v>2016</v>
      </c>
      <c r="I68" s="676">
        <v>0</v>
      </c>
      <c r="J68" s="677">
        <v>0</v>
      </c>
      <c r="K68" s="677">
        <v>0</v>
      </c>
      <c r="L68" s="677">
        <v>0</v>
      </c>
      <c r="M68" s="678">
        <v>0</v>
      </c>
      <c r="N68" s="676">
        <f t="shared" ref="N68:N91" si="8">I68*$B$139</f>
        <v>0</v>
      </c>
      <c r="O68" s="677">
        <f t="shared" ref="O68:O91" si="9">J68*$B$142</f>
        <v>0</v>
      </c>
      <c r="P68" s="677">
        <f t="shared" ref="P68:P91" si="10">K68*$B$141</f>
        <v>0</v>
      </c>
      <c r="Q68" s="677">
        <f t="shared" ref="Q68:Q91" si="11">L68*$B$140</f>
        <v>0</v>
      </c>
      <c r="R68" s="678">
        <f t="shared" ref="R68:R91" si="12">SUM(N68:Q68)</f>
        <v>0</v>
      </c>
      <c r="S68" s="676">
        <f t="shared" ref="S68:V91" si="13">I68-N68</f>
        <v>0</v>
      </c>
      <c r="T68" s="677">
        <f t="shared" si="13"/>
        <v>0</v>
      </c>
      <c r="U68" s="677">
        <f t="shared" si="13"/>
        <v>0</v>
      </c>
      <c r="V68" s="677">
        <f t="shared" si="13"/>
        <v>0</v>
      </c>
      <c r="W68" s="678">
        <f t="shared" ref="W68:W91" si="14">SUM(S68:V68)</f>
        <v>0</v>
      </c>
    </row>
    <row r="69" spans="1:23">
      <c r="A69" s="673">
        <v>71</v>
      </c>
      <c r="B69" s="673" t="s">
        <v>182</v>
      </c>
      <c r="C69" s="673" t="s">
        <v>1263</v>
      </c>
      <c r="D69" s="673">
        <f>1.42-0.38</f>
        <v>1.04</v>
      </c>
      <c r="E69" s="673" t="s">
        <v>1262</v>
      </c>
      <c r="F69" s="673" t="s">
        <v>1162</v>
      </c>
      <c r="G69" s="675">
        <v>2012</v>
      </c>
      <c r="H69" s="673">
        <v>2016</v>
      </c>
      <c r="I69" s="676">
        <v>0</v>
      </c>
      <c r="J69" s="677">
        <v>0</v>
      </c>
      <c r="K69" s="677">
        <v>0</v>
      </c>
      <c r="L69" s="677">
        <v>0</v>
      </c>
      <c r="M69" s="678">
        <v>0</v>
      </c>
      <c r="N69" s="676">
        <f t="shared" si="8"/>
        <v>0</v>
      </c>
      <c r="O69" s="677">
        <f t="shared" si="9"/>
        <v>0</v>
      </c>
      <c r="P69" s="677">
        <f t="shared" si="10"/>
        <v>0</v>
      </c>
      <c r="Q69" s="677">
        <f t="shared" si="11"/>
        <v>0</v>
      </c>
      <c r="R69" s="678">
        <f t="shared" si="12"/>
        <v>0</v>
      </c>
      <c r="S69" s="676">
        <f t="shared" si="13"/>
        <v>0</v>
      </c>
      <c r="T69" s="677">
        <f t="shared" si="13"/>
        <v>0</v>
      </c>
      <c r="U69" s="677">
        <f t="shared" si="13"/>
        <v>0</v>
      </c>
      <c r="V69" s="677">
        <f t="shared" si="13"/>
        <v>0</v>
      </c>
      <c r="W69" s="678">
        <f t="shared" si="14"/>
        <v>0</v>
      </c>
    </row>
    <row r="70" spans="1:23" ht="13.9" customHeight="1">
      <c r="A70" s="673">
        <v>72</v>
      </c>
      <c r="B70" s="673" t="s">
        <v>1181</v>
      </c>
      <c r="C70" s="673" t="s">
        <v>1264</v>
      </c>
      <c r="D70" s="673">
        <f>+(10*2213)/10000</f>
        <v>2.2130000000000001</v>
      </c>
      <c r="E70" s="673" t="s">
        <v>1265</v>
      </c>
      <c r="F70" s="673" t="s">
        <v>1162</v>
      </c>
      <c r="G70" s="675">
        <v>2012</v>
      </c>
      <c r="H70" s="673">
        <v>2016</v>
      </c>
      <c r="I70" s="676">
        <v>0</v>
      </c>
      <c r="J70" s="677">
        <v>0</v>
      </c>
      <c r="K70" s="677">
        <v>0</v>
      </c>
      <c r="L70" s="677">
        <v>0</v>
      </c>
      <c r="M70" s="678">
        <v>0</v>
      </c>
      <c r="N70" s="676">
        <f t="shared" si="8"/>
        <v>0</v>
      </c>
      <c r="O70" s="677">
        <f t="shared" si="9"/>
        <v>0</v>
      </c>
      <c r="P70" s="677">
        <f t="shared" si="10"/>
        <v>0</v>
      </c>
      <c r="Q70" s="677">
        <f t="shared" si="11"/>
        <v>0</v>
      </c>
      <c r="R70" s="678">
        <f t="shared" si="12"/>
        <v>0</v>
      </c>
      <c r="S70" s="676">
        <f t="shared" si="13"/>
        <v>0</v>
      </c>
      <c r="T70" s="677">
        <f t="shared" si="13"/>
        <v>0</v>
      </c>
      <c r="U70" s="677">
        <f t="shared" si="13"/>
        <v>0</v>
      </c>
      <c r="V70" s="677">
        <f t="shared" si="13"/>
        <v>0</v>
      </c>
      <c r="W70" s="678">
        <f t="shared" si="14"/>
        <v>0</v>
      </c>
    </row>
    <row r="71" spans="1:23">
      <c r="A71" s="673">
        <v>73</v>
      </c>
      <c r="B71" s="673" t="s">
        <v>1181</v>
      </c>
      <c r="C71" s="673" t="s">
        <v>1266</v>
      </c>
      <c r="D71" s="673">
        <f>+(10*2490)/10000</f>
        <v>2.4900000000000002</v>
      </c>
      <c r="E71" s="673" t="s">
        <v>1267</v>
      </c>
      <c r="F71" s="673" t="s">
        <v>1162</v>
      </c>
      <c r="G71" s="675">
        <v>2013</v>
      </c>
      <c r="H71" s="673">
        <v>2016</v>
      </c>
      <c r="I71" s="676">
        <v>0</v>
      </c>
      <c r="J71" s="677">
        <v>0</v>
      </c>
      <c r="K71" s="677">
        <v>0</v>
      </c>
      <c r="L71" s="677">
        <v>0</v>
      </c>
      <c r="M71" s="678">
        <v>0</v>
      </c>
      <c r="N71" s="676">
        <f t="shared" si="8"/>
        <v>0</v>
      </c>
      <c r="O71" s="677">
        <f t="shared" si="9"/>
        <v>0</v>
      </c>
      <c r="P71" s="677">
        <f t="shared" si="10"/>
        <v>0</v>
      </c>
      <c r="Q71" s="677">
        <f t="shared" si="11"/>
        <v>0</v>
      </c>
      <c r="R71" s="678">
        <f t="shared" si="12"/>
        <v>0</v>
      </c>
      <c r="S71" s="676">
        <f t="shared" si="13"/>
        <v>0</v>
      </c>
      <c r="T71" s="677">
        <f t="shared" si="13"/>
        <v>0</v>
      </c>
      <c r="U71" s="677">
        <f t="shared" si="13"/>
        <v>0</v>
      </c>
      <c r="V71" s="677">
        <f t="shared" si="13"/>
        <v>0</v>
      </c>
      <c r="W71" s="678">
        <f t="shared" si="14"/>
        <v>0</v>
      </c>
    </row>
    <row r="72" spans="1:23">
      <c r="A72" s="673">
        <v>74</v>
      </c>
      <c r="B72" s="673" t="s">
        <v>182</v>
      </c>
      <c r="C72" s="673" t="s">
        <v>1268</v>
      </c>
      <c r="D72" s="673">
        <f>+(400*20)/10000</f>
        <v>0.8</v>
      </c>
      <c r="E72" s="673" t="s">
        <v>1166</v>
      </c>
      <c r="F72" s="673" t="s">
        <v>1162</v>
      </c>
      <c r="G72" s="675">
        <v>2013</v>
      </c>
      <c r="H72" s="673">
        <v>2016</v>
      </c>
      <c r="I72" s="676">
        <v>0</v>
      </c>
      <c r="J72" s="677">
        <v>0</v>
      </c>
      <c r="K72" s="677">
        <v>0</v>
      </c>
      <c r="L72" s="677">
        <v>0</v>
      </c>
      <c r="M72" s="678">
        <v>0</v>
      </c>
      <c r="N72" s="676">
        <f t="shared" si="8"/>
        <v>0</v>
      </c>
      <c r="O72" s="677">
        <f t="shared" si="9"/>
        <v>0</v>
      </c>
      <c r="P72" s="677">
        <f t="shared" si="10"/>
        <v>0</v>
      </c>
      <c r="Q72" s="677">
        <f t="shared" si="11"/>
        <v>0</v>
      </c>
      <c r="R72" s="678">
        <f t="shared" si="12"/>
        <v>0</v>
      </c>
      <c r="S72" s="676">
        <f t="shared" si="13"/>
        <v>0</v>
      </c>
      <c r="T72" s="677">
        <f t="shared" si="13"/>
        <v>0</v>
      </c>
      <c r="U72" s="677">
        <f t="shared" si="13"/>
        <v>0</v>
      </c>
      <c r="V72" s="677">
        <f t="shared" si="13"/>
        <v>0</v>
      </c>
      <c r="W72" s="678">
        <f t="shared" si="14"/>
        <v>0</v>
      </c>
    </row>
    <row r="73" spans="1:23">
      <c r="A73" s="673">
        <v>75</v>
      </c>
      <c r="B73" s="673" t="s">
        <v>182</v>
      </c>
      <c r="C73" s="673" t="s">
        <v>1269</v>
      </c>
      <c r="D73" s="673">
        <f>+(10*4200)/10000</f>
        <v>4.2</v>
      </c>
      <c r="E73" s="673" t="s">
        <v>1180</v>
      </c>
      <c r="F73" s="673" t="s">
        <v>1162</v>
      </c>
      <c r="G73" s="675">
        <v>2013</v>
      </c>
      <c r="H73" s="673">
        <v>2015</v>
      </c>
      <c r="I73" s="676">
        <v>0</v>
      </c>
      <c r="J73" s="677">
        <v>0</v>
      </c>
      <c r="K73" s="677">
        <v>0</v>
      </c>
      <c r="L73" s="677">
        <v>0</v>
      </c>
      <c r="M73" s="678">
        <v>0</v>
      </c>
      <c r="N73" s="676">
        <f t="shared" si="8"/>
        <v>0</v>
      </c>
      <c r="O73" s="677">
        <f t="shared" si="9"/>
        <v>0</v>
      </c>
      <c r="P73" s="677">
        <f t="shared" si="10"/>
        <v>0</v>
      </c>
      <c r="Q73" s="677">
        <f t="shared" si="11"/>
        <v>0</v>
      </c>
      <c r="R73" s="678">
        <f t="shared" si="12"/>
        <v>0</v>
      </c>
      <c r="S73" s="676">
        <f t="shared" si="13"/>
        <v>0</v>
      </c>
      <c r="T73" s="677">
        <f t="shared" si="13"/>
        <v>0</v>
      </c>
      <c r="U73" s="677">
        <f t="shared" si="13"/>
        <v>0</v>
      </c>
      <c r="V73" s="677">
        <f t="shared" si="13"/>
        <v>0</v>
      </c>
      <c r="W73" s="678">
        <f t="shared" si="14"/>
        <v>0</v>
      </c>
    </row>
    <row r="74" spans="1:23" ht="14.45" customHeight="1">
      <c r="A74" s="673">
        <v>76</v>
      </c>
      <c r="B74" s="673" t="s">
        <v>1167</v>
      </c>
      <c r="C74" s="673" t="s">
        <v>1270</v>
      </c>
      <c r="D74" s="673">
        <f>+(110*20)/10000</f>
        <v>0.22</v>
      </c>
      <c r="E74" s="673" t="s">
        <v>1169</v>
      </c>
      <c r="F74" s="673" t="s">
        <v>1170</v>
      </c>
      <c r="G74" s="675">
        <v>2013</v>
      </c>
      <c r="H74" s="673">
        <v>2014</v>
      </c>
      <c r="I74" s="676">
        <v>0</v>
      </c>
      <c r="J74" s="677">
        <v>0</v>
      </c>
      <c r="K74" s="677">
        <v>0</v>
      </c>
      <c r="L74" s="677">
        <v>0</v>
      </c>
      <c r="M74" s="678">
        <v>0</v>
      </c>
      <c r="N74" s="676">
        <f t="shared" si="8"/>
        <v>0</v>
      </c>
      <c r="O74" s="677">
        <f t="shared" si="9"/>
        <v>0</v>
      </c>
      <c r="P74" s="677">
        <f t="shared" si="10"/>
        <v>0</v>
      </c>
      <c r="Q74" s="677">
        <f t="shared" si="11"/>
        <v>0</v>
      </c>
      <c r="R74" s="678">
        <f t="shared" si="12"/>
        <v>0</v>
      </c>
      <c r="S74" s="676">
        <f t="shared" si="13"/>
        <v>0</v>
      </c>
      <c r="T74" s="677">
        <f t="shared" si="13"/>
        <v>0</v>
      </c>
      <c r="U74" s="677">
        <f t="shared" si="13"/>
        <v>0</v>
      </c>
      <c r="V74" s="677">
        <f t="shared" si="13"/>
        <v>0</v>
      </c>
      <c r="W74" s="678">
        <f t="shared" si="14"/>
        <v>0</v>
      </c>
    </row>
    <row r="75" spans="1:23">
      <c r="A75" s="673">
        <v>77</v>
      </c>
      <c r="B75" s="673" t="s">
        <v>1167</v>
      </c>
      <c r="C75" s="673" t="s">
        <v>1271</v>
      </c>
      <c r="D75" s="673">
        <f>+(170*20)/10000</f>
        <v>0.34</v>
      </c>
      <c r="E75" s="673"/>
      <c r="F75" s="673" t="s">
        <v>1272</v>
      </c>
      <c r="G75" s="675">
        <v>2013</v>
      </c>
      <c r="H75" s="673">
        <v>2014</v>
      </c>
      <c r="I75" s="676">
        <v>0</v>
      </c>
      <c r="J75" s="677">
        <v>0</v>
      </c>
      <c r="K75" s="677">
        <v>0</v>
      </c>
      <c r="L75" s="677">
        <v>0</v>
      </c>
      <c r="M75" s="678">
        <v>0</v>
      </c>
      <c r="N75" s="676">
        <f t="shared" si="8"/>
        <v>0</v>
      </c>
      <c r="O75" s="677">
        <f t="shared" si="9"/>
        <v>0</v>
      </c>
      <c r="P75" s="677">
        <f t="shared" si="10"/>
        <v>0</v>
      </c>
      <c r="Q75" s="677">
        <f t="shared" si="11"/>
        <v>0</v>
      </c>
      <c r="R75" s="678">
        <f t="shared" si="12"/>
        <v>0</v>
      </c>
      <c r="S75" s="676">
        <f t="shared" si="13"/>
        <v>0</v>
      </c>
      <c r="T75" s="677">
        <f t="shared" si="13"/>
        <v>0</v>
      </c>
      <c r="U75" s="677">
        <f t="shared" si="13"/>
        <v>0</v>
      </c>
      <c r="V75" s="677">
        <f t="shared" si="13"/>
        <v>0</v>
      </c>
      <c r="W75" s="678">
        <f t="shared" si="14"/>
        <v>0</v>
      </c>
    </row>
    <row r="76" spans="1:23">
      <c r="A76" s="673">
        <v>78</v>
      </c>
      <c r="B76" s="673" t="s">
        <v>1167</v>
      </c>
      <c r="C76" s="673" t="s">
        <v>1273</v>
      </c>
      <c r="D76" s="673">
        <f>+(10*100)/10000</f>
        <v>0.1</v>
      </c>
      <c r="E76" s="673" t="s">
        <v>1190</v>
      </c>
      <c r="F76" s="673" t="s">
        <v>1191</v>
      </c>
      <c r="G76" s="675">
        <v>2013</v>
      </c>
      <c r="H76" s="673">
        <v>2013</v>
      </c>
      <c r="I76" s="676">
        <f t="shared" ref="I76:I77" si="15">D76*$J$112</f>
        <v>3.6392043002143519</v>
      </c>
      <c r="J76" s="677">
        <v>0</v>
      </c>
      <c r="K76" s="677">
        <v>0</v>
      </c>
      <c r="L76" s="677">
        <v>0</v>
      </c>
      <c r="M76" s="678">
        <v>3.6392043002143519</v>
      </c>
      <c r="N76" s="676">
        <f t="shared" si="8"/>
        <v>2.4018748381414725</v>
      </c>
      <c r="O76" s="677">
        <f t="shared" si="9"/>
        <v>0</v>
      </c>
      <c r="P76" s="677">
        <f t="shared" si="10"/>
        <v>0</v>
      </c>
      <c r="Q76" s="677">
        <f t="shared" si="11"/>
        <v>0</v>
      </c>
      <c r="R76" s="678">
        <f t="shared" si="12"/>
        <v>2.4018748381414725</v>
      </c>
      <c r="S76" s="676">
        <f t="shared" si="13"/>
        <v>1.2373294620728794</v>
      </c>
      <c r="T76" s="677">
        <f t="shared" si="13"/>
        <v>0</v>
      </c>
      <c r="U76" s="677">
        <f t="shared" si="13"/>
        <v>0</v>
      </c>
      <c r="V76" s="677">
        <f t="shared" si="13"/>
        <v>0</v>
      </c>
      <c r="W76" s="678">
        <f t="shared" si="14"/>
        <v>1.2373294620728794</v>
      </c>
    </row>
    <row r="77" spans="1:23">
      <c r="A77" s="673">
        <v>79</v>
      </c>
      <c r="B77" s="673" t="s">
        <v>1167</v>
      </c>
      <c r="C77" s="673" t="s">
        <v>1274</v>
      </c>
      <c r="D77" s="673">
        <f>+(10*100)/10000</f>
        <v>0.1</v>
      </c>
      <c r="E77" s="673" t="s">
        <v>1190</v>
      </c>
      <c r="F77" s="673" t="s">
        <v>1191</v>
      </c>
      <c r="G77" s="675">
        <v>2013</v>
      </c>
      <c r="H77" s="673">
        <f t="shared" ref="H77:H89" si="16">G77+1</f>
        <v>2014</v>
      </c>
      <c r="I77" s="676">
        <f t="shared" si="15"/>
        <v>3.6392043002143519</v>
      </c>
      <c r="J77" s="677">
        <v>0</v>
      </c>
      <c r="K77" s="677">
        <v>0</v>
      </c>
      <c r="L77" s="677">
        <v>0</v>
      </c>
      <c r="M77" s="678">
        <v>3.6392043002143519</v>
      </c>
      <c r="N77" s="676">
        <f t="shared" si="8"/>
        <v>2.4018748381414725</v>
      </c>
      <c r="O77" s="677">
        <f t="shared" si="9"/>
        <v>0</v>
      </c>
      <c r="P77" s="677">
        <f t="shared" si="10"/>
        <v>0</v>
      </c>
      <c r="Q77" s="677">
        <f t="shared" si="11"/>
        <v>0</v>
      </c>
      <c r="R77" s="678">
        <f t="shared" si="12"/>
        <v>2.4018748381414725</v>
      </c>
      <c r="S77" s="676">
        <f t="shared" si="13"/>
        <v>1.2373294620728794</v>
      </c>
      <c r="T77" s="677">
        <f t="shared" si="13"/>
        <v>0</v>
      </c>
      <c r="U77" s="677">
        <f t="shared" si="13"/>
        <v>0</v>
      </c>
      <c r="V77" s="677">
        <f t="shared" si="13"/>
        <v>0</v>
      </c>
      <c r="W77" s="678">
        <f t="shared" si="14"/>
        <v>1.2373294620728794</v>
      </c>
    </row>
    <row r="78" spans="1:23">
      <c r="A78" s="673">
        <v>80</v>
      </c>
      <c r="B78" s="673" t="s">
        <v>1192</v>
      </c>
      <c r="C78" s="673" t="s">
        <v>1275</v>
      </c>
      <c r="D78" s="673">
        <v>2.86</v>
      </c>
      <c r="E78" s="673" t="s">
        <v>1234</v>
      </c>
      <c r="F78" s="673" t="s">
        <v>1186</v>
      </c>
      <c r="G78" s="675">
        <v>2012</v>
      </c>
      <c r="H78" s="673">
        <f t="shared" si="16"/>
        <v>2013</v>
      </c>
      <c r="I78" s="676">
        <f>D78*$J$108</f>
        <v>12.480426541590367</v>
      </c>
      <c r="J78" s="677">
        <v>0</v>
      </c>
      <c r="K78" s="677">
        <f>$A$135*D78</f>
        <v>2.2879999999999998</v>
      </c>
      <c r="L78" s="677">
        <v>0</v>
      </c>
      <c r="M78" s="678">
        <v>17.056426541590366</v>
      </c>
      <c r="N78" s="676">
        <f t="shared" si="8"/>
        <v>8.2370815174496421</v>
      </c>
      <c r="O78" s="677">
        <f t="shared" si="9"/>
        <v>0</v>
      </c>
      <c r="P78" s="677">
        <f t="shared" si="10"/>
        <v>1.5100799999999999</v>
      </c>
      <c r="Q78" s="677">
        <f t="shared" si="11"/>
        <v>0</v>
      </c>
      <c r="R78" s="678">
        <f t="shared" si="12"/>
        <v>9.7471615174496424</v>
      </c>
      <c r="S78" s="676">
        <f t="shared" si="13"/>
        <v>4.2433450241407247</v>
      </c>
      <c r="T78" s="677">
        <f t="shared" si="13"/>
        <v>0</v>
      </c>
      <c r="U78" s="677">
        <f t="shared" si="13"/>
        <v>0.77791999999999994</v>
      </c>
      <c r="V78" s="677">
        <f t="shared" si="13"/>
        <v>0</v>
      </c>
      <c r="W78" s="678">
        <f t="shared" si="14"/>
        <v>5.0212650241407246</v>
      </c>
    </row>
    <row r="79" spans="1:23">
      <c r="A79" s="673">
        <v>81</v>
      </c>
      <c r="B79" s="673" t="s">
        <v>1192</v>
      </c>
      <c r="C79" s="673" t="s">
        <v>1276</v>
      </c>
      <c r="D79" s="673">
        <f>3.92-2.86</f>
        <v>1.06</v>
      </c>
      <c r="E79" s="673" t="s">
        <v>1277</v>
      </c>
      <c r="F79" s="673" t="s">
        <v>1278</v>
      </c>
      <c r="G79" s="675">
        <v>2012</v>
      </c>
      <c r="H79" s="673">
        <f t="shared" si="16"/>
        <v>2013</v>
      </c>
      <c r="I79" s="676">
        <v>0</v>
      </c>
      <c r="J79" s="677">
        <v>0</v>
      </c>
      <c r="K79" s="677">
        <v>0</v>
      </c>
      <c r="L79" s="677">
        <v>0</v>
      </c>
      <c r="M79" s="678">
        <v>0</v>
      </c>
      <c r="N79" s="676">
        <f t="shared" si="8"/>
        <v>0</v>
      </c>
      <c r="O79" s="677">
        <f t="shared" si="9"/>
        <v>0</v>
      </c>
      <c r="P79" s="677">
        <f t="shared" si="10"/>
        <v>0</v>
      </c>
      <c r="Q79" s="677">
        <f t="shared" si="11"/>
        <v>0</v>
      </c>
      <c r="R79" s="678">
        <f t="shared" si="12"/>
        <v>0</v>
      </c>
      <c r="S79" s="676">
        <f t="shared" si="13"/>
        <v>0</v>
      </c>
      <c r="T79" s="677">
        <f t="shared" si="13"/>
        <v>0</v>
      </c>
      <c r="U79" s="677">
        <f t="shared" si="13"/>
        <v>0</v>
      </c>
      <c r="V79" s="677">
        <f t="shared" si="13"/>
        <v>0</v>
      </c>
      <c r="W79" s="678">
        <f t="shared" si="14"/>
        <v>0</v>
      </c>
    </row>
    <row r="80" spans="1:23">
      <c r="A80" s="673">
        <v>82</v>
      </c>
      <c r="B80" s="673" t="s">
        <v>1192</v>
      </c>
      <c r="C80" s="673" t="s">
        <v>1279</v>
      </c>
      <c r="D80" s="673">
        <f>4.56-3.92</f>
        <v>0.63999999999999968</v>
      </c>
      <c r="E80" s="673" t="s">
        <v>1280</v>
      </c>
      <c r="F80" s="673" t="s">
        <v>1186</v>
      </c>
      <c r="G80" s="675">
        <v>2012</v>
      </c>
      <c r="H80" s="673">
        <f t="shared" si="16"/>
        <v>2013</v>
      </c>
      <c r="I80" s="676">
        <f>D80*$J$107</f>
        <v>1.5644909436521466</v>
      </c>
      <c r="J80" s="677">
        <v>0</v>
      </c>
      <c r="K80" s="677">
        <f>$A$135*D80</f>
        <v>0.51199999999999979</v>
      </c>
      <c r="L80" s="677">
        <v>0</v>
      </c>
      <c r="M80" s="678">
        <v>2.5884909436521459</v>
      </c>
      <c r="N80" s="676">
        <f t="shared" si="8"/>
        <v>1.0325640228104167</v>
      </c>
      <c r="O80" s="677">
        <f t="shared" si="9"/>
        <v>0</v>
      </c>
      <c r="P80" s="677">
        <f t="shared" si="10"/>
        <v>0.33791999999999989</v>
      </c>
      <c r="Q80" s="677">
        <f t="shared" si="11"/>
        <v>0</v>
      </c>
      <c r="R80" s="678">
        <f t="shared" si="12"/>
        <v>1.3704840228104165</v>
      </c>
      <c r="S80" s="676">
        <f t="shared" si="13"/>
        <v>0.53192692084172988</v>
      </c>
      <c r="T80" s="677">
        <f t="shared" si="13"/>
        <v>0</v>
      </c>
      <c r="U80" s="677">
        <f t="shared" si="13"/>
        <v>0.1740799999999999</v>
      </c>
      <c r="V80" s="677">
        <f t="shared" si="13"/>
        <v>0</v>
      </c>
      <c r="W80" s="678">
        <f t="shared" si="14"/>
        <v>0.70600692084172978</v>
      </c>
    </row>
    <row r="81" spans="1:23">
      <c r="A81" s="673">
        <v>83</v>
      </c>
      <c r="B81" s="673" t="s">
        <v>1192</v>
      </c>
      <c r="C81" s="673" t="s">
        <v>1281</v>
      </c>
      <c r="D81" s="673">
        <f>5.34-4.56</f>
        <v>0.78000000000000025</v>
      </c>
      <c r="E81" s="673" t="s">
        <v>1277</v>
      </c>
      <c r="F81" s="673" t="s">
        <v>1278</v>
      </c>
      <c r="G81" s="675">
        <v>2012</v>
      </c>
      <c r="H81" s="673">
        <f t="shared" si="16"/>
        <v>2013</v>
      </c>
      <c r="I81" s="676">
        <v>0</v>
      </c>
      <c r="J81" s="677">
        <v>0</v>
      </c>
      <c r="K81" s="677">
        <v>0</v>
      </c>
      <c r="L81" s="677">
        <v>0</v>
      </c>
      <c r="M81" s="678">
        <v>0</v>
      </c>
      <c r="N81" s="676">
        <f t="shared" si="8"/>
        <v>0</v>
      </c>
      <c r="O81" s="677">
        <f t="shared" si="9"/>
        <v>0</v>
      </c>
      <c r="P81" s="677">
        <f t="shared" si="10"/>
        <v>0</v>
      </c>
      <c r="Q81" s="677">
        <f t="shared" si="11"/>
        <v>0</v>
      </c>
      <c r="R81" s="678">
        <f t="shared" si="12"/>
        <v>0</v>
      </c>
      <c r="S81" s="676">
        <f t="shared" si="13"/>
        <v>0</v>
      </c>
      <c r="T81" s="677">
        <f t="shared" si="13"/>
        <v>0</v>
      </c>
      <c r="U81" s="677">
        <f t="shared" si="13"/>
        <v>0</v>
      </c>
      <c r="V81" s="677">
        <f t="shared" si="13"/>
        <v>0</v>
      </c>
      <c r="W81" s="678">
        <f t="shared" si="14"/>
        <v>0</v>
      </c>
    </row>
    <row r="82" spans="1:23">
      <c r="A82" s="673">
        <v>84</v>
      </c>
      <c r="B82" s="673" t="s">
        <v>1192</v>
      </c>
      <c r="C82" s="673" t="s">
        <v>1282</v>
      </c>
      <c r="D82" s="673">
        <f>6.09-5.34</f>
        <v>0.75</v>
      </c>
      <c r="E82" s="673" t="s">
        <v>1204</v>
      </c>
      <c r="F82" s="673" t="s">
        <v>1186</v>
      </c>
      <c r="G82" s="675">
        <v>2012</v>
      </c>
      <c r="H82" s="673">
        <f t="shared" si="16"/>
        <v>2013</v>
      </c>
      <c r="I82" s="676">
        <f>D82*$J$106</f>
        <v>4.0297988375568004</v>
      </c>
      <c r="J82" s="677">
        <v>0</v>
      </c>
      <c r="K82" s="677">
        <f>$A$135*D82</f>
        <v>0.60000000000000009</v>
      </c>
      <c r="L82" s="677">
        <v>0</v>
      </c>
      <c r="M82" s="678">
        <v>5.2297988375568005</v>
      </c>
      <c r="N82" s="676">
        <f t="shared" si="8"/>
        <v>2.6596672327874882</v>
      </c>
      <c r="O82" s="677">
        <f t="shared" si="9"/>
        <v>0</v>
      </c>
      <c r="P82" s="677">
        <f t="shared" si="10"/>
        <v>0.39600000000000007</v>
      </c>
      <c r="Q82" s="677">
        <f t="shared" si="11"/>
        <v>0</v>
      </c>
      <c r="R82" s="678">
        <f t="shared" si="12"/>
        <v>3.0556672327874881</v>
      </c>
      <c r="S82" s="676">
        <f t="shared" si="13"/>
        <v>1.3701316047693122</v>
      </c>
      <c r="T82" s="677">
        <f t="shared" si="13"/>
        <v>0</v>
      </c>
      <c r="U82" s="677">
        <f t="shared" si="13"/>
        <v>0.20400000000000001</v>
      </c>
      <c r="V82" s="677">
        <f t="shared" si="13"/>
        <v>0</v>
      </c>
      <c r="W82" s="678">
        <f t="shared" si="14"/>
        <v>1.5741316047693121</v>
      </c>
    </row>
    <row r="83" spans="1:23">
      <c r="A83" s="673">
        <v>85</v>
      </c>
      <c r="B83" s="673" t="s">
        <v>1192</v>
      </c>
      <c r="C83" s="673" t="s">
        <v>1283</v>
      </c>
      <c r="D83" s="673">
        <v>1</v>
      </c>
      <c r="E83" s="673" t="s">
        <v>1277</v>
      </c>
      <c r="F83" s="673" t="s">
        <v>1278</v>
      </c>
      <c r="G83" s="675">
        <v>2012</v>
      </c>
      <c r="H83" s="673">
        <f t="shared" si="16"/>
        <v>2013</v>
      </c>
      <c r="I83" s="676">
        <v>0</v>
      </c>
      <c r="J83" s="677">
        <v>0</v>
      </c>
      <c r="K83" s="677">
        <v>0</v>
      </c>
      <c r="L83" s="677">
        <v>0</v>
      </c>
      <c r="M83" s="678">
        <v>0</v>
      </c>
      <c r="N83" s="676">
        <f t="shared" si="8"/>
        <v>0</v>
      </c>
      <c r="O83" s="677">
        <f t="shared" si="9"/>
        <v>0</v>
      </c>
      <c r="P83" s="677">
        <f t="shared" si="10"/>
        <v>0</v>
      </c>
      <c r="Q83" s="677">
        <f t="shared" si="11"/>
        <v>0</v>
      </c>
      <c r="R83" s="678">
        <f t="shared" si="12"/>
        <v>0</v>
      </c>
      <c r="S83" s="676">
        <f t="shared" si="13"/>
        <v>0</v>
      </c>
      <c r="T83" s="677">
        <f t="shared" si="13"/>
        <v>0</v>
      </c>
      <c r="U83" s="677">
        <f t="shared" si="13"/>
        <v>0</v>
      </c>
      <c r="V83" s="677">
        <f t="shared" si="13"/>
        <v>0</v>
      </c>
      <c r="W83" s="678">
        <f t="shared" si="14"/>
        <v>0</v>
      </c>
    </row>
    <row r="84" spans="1:23">
      <c r="A84" s="673">
        <v>86</v>
      </c>
      <c r="B84" s="673" t="s">
        <v>1018</v>
      </c>
      <c r="C84" s="673" t="s">
        <v>1284</v>
      </c>
      <c r="D84" s="673">
        <f>+(10*4122)/10000</f>
        <v>4.1219999999999999</v>
      </c>
      <c r="E84" s="673" t="s">
        <v>1185</v>
      </c>
      <c r="F84" s="673" t="s">
        <v>1186</v>
      </c>
      <c r="G84" s="675">
        <v>2013</v>
      </c>
      <c r="H84" s="673">
        <f t="shared" si="16"/>
        <v>2014</v>
      </c>
      <c r="I84" s="676">
        <f>D84*$J$105</f>
        <v>15.86266606402731</v>
      </c>
      <c r="J84" s="677">
        <v>0</v>
      </c>
      <c r="K84" s="677">
        <v>0</v>
      </c>
      <c r="L84" s="677">
        <v>0</v>
      </c>
      <c r="M84" s="678">
        <v>15.86266606402731</v>
      </c>
      <c r="N84" s="676">
        <f t="shared" si="8"/>
        <v>10.469359602258026</v>
      </c>
      <c r="O84" s="677">
        <f t="shared" si="9"/>
        <v>0</v>
      </c>
      <c r="P84" s="677">
        <f t="shared" si="10"/>
        <v>0</v>
      </c>
      <c r="Q84" s="677">
        <f t="shared" si="11"/>
        <v>0</v>
      </c>
      <c r="R84" s="678">
        <f t="shared" si="12"/>
        <v>10.469359602258026</v>
      </c>
      <c r="S84" s="676">
        <f t="shared" si="13"/>
        <v>5.393306461769285</v>
      </c>
      <c r="T84" s="677">
        <f t="shared" si="13"/>
        <v>0</v>
      </c>
      <c r="U84" s="677">
        <f t="shared" si="13"/>
        <v>0</v>
      </c>
      <c r="V84" s="677">
        <f t="shared" si="13"/>
        <v>0</v>
      </c>
      <c r="W84" s="678">
        <f t="shared" si="14"/>
        <v>5.393306461769285</v>
      </c>
    </row>
    <row r="85" spans="1:23">
      <c r="A85" s="673">
        <v>87</v>
      </c>
      <c r="B85" s="673" t="s">
        <v>1167</v>
      </c>
      <c r="C85" s="673" t="s">
        <v>1285</v>
      </c>
      <c r="D85" s="673">
        <f>+(10*8563)/10000</f>
        <v>8.5630000000000006</v>
      </c>
      <c r="E85" s="673" t="s">
        <v>1286</v>
      </c>
      <c r="F85" s="673" t="s">
        <v>1252</v>
      </c>
      <c r="G85" s="675">
        <v>2013</v>
      </c>
      <c r="H85" s="673">
        <f t="shared" si="16"/>
        <v>2014</v>
      </c>
      <c r="I85" s="676">
        <v>0</v>
      </c>
      <c r="J85" s="677">
        <v>0</v>
      </c>
      <c r="K85" s="677">
        <v>0</v>
      </c>
      <c r="L85" s="677">
        <v>0</v>
      </c>
      <c r="M85" s="678">
        <v>0</v>
      </c>
      <c r="N85" s="676">
        <f t="shared" si="8"/>
        <v>0</v>
      </c>
      <c r="O85" s="677">
        <f t="shared" si="9"/>
        <v>0</v>
      </c>
      <c r="P85" s="677">
        <f t="shared" si="10"/>
        <v>0</v>
      </c>
      <c r="Q85" s="677">
        <f t="shared" si="11"/>
        <v>0</v>
      </c>
      <c r="R85" s="678">
        <f t="shared" si="12"/>
        <v>0</v>
      </c>
      <c r="S85" s="676">
        <f t="shared" si="13"/>
        <v>0</v>
      </c>
      <c r="T85" s="677">
        <f t="shared" si="13"/>
        <v>0</v>
      </c>
      <c r="U85" s="677">
        <f t="shared" si="13"/>
        <v>0</v>
      </c>
      <c r="V85" s="677">
        <f t="shared" si="13"/>
        <v>0</v>
      </c>
      <c r="W85" s="678">
        <f t="shared" si="14"/>
        <v>0</v>
      </c>
    </row>
    <row r="86" spans="1:23">
      <c r="A86" s="673">
        <v>88</v>
      </c>
      <c r="B86" s="673" t="s">
        <v>1167</v>
      </c>
      <c r="C86" s="673" t="s">
        <v>1287</v>
      </c>
      <c r="D86" s="673">
        <f>+(10*100)/10000</f>
        <v>0.1</v>
      </c>
      <c r="E86" s="673" t="s">
        <v>1288</v>
      </c>
      <c r="F86" s="673" t="s">
        <v>1186</v>
      </c>
      <c r="G86" s="675">
        <v>2013</v>
      </c>
      <c r="H86" s="673">
        <f t="shared" si="16"/>
        <v>2014</v>
      </c>
      <c r="I86" s="676">
        <f>D86*$J$102</f>
        <v>2.218327310962525</v>
      </c>
      <c r="J86" s="677">
        <v>0</v>
      </c>
      <c r="K86" s="677">
        <f>$A$135*D86</f>
        <v>8.0000000000000016E-2</v>
      </c>
      <c r="L86" s="677">
        <f>$A$131*D86</f>
        <v>1.32</v>
      </c>
      <c r="M86" s="678">
        <v>3.698327310962525</v>
      </c>
      <c r="N86" s="676">
        <f t="shared" si="8"/>
        <v>1.4640960252352666</v>
      </c>
      <c r="O86" s="677">
        <f t="shared" si="9"/>
        <v>0</v>
      </c>
      <c r="P86" s="677">
        <f t="shared" si="10"/>
        <v>5.2800000000000014E-2</v>
      </c>
      <c r="Q86" s="677">
        <f t="shared" si="11"/>
        <v>0.88440000000000007</v>
      </c>
      <c r="R86" s="678">
        <f t="shared" si="12"/>
        <v>2.4012960252352666</v>
      </c>
      <c r="S86" s="676">
        <f t="shared" si="13"/>
        <v>0.75423128572725839</v>
      </c>
      <c r="T86" s="677">
        <f t="shared" si="13"/>
        <v>0</v>
      </c>
      <c r="U86" s="677">
        <f t="shared" si="13"/>
        <v>2.7200000000000002E-2</v>
      </c>
      <c r="V86" s="677">
        <f t="shared" si="13"/>
        <v>0.43559999999999999</v>
      </c>
      <c r="W86" s="678">
        <f t="shared" si="14"/>
        <v>1.2170312857272583</v>
      </c>
    </row>
    <row r="87" spans="1:23">
      <c r="A87" s="673">
        <v>89</v>
      </c>
      <c r="B87" s="673" t="s">
        <v>1175</v>
      </c>
      <c r="C87" s="673" t="s">
        <v>1289</v>
      </c>
      <c r="D87" s="673">
        <f>+(10*450)/10000</f>
        <v>0.45</v>
      </c>
      <c r="E87" s="673" t="s">
        <v>1221</v>
      </c>
      <c r="F87" s="673" t="s">
        <v>1290</v>
      </c>
      <c r="G87" s="675">
        <v>2011</v>
      </c>
      <c r="H87" s="673">
        <f t="shared" si="16"/>
        <v>2012</v>
      </c>
      <c r="I87" s="676">
        <f>D87*$J$103</f>
        <v>1.1214057078089912</v>
      </c>
      <c r="J87" s="677">
        <v>0</v>
      </c>
      <c r="K87" s="677">
        <f>$A$135*D87</f>
        <v>0.36000000000000004</v>
      </c>
      <c r="L87" s="677">
        <v>0</v>
      </c>
      <c r="M87" s="678">
        <v>1.8414057078089914</v>
      </c>
      <c r="N87" s="676">
        <f t="shared" si="8"/>
        <v>0.74012776715393425</v>
      </c>
      <c r="O87" s="677">
        <f t="shared" si="9"/>
        <v>0</v>
      </c>
      <c r="P87" s="677">
        <f t="shared" si="10"/>
        <v>0.23760000000000003</v>
      </c>
      <c r="Q87" s="677">
        <f t="shared" si="11"/>
        <v>0</v>
      </c>
      <c r="R87" s="678">
        <f t="shared" si="12"/>
        <v>0.97772776715393428</v>
      </c>
      <c r="S87" s="676">
        <f t="shared" si="13"/>
        <v>0.38127794065505693</v>
      </c>
      <c r="T87" s="677">
        <f t="shared" si="13"/>
        <v>0</v>
      </c>
      <c r="U87" s="677">
        <f t="shared" si="13"/>
        <v>0.12240000000000001</v>
      </c>
      <c r="V87" s="677">
        <f t="shared" si="13"/>
        <v>0</v>
      </c>
      <c r="W87" s="678">
        <f t="shared" si="14"/>
        <v>0.50367794065505689</v>
      </c>
    </row>
    <row r="88" spans="1:23">
      <c r="A88" s="673">
        <v>90</v>
      </c>
      <c r="B88" s="673" t="s">
        <v>1175</v>
      </c>
      <c r="C88" s="673" t="s">
        <v>1291</v>
      </c>
      <c r="D88" s="673">
        <f>+(10*190)/10000</f>
        <v>0.19</v>
      </c>
      <c r="E88" s="673" t="s">
        <v>1292</v>
      </c>
      <c r="F88" s="673" t="s">
        <v>1278</v>
      </c>
      <c r="G88" s="675">
        <v>2011</v>
      </c>
      <c r="H88" s="673">
        <f t="shared" si="16"/>
        <v>2012</v>
      </c>
      <c r="I88" s="676">
        <v>0</v>
      </c>
      <c r="J88" s="677">
        <v>0</v>
      </c>
      <c r="K88" s="677">
        <v>0</v>
      </c>
      <c r="L88" s="677">
        <v>0</v>
      </c>
      <c r="M88" s="678">
        <v>0</v>
      </c>
      <c r="N88" s="676">
        <f t="shared" si="8"/>
        <v>0</v>
      </c>
      <c r="O88" s="677">
        <f t="shared" si="9"/>
        <v>0</v>
      </c>
      <c r="P88" s="677">
        <f t="shared" si="10"/>
        <v>0</v>
      </c>
      <c r="Q88" s="677">
        <f t="shared" si="11"/>
        <v>0</v>
      </c>
      <c r="R88" s="678">
        <f t="shared" si="12"/>
        <v>0</v>
      </c>
      <c r="S88" s="676">
        <f t="shared" si="13"/>
        <v>0</v>
      </c>
      <c r="T88" s="677">
        <f t="shared" si="13"/>
        <v>0</v>
      </c>
      <c r="U88" s="677">
        <f t="shared" si="13"/>
        <v>0</v>
      </c>
      <c r="V88" s="677">
        <f t="shared" si="13"/>
        <v>0</v>
      </c>
      <c r="W88" s="678">
        <f t="shared" si="14"/>
        <v>0</v>
      </c>
    </row>
    <row r="89" spans="1:23">
      <c r="A89" s="673">
        <v>91</v>
      </c>
      <c r="B89" s="673" t="s">
        <v>1167</v>
      </c>
      <c r="C89" s="673" t="s">
        <v>1293</v>
      </c>
      <c r="D89" s="673">
        <f>+(10*100)/10000</f>
        <v>0.1</v>
      </c>
      <c r="E89" s="673" t="s">
        <v>1294</v>
      </c>
      <c r="F89" s="673" t="s">
        <v>1295</v>
      </c>
      <c r="G89" s="675">
        <v>2013</v>
      </c>
      <c r="H89" s="673">
        <f t="shared" si="16"/>
        <v>2014</v>
      </c>
      <c r="I89" s="676">
        <v>0</v>
      </c>
      <c r="J89" s="677">
        <v>0</v>
      </c>
      <c r="K89" s="677">
        <v>0</v>
      </c>
      <c r="L89" s="677">
        <v>0</v>
      </c>
      <c r="M89" s="678">
        <v>0</v>
      </c>
      <c r="N89" s="676">
        <f t="shared" si="8"/>
        <v>0</v>
      </c>
      <c r="O89" s="677">
        <f t="shared" si="9"/>
        <v>0</v>
      </c>
      <c r="P89" s="677">
        <f t="shared" si="10"/>
        <v>0</v>
      </c>
      <c r="Q89" s="677">
        <f t="shared" si="11"/>
        <v>0</v>
      </c>
      <c r="R89" s="678">
        <f t="shared" si="12"/>
        <v>0</v>
      </c>
      <c r="S89" s="676">
        <f t="shared" si="13"/>
        <v>0</v>
      </c>
      <c r="T89" s="677">
        <f t="shared" si="13"/>
        <v>0</v>
      </c>
      <c r="U89" s="677">
        <f t="shared" si="13"/>
        <v>0</v>
      </c>
      <c r="V89" s="677">
        <f t="shared" si="13"/>
        <v>0</v>
      </c>
      <c r="W89" s="678">
        <f t="shared" si="14"/>
        <v>0</v>
      </c>
    </row>
    <row r="90" spans="1:23" ht="12.6" customHeight="1">
      <c r="A90" s="673">
        <v>93</v>
      </c>
      <c r="B90" s="673" t="s">
        <v>1167</v>
      </c>
      <c r="C90" s="673" t="s">
        <v>1296</v>
      </c>
      <c r="D90" s="673">
        <f>+(10*1000)/10000</f>
        <v>1</v>
      </c>
      <c r="E90" s="673" t="s">
        <v>1169</v>
      </c>
      <c r="F90" s="673" t="s">
        <v>1170</v>
      </c>
      <c r="G90" s="675">
        <v>2013</v>
      </c>
      <c r="H90" s="673">
        <v>2015</v>
      </c>
      <c r="I90" s="676">
        <v>0</v>
      </c>
      <c r="J90" s="677">
        <v>0</v>
      </c>
      <c r="K90" s="677">
        <v>0</v>
      </c>
      <c r="L90" s="677">
        <v>0</v>
      </c>
      <c r="M90" s="678">
        <v>0</v>
      </c>
      <c r="N90" s="676">
        <f t="shared" si="8"/>
        <v>0</v>
      </c>
      <c r="O90" s="677">
        <f t="shared" si="9"/>
        <v>0</v>
      </c>
      <c r="P90" s="677">
        <f t="shared" si="10"/>
        <v>0</v>
      </c>
      <c r="Q90" s="677">
        <f t="shared" si="11"/>
        <v>0</v>
      </c>
      <c r="R90" s="678">
        <f t="shared" si="12"/>
        <v>0</v>
      </c>
      <c r="S90" s="676">
        <f t="shared" si="13"/>
        <v>0</v>
      </c>
      <c r="T90" s="677">
        <f t="shared" si="13"/>
        <v>0</v>
      </c>
      <c r="U90" s="677">
        <f t="shared" si="13"/>
        <v>0</v>
      </c>
      <c r="V90" s="677">
        <f t="shared" si="13"/>
        <v>0</v>
      </c>
      <c r="W90" s="678">
        <f t="shared" si="14"/>
        <v>0</v>
      </c>
    </row>
    <row r="91" spans="1:23" ht="13.5" thickBot="1">
      <c r="A91" s="673">
        <v>94</v>
      </c>
      <c r="B91" s="673" t="s">
        <v>206</v>
      </c>
      <c r="C91" s="673" t="s">
        <v>1297</v>
      </c>
      <c r="D91" s="673">
        <v>0.2</v>
      </c>
      <c r="E91" s="673" t="s">
        <v>1164</v>
      </c>
      <c r="F91" s="673" t="s">
        <v>1162</v>
      </c>
      <c r="G91" s="675">
        <v>2012</v>
      </c>
      <c r="H91" s="673">
        <f>G91+1</f>
        <v>2013</v>
      </c>
      <c r="I91" s="680">
        <v>0</v>
      </c>
      <c r="J91" s="681">
        <v>0</v>
      </c>
      <c r="K91" s="681">
        <v>0</v>
      </c>
      <c r="L91" s="681">
        <v>0</v>
      </c>
      <c r="M91" s="682">
        <v>0</v>
      </c>
      <c r="N91" s="676">
        <f t="shared" si="8"/>
        <v>0</v>
      </c>
      <c r="O91" s="677">
        <f t="shared" si="9"/>
        <v>0</v>
      </c>
      <c r="P91" s="677">
        <f t="shared" si="10"/>
        <v>0</v>
      </c>
      <c r="Q91" s="677">
        <f t="shared" si="11"/>
        <v>0</v>
      </c>
      <c r="R91" s="682">
        <f t="shared" si="12"/>
        <v>0</v>
      </c>
      <c r="S91" s="680">
        <f t="shared" si="13"/>
        <v>0</v>
      </c>
      <c r="T91" s="681">
        <f t="shared" si="13"/>
        <v>0</v>
      </c>
      <c r="U91" s="681">
        <f t="shared" si="13"/>
        <v>0</v>
      </c>
      <c r="V91" s="681">
        <f t="shared" si="13"/>
        <v>0</v>
      </c>
      <c r="W91" s="682">
        <f t="shared" si="14"/>
        <v>0</v>
      </c>
    </row>
    <row r="93" spans="1:23" ht="13.5" thickBot="1">
      <c r="B93" s="683"/>
      <c r="D93" s="684"/>
    </row>
    <row r="94" spans="1:23">
      <c r="A94" s="685" t="s">
        <v>1298</v>
      </c>
      <c r="B94" s="686"/>
      <c r="C94" s="687"/>
      <c r="D94" s="687"/>
      <c r="E94" s="687"/>
      <c r="F94" s="687"/>
      <c r="G94" s="688"/>
      <c r="H94" s="687"/>
      <c r="I94" s="687"/>
      <c r="J94" s="689"/>
    </row>
    <row r="95" spans="1:23" ht="15">
      <c r="A95" s="690" t="s">
        <v>1299</v>
      </c>
      <c r="B95" s="447"/>
      <c r="C95" s="447"/>
      <c r="D95" s="447"/>
      <c r="E95" s="447"/>
      <c r="F95" s="447"/>
      <c r="G95" s="568"/>
      <c r="H95" s="568"/>
      <c r="I95" s="568"/>
      <c r="J95" s="691"/>
    </row>
    <row r="96" spans="1:23" ht="15">
      <c r="A96" s="692" t="s">
        <v>1300</v>
      </c>
      <c r="B96" s="693" t="s">
        <v>1301</v>
      </c>
      <c r="C96" s="693"/>
      <c r="D96" s="447"/>
      <c r="E96" s="447"/>
      <c r="F96" s="447"/>
      <c r="G96" s="568"/>
      <c r="H96" s="568"/>
      <c r="I96" s="568"/>
      <c r="J96" s="691"/>
    </row>
    <row r="97" spans="1:10" ht="15">
      <c r="A97" s="692">
        <v>36.366712999999997</v>
      </c>
      <c r="B97" s="693"/>
      <c r="C97" s="693"/>
      <c r="D97" s="447"/>
      <c r="E97" s="447"/>
      <c r="F97" s="447"/>
      <c r="G97" s="568"/>
      <c r="H97" s="568"/>
      <c r="I97" s="568"/>
      <c r="J97" s="691"/>
    </row>
    <row r="98" spans="1:10" ht="15">
      <c r="A98" s="692">
        <v>21.317326000000001</v>
      </c>
      <c r="B98" s="693"/>
      <c r="C98" s="693"/>
      <c r="D98" s="447"/>
      <c r="E98" s="447"/>
      <c r="F98" s="447"/>
      <c r="G98" s="568"/>
      <c r="H98" s="568"/>
      <c r="I98" s="568"/>
      <c r="J98" s="691"/>
    </row>
    <row r="99" spans="1:10" ht="15">
      <c r="A99" s="694"/>
      <c r="B99" s="568"/>
      <c r="C99" s="568"/>
      <c r="D99" s="568"/>
      <c r="E99" s="568"/>
      <c r="F99" s="568"/>
      <c r="G99" s="1046" t="s">
        <v>1302</v>
      </c>
      <c r="H99" s="1046"/>
      <c r="I99" s="568"/>
      <c r="J99" s="691"/>
    </row>
    <row r="100" spans="1:10" ht="15">
      <c r="A100" s="695" t="s">
        <v>1148</v>
      </c>
      <c r="B100" s="695" t="s">
        <v>1303</v>
      </c>
      <c r="C100" s="695" t="s">
        <v>1304</v>
      </c>
      <c r="D100" s="695" t="s">
        <v>1305</v>
      </c>
      <c r="E100" s="695" t="s">
        <v>1306</v>
      </c>
      <c r="F100" s="695" t="s">
        <v>1307</v>
      </c>
      <c r="G100" s="695" t="s">
        <v>1300</v>
      </c>
      <c r="H100" s="695" t="s">
        <v>1308</v>
      </c>
      <c r="I100" s="695" t="s">
        <v>1309</v>
      </c>
      <c r="J100" s="695" t="s">
        <v>1310</v>
      </c>
    </row>
    <row r="101" spans="1:10" ht="15">
      <c r="A101" s="695" t="s">
        <v>1311</v>
      </c>
      <c r="B101" s="695">
        <v>50</v>
      </c>
      <c r="C101" s="695">
        <v>350</v>
      </c>
      <c r="D101" s="695">
        <v>17</v>
      </c>
      <c r="E101" s="695">
        <f>D101*D101</f>
        <v>289</v>
      </c>
      <c r="F101" s="695">
        <v>10.5</v>
      </c>
      <c r="G101" s="696">
        <f>$A$97*F101+$A$98*E101*F101</f>
        <v>65069.276233500001</v>
      </c>
      <c r="H101" s="697">
        <f>G101/1000</f>
        <v>65.069276233500005</v>
      </c>
      <c r="I101" s="697">
        <f>H101*C101</f>
        <v>22774.246681725002</v>
      </c>
      <c r="J101" s="697">
        <f>I101/1000</f>
        <v>22.774246681725003</v>
      </c>
    </row>
    <row r="102" spans="1:10" ht="15">
      <c r="A102" s="695" t="s">
        <v>1312</v>
      </c>
      <c r="B102" s="695">
        <v>310</v>
      </c>
      <c r="C102" s="695">
        <v>535</v>
      </c>
      <c r="D102" s="695">
        <v>16.5</v>
      </c>
      <c r="E102" s="695">
        <f t="shared" ref="E102:E115" si="17">D102*D102</f>
        <v>272.25</v>
      </c>
      <c r="F102" s="695">
        <v>7.1</v>
      </c>
      <c r="G102" s="696">
        <f t="shared" ref="G102:G111" si="18">$A$97*F102+$A$98*E102*F102</f>
        <v>41464.061887149997</v>
      </c>
      <c r="H102" s="697">
        <f t="shared" ref="H102:H115" si="19">G102/1000</f>
        <v>41.464061887149995</v>
      </c>
      <c r="I102" s="697">
        <f t="shared" ref="I102:I115" si="20">H102*C102</f>
        <v>22183.273109625246</v>
      </c>
      <c r="J102" s="697">
        <f t="shared" ref="J102:J115" si="21">I102/1000</f>
        <v>22.183273109625247</v>
      </c>
    </row>
    <row r="103" spans="1:10" ht="15">
      <c r="A103" s="695" t="s">
        <v>1313</v>
      </c>
      <c r="B103" s="695">
        <v>40</v>
      </c>
      <c r="C103" s="695">
        <v>110</v>
      </c>
      <c r="D103" s="695">
        <v>14.1</v>
      </c>
      <c r="E103" s="695">
        <f t="shared" si="17"/>
        <v>198.81</v>
      </c>
      <c r="F103" s="695">
        <v>5.3</v>
      </c>
      <c r="G103" s="696">
        <f t="shared" si="18"/>
        <v>22654.660763818003</v>
      </c>
      <c r="H103" s="697">
        <f t="shared" si="19"/>
        <v>22.654660763818004</v>
      </c>
      <c r="I103" s="697">
        <f t="shared" si="20"/>
        <v>2492.0126840199805</v>
      </c>
      <c r="J103" s="697">
        <f t="shared" si="21"/>
        <v>2.4920126840199806</v>
      </c>
    </row>
    <row r="104" spans="1:10" ht="15">
      <c r="A104" s="695" t="s">
        <v>1314</v>
      </c>
      <c r="B104" s="695">
        <v>216</v>
      </c>
      <c r="C104" s="695">
        <v>600</v>
      </c>
      <c r="D104" s="695">
        <v>28.3</v>
      </c>
      <c r="E104" s="695">
        <f t="shared" si="17"/>
        <v>800.89</v>
      </c>
      <c r="F104" s="695">
        <v>13.6</v>
      </c>
      <c r="G104" s="696">
        <f t="shared" si="18"/>
        <v>232685.11909070399</v>
      </c>
      <c r="H104" s="697">
        <f t="shared" si="19"/>
        <v>232.68511909070398</v>
      </c>
      <c r="I104" s="697">
        <f t="shared" si="20"/>
        <v>139611.07145442237</v>
      </c>
      <c r="J104" s="697">
        <f t="shared" si="21"/>
        <v>139.61107145442239</v>
      </c>
    </row>
    <row r="105" spans="1:10" ht="15">
      <c r="A105" s="695" t="s">
        <v>1315</v>
      </c>
      <c r="B105" s="695">
        <v>100</v>
      </c>
      <c r="C105" s="695">
        <v>250</v>
      </c>
      <c r="D105" s="695">
        <v>12.6</v>
      </c>
      <c r="E105" s="695">
        <f t="shared" si="17"/>
        <v>158.76</v>
      </c>
      <c r="F105" s="695">
        <v>4.5</v>
      </c>
      <c r="G105" s="696">
        <f t="shared" si="18"/>
        <v>15393.174249420001</v>
      </c>
      <c r="H105" s="697">
        <f t="shared" si="19"/>
        <v>15.393174249420001</v>
      </c>
      <c r="I105" s="697">
        <f t="shared" si="20"/>
        <v>3848.2935623550002</v>
      </c>
      <c r="J105" s="697">
        <f>I105/1000</f>
        <v>3.8482935623550003</v>
      </c>
    </row>
    <row r="106" spans="1:10" ht="15">
      <c r="A106" s="695" t="s">
        <v>1316</v>
      </c>
      <c r="B106" s="695">
        <v>175</v>
      </c>
      <c r="C106" s="695">
        <v>392</v>
      </c>
      <c r="D106" s="695">
        <v>11.5</v>
      </c>
      <c r="E106" s="695">
        <f t="shared" si="17"/>
        <v>132.25</v>
      </c>
      <c r="F106" s="695">
        <v>4.8</v>
      </c>
      <c r="G106" s="696">
        <f t="shared" si="18"/>
        <v>13706.7987672</v>
      </c>
      <c r="H106" s="697">
        <f t="shared" si="19"/>
        <v>13.7067987672</v>
      </c>
      <c r="I106" s="697">
        <f t="shared" si="20"/>
        <v>5373.0651167424003</v>
      </c>
      <c r="J106" s="697">
        <f t="shared" si="21"/>
        <v>5.3730651167424002</v>
      </c>
    </row>
    <row r="107" spans="1:10" ht="15">
      <c r="A107" s="695" t="s">
        <v>1317</v>
      </c>
      <c r="B107" s="695">
        <v>167</v>
      </c>
      <c r="C107" s="695">
        <v>867</v>
      </c>
      <c r="D107" s="695">
        <v>5.6</v>
      </c>
      <c r="E107" s="695">
        <f t="shared" si="17"/>
        <v>31.359999999999996</v>
      </c>
      <c r="F107" s="695">
        <v>4</v>
      </c>
      <c r="G107" s="696">
        <f t="shared" si="18"/>
        <v>2819.5122254399998</v>
      </c>
      <c r="H107" s="697">
        <f t="shared" si="19"/>
        <v>2.81951222544</v>
      </c>
      <c r="I107" s="697">
        <f t="shared" si="20"/>
        <v>2444.5170994564801</v>
      </c>
      <c r="J107" s="697">
        <f t="shared" si="21"/>
        <v>2.4445170994564802</v>
      </c>
    </row>
    <row r="108" spans="1:10" ht="15">
      <c r="A108" s="695" t="s">
        <v>1318</v>
      </c>
      <c r="B108" s="695">
        <v>125</v>
      </c>
      <c r="C108" s="695">
        <v>287.5</v>
      </c>
      <c r="D108" s="695">
        <v>11.1</v>
      </c>
      <c r="E108" s="695">
        <f t="shared" si="17"/>
        <v>123.21</v>
      </c>
      <c r="F108" s="695">
        <v>5.7</v>
      </c>
      <c r="G108" s="696">
        <f t="shared" si="18"/>
        <v>15178.384361922001</v>
      </c>
      <c r="H108" s="697">
        <f t="shared" si="19"/>
        <v>15.178384361922001</v>
      </c>
      <c r="I108" s="697">
        <f t="shared" si="20"/>
        <v>4363.7855040525756</v>
      </c>
      <c r="J108" s="697">
        <f t="shared" si="21"/>
        <v>4.3637855040525757</v>
      </c>
    </row>
    <row r="109" spans="1:10" ht="15">
      <c r="A109" s="695" t="s">
        <v>1319</v>
      </c>
      <c r="B109" s="695">
        <v>150</v>
      </c>
      <c r="C109" s="695">
        <v>300</v>
      </c>
      <c r="D109" s="695">
        <v>2</v>
      </c>
      <c r="E109" s="695">
        <f t="shared" si="17"/>
        <v>4</v>
      </c>
      <c r="F109" s="695">
        <v>1.7</v>
      </c>
      <c r="G109" s="696">
        <f t="shared" si="18"/>
        <v>206.7812289</v>
      </c>
      <c r="H109" s="697">
        <f t="shared" si="19"/>
        <v>0.2067812289</v>
      </c>
      <c r="I109" s="697">
        <f t="shared" si="20"/>
        <v>62.034368669999999</v>
      </c>
      <c r="J109" s="697">
        <f t="shared" si="21"/>
        <v>6.2034368669999999E-2</v>
      </c>
    </row>
    <row r="110" spans="1:10" ht="15">
      <c r="A110" s="695" t="s">
        <v>1320</v>
      </c>
      <c r="B110" s="695">
        <v>350</v>
      </c>
      <c r="C110" s="695">
        <v>950</v>
      </c>
      <c r="D110" s="695">
        <v>16.2</v>
      </c>
      <c r="E110" s="695">
        <f t="shared" si="17"/>
        <v>262.44</v>
      </c>
      <c r="F110" s="695">
        <v>6.8</v>
      </c>
      <c r="G110" s="696">
        <f t="shared" si="18"/>
        <v>38290.023089392002</v>
      </c>
      <c r="H110" s="697">
        <f t="shared" si="19"/>
        <v>38.290023089392001</v>
      </c>
      <c r="I110" s="697">
        <f t="shared" si="20"/>
        <v>36375.521934922399</v>
      </c>
      <c r="J110" s="697">
        <f t="shared" si="21"/>
        <v>36.375521934922396</v>
      </c>
    </row>
    <row r="111" spans="1:10" ht="15">
      <c r="A111" s="695" t="s">
        <v>1321</v>
      </c>
      <c r="B111" s="695">
        <v>680</v>
      </c>
      <c r="C111" s="695">
        <v>30</v>
      </c>
      <c r="D111" s="695">
        <v>3.8</v>
      </c>
      <c r="E111" s="695">
        <f t="shared" si="17"/>
        <v>14.44</v>
      </c>
      <c r="F111" s="695">
        <v>1.6</v>
      </c>
      <c r="G111" s="696">
        <f t="shared" si="18"/>
        <v>550.70224070400002</v>
      </c>
      <c r="H111" s="697">
        <f t="shared" si="19"/>
        <v>0.55070224070399998</v>
      </c>
      <c r="I111" s="697">
        <f t="shared" si="20"/>
        <v>16.521067221119999</v>
      </c>
      <c r="J111" s="697">
        <f t="shared" si="21"/>
        <v>1.6521067221119998E-2</v>
      </c>
    </row>
    <row r="112" spans="1:10" ht="15">
      <c r="A112" s="695" t="s">
        <v>1322</v>
      </c>
      <c r="B112" s="695"/>
      <c r="C112" s="695"/>
      <c r="D112" s="695"/>
      <c r="E112" s="695"/>
      <c r="F112" s="695"/>
      <c r="G112" s="696"/>
      <c r="H112" s="697"/>
      <c r="I112" s="697">
        <f>SUM(I110:I111)</f>
        <v>36392.043002143517</v>
      </c>
      <c r="J112" s="697">
        <f t="shared" si="21"/>
        <v>36.392043002143517</v>
      </c>
    </row>
    <row r="113" spans="1:11" ht="15">
      <c r="A113" s="695" t="s">
        <v>1323</v>
      </c>
      <c r="B113" s="695">
        <v>50</v>
      </c>
      <c r="C113" s="695">
        <v>100</v>
      </c>
      <c r="D113" s="695">
        <v>27.7</v>
      </c>
      <c r="E113" s="695">
        <f t="shared" si="17"/>
        <v>767.29</v>
      </c>
      <c r="F113" s="695">
        <v>7.8</v>
      </c>
      <c r="G113" s="696">
        <f>$A$97*F113+$A$98*E113*F113</f>
        <v>127864.91468041201</v>
      </c>
      <c r="H113" s="697">
        <f t="shared" si="19"/>
        <v>127.86491468041201</v>
      </c>
      <c r="I113" s="697">
        <f>H113*C113</f>
        <v>12786.491468041202</v>
      </c>
      <c r="J113" s="697">
        <f t="shared" si="21"/>
        <v>12.786491468041202</v>
      </c>
    </row>
    <row r="114" spans="1:11" ht="15">
      <c r="A114" s="695" t="s">
        <v>1324</v>
      </c>
      <c r="B114" s="695">
        <v>50</v>
      </c>
      <c r="C114" s="695">
        <v>113</v>
      </c>
      <c r="D114" s="695">
        <v>25.1</v>
      </c>
      <c r="E114" s="695">
        <f t="shared" si="17"/>
        <v>630.0100000000001</v>
      </c>
      <c r="F114" s="695">
        <v>7</v>
      </c>
      <c r="G114" s="696">
        <f t="shared" ref="G114:G115" si="22">$A$97*F114+$A$98*E114*F114</f>
        <v>94265.466863820024</v>
      </c>
      <c r="H114" s="697">
        <f t="shared" si="19"/>
        <v>94.265466863820023</v>
      </c>
      <c r="I114" s="697">
        <f t="shared" si="20"/>
        <v>10651.997755611663</v>
      </c>
      <c r="J114" s="697">
        <f t="shared" si="21"/>
        <v>10.651997755611664</v>
      </c>
    </row>
    <row r="115" spans="1:11" ht="15">
      <c r="A115" s="695" t="s">
        <v>1325</v>
      </c>
      <c r="B115" s="695">
        <v>238</v>
      </c>
      <c r="C115" s="695">
        <v>625</v>
      </c>
      <c r="D115" s="695">
        <v>23.6</v>
      </c>
      <c r="E115" s="695">
        <f t="shared" si="17"/>
        <v>556.96</v>
      </c>
      <c r="F115" s="695">
        <v>8.8000000000000007</v>
      </c>
      <c r="G115" s="696">
        <f t="shared" si="22"/>
        <v>104801.52849724803</v>
      </c>
      <c r="H115" s="697">
        <f t="shared" si="19"/>
        <v>104.80152849724803</v>
      </c>
      <c r="I115" s="697">
        <f t="shared" si="20"/>
        <v>65500.955310780017</v>
      </c>
      <c r="J115" s="697">
        <f t="shared" si="21"/>
        <v>65.500955310780014</v>
      </c>
    </row>
    <row r="116" spans="1:11" ht="15">
      <c r="A116" s="694" t="s">
        <v>1326</v>
      </c>
      <c r="B116" s="568"/>
      <c r="C116" s="568"/>
      <c r="D116" s="568"/>
      <c r="E116" s="568"/>
      <c r="F116" s="568"/>
      <c r="G116" s="568"/>
      <c r="H116" s="568"/>
      <c r="I116" s="698">
        <f>SUM(I101:I115)</f>
        <v>364875.83011978894</v>
      </c>
      <c r="J116" s="699">
        <f>SUM(J101:J115)</f>
        <v>364.87583011978899</v>
      </c>
    </row>
    <row r="117" spans="1:11" ht="13.5" thickBot="1">
      <c r="A117" s="700" t="s">
        <v>1327</v>
      </c>
      <c r="B117" s="701"/>
      <c r="C117" s="701"/>
      <c r="D117" s="701"/>
      <c r="E117" s="701"/>
      <c r="F117" s="701"/>
      <c r="G117" s="702"/>
      <c r="H117" s="701"/>
      <c r="I117" s="701"/>
      <c r="J117" s="703"/>
    </row>
    <row r="118" spans="1:11" ht="13.5" thickBot="1"/>
    <row r="119" spans="1:11">
      <c r="A119" s="685" t="s">
        <v>1328</v>
      </c>
      <c r="B119" s="687"/>
      <c r="C119" s="687"/>
      <c r="D119" s="687"/>
      <c r="E119" s="687"/>
      <c r="F119" s="687"/>
      <c r="G119" s="688"/>
      <c r="H119" s="689"/>
    </row>
    <row r="120" spans="1:11">
      <c r="A120" s="704" t="s">
        <v>1329</v>
      </c>
      <c r="H120" s="705"/>
    </row>
    <row r="121" spans="1:11" ht="15">
      <c r="A121" s="692" t="s">
        <v>1330</v>
      </c>
      <c r="B121" s="693"/>
      <c r="C121" s="447"/>
      <c r="F121" s="568"/>
      <c r="G121" s="568"/>
      <c r="H121" s="691"/>
      <c r="I121"/>
      <c r="J121"/>
      <c r="K121"/>
    </row>
    <row r="122" spans="1:11" ht="15">
      <c r="A122" s="692" t="s">
        <v>1331</v>
      </c>
      <c r="B122" s="693" t="s">
        <v>1332</v>
      </c>
      <c r="C122" s="447"/>
      <c r="F122" s="568"/>
      <c r="G122" s="568"/>
      <c r="H122" s="691"/>
      <c r="I122"/>
      <c r="J122"/>
      <c r="K122"/>
    </row>
    <row r="123" spans="1:11" ht="15">
      <c r="A123" s="692">
        <v>2.3176999999999999</v>
      </c>
      <c r="B123" s="693">
        <v>0.1303</v>
      </c>
      <c r="C123" s="447"/>
      <c r="D123" s="568"/>
      <c r="E123" s="568"/>
      <c r="F123" s="568"/>
      <c r="G123" s="568"/>
      <c r="H123" s="691"/>
      <c r="I123"/>
      <c r="J123"/>
      <c r="K123"/>
    </row>
    <row r="124" spans="1:11" ht="15">
      <c r="A124" s="706" t="s">
        <v>1148</v>
      </c>
      <c r="B124" s="695" t="s">
        <v>1303</v>
      </c>
      <c r="C124" s="695" t="s">
        <v>1304</v>
      </c>
      <c r="D124" s="695" t="s">
        <v>1305</v>
      </c>
      <c r="E124" s="695" t="s">
        <v>1307</v>
      </c>
      <c r="F124" s="695" t="s">
        <v>1333</v>
      </c>
      <c r="G124" s="695" t="s">
        <v>1334</v>
      </c>
      <c r="H124" s="707" t="s">
        <v>1335</v>
      </c>
      <c r="I124"/>
    </row>
    <row r="125" spans="1:11" ht="15">
      <c r="A125" s="708" t="s">
        <v>1336</v>
      </c>
      <c r="B125" s="695">
        <v>237</v>
      </c>
      <c r="C125" s="695">
        <v>263</v>
      </c>
      <c r="D125" s="695">
        <v>47</v>
      </c>
      <c r="E125" s="695">
        <v>17.899999999999999</v>
      </c>
      <c r="F125" s="709">
        <f>EXP(A123+B123*D125)</f>
        <v>4636.8938862909772</v>
      </c>
      <c r="G125" s="710">
        <f>F125*C125</f>
        <v>1219503.0920945271</v>
      </c>
      <c r="H125" s="711">
        <f>G125/1000</f>
        <v>1219.5030920945271</v>
      </c>
      <c r="I125" s="712"/>
    </row>
    <row r="126" spans="1:11" ht="15">
      <c r="A126" s="694" t="s">
        <v>1326</v>
      </c>
      <c r="H126" s="705"/>
    </row>
    <row r="127" spans="1:11" ht="13.5" thickBot="1">
      <c r="A127" s="700" t="s">
        <v>1327</v>
      </c>
      <c r="B127" s="701"/>
      <c r="C127" s="701"/>
      <c r="D127" s="701"/>
      <c r="E127" s="701"/>
      <c r="F127" s="701"/>
      <c r="G127" s="702"/>
      <c r="H127" s="703"/>
    </row>
    <row r="128" spans="1:11" ht="13.5" thickBot="1"/>
    <row r="129" spans="1:3">
      <c r="A129" s="685" t="s">
        <v>1337</v>
      </c>
      <c r="B129" s="687"/>
      <c r="C129" s="689"/>
    </row>
    <row r="130" spans="1:3">
      <c r="A130" s="713" t="s">
        <v>1155</v>
      </c>
      <c r="C130" s="705"/>
    </row>
    <row r="131" spans="1:3" ht="15">
      <c r="A131" s="694">
        <v>13.2</v>
      </c>
      <c r="B131" s="568" t="s">
        <v>1338</v>
      </c>
      <c r="C131" s="705"/>
    </row>
    <row r="132" spans="1:3">
      <c r="A132" s="704" t="s">
        <v>1339</v>
      </c>
      <c r="C132" s="705"/>
    </row>
    <row r="133" spans="1:3">
      <c r="A133" s="713"/>
      <c r="C133" s="705"/>
    </row>
    <row r="134" spans="1:3">
      <c r="A134" s="713" t="s">
        <v>1154</v>
      </c>
      <c r="C134" s="705"/>
    </row>
    <row r="135" spans="1:3" ht="15">
      <c r="A135" s="694">
        <v>0.8</v>
      </c>
      <c r="B135" s="568" t="s">
        <v>1338</v>
      </c>
      <c r="C135" s="705"/>
    </row>
    <row r="136" spans="1:3" ht="13.5" thickBot="1">
      <c r="A136" s="700" t="s">
        <v>1339</v>
      </c>
      <c r="B136" s="701"/>
      <c r="C136" s="703"/>
    </row>
    <row r="137" spans="1:3" ht="13.5" thickBot="1"/>
    <row r="138" spans="1:3">
      <c r="A138" s="685" t="s">
        <v>1340</v>
      </c>
      <c r="B138" s="687"/>
      <c r="C138" s="689"/>
    </row>
    <row r="139" spans="1:3">
      <c r="A139" s="713" t="s">
        <v>1152</v>
      </c>
      <c r="B139" s="665">
        <v>0.66</v>
      </c>
      <c r="C139" s="705" t="s">
        <v>1341</v>
      </c>
    </row>
    <row r="140" spans="1:3" ht="25.5">
      <c r="A140" s="713" t="s">
        <v>1155</v>
      </c>
      <c r="B140" s="665">
        <v>0.67</v>
      </c>
      <c r="C140" s="705" t="s">
        <v>1342</v>
      </c>
    </row>
    <row r="141" spans="1:3">
      <c r="A141" s="713" t="s">
        <v>1154</v>
      </c>
      <c r="B141" s="665">
        <v>0.66</v>
      </c>
      <c r="C141" s="705" t="s">
        <v>1343</v>
      </c>
    </row>
    <row r="142" spans="1:3" ht="13.5" thickBot="1">
      <c r="A142" s="714" t="s">
        <v>1344</v>
      </c>
      <c r="B142" s="701">
        <v>0.47370000000000001</v>
      </c>
      <c r="C142" s="703" t="s">
        <v>1345</v>
      </c>
    </row>
  </sheetData>
  <autoFilter ref="A2:Y91"/>
  <mergeCells count="4">
    <mergeCell ref="I1:M1"/>
    <mergeCell ref="N1:R1"/>
    <mergeCell ref="S1:W1"/>
    <mergeCell ref="G99:H99"/>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AF58"/>
  <sheetViews>
    <sheetView workbookViewId="0">
      <pane xSplit="5" ySplit="2" topLeftCell="O30" activePane="bottomRight" state="frozen"/>
      <selection activeCell="C142" sqref="C142"/>
      <selection pane="topRight" activeCell="C142" sqref="C142"/>
      <selection pane="bottomLeft" activeCell="C142" sqref="C142"/>
      <selection pane="bottomRight" activeCell="D51" sqref="D51"/>
    </sheetView>
  </sheetViews>
  <sheetFormatPr baseColWidth="10" defaultRowHeight="15"/>
  <cols>
    <col min="1" max="1" width="5.42578125" bestFit="1" customWidth="1"/>
    <col min="2" max="2" width="5.7109375" bestFit="1" customWidth="1"/>
    <col min="3" max="3" width="25" customWidth="1"/>
    <col min="4" max="4" width="8.5703125" bestFit="1" customWidth="1"/>
    <col min="5" max="5" width="9.28515625" customWidth="1"/>
  </cols>
  <sheetData>
    <row r="1" spans="1:32" ht="14.45" customHeight="1">
      <c r="A1" s="9"/>
      <c r="B1" s="9"/>
      <c r="C1" s="9"/>
      <c r="G1" s="1048" t="s">
        <v>1144</v>
      </c>
      <c r="H1" s="1049"/>
      <c r="I1" s="1049"/>
      <c r="J1" s="1049"/>
      <c r="K1" s="1050"/>
      <c r="L1" s="695"/>
      <c r="M1" s="695" t="s">
        <v>1346</v>
      </c>
      <c r="N1" s="695"/>
      <c r="O1" s="695" t="s">
        <v>1346</v>
      </c>
      <c r="P1" s="695" t="s">
        <v>1347</v>
      </c>
      <c r="Q1" s="695"/>
      <c r="R1" s="695"/>
      <c r="S1" s="1051" t="s">
        <v>1348</v>
      </c>
      <c r="T1" s="1051"/>
      <c r="U1" s="1051"/>
      <c r="V1" s="1051"/>
      <c r="W1" s="1051" t="s">
        <v>1349</v>
      </c>
      <c r="X1" s="1051"/>
      <c r="Y1" s="1051"/>
      <c r="Z1" s="1051"/>
      <c r="AA1" s="1052" t="s">
        <v>1350</v>
      </c>
      <c r="AB1" s="1052"/>
      <c r="AC1" s="1052"/>
      <c r="AD1" s="1052"/>
      <c r="AE1" s="1052"/>
      <c r="AF1" s="1052"/>
    </row>
    <row r="2" spans="1:32" s="659" customFormat="1" ht="63.75">
      <c r="A2" s="668" t="s">
        <v>1147</v>
      </c>
      <c r="B2" s="668" t="s">
        <v>1351</v>
      </c>
      <c r="C2" s="668" t="s">
        <v>1149</v>
      </c>
      <c r="D2" s="669" t="s">
        <v>1150</v>
      </c>
      <c r="E2" s="715" t="s">
        <v>1151</v>
      </c>
      <c r="F2" s="715" t="s">
        <v>1352</v>
      </c>
      <c r="G2" s="716" t="s">
        <v>1152</v>
      </c>
      <c r="H2" s="716" t="s">
        <v>1153</v>
      </c>
      <c r="I2" s="716" t="s">
        <v>1154</v>
      </c>
      <c r="J2" s="716" t="s">
        <v>1155</v>
      </c>
      <c r="K2" s="717" t="s">
        <v>32</v>
      </c>
      <c r="L2" s="717" t="s">
        <v>1353</v>
      </c>
      <c r="M2" s="717" t="s">
        <v>1354</v>
      </c>
      <c r="N2" s="717" t="s">
        <v>1355</v>
      </c>
      <c r="O2" s="717" t="s">
        <v>1356</v>
      </c>
      <c r="P2" s="717" t="s">
        <v>1356</v>
      </c>
      <c r="Q2" s="673" t="s">
        <v>1357</v>
      </c>
      <c r="R2" s="673" t="s">
        <v>1358</v>
      </c>
      <c r="S2" s="673" t="s">
        <v>857</v>
      </c>
      <c r="T2" s="673" t="s">
        <v>1359</v>
      </c>
      <c r="U2" s="673" t="s">
        <v>858</v>
      </c>
      <c r="V2" s="673" t="s">
        <v>1360</v>
      </c>
      <c r="W2" s="673" t="s">
        <v>857</v>
      </c>
      <c r="X2" s="673" t="s">
        <v>1359</v>
      </c>
      <c r="Y2" s="673" t="s">
        <v>858</v>
      </c>
      <c r="Z2" s="673" t="s">
        <v>1360</v>
      </c>
      <c r="AA2" s="718" t="s">
        <v>1361</v>
      </c>
      <c r="AB2" s="718" t="s">
        <v>1362</v>
      </c>
      <c r="AC2" s="718" t="s">
        <v>1363</v>
      </c>
      <c r="AD2" s="718" t="s">
        <v>1364</v>
      </c>
      <c r="AE2" s="718" t="s">
        <v>1365</v>
      </c>
      <c r="AF2" s="719" t="s">
        <v>1366</v>
      </c>
    </row>
    <row r="3" spans="1:32">
      <c r="A3" s="674">
        <v>2</v>
      </c>
      <c r="B3" s="674" t="s">
        <v>1177</v>
      </c>
      <c r="C3" s="674" t="s">
        <v>1178</v>
      </c>
      <c r="D3" s="675">
        <v>2015</v>
      </c>
      <c r="E3" s="720">
        <v>2015</v>
      </c>
      <c r="F3" s="720">
        <f>D3+1</f>
        <v>2016</v>
      </c>
      <c r="G3" s="677">
        <f>B_intervenida!N12</f>
        <v>0</v>
      </c>
      <c r="H3" s="677">
        <f>B_intervenida!O12</f>
        <v>1155.3572294503549</v>
      </c>
      <c r="I3" s="677">
        <f>B_intervenida!P12</f>
        <v>1.056</v>
      </c>
      <c r="J3" s="677">
        <f>B_intervenida!Q12</f>
        <v>0</v>
      </c>
      <c r="K3" s="677">
        <f>SUM(G3:J3)</f>
        <v>1156.4132294503549</v>
      </c>
      <c r="L3" s="695">
        <v>0.9</v>
      </c>
      <c r="M3" s="710">
        <f>K3*L3</f>
        <v>1040.7719065053195</v>
      </c>
      <c r="N3" s="695">
        <v>0.5</v>
      </c>
      <c r="O3" s="710">
        <f>M3*N3</f>
        <v>520.38595325265976</v>
      </c>
      <c r="P3" s="710">
        <f>O3/1000</f>
        <v>0.52038595325265979</v>
      </c>
      <c r="Q3" s="710">
        <f>P3*44/12</f>
        <v>1.9080818285930858</v>
      </c>
      <c r="R3" s="710">
        <f>P3*$D$40</f>
        <v>5.2038595325265983E-3</v>
      </c>
      <c r="S3" s="710">
        <f>P3*$D$43</f>
        <v>6.2446314390319181E-3</v>
      </c>
      <c r="T3" s="710">
        <f>P3*$D$44</f>
        <v>3.1223157195159588E-2</v>
      </c>
      <c r="U3" s="710">
        <f>R3*$D$45</f>
        <v>3.6427016727686187E-5</v>
      </c>
      <c r="V3" s="710">
        <f>R3*$D$46</f>
        <v>6.2966700343571839E-4</v>
      </c>
      <c r="W3" s="710">
        <f>S3*$D$49</f>
        <v>8.3261752520425569E-3</v>
      </c>
      <c r="X3" s="710">
        <f>T3*$D$50</f>
        <v>7.2854033455372377E-2</v>
      </c>
      <c r="Y3" s="710">
        <f>U3*$D$51</f>
        <v>5.7242454857792577E-5</v>
      </c>
      <c r="Z3" s="710">
        <f>V3*$D$52</f>
        <v>2.0689058684316458E-3</v>
      </c>
      <c r="AA3" s="721">
        <f>W3*1000</f>
        <v>8.3261752520425567</v>
      </c>
      <c r="AB3" s="721">
        <f t="shared" ref="AB3:AD18" si="0">X3*1000</f>
        <v>72.854033455372374</v>
      </c>
      <c r="AC3" s="721">
        <f t="shared" si="0"/>
        <v>5.7242454857792578E-2</v>
      </c>
      <c r="AD3" s="721">
        <f t="shared" si="0"/>
        <v>2.0689058684316457</v>
      </c>
      <c r="AE3" s="721">
        <f>Q3*1000</f>
        <v>1908.0818285930859</v>
      </c>
      <c r="AF3" s="722">
        <f>AA3*$F$56+AC3*$E$56+AE3</f>
        <v>2100.6766698918955</v>
      </c>
    </row>
    <row r="4" spans="1:32">
      <c r="A4" s="674">
        <v>3.43</v>
      </c>
      <c r="B4" s="674" t="s">
        <v>1185</v>
      </c>
      <c r="C4" s="674" t="s">
        <v>1186</v>
      </c>
      <c r="D4" s="675">
        <v>2013</v>
      </c>
      <c r="E4" s="720">
        <v>2015</v>
      </c>
      <c r="F4" s="720">
        <f t="shared" ref="F4:F37" si="1">D4+1</f>
        <v>2014</v>
      </c>
      <c r="G4" s="677">
        <f>B_intervenida!N17</f>
        <v>8.7117669664592494</v>
      </c>
      <c r="H4" s="677">
        <f>B_intervenida!O17</f>
        <v>0</v>
      </c>
      <c r="I4" s="677">
        <f>B_intervenida!P17</f>
        <v>0</v>
      </c>
      <c r="J4" s="677">
        <f>B_intervenida!Q17</f>
        <v>0</v>
      </c>
      <c r="K4" s="677">
        <f t="shared" ref="K4:K37" si="2">SUM(G4:J4)</f>
        <v>8.7117669664592494</v>
      </c>
      <c r="L4" s="695">
        <v>0.9</v>
      </c>
      <c r="M4" s="710">
        <f>K4*L4</f>
        <v>7.8405902698133243</v>
      </c>
      <c r="N4" s="695">
        <v>0.5</v>
      </c>
      <c r="O4" s="710">
        <f>M4*N4</f>
        <v>3.9202951349066621</v>
      </c>
      <c r="P4" s="710">
        <f t="shared" ref="P4:P37" si="3">O4/1000</f>
        <v>3.9202951349066621E-3</v>
      </c>
      <c r="Q4" s="710">
        <f>P4*44/12</f>
        <v>1.4374415494657761E-2</v>
      </c>
      <c r="R4" s="710">
        <f t="shared" ref="R4:R37" si="4">P4*$D$40</f>
        <v>3.9202951349066624E-5</v>
      </c>
      <c r="S4" s="710">
        <f t="shared" ref="S4:S37" si="5">P4*$D$43</f>
        <v>4.7043541618879944E-5</v>
      </c>
      <c r="T4" s="710">
        <f t="shared" ref="T4:T37" si="6">P4*$D$44</f>
        <v>2.3521770809439971E-4</v>
      </c>
      <c r="U4" s="710">
        <f t="shared" ref="U4:U37" si="7">R4*$D$45</f>
        <v>2.7442065944346638E-7</v>
      </c>
      <c r="V4" s="710">
        <f t="shared" ref="V4:V37" si="8">R4*$D$46</f>
        <v>4.7435571132370612E-6</v>
      </c>
      <c r="W4" s="710">
        <f t="shared" ref="W4:W37" si="9">S4*$D$49</f>
        <v>6.2724722158506583E-5</v>
      </c>
      <c r="X4" s="710">
        <f t="shared" ref="X4:X37" si="10">T4*$D$50</f>
        <v>5.488413188869327E-4</v>
      </c>
      <c r="Y4" s="710">
        <f t="shared" ref="Y4:Y37" si="11">U4*$D$51</f>
        <v>4.3123246483973287E-7</v>
      </c>
      <c r="Z4" s="710">
        <f t="shared" ref="Z4:Z37" si="12">V4*$D$52</f>
        <v>1.5585973372064629E-5</v>
      </c>
      <c r="AA4" s="721">
        <f t="shared" ref="AA4:AD37" si="13">W4*1000</f>
        <v>6.272472215850658E-2</v>
      </c>
      <c r="AB4" s="721">
        <f t="shared" si="0"/>
        <v>0.54884131888693266</v>
      </c>
      <c r="AC4" s="721">
        <f t="shared" si="0"/>
        <v>4.3123246483973288E-4</v>
      </c>
      <c r="AD4" s="721">
        <f t="shared" si="0"/>
        <v>1.5585973372064629E-2</v>
      </c>
      <c r="AE4" s="721">
        <f t="shared" ref="AE4:AE37" si="14">Q4*1000</f>
        <v>14.374415494657761</v>
      </c>
      <c r="AF4" s="722">
        <f>AA4*$F$56+AC4*$E$56+AE4</f>
        <v>15.825316724086717</v>
      </c>
    </row>
    <row r="5" spans="1:32">
      <c r="A5" s="674">
        <v>2.2400000000000002</v>
      </c>
      <c r="B5" s="674" t="s">
        <v>1185</v>
      </c>
      <c r="C5" s="674" t="s">
        <v>1186</v>
      </c>
      <c r="D5" s="675">
        <v>2012</v>
      </c>
      <c r="E5" s="720">
        <v>2015</v>
      </c>
      <c r="F5" s="720">
        <f t="shared" si="1"/>
        <v>2013</v>
      </c>
      <c r="G5" s="677">
        <f>B_intervenida!N18</f>
        <v>5.6893172025856336</v>
      </c>
      <c r="H5" s="677">
        <f>B_intervenida!O18</f>
        <v>0</v>
      </c>
      <c r="I5" s="677">
        <f>B_intervenida!P18</f>
        <v>0</v>
      </c>
      <c r="J5" s="677">
        <f>B_intervenida!Q18</f>
        <v>0</v>
      </c>
      <c r="K5" s="677">
        <f t="shared" si="2"/>
        <v>5.6893172025856336</v>
      </c>
      <c r="L5" s="695">
        <v>0.9</v>
      </c>
      <c r="M5" s="710">
        <f t="shared" ref="M5:M37" si="15">K5*L5</f>
        <v>5.1203854823270705</v>
      </c>
      <c r="N5" s="695">
        <v>0.5</v>
      </c>
      <c r="O5" s="710">
        <f>M5*N5</f>
        <v>2.5601927411635352</v>
      </c>
      <c r="P5" s="710">
        <f t="shared" si="3"/>
        <v>2.5601927411635353E-3</v>
      </c>
      <c r="Q5" s="710">
        <f t="shared" ref="Q5:Q37" si="16">P5*44/12</f>
        <v>9.3873733842662951E-3</v>
      </c>
      <c r="R5" s="710">
        <f t="shared" si="4"/>
        <v>2.5601927411635353E-5</v>
      </c>
      <c r="S5" s="710">
        <f t="shared" si="5"/>
        <v>3.0722312893962423E-5</v>
      </c>
      <c r="T5" s="710">
        <f t="shared" si="6"/>
        <v>1.5361156446981212E-4</v>
      </c>
      <c r="U5" s="710">
        <f t="shared" si="7"/>
        <v>1.7921349188144748E-7</v>
      </c>
      <c r="V5" s="710">
        <f t="shared" si="8"/>
        <v>3.0978332168078776E-6</v>
      </c>
      <c r="W5" s="710">
        <f t="shared" si="9"/>
        <v>4.0963083858616564E-5</v>
      </c>
      <c r="X5" s="710">
        <f t="shared" si="10"/>
        <v>3.58426983762895E-4</v>
      </c>
      <c r="Y5" s="710">
        <f t="shared" si="11"/>
        <v>2.816212015279889E-7</v>
      </c>
      <c r="Z5" s="710">
        <f t="shared" si="12"/>
        <v>1.0178594855225883E-5</v>
      </c>
      <c r="AA5" s="721">
        <f t="shared" si="13"/>
        <v>4.0963083858616564E-2</v>
      </c>
      <c r="AB5" s="721">
        <f t="shared" si="0"/>
        <v>0.358426983762895</v>
      </c>
      <c r="AC5" s="721">
        <f t="shared" si="0"/>
        <v>2.8162120152798892E-4</v>
      </c>
      <c r="AD5" s="721">
        <f t="shared" si="0"/>
        <v>1.0178594855225884E-2</v>
      </c>
      <c r="AE5" s="721">
        <f t="shared" si="14"/>
        <v>9.3873733842662954</v>
      </c>
      <c r="AF5" s="722">
        <f>AA5*$F$56+AC5*$E$56+AE5</f>
        <v>10.334900717770919</v>
      </c>
    </row>
    <row r="6" spans="1:32">
      <c r="A6" s="674">
        <v>2.12</v>
      </c>
      <c r="B6" s="674" t="s">
        <v>1187</v>
      </c>
      <c r="C6" s="674" t="s">
        <v>1188</v>
      </c>
      <c r="D6" s="675">
        <v>2013</v>
      </c>
      <c r="E6" s="720">
        <v>2013</v>
      </c>
      <c r="F6" s="720">
        <f t="shared" si="1"/>
        <v>2014</v>
      </c>
      <c r="G6" s="677">
        <f>B_intervenida!N19</f>
        <v>195.34381117902782</v>
      </c>
      <c r="H6" s="677">
        <f>B_intervenida!O19</f>
        <v>0</v>
      </c>
      <c r="I6" s="677">
        <f>B_intervenida!P19</f>
        <v>0</v>
      </c>
      <c r="J6" s="677">
        <f>B_intervenida!Q19</f>
        <v>0</v>
      </c>
      <c r="K6" s="677">
        <f t="shared" si="2"/>
        <v>195.34381117902782</v>
      </c>
      <c r="L6" s="695">
        <v>0.9</v>
      </c>
      <c r="M6" s="710">
        <f t="shared" si="15"/>
        <v>175.80943006112506</v>
      </c>
      <c r="N6" s="695">
        <v>0.5</v>
      </c>
      <c r="O6" s="710">
        <f t="shared" ref="O6:O37" si="17">M6*N6</f>
        <v>87.904715030562528</v>
      </c>
      <c r="P6" s="710">
        <f t="shared" si="3"/>
        <v>8.7904715030562533E-2</v>
      </c>
      <c r="Q6" s="710">
        <f t="shared" si="16"/>
        <v>0.32231728844539592</v>
      </c>
      <c r="R6" s="710">
        <f t="shared" si="4"/>
        <v>8.7904715030562536E-4</v>
      </c>
      <c r="S6" s="710">
        <f t="shared" si="5"/>
        <v>1.0548565803667504E-3</v>
      </c>
      <c r="T6" s="710">
        <f t="shared" si="6"/>
        <v>5.2742829018337517E-3</v>
      </c>
      <c r="U6" s="710">
        <f t="shared" si="7"/>
        <v>6.1533300521393778E-6</v>
      </c>
      <c r="V6" s="710">
        <f t="shared" si="8"/>
        <v>1.0636470518698067E-4</v>
      </c>
      <c r="W6" s="710">
        <f t="shared" si="9"/>
        <v>1.4064754404890004E-3</v>
      </c>
      <c r="X6" s="710">
        <f t="shared" si="10"/>
        <v>1.2306660104278755E-2</v>
      </c>
      <c r="Y6" s="710">
        <f t="shared" si="11"/>
        <v>9.6695186533618797E-6</v>
      </c>
      <c r="Z6" s="710">
        <f t="shared" si="12"/>
        <v>3.4948403132865078E-4</v>
      </c>
      <c r="AA6" s="721">
        <f t="shared" si="13"/>
        <v>1.4064754404890005</v>
      </c>
      <c r="AB6" s="721">
        <f t="shared" si="0"/>
        <v>12.306660104278755</v>
      </c>
      <c r="AC6" s="721">
        <f t="shared" si="0"/>
        <v>9.6695186533618804E-3</v>
      </c>
      <c r="AD6" s="721">
        <f t="shared" si="0"/>
        <v>0.3494840313286508</v>
      </c>
      <c r="AE6" s="721">
        <f t="shared" si="14"/>
        <v>322.31728844539595</v>
      </c>
      <c r="AF6" s="722">
        <f t="shared" ref="AF6:AF37" si="18">AA6*$F$56+AC6*$E$56+AE6</f>
        <v>354.85082347820713</v>
      </c>
    </row>
    <row r="7" spans="1:32">
      <c r="A7" s="674">
        <v>3.09</v>
      </c>
      <c r="B7" s="674" t="s">
        <v>1190</v>
      </c>
      <c r="C7" s="674" t="s">
        <v>1191</v>
      </c>
      <c r="D7" s="675">
        <v>2012</v>
      </c>
      <c r="E7" s="720">
        <v>2014</v>
      </c>
      <c r="F7" s="720">
        <f t="shared" si="1"/>
        <v>2013</v>
      </c>
      <c r="G7" s="677">
        <f>B_intervenida!N20</f>
        <v>74.217932498571486</v>
      </c>
      <c r="H7" s="677">
        <f>B_intervenida!O20</f>
        <v>0</v>
      </c>
      <c r="I7" s="677">
        <f>B_intervenida!P20</f>
        <v>0</v>
      </c>
      <c r="J7" s="677">
        <f>B_intervenida!Q20</f>
        <v>0</v>
      </c>
      <c r="K7" s="677">
        <f t="shared" si="2"/>
        <v>74.217932498571486</v>
      </c>
      <c r="L7" s="695">
        <v>0.9</v>
      </c>
      <c r="M7" s="710">
        <f t="shared" si="15"/>
        <v>66.79613924871434</v>
      </c>
      <c r="N7" s="695">
        <v>0.5</v>
      </c>
      <c r="O7" s="710">
        <f t="shared" si="17"/>
        <v>33.39806962435717</v>
      </c>
      <c r="P7" s="710">
        <f t="shared" si="3"/>
        <v>3.3398069624357173E-2</v>
      </c>
      <c r="Q7" s="710">
        <f t="shared" si="16"/>
        <v>0.12245958862264296</v>
      </c>
      <c r="R7" s="710">
        <f t="shared" si="4"/>
        <v>3.3398069624357175E-4</v>
      </c>
      <c r="S7" s="710">
        <f t="shared" si="5"/>
        <v>4.0077683549228607E-4</v>
      </c>
      <c r="T7" s="710">
        <f t="shared" si="6"/>
        <v>2.0038841774614301E-3</v>
      </c>
      <c r="U7" s="710">
        <f t="shared" si="7"/>
        <v>2.3378648737050021E-6</v>
      </c>
      <c r="V7" s="710">
        <f t="shared" si="8"/>
        <v>4.0411664245472181E-5</v>
      </c>
      <c r="W7" s="710">
        <f t="shared" si="9"/>
        <v>5.3436911398971473E-4</v>
      </c>
      <c r="X7" s="710">
        <f t="shared" si="10"/>
        <v>4.6757297474100037E-3</v>
      </c>
      <c r="Y7" s="710">
        <f t="shared" si="11"/>
        <v>3.6737876586792889E-6</v>
      </c>
      <c r="Z7" s="710">
        <f t="shared" si="12"/>
        <v>1.3278118252083715E-4</v>
      </c>
      <c r="AA7" s="721">
        <f t="shared" si="13"/>
        <v>0.53436911398971476</v>
      </c>
      <c r="AB7" s="721">
        <f t="shared" si="0"/>
        <v>4.6757297474100037</v>
      </c>
      <c r="AC7" s="721">
        <f t="shared" si="0"/>
        <v>3.673787658679289E-3</v>
      </c>
      <c r="AD7" s="721">
        <f t="shared" si="0"/>
        <v>0.13278118252083715</v>
      </c>
      <c r="AE7" s="721">
        <f t="shared" si="14"/>
        <v>122.45958862264295</v>
      </c>
      <c r="AF7" s="722">
        <f>AA7*$F$56+AC7*$E$56+AE7</f>
        <v>134.82021419061755</v>
      </c>
    </row>
    <row r="8" spans="1:32">
      <c r="A8" s="674">
        <v>1.18</v>
      </c>
      <c r="B8" s="674" t="s">
        <v>1195</v>
      </c>
      <c r="C8" s="674" t="s">
        <v>1196</v>
      </c>
      <c r="D8" s="675">
        <v>2013</v>
      </c>
      <c r="E8" s="720">
        <v>2015</v>
      </c>
      <c r="F8" s="720">
        <f t="shared" si="1"/>
        <v>2014</v>
      </c>
      <c r="G8" s="677">
        <f>B_intervenida!N22</f>
        <v>17.736583315727433</v>
      </c>
      <c r="H8" s="677">
        <f>B_intervenida!O22</f>
        <v>0</v>
      </c>
      <c r="I8" s="677">
        <f>B_intervenida!P22</f>
        <v>0.62304000000000004</v>
      </c>
      <c r="J8" s="677">
        <f>B_intervenida!Q22</f>
        <v>10.435919999999999</v>
      </c>
      <c r="K8" s="677">
        <f t="shared" si="2"/>
        <v>28.795543315727432</v>
      </c>
      <c r="L8" s="695">
        <v>0.9</v>
      </c>
      <c r="M8" s="710">
        <f t="shared" si="15"/>
        <v>25.915988984154691</v>
      </c>
      <c r="N8" s="695">
        <v>0.5</v>
      </c>
      <c r="O8" s="710">
        <f t="shared" si="17"/>
        <v>12.957994492077345</v>
      </c>
      <c r="P8" s="710">
        <f t="shared" si="3"/>
        <v>1.2957994492077345E-2</v>
      </c>
      <c r="Q8" s="710">
        <f t="shared" si="16"/>
        <v>4.7512646470950264E-2</v>
      </c>
      <c r="R8" s="710">
        <f t="shared" si="4"/>
        <v>1.2957994492077344E-4</v>
      </c>
      <c r="S8" s="710">
        <f t="shared" si="5"/>
        <v>1.5549593390492815E-4</v>
      </c>
      <c r="T8" s="710">
        <f t="shared" si="6"/>
        <v>7.7747966952464067E-4</v>
      </c>
      <c r="U8" s="710">
        <f t="shared" si="7"/>
        <v>9.0705961444541408E-7</v>
      </c>
      <c r="V8" s="710">
        <f t="shared" si="8"/>
        <v>1.5679173335413585E-5</v>
      </c>
      <c r="W8" s="710">
        <f t="shared" si="9"/>
        <v>2.0732791187323753E-4</v>
      </c>
      <c r="X8" s="710">
        <f t="shared" si="10"/>
        <v>1.8141192288908283E-3</v>
      </c>
      <c r="Y8" s="710">
        <f t="shared" si="11"/>
        <v>1.4253793941285078E-6</v>
      </c>
      <c r="Z8" s="710">
        <f t="shared" si="12"/>
        <v>5.1517283816358919E-5</v>
      </c>
      <c r="AA8" s="721">
        <f t="shared" si="13"/>
        <v>0.20732791187323751</v>
      </c>
      <c r="AB8" s="721">
        <f t="shared" si="0"/>
        <v>1.8141192288908283</v>
      </c>
      <c r="AC8" s="721">
        <f t="shared" si="0"/>
        <v>1.4253793941285077E-3</v>
      </c>
      <c r="AD8" s="721">
        <f t="shared" si="0"/>
        <v>5.1517283816358922E-2</v>
      </c>
      <c r="AE8" s="721">
        <f t="shared" si="14"/>
        <v>47.512646470950266</v>
      </c>
      <c r="AF8" s="722">
        <f t="shared" si="18"/>
        <v>52.308400232468088</v>
      </c>
    </row>
    <row r="9" spans="1:32">
      <c r="A9" s="674">
        <v>1.63</v>
      </c>
      <c r="B9" s="674" t="s">
        <v>1195</v>
      </c>
      <c r="C9" s="674" t="s">
        <v>1196</v>
      </c>
      <c r="D9" s="675">
        <v>2011</v>
      </c>
      <c r="E9" s="720">
        <v>2013</v>
      </c>
      <c r="F9" s="720">
        <f t="shared" si="1"/>
        <v>2012</v>
      </c>
      <c r="G9" s="677">
        <f>B_intervenida!N23</f>
        <v>24.500534580199758</v>
      </c>
      <c r="H9" s="677">
        <f>B_intervenida!O23</f>
        <v>0</v>
      </c>
      <c r="I9" s="677">
        <f>B_intervenida!P23</f>
        <v>0.86064000000000007</v>
      </c>
      <c r="J9" s="677">
        <f>B_intervenida!Q23</f>
        <v>14.41572</v>
      </c>
      <c r="K9" s="677">
        <f t="shared" si="2"/>
        <v>39.776894580199759</v>
      </c>
      <c r="L9" s="695">
        <v>0.9</v>
      </c>
      <c r="M9" s="710">
        <f t="shared" si="15"/>
        <v>35.799205122179785</v>
      </c>
      <c r="N9" s="695">
        <v>0.5</v>
      </c>
      <c r="O9" s="710">
        <f t="shared" si="17"/>
        <v>17.899602561089893</v>
      </c>
      <c r="P9" s="710">
        <f t="shared" si="3"/>
        <v>1.7899602561089894E-2</v>
      </c>
      <c r="Q9" s="710">
        <f t="shared" si="16"/>
        <v>6.5631876057329605E-2</v>
      </c>
      <c r="R9" s="710">
        <f t="shared" si="4"/>
        <v>1.7899602561089893E-4</v>
      </c>
      <c r="S9" s="710">
        <f t="shared" si="5"/>
        <v>2.1479523073307874E-4</v>
      </c>
      <c r="T9" s="710">
        <f t="shared" si="6"/>
        <v>1.0739761536653935E-3</v>
      </c>
      <c r="U9" s="710">
        <f t="shared" si="7"/>
        <v>1.2529721792762925E-6</v>
      </c>
      <c r="V9" s="710">
        <f t="shared" si="8"/>
        <v>2.1658519098918769E-5</v>
      </c>
      <c r="W9" s="710">
        <f t="shared" si="9"/>
        <v>2.863936409774383E-4</v>
      </c>
      <c r="X9" s="710">
        <f t="shared" si="10"/>
        <v>2.5059443585525852E-3</v>
      </c>
      <c r="Y9" s="710">
        <f t="shared" si="11"/>
        <v>1.968956281719888E-6</v>
      </c>
      <c r="Z9" s="710">
        <f t="shared" si="12"/>
        <v>7.1163705610733101E-5</v>
      </c>
      <c r="AA9" s="721">
        <f t="shared" si="13"/>
        <v>0.2863936409774383</v>
      </c>
      <c r="AB9" s="721">
        <f t="shared" si="0"/>
        <v>2.5059443585525853</v>
      </c>
      <c r="AC9" s="721">
        <f t="shared" si="0"/>
        <v>1.9689562817198879E-3</v>
      </c>
      <c r="AD9" s="721">
        <f t="shared" si="0"/>
        <v>7.1163705610733097E-2</v>
      </c>
      <c r="AE9" s="721">
        <f t="shared" si="14"/>
        <v>65.631876057329606</v>
      </c>
      <c r="AF9" s="722">
        <f t="shared" si="18"/>
        <v>72.256518965188974</v>
      </c>
    </row>
    <row r="10" spans="1:32">
      <c r="A10" s="674">
        <v>2.36</v>
      </c>
      <c r="B10" s="674" t="s">
        <v>1177</v>
      </c>
      <c r="C10" s="674" t="s">
        <v>1178</v>
      </c>
      <c r="D10" s="675">
        <v>2013</v>
      </c>
      <c r="E10" s="720">
        <v>2015</v>
      </c>
      <c r="F10" s="720">
        <f t="shared" si="1"/>
        <v>2014</v>
      </c>
      <c r="G10" s="677">
        <f>B_intervenida!N24</f>
        <v>0</v>
      </c>
      <c r="H10" s="677">
        <f>B_intervenida!O24</f>
        <v>1363.3215307514188</v>
      </c>
      <c r="I10" s="677">
        <f>B_intervenida!P24</f>
        <v>1.2460800000000001</v>
      </c>
      <c r="J10" s="677">
        <f>B_intervenida!Q24</f>
        <v>0</v>
      </c>
      <c r="K10" s="677">
        <f t="shared" si="2"/>
        <v>1364.5676107514187</v>
      </c>
      <c r="L10" s="695">
        <v>0.9</v>
      </c>
      <c r="M10" s="710">
        <f t="shared" si="15"/>
        <v>1228.1108496762768</v>
      </c>
      <c r="N10" s="695">
        <v>0.5</v>
      </c>
      <c r="O10" s="710">
        <f t="shared" si="17"/>
        <v>614.05542483813838</v>
      </c>
      <c r="P10" s="710">
        <f t="shared" si="3"/>
        <v>0.61405542483813835</v>
      </c>
      <c r="Q10" s="710">
        <f t="shared" si="16"/>
        <v>2.2515365577398407</v>
      </c>
      <c r="R10" s="710">
        <f t="shared" si="4"/>
        <v>6.1405542483813835E-3</v>
      </c>
      <c r="S10" s="710">
        <f t="shared" si="5"/>
        <v>7.36866509805766E-3</v>
      </c>
      <c r="T10" s="710">
        <f t="shared" si="6"/>
        <v>3.6843325490288299E-2</v>
      </c>
      <c r="U10" s="710">
        <f t="shared" si="7"/>
        <v>4.2983879738669687E-5</v>
      </c>
      <c r="V10" s="710">
        <f t="shared" si="8"/>
        <v>7.4300706405414736E-4</v>
      </c>
      <c r="W10" s="710">
        <f t="shared" si="9"/>
        <v>9.8248867974102122E-3</v>
      </c>
      <c r="X10" s="710">
        <f t="shared" si="10"/>
        <v>8.5967759477339367E-2</v>
      </c>
      <c r="Y10" s="710">
        <f t="shared" si="11"/>
        <v>6.7546096732195218E-5</v>
      </c>
      <c r="Z10" s="710">
        <f t="shared" si="12"/>
        <v>2.441308924749341E-3</v>
      </c>
      <c r="AA10" s="721">
        <f t="shared" si="13"/>
        <v>9.8248867974102119</v>
      </c>
      <c r="AB10" s="721">
        <f t="shared" si="0"/>
        <v>85.967759477339371</v>
      </c>
      <c r="AC10" s="721">
        <f t="shared" si="0"/>
        <v>6.7546096732195221E-2</v>
      </c>
      <c r="AD10" s="721">
        <f t="shared" si="0"/>
        <v>2.4413089247493409</v>
      </c>
      <c r="AE10" s="721">
        <f t="shared" si="14"/>
        <v>2251.5365577398406</v>
      </c>
      <c r="AF10" s="722">
        <f t="shared" si="18"/>
        <v>2478.7984704724358</v>
      </c>
    </row>
    <row r="11" spans="1:32">
      <c r="A11" s="674">
        <v>1.1200000000000001</v>
      </c>
      <c r="B11" s="674" t="s">
        <v>1199</v>
      </c>
      <c r="C11" s="674" t="s">
        <v>1200</v>
      </c>
      <c r="D11" s="675">
        <v>2013</v>
      </c>
      <c r="E11" s="720">
        <v>2014</v>
      </c>
      <c r="F11" s="720">
        <f t="shared" si="1"/>
        <v>2014</v>
      </c>
      <c r="G11" s="677">
        <f>B_intervenida!N25</f>
        <v>0</v>
      </c>
      <c r="H11" s="677">
        <f>B_intervenida!O25</f>
        <v>0</v>
      </c>
      <c r="I11" s="677">
        <f>B_intervenida!P25</f>
        <v>0</v>
      </c>
      <c r="J11" s="677">
        <f>B_intervenida!Q25</f>
        <v>0</v>
      </c>
      <c r="K11" s="677">
        <f t="shared" si="2"/>
        <v>0</v>
      </c>
      <c r="L11" s="695">
        <v>0.9</v>
      </c>
      <c r="M11" s="710">
        <f t="shared" si="15"/>
        <v>0</v>
      </c>
      <c r="N11" s="695">
        <v>0.5</v>
      </c>
      <c r="O11" s="710">
        <f t="shared" si="17"/>
        <v>0</v>
      </c>
      <c r="P11" s="710">
        <f t="shared" si="3"/>
        <v>0</v>
      </c>
      <c r="Q11" s="710">
        <f t="shared" si="16"/>
        <v>0</v>
      </c>
      <c r="R11" s="710">
        <f t="shared" si="4"/>
        <v>0</v>
      </c>
      <c r="S11" s="710">
        <f t="shared" si="5"/>
        <v>0</v>
      </c>
      <c r="T11" s="710">
        <f t="shared" si="6"/>
        <v>0</v>
      </c>
      <c r="U11" s="710">
        <f t="shared" si="7"/>
        <v>0</v>
      </c>
      <c r="V11" s="710">
        <f t="shared" si="8"/>
        <v>0</v>
      </c>
      <c r="W11" s="710">
        <f t="shared" si="9"/>
        <v>0</v>
      </c>
      <c r="X11" s="710">
        <f t="shared" si="10"/>
        <v>0</v>
      </c>
      <c r="Y11" s="710">
        <f t="shared" si="11"/>
        <v>0</v>
      </c>
      <c r="Z11" s="710">
        <f t="shared" si="12"/>
        <v>0</v>
      </c>
      <c r="AA11" s="721">
        <f t="shared" si="13"/>
        <v>0</v>
      </c>
      <c r="AB11" s="721">
        <f t="shared" si="0"/>
        <v>0</v>
      </c>
      <c r="AC11" s="721">
        <f t="shared" si="0"/>
        <v>0</v>
      </c>
      <c r="AD11" s="721">
        <f t="shared" si="0"/>
        <v>0</v>
      </c>
      <c r="AE11" s="721">
        <f t="shared" si="14"/>
        <v>0</v>
      </c>
      <c r="AF11" s="722">
        <f t="shared" si="18"/>
        <v>0</v>
      </c>
    </row>
    <row r="12" spans="1:32">
      <c r="A12" s="674">
        <v>2</v>
      </c>
      <c r="B12" s="674" t="s">
        <v>1190</v>
      </c>
      <c r="C12" s="674" t="s">
        <v>1202</v>
      </c>
      <c r="D12" s="675">
        <v>2012</v>
      </c>
      <c r="E12" s="720">
        <v>2014</v>
      </c>
      <c r="F12" s="720">
        <f t="shared" si="1"/>
        <v>2013</v>
      </c>
      <c r="G12" s="677">
        <f>B_intervenida!N26</f>
        <v>48.037496762829441</v>
      </c>
      <c r="H12" s="677">
        <f>B_intervenida!O26</f>
        <v>0</v>
      </c>
      <c r="I12" s="677">
        <f>B_intervenida!P26</f>
        <v>0</v>
      </c>
      <c r="J12" s="677">
        <f>B_intervenida!Q26</f>
        <v>0</v>
      </c>
      <c r="K12" s="677">
        <f t="shared" si="2"/>
        <v>48.037496762829441</v>
      </c>
      <c r="L12" s="695">
        <v>0.9</v>
      </c>
      <c r="M12" s="710">
        <f t="shared" si="15"/>
        <v>43.233747086546501</v>
      </c>
      <c r="N12" s="695">
        <v>0.5</v>
      </c>
      <c r="O12" s="710">
        <f t="shared" si="17"/>
        <v>21.61687354327325</v>
      </c>
      <c r="P12" s="710">
        <f t="shared" si="3"/>
        <v>2.1616873543273251E-2</v>
      </c>
      <c r="Q12" s="710">
        <f t="shared" si="16"/>
        <v>7.9261869658668591E-2</v>
      </c>
      <c r="R12" s="710">
        <f t="shared" si="4"/>
        <v>2.1616873543273252E-4</v>
      </c>
      <c r="S12" s="710">
        <f t="shared" si="5"/>
        <v>2.5940248251927903E-4</v>
      </c>
      <c r="T12" s="710">
        <f t="shared" si="6"/>
        <v>1.2970124125963949E-3</v>
      </c>
      <c r="U12" s="710">
        <f t="shared" si="7"/>
        <v>1.5131811480291275E-6</v>
      </c>
      <c r="V12" s="710">
        <f t="shared" si="8"/>
        <v>2.6156416987360634E-5</v>
      </c>
      <c r="W12" s="710">
        <f t="shared" si="9"/>
        <v>3.45869976692372E-4</v>
      </c>
      <c r="X12" s="710">
        <f t="shared" si="10"/>
        <v>3.0263622960582551E-3</v>
      </c>
      <c r="Y12" s="710">
        <f t="shared" si="11"/>
        <v>2.3778560897600575E-6</v>
      </c>
      <c r="Z12" s="710">
        <f t="shared" si="12"/>
        <v>8.5942512958470647E-5</v>
      </c>
      <c r="AA12" s="721">
        <f t="shared" si="13"/>
        <v>0.34586997669237202</v>
      </c>
      <c r="AB12" s="721">
        <f t="shared" si="0"/>
        <v>3.026362296058255</v>
      </c>
      <c r="AC12" s="721">
        <f t="shared" si="0"/>
        <v>2.3778560897600573E-3</v>
      </c>
      <c r="AD12" s="721">
        <f t="shared" si="0"/>
        <v>8.5942512958470649E-2</v>
      </c>
      <c r="AE12" s="721">
        <f t="shared" si="14"/>
        <v>79.261869658668587</v>
      </c>
      <c r="AF12" s="722">
        <f t="shared" si="18"/>
        <v>87.262274557034019</v>
      </c>
    </row>
    <row r="13" spans="1:32">
      <c r="A13" s="674">
        <v>0.97</v>
      </c>
      <c r="B13" s="674" t="s">
        <v>1190</v>
      </c>
      <c r="C13" s="674" t="s">
        <v>1202</v>
      </c>
      <c r="D13" s="675">
        <v>2011</v>
      </c>
      <c r="E13" s="720">
        <v>2014</v>
      </c>
      <c r="F13" s="720">
        <f t="shared" si="1"/>
        <v>2012</v>
      </c>
      <c r="G13" s="677">
        <f>B_intervenida!N27</f>
        <v>23.298185929972281</v>
      </c>
      <c r="H13" s="677">
        <f>B_intervenida!O27</f>
        <v>0</v>
      </c>
      <c r="I13" s="677">
        <f>B_intervenida!P27</f>
        <v>0</v>
      </c>
      <c r="J13" s="677">
        <f>B_intervenida!Q27</f>
        <v>0</v>
      </c>
      <c r="K13" s="677">
        <f t="shared" si="2"/>
        <v>23.298185929972281</v>
      </c>
      <c r="L13" s="695">
        <v>0.9</v>
      </c>
      <c r="M13" s="710">
        <f t="shared" si="15"/>
        <v>20.968367336975053</v>
      </c>
      <c r="N13" s="695">
        <v>0.5</v>
      </c>
      <c r="O13" s="710">
        <f t="shared" si="17"/>
        <v>10.484183668487526</v>
      </c>
      <c r="P13" s="710">
        <f t="shared" si="3"/>
        <v>1.0484183668487527E-2</v>
      </c>
      <c r="Q13" s="710">
        <f t="shared" si="16"/>
        <v>3.8442006784454266E-2</v>
      </c>
      <c r="R13" s="710">
        <f t="shared" si="4"/>
        <v>1.0484183668487527E-4</v>
      </c>
      <c r="S13" s="710">
        <f t="shared" si="5"/>
        <v>1.2581020402185032E-4</v>
      </c>
      <c r="T13" s="710">
        <f t="shared" si="6"/>
        <v>6.2905102010925155E-4</v>
      </c>
      <c r="U13" s="710">
        <f t="shared" si="7"/>
        <v>7.3389285679412685E-7</v>
      </c>
      <c r="V13" s="710">
        <f t="shared" si="8"/>
        <v>1.2685862238869907E-5</v>
      </c>
      <c r="W13" s="710">
        <f t="shared" si="9"/>
        <v>1.6774693869580043E-4</v>
      </c>
      <c r="X13" s="710">
        <f t="shared" si="10"/>
        <v>1.4677857135882537E-3</v>
      </c>
      <c r="Y13" s="710">
        <f t="shared" si="11"/>
        <v>1.1532602035336278E-6</v>
      </c>
      <c r="Z13" s="710">
        <f t="shared" si="12"/>
        <v>4.1682118784858264E-5</v>
      </c>
      <c r="AA13" s="721">
        <f t="shared" si="13"/>
        <v>0.16774693869580043</v>
      </c>
      <c r="AB13" s="721">
        <f t="shared" si="0"/>
        <v>1.4677857135882537</v>
      </c>
      <c r="AC13" s="721">
        <f t="shared" si="0"/>
        <v>1.1532602035336278E-3</v>
      </c>
      <c r="AD13" s="721">
        <f t="shared" si="0"/>
        <v>4.1682118784858266E-2</v>
      </c>
      <c r="AE13" s="721">
        <f t="shared" si="14"/>
        <v>38.442006784454264</v>
      </c>
      <c r="AF13" s="722">
        <f t="shared" si="18"/>
        <v>42.3222031601615</v>
      </c>
    </row>
    <row r="14" spans="1:32">
      <c r="A14" s="674">
        <v>0.2</v>
      </c>
      <c r="B14" s="674" t="s">
        <v>1204</v>
      </c>
      <c r="C14" s="674" t="s">
        <v>1186</v>
      </c>
      <c r="D14" s="675">
        <v>2012</v>
      </c>
      <c r="E14" s="720">
        <v>2012</v>
      </c>
      <c r="F14" s="720">
        <f t="shared" si="1"/>
        <v>2013</v>
      </c>
      <c r="G14" s="677">
        <f>B_intervenida!N28</f>
        <v>0.70924459540999685</v>
      </c>
      <c r="H14" s="677">
        <f>B_intervenida!O28</f>
        <v>0</v>
      </c>
      <c r="I14" s="677">
        <f>B_intervenida!P28</f>
        <v>0.10560000000000003</v>
      </c>
      <c r="J14" s="677">
        <f>B_intervenida!Q28</f>
        <v>0</v>
      </c>
      <c r="K14" s="677">
        <f t="shared" si="2"/>
        <v>0.81484459540999687</v>
      </c>
      <c r="L14" s="695">
        <v>0.9</v>
      </c>
      <c r="M14" s="710">
        <f t="shared" si="15"/>
        <v>0.73336013586899718</v>
      </c>
      <c r="N14" s="695">
        <v>0.5</v>
      </c>
      <c r="O14" s="710">
        <f t="shared" si="17"/>
        <v>0.36668006793449859</v>
      </c>
      <c r="P14" s="710">
        <f t="shared" si="3"/>
        <v>3.6668006793449861E-4</v>
      </c>
      <c r="Q14" s="710">
        <f t="shared" si="16"/>
        <v>1.3444935824264948E-3</v>
      </c>
      <c r="R14" s="710">
        <f t="shared" si="4"/>
        <v>3.6668006793449862E-6</v>
      </c>
      <c r="S14" s="710">
        <f t="shared" si="5"/>
        <v>4.400160815213983E-6</v>
      </c>
      <c r="T14" s="710">
        <f t="shared" si="6"/>
        <v>2.2000804076069917E-5</v>
      </c>
      <c r="U14" s="710">
        <f t="shared" si="7"/>
        <v>2.5667604755414904E-8</v>
      </c>
      <c r="V14" s="710">
        <f t="shared" si="8"/>
        <v>4.436828822007433E-7</v>
      </c>
      <c r="W14" s="710">
        <f t="shared" si="9"/>
        <v>5.8668810869519768E-6</v>
      </c>
      <c r="X14" s="710">
        <f t="shared" si="10"/>
        <v>5.133520951082981E-5</v>
      </c>
      <c r="Y14" s="710">
        <f t="shared" si="11"/>
        <v>4.033480747279485E-8</v>
      </c>
      <c r="Z14" s="710">
        <f t="shared" si="12"/>
        <v>1.4578151843738709E-6</v>
      </c>
      <c r="AA14" s="721">
        <f t="shared" si="13"/>
        <v>5.8668810869519769E-3</v>
      </c>
      <c r="AB14" s="721">
        <f t="shared" si="0"/>
        <v>5.1335209510829809E-2</v>
      </c>
      <c r="AC14" s="721">
        <f t="shared" si="0"/>
        <v>4.0334807472794849E-5</v>
      </c>
      <c r="AD14" s="721">
        <f t="shared" si="0"/>
        <v>1.4578151843738709E-3</v>
      </c>
      <c r="AE14" s="721">
        <f t="shared" si="14"/>
        <v>1.3444935824264947</v>
      </c>
      <c r="AF14" s="722">
        <f t="shared" si="18"/>
        <v>1.4802018755690527</v>
      </c>
    </row>
    <row r="15" spans="1:32">
      <c r="A15" s="674">
        <v>0.51</v>
      </c>
      <c r="B15" s="674" t="s">
        <v>1204</v>
      </c>
      <c r="C15" s="674" t="s">
        <v>1186</v>
      </c>
      <c r="D15" s="675">
        <v>2012</v>
      </c>
      <c r="E15" s="720">
        <v>2014</v>
      </c>
      <c r="F15" s="720">
        <f t="shared" si="1"/>
        <v>2013</v>
      </c>
      <c r="G15" s="677">
        <f>B_intervenida!N36</f>
        <v>1.8085737182954922</v>
      </c>
      <c r="H15" s="677">
        <f>B_intervenida!O36</f>
        <v>0</v>
      </c>
      <c r="I15" s="677">
        <f>B_intervenida!P36</f>
        <v>0.26928000000000002</v>
      </c>
      <c r="J15" s="677">
        <f>B_intervenida!Q36</f>
        <v>0</v>
      </c>
      <c r="K15" s="677">
        <f t="shared" si="2"/>
        <v>2.0778537182954921</v>
      </c>
      <c r="L15" s="695">
        <v>0.9</v>
      </c>
      <c r="M15" s="710">
        <f t="shared" si="15"/>
        <v>1.8700683464659429</v>
      </c>
      <c r="N15" s="695">
        <v>0.5</v>
      </c>
      <c r="O15" s="710">
        <f t="shared" si="17"/>
        <v>0.93503417323297144</v>
      </c>
      <c r="P15" s="710">
        <f t="shared" si="3"/>
        <v>9.3503417323297143E-4</v>
      </c>
      <c r="Q15" s="710">
        <f t="shared" si="16"/>
        <v>3.4284586351875615E-3</v>
      </c>
      <c r="R15" s="710">
        <f t="shared" si="4"/>
        <v>9.3503417323297138E-6</v>
      </c>
      <c r="S15" s="710">
        <f t="shared" si="5"/>
        <v>1.1220410078795658E-5</v>
      </c>
      <c r="T15" s="710">
        <f t="shared" si="6"/>
        <v>5.6102050393978283E-5</v>
      </c>
      <c r="U15" s="710">
        <f t="shared" si="7"/>
        <v>6.5452392126307993E-8</v>
      </c>
      <c r="V15" s="710">
        <f t="shared" si="8"/>
        <v>1.1313913496118953E-6</v>
      </c>
      <c r="W15" s="710">
        <f t="shared" si="9"/>
        <v>1.4960546771727543E-5</v>
      </c>
      <c r="X15" s="710">
        <f t="shared" si="10"/>
        <v>1.3090478425261599E-4</v>
      </c>
      <c r="Y15" s="710">
        <f t="shared" si="11"/>
        <v>1.0285375905562684E-7</v>
      </c>
      <c r="Z15" s="710">
        <f t="shared" si="12"/>
        <v>3.7174287201533699E-6</v>
      </c>
      <c r="AA15" s="721">
        <f t="shared" si="13"/>
        <v>1.4960546771727543E-2</v>
      </c>
      <c r="AB15" s="721">
        <f t="shared" si="0"/>
        <v>0.13090478425261598</v>
      </c>
      <c r="AC15" s="721">
        <f t="shared" si="0"/>
        <v>1.0285375905562684E-4</v>
      </c>
      <c r="AD15" s="721">
        <f t="shared" si="0"/>
        <v>3.7174287201533697E-3</v>
      </c>
      <c r="AE15" s="721">
        <f t="shared" si="14"/>
        <v>3.4284586351875617</v>
      </c>
      <c r="AF15" s="722">
        <f t="shared" si="18"/>
        <v>3.7745147827010843</v>
      </c>
    </row>
    <row r="16" spans="1:32">
      <c r="A16" s="674">
        <v>0.51</v>
      </c>
      <c r="B16" s="674" t="s">
        <v>1221</v>
      </c>
      <c r="C16" s="674" t="s">
        <v>1186</v>
      </c>
      <c r="D16" s="675">
        <v>2012</v>
      </c>
      <c r="E16" s="720">
        <v>2014</v>
      </c>
      <c r="F16" s="720">
        <f t="shared" si="1"/>
        <v>2013</v>
      </c>
      <c r="G16" s="677">
        <f>B_intervenida!N38</f>
        <v>0.83881146944112539</v>
      </c>
      <c r="H16" s="677">
        <f>B_intervenida!O38</f>
        <v>0</v>
      </c>
      <c r="I16" s="677">
        <f>B_intervenida!P38</f>
        <v>0.26928000000000002</v>
      </c>
      <c r="J16" s="677">
        <f>B_intervenida!Q38</f>
        <v>0</v>
      </c>
      <c r="K16" s="677">
        <f t="shared" si="2"/>
        <v>1.1080914694411255</v>
      </c>
      <c r="L16" s="695">
        <v>0.9</v>
      </c>
      <c r="M16" s="710">
        <f t="shared" si="15"/>
        <v>0.99728232249701299</v>
      </c>
      <c r="N16" s="695">
        <v>0.5</v>
      </c>
      <c r="O16" s="710">
        <f t="shared" si="17"/>
        <v>0.49864116124850649</v>
      </c>
      <c r="P16" s="710">
        <f t="shared" si="3"/>
        <v>4.9864116124850649E-4</v>
      </c>
      <c r="Q16" s="710">
        <f t="shared" si="16"/>
        <v>1.8283509245778571E-3</v>
      </c>
      <c r="R16" s="710">
        <f t="shared" si="4"/>
        <v>4.9864116124850649E-6</v>
      </c>
      <c r="S16" s="710">
        <f t="shared" si="5"/>
        <v>5.9836939349820782E-6</v>
      </c>
      <c r="T16" s="710">
        <f t="shared" si="6"/>
        <v>2.9918469674910387E-5</v>
      </c>
      <c r="U16" s="710">
        <f t="shared" si="7"/>
        <v>3.4904881287395452E-8</v>
      </c>
      <c r="V16" s="710">
        <f t="shared" si="8"/>
        <v>6.0335580511069281E-7</v>
      </c>
      <c r="W16" s="710">
        <f t="shared" si="9"/>
        <v>7.9782585799761031E-6</v>
      </c>
      <c r="X16" s="710">
        <f t="shared" si="10"/>
        <v>6.9809762574790906E-5</v>
      </c>
      <c r="Y16" s="710">
        <f t="shared" si="11"/>
        <v>5.4850527737335713E-8</v>
      </c>
      <c r="Z16" s="710">
        <f t="shared" si="12"/>
        <v>1.9824547882208477E-6</v>
      </c>
      <c r="AA16" s="721">
        <f t="shared" si="13"/>
        <v>7.9782585799761038E-3</v>
      </c>
      <c r="AB16" s="721">
        <f t="shared" si="0"/>
        <v>6.9809762574790907E-2</v>
      </c>
      <c r="AC16" s="721">
        <f t="shared" si="0"/>
        <v>5.4850527737335716E-5</v>
      </c>
      <c r="AD16" s="721">
        <f t="shared" si="0"/>
        <v>1.9824547882208478E-3</v>
      </c>
      <c r="AE16" s="721">
        <f t="shared" si="14"/>
        <v>1.8283509245778571</v>
      </c>
      <c r="AF16" s="722">
        <f t="shared" si="18"/>
        <v>2.0128980183559295</v>
      </c>
    </row>
    <row r="17" spans="1:32">
      <c r="A17" s="674">
        <v>0.51</v>
      </c>
      <c r="B17" s="674" t="s">
        <v>1195</v>
      </c>
      <c r="C17" s="674" t="s">
        <v>1196</v>
      </c>
      <c r="D17" s="675">
        <v>2013</v>
      </c>
      <c r="E17" s="720">
        <v>2015</v>
      </c>
      <c r="F17" s="720">
        <f t="shared" si="1"/>
        <v>2014</v>
      </c>
      <c r="G17" s="677">
        <f>B_intervenida!N39</f>
        <v>7.6658114330686367</v>
      </c>
      <c r="H17" s="677">
        <f>B_intervenida!O39</f>
        <v>0</v>
      </c>
      <c r="I17" s="677">
        <f>B_intervenida!P39</f>
        <v>0.26928000000000002</v>
      </c>
      <c r="J17" s="677">
        <f>B_intervenida!Q39</f>
        <v>4.51044</v>
      </c>
      <c r="K17" s="677">
        <f t="shared" si="2"/>
        <v>12.445531433068638</v>
      </c>
      <c r="L17" s="695">
        <v>0.9</v>
      </c>
      <c r="M17" s="710">
        <f t="shared" si="15"/>
        <v>11.200978289761775</v>
      </c>
      <c r="N17" s="695">
        <v>0.5</v>
      </c>
      <c r="O17" s="710">
        <f t="shared" si="17"/>
        <v>5.6004891448808873</v>
      </c>
      <c r="P17" s="710">
        <f t="shared" si="3"/>
        <v>5.600489144880887E-3</v>
      </c>
      <c r="Q17" s="710">
        <f t="shared" si="16"/>
        <v>2.0535126864563252E-2</v>
      </c>
      <c r="R17" s="710">
        <f t="shared" si="4"/>
        <v>5.6004891448808869E-5</v>
      </c>
      <c r="S17" s="710">
        <f t="shared" si="5"/>
        <v>6.7205869738570651E-5</v>
      </c>
      <c r="T17" s="710">
        <f t="shared" si="6"/>
        <v>3.3602934869285319E-4</v>
      </c>
      <c r="U17" s="710">
        <f t="shared" si="7"/>
        <v>3.920342401416621E-7</v>
      </c>
      <c r="V17" s="710">
        <f t="shared" si="8"/>
        <v>6.776591865305873E-6</v>
      </c>
      <c r="W17" s="710">
        <f t="shared" si="9"/>
        <v>8.9607826318094201E-5</v>
      </c>
      <c r="X17" s="710">
        <f t="shared" si="10"/>
        <v>7.8406848028332414E-4</v>
      </c>
      <c r="Y17" s="710">
        <f t="shared" si="11"/>
        <v>6.1605380593689758E-7</v>
      </c>
      <c r="Z17" s="710">
        <f t="shared" si="12"/>
        <v>2.2265944700290723E-5</v>
      </c>
      <c r="AA17" s="721">
        <f t="shared" si="13"/>
        <v>8.9607826318094205E-2</v>
      </c>
      <c r="AB17" s="721">
        <f t="shared" si="0"/>
        <v>0.7840684802833241</v>
      </c>
      <c r="AC17" s="721">
        <f t="shared" si="0"/>
        <v>6.160538059368976E-4</v>
      </c>
      <c r="AD17" s="721">
        <f t="shared" si="0"/>
        <v>2.2265944700290724E-2</v>
      </c>
      <c r="AE17" s="721">
        <f t="shared" si="14"/>
        <v>20.535126864563253</v>
      </c>
      <c r="AF17" s="722">
        <f t="shared" si="18"/>
        <v>22.607867897083668</v>
      </c>
    </row>
    <row r="18" spans="1:32">
      <c r="A18" s="674">
        <v>0.51</v>
      </c>
      <c r="B18" s="674" t="s">
        <v>1224</v>
      </c>
      <c r="C18" s="674" t="s">
        <v>1191</v>
      </c>
      <c r="D18" s="675">
        <v>2013</v>
      </c>
      <c r="E18" s="720">
        <v>2015</v>
      </c>
      <c r="F18" s="720">
        <f t="shared" si="1"/>
        <v>2014</v>
      </c>
      <c r="G18" s="677">
        <f>B_intervenida!N40</f>
        <v>0</v>
      </c>
      <c r="H18" s="677">
        <f>B_intervenida!O40</f>
        <v>0</v>
      </c>
      <c r="I18" s="677">
        <f>B_intervenida!P40</f>
        <v>0</v>
      </c>
      <c r="J18" s="677">
        <f>B_intervenida!Q40</f>
        <v>0</v>
      </c>
      <c r="K18" s="677">
        <f t="shared" si="2"/>
        <v>0</v>
      </c>
      <c r="L18" s="695">
        <v>0.9</v>
      </c>
      <c r="M18" s="710">
        <f t="shared" si="15"/>
        <v>0</v>
      </c>
      <c r="N18" s="695">
        <v>0.5</v>
      </c>
      <c r="O18" s="710">
        <f t="shared" si="17"/>
        <v>0</v>
      </c>
      <c r="P18" s="710">
        <f t="shared" si="3"/>
        <v>0</v>
      </c>
      <c r="Q18" s="710">
        <f t="shared" si="16"/>
        <v>0</v>
      </c>
      <c r="R18" s="710">
        <f t="shared" si="4"/>
        <v>0</v>
      </c>
      <c r="S18" s="710">
        <f t="shared" si="5"/>
        <v>0</v>
      </c>
      <c r="T18" s="710">
        <f t="shared" si="6"/>
        <v>0</v>
      </c>
      <c r="U18" s="710">
        <f t="shared" si="7"/>
        <v>0</v>
      </c>
      <c r="V18" s="710">
        <f t="shared" si="8"/>
        <v>0</v>
      </c>
      <c r="W18" s="710">
        <f t="shared" si="9"/>
        <v>0</v>
      </c>
      <c r="X18" s="710">
        <f t="shared" si="10"/>
        <v>0</v>
      </c>
      <c r="Y18" s="710">
        <f t="shared" si="11"/>
        <v>0</v>
      </c>
      <c r="Z18" s="710">
        <f t="shared" si="12"/>
        <v>0</v>
      </c>
      <c r="AA18" s="721">
        <f t="shared" si="13"/>
        <v>0</v>
      </c>
      <c r="AB18" s="721">
        <f t="shared" si="0"/>
        <v>0</v>
      </c>
      <c r="AC18" s="721">
        <f t="shared" si="0"/>
        <v>0</v>
      </c>
      <c r="AD18" s="721">
        <f t="shared" si="0"/>
        <v>0</v>
      </c>
      <c r="AE18" s="721">
        <f t="shared" si="14"/>
        <v>0</v>
      </c>
      <c r="AF18" s="722">
        <f t="shared" si="18"/>
        <v>0</v>
      </c>
    </row>
    <row r="19" spans="1:32">
      <c r="A19" s="674">
        <v>1.5</v>
      </c>
      <c r="B19" s="674" t="s">
        <v>1185</v>
      </c>
      <c r="C19" s="674" t="s">
        <v>1186</v>
      </c>
      <c r="D19" s="675">
        <v>2013</v>
      </c>
      <c r="E19" s="720">
        <v>2015</v>
      </c>
      <c r="F19" s="720">
        <f t="shared" si="1"/>
        <v>2014</v>
      </c>
      <c r="G19" s="677">
        <f>B_intervenida!N45</f>
        <v>3.8098106267314504</v>
      </c>
      <c r="H19" s="677">
        <f>B_intervenida!O45</f>
        <v>0</v>
      </c>
      <c r="I19" s="677">
        <f>B_intervenida!P45</f>
        <v>0</v>
      </c>
      <c r="J19" s="677">
        <f>B_intervenida!Q45</f>
        <v>0</v>
      </c>
      <c r="K19" s="677">
        <f t="shared" si="2"/>
        <v>3.8098106267314504</v>
      </c>
      <c r="L19" s="695">
        <v>0.9</v>
      </c>
      <c r="M19" s="710">
        <f t="shared" si="15"/>
        <v>3.4288295640583053</v>
      </c>
      <c r="N19" s="695">
        <v>0.5</v>
      </c>
      <c r="O19" s="710">
        <f t="shared" si="17"/>
        <v>1.7144147820291527</v>
      </c>
      <c r="P19" s="710">
        <f t="shared" si="3"/>
        <v>1.7144147820291526E-3</v>
      </c>
      <c r="Q19" s="710">
        <f t="shared" si="16"/>
        <v>6.2861875341068928E-3</v>
      </c>
      <c r="R19" s="710">
        <f t="shared" si="4"/>
        <v>1.7144147820291527E-5</v>
      </c>
      <c r="S19" s="710">
        <f t="shared" si="5"/>
        <v>2.0572977384349831E-5</v>
      </c>
      <c r="T19" s="710">
        <f t="shared" si="6"/>
        <v>1.0286488692174915E-4</v>
      </c>
      <c r="U19" s="710">
        <f t="shared" si="7"/>
        <v>1.2000903474204069E-7</v>
      </c>
      <c r="V19" s="710">
        <f t="shared" si="8"/>
        <v>2.0744418862552747E-6</v>
      </c>
      <c r="W19" s="710">
        <f t="shared" si="9"/>
        <v>2.7430636512466439E-5</v>
      </c>
      <c r="X19" s="710">
        <f t="shared" si="10"/>
        <v>2.4001806948408135E-4</v>
      </c>
      <c r="Y19" s="710">
        <f t="shared" si="11"/>
        <v>1.8858562602320678E-7</v>
      </c>
      <c r="Z19" s="710">
        <f t="shared" si="12"/>
        <v>6.8160233405530448E-6</v>
      </c>
      <c r="AA19" s="721">
        <f t="shared" si="13"/>
        <v>2.7430636512466439E-2</v>
      </c>
      <c r="AB19" s="721">
        <f t="shared" si="13"/>
        <v>0.24001806948408136</v>
      </c>
      <c r="AC19" s="721">
        <f t="shared" si="13"/>
        <v>1.8858562602320678E-4</v>
      </c>
      <c r="AD19" s="721">
        <f t="shared" si="13"/>
        <v>6.816023340553045E-3</v>
      </c>
      <c r="AE19" s="721">
        <f t="shared" si="14"/>
        <v>6.2861875341068929</v>
      </c>
      <c r="AF19" s="722">
        <f t="shared" si="18"/>
        <v>6.9206924449358826</v>
      </c>
    </row>
    <row r="20" spans="1:32">
      <c r="A20" s="674">
        <v>1.35</v>
      </c>
      <c r="B20" s="674" t="s">
        <v>1231</v>
      </c>
      <c r="C20" s="674" t="s">
        <v>1232</v>
      </c>
      <c r="D20" s="675">
        <v>2013</v>
      </c>
      <c r="E20" s="720">
        <v>2015</v>
      </c>
      <c r="F20" s="720">
        <f t="shared" si="1"/>
        <v>2014</v>
      </c>
      <c r="G20" s="677">
        <f>B_intervenida!N46</f>
        <v>0</v>
      </c>
      <c r="H20" s="677">
        <f>B_intervenida!O46</f>
        <v>0</v>
      </c>
      <c r="I20" s="677">
        <f>B_intervenida!P46</f>
        <v>0</v>
      </c>
      <c r="J20" s="677">
        <f>B_intervenida!Q46</f>
        <v>0</v>
      </c>
      <c r="K20" s="677">
        <f t="shared" si="2"/>
        <v>0</v>
      </c>
      <c r="L20" s="695">
        <v>0.9</v>
      </c>
      <c r="M20" s="710">
        <f t="shared" si="15"/>
        <v>0</v>
      </c>
      <c r="N20" s="695">
        <v>0.5</v>
      </c>
      <c r="O20" s="710">
        <f t="shared" si="17"/>
        <v>0</v>
      </c>
      <c r="P20" s="710">
        <f t="shared" si="3"/>
        <v>0</v>
      </c>
      <c r="Q20" s="710">
        <f t="shared" si="16"/>
        <v>0</v>
      </c>
      <c r="R20" s="710">
        <f t="shared" si="4"/>
        <v>0</v>
      </c>
      <c r="S20" s="710">
        <f t="shared" si="5"/>
        <v>0</v>
      </c>
      <c r="T20" s="710">
        <f t="shared" si="6"/>
        <v>0</v>
      </c>
      <c r="U20" s="710">
        <f t="shared" si="7"/>
        <v>0</v>
      </c>
      <c r="V20" s="710">
        <f t="shared" si="8"/>
        <v>0</v>
      </c>
      <c r="W20" s="710">
        <f t="shared" si="9"/>
        <v>0</v>
      </c>
      <c r="X20" s="710">
        <f t="shared" si="10"/>
        <v>0</v>
      </c>
      <c r="Y20" s="710">
        <f t="shared" si="11"/>
        <v>0</v>
      </c>
      <c r="Z20" s="710">
        <f t="shared" si="12"/>
        <v>0</v>
      </c>
      <c r="AA20" s="721">
        <f t="shared" si="13"/>
        <v>0</v>
      </c>
      <c r="AB20" s="721">
        <f t="shared" si="13"/>
        <v>0</v>
      </c>
      <c r="AC20" s="721">
        <f t="shared" si="13"/>
        <v>0</v>
      </c>
      <c r="AD20" s="721">
        <f t="shared" si="13"/>
        <v>0</v>
      </c>
      <c r="AE20" s="721">
        <f t="shared" si="14"/>
        <v>0</v>
      </c>
      <c r="AF20" s="722">
        <f t="shared" si="18"/>
        <v>0</v>
      </c>
    </row>
    <row r="21" spans="1:32">
      <c r="A21" s="674">
        <v>2.5</v>
      </c>
      <c r="B21" s="674" t="s">
        <v>1234</v>
      </c>
      <c r="C21" s="674" t="s">
        <v>1186</v>
      </c>
      <c r="D21" s="675">
        <v>2012</v>
      </c>
      <c r="E21" s="720">
        <v>2015</v>
      </c>
      <c r="F21" s="720">
        <f t="shared" si="1"/>
        <v>2013</v>
      </c>
      <c r="G21" s="677">
        <f>B_intervenida!N47</f>
        <v>7.2002460816867506</v>
      </c>
      <c r="H21" s="677">
        <f>B_intervenida!O47</f>
        <v>0</v>
      </c>
      <c r="I21" s="677">
        <f>B_intervenida!P47</f>
        <v>1.32</v>
      </c>
      <c r="J21" s="677">
        <f>B_intervenida!Q47</f>
        <v>0</v>
      </c>
      <c r="K21" s="677">
        <f t="shared" si="2"/>
        <v>8.52024608168675</v>
      </c>
      <c r="L21" s="695">
        <v>0.9</v>
      </c>
      <c r="M21" s="710">
        <f t="shared" si="15"/>
        <v>7.6682214735180754</v>
      </c>
      <c r="N21" s="695">
        <v>0.5</v>
      </c>
      <c r="O21" s="710">
        <f t="shared" si="17"/>
        <v>3.8341107367590377</v>
      </c>
      <c r="P21" s="710">
        <f t="shared" si="3"/>
        <v>3.8341107367590378E-3</v>
      </c>
      <c r="Q21" s="710">
        <f t="shared" si="16"/>
        <v>1.4058406034783139E-2</v>
      </c>
      <c r="R21" s="710">
        <f t="shared" si="4"/>
        <v>3.8341107367590382E-5</v>
      </c>
      <c r="S21" s="710">
        <f t="shared" si="5"/>
        <v>4.6009328841108457E-5</v>
      </c>
      <c r="T21" s="710">
        <f t="shared" si="6"/>
        <v>2.3004664420554226E-4</v>
      </c>
      <c r="U21" s="710">
        <f t="shared" si="7"/>
        <v>2.683877515731327E-7</v>
      </c>
      <c r="V21" s="710">
        <f t="shared" si="8"/>
        <v>4.6392739914784364E-6</v>
      </c>
      <c r="W21" s="710">
        <f t="shared" si="9"/>
        <v>6.13457717881446E-5</v>
      </c>
      <c r="X21" s="710">
        <f t="shared" si="10"/>
        <v>5.3677550314626529E-4</v>
      </c>
      <c r="Y21" s="710">
        <f t="shared" si="11"/>
        <v>4.2175218104349424E-7</v>
      </c>
      <c r="Z21" s="710">
        <f t="shared" si="12"/>
        <v>1.5243328829143434E-5</v>
      </c>
      <c r="AA21" s="721">
        <f t="shared" si="13"/>
        <v>6.1345771788144599E-2</v>
      </c>
      <c r="AB21" s="721">
        <f t="shared" si="13"/>
        <v>0.53677550314626532</v>
      </c>
      <c r="AC21" s="721">
        <f t="shared" si="13"/>
        <v>4.2175218104349423E-4</v>
      </c>
      <c r="AD21" s="721">
        <f t="shared" si="13"/>
        <v>1.5243328829143433E-2</v>
      </c>
      <c r="AE21" s="721">
        <f t="shared" si="14"/>
        <v>14.05840603478314</v>
      </c>
      <c r="AF21" s="722">
        <f t="shared" si="18"/>
        <v>15.477410418457659</v>
      </c>
    </row>
    <row r="22" spans="1:32">
      <c r="A22" s="674">
        <v>0.84</v>
      </c>
      <c r="B22" s="674" t="s">
        <v>1195</v>
      </c>
      <c r="C22" s="674" t="s">
        <v>1196</v>
      </c>
      <c r="D22" s="675">
        <v>2012</v>
      </c>
      <c r="E22" s="720">
        <v>2014</v>
      </c>
      <c r="F22" s="720">
        <f t="shared" si="1"/>
        <v>2013</v>
      </c>
      <c r="G22" s="677">
        <f>B_intervenida!N48</f>
        <v>12.626042360348341</v>
      </c>
      <c r="H22" s="677">
        <f>B_intervenida!O48</f>
        <v>0</v>
      </c>
      <c r="I22" s="677">
        <f>B_intervenida!P48</f>
        <v>0.44352000000000003</v>
      </c>
      <c r="J22" s="677">
        <f>B_intervenida!Q48</f>
        <v>7.42896</v>
      </c>
      <c r="K22" s="677">
        <f t="shared" si="2"/>
        <v>20.498522360348339</v>
      </c>
      <c r="L22" s="695">
        <v>0.9</v>
      </c>
      <c r="M22" s="710">
        <f t="shared" si="15"/>
        <v>18.448670124313505</v>
      </c>
      <c r="N22" s="695">
        <v>0.5</v>
      </c>
      <c r="O22" s="710">
        <f t="shared" si="17"/>
        <v>9.2243350621567526</v>
      </c>
      <c r="P22" s="710">
        <f t="shared" si="3"/>
        <v>9.2243350621567521E-3</v>
      </c>
      <c r="Q22" s="710">
        <f t="shared" si="16"/>
        <v>3.3822561894574756E-2</v>
      </c>
      <c r="R22" s="710">
        <f t="shared" si="4"/>
        <v>9.2243350621567524E-5</v>
      </c>
      <c r="S22" s="710">
        <f>P22*$D$43</f>
        <v>1.1069202074588102E-4</v>
      </c>
      <c r="T22" s="710">
        <f t="shared" si="6"/>
        <v>5.5346010372940514E-4</v>
      </c>
      <c r="U22" s="710">
        <f t="shared" si="7"/>
        <v>6.4570345435097271E-7</v>
      </c>
      <c r="V22" s="710">
        <f t="shared" si="8"/>
        <v>1.116144542520967E-5</v>
      </c>
      <c r="W22" s="710">
        <f t="shared" si="9"/>
        <v>1.4758936099450802E-4</v>
      </c>
      <c r="X22" s="710">
        <f t="shared" si="10"/>
        <v>1.2914069087019454E-3</v>
      </c>
      <c r="Y22" s="710">
        <f t="shared" si="11"/>
        <v>1.0146768568372428E-6</v>
      </c>
      <c r="Z22" s="710">
        <f t="shared" si="12"/>
        <v>3.667332068283177E-5</v>
      </c>
      <c r="AA22" s="721">
        <f t="shared" si="13"/>
        <v>0.14758936099450803</v>
      </c>
      <c r="AB22" s="721">
        <f t="shared" si="13"/>
        <v>1.2914069087019455</v>
      </c>
      <c r="AC22" s="721">
        <f t="shared" si="13"/>
        <v>1.0146768568372428E-3</v>
      </c>
      <c r="AD22" s="721">
        <f t="shared" si="13"/>
        <v>3.6673320682831773E-2</v>
      </c>
      <c r="AE22" s="721">
        <f t="shared" si="14"/>
        <v>33.822561894574754</v>
      </c>
      <c r="AF22" s="722">
        <f t="shared" si="18"/>
        <v>37.236488301078971</v>
      </c>
    </row>
    <row r="23" spans="1:32">
      <c r="A23" s="674">
        <v>1.99</v>
      </c>
      <c r="B23" s="674" t="s">
        <v>1237</v>
      </c>
      <c r="C23" s="674" t="s">
        <v>1188</v>
      </c>
      <c r="D23" s="675">
        <v>2013</v>
      </c>
      <c r="E23" s="720">
        <v>2014</v>
      </c>
      <c r="F23" s="720">
        <f t="shared" si="1"/>
        <v>2014</v>
      </c>
      <c r="G23" s="677">
        <f>B_intervenida!N49</f>
        <v>8.1475939811178011E-2</v>
      </c>
      <c r="H23" s="677">
        <f>B_intervenida!O49</f>
        <v>0</v>
      </c>
      <c r="I23" s="677">
        <f>B_intervenida!P49</f>
        <v>0</v>
      </c>
      <c r="J23" s="677">
        <f>B_intervenida!Q49</f>
        <v>0</v>
      </c>
      <c r="K23" s="677">
        <f t="shared" si="2"/>
        <v>8.1475939811178011E-2</v>
      </c>
      <c r="L23" s="695">
        <v>0.9</v>
      </c>
      <c r="M23" s="710">
        <f t="shared" si="15"/>
        <v>7.3328345830060218E-2</v>
      </c>
      <c r="N23" s="695">
        <v>0.5</v>
      </c>
      <c r="O23" s="710">
        <f t="shared" si="17"/>
        <v>3.6664172915030109E-2</v>
      </c>
      <c r="P23" s="710">
        <f t="shared" si="3"/>
        <v>3.6664172915030107E-5</v>
      </c>
      <c r="Q23" s="710">
        <f t="shared" si="16"/>
        <v>1.3443530068844373E-4</v>
      </c>
      <c r="R23" s="710">
        <f t="shared" si="4"/>
        <v>3.6664172915030105E-7</v>
      </c>
      <c r="S23" s="710">
        <f t="shared" si="5"/>
        <v>4.3997007498036127E-7</v>
      </c>
      <c r="T23" s="710">
        <f t="shared" si="6"/>
        <v>2.1998503749018064E-6</v>
      </c>
      <c r="U23" s="710">
        <f t="shared" si="7"/>
        <v>2.5664921040521073E-9</v>
      </c>
      <c r="V23" s="710">
        <f t="shared" si="8"/>
        <v>4.4363649227186429E-8</v>
      </c>
      <c r="W23" s="710">
        <f t="shared" si="9"/>
        <v>5.8662676664048166E-7</v>
      </c>
      <c r="X23" s="710">
        <f t="shared" si="10"/>
        <v>5.1329842081042157E-6</v>
      </c>
      <c r="Y23" s="710">
        <f t="shared" si="11"/>
        <v>4.0330590206533113E-9</v>
      </c>
      <c r="Z23" s="710">
        <f t="shared" si="12"/>
        <v>1.4576627603218397E-7</v>
      </c>
      <c r="AA23" s="721">
        <f t="shared" si="13"/>
        <v>5.8662676664048171E-4</v>
      </c>
      <c r="AB23" s="721">
        <f t="shared" si="13"/>
        <v>5.1329842081042154E-3</v>
      </c>
      <c r="AC23" s="721">
        <f t="shared" si="13"/>
        <v>4.033059020653311E-6</v>
      </c>
      <c r="AD23" s="721">
        <f t="shared" si="13"/>
        <v>1.4576627603218398E-4</v>
      </c>
      <c r="AE23" s="721">
        <f t="shared" si="14"/>
        <v>0.13443530068844373</v>
      </c>
      <c r="AF23" s="722">
        <f t="shared" si="18"/>
        <v>0.14800471108429636</v>
      </c>
    </row>
    <row r="24" spans="1:32">
      <c r="A24" s="674">
        <v>0.28000000000000003</v>
      </c>
      <c r="B24" s="674" t="s">
        <v>1177</v>
      </c>
      <c r="C24" s="674" t="s">
        <v>1178</v>
      </c>
      <c r="D24" s="675">
        <v>2013</v>
      </c>
      <c r="E24" s="720">
        <v>2015</v>
      </c>
      <c r="F24" s="720">
        <f t="shared" si="1"/>
        <v>2014</v>
      </c>
      <c r="G24" s="677">
        <f>B_intervenida!N50</f>
        <v>0</v>
      </c>
      <c r="H24" s="677">
        <f>B_intervenida!O50</f>
        <v>161.75001212304974</v>
      </c>
      <c r="I24" s="677">
        <f>B_intervenida!P50</f>
        <v>0.14784000000000003</v>
      </c>
      <c r="J24" s="677">
        <f>B_intervenida!Q50</f>
        <v>0</v>
      </c>
      <c r="K24" s="677">
        <f t="shared" si="2"/>
        <v>161.89785212304974</v>
      </c>
      <c r="L24" s="695">
        <v>0.9</v>
      </c>
      <c r="M24" s="710">
        <f t="shared" si="15"/>
        <v>145.70806691074478</v>
      </c>
      <c r="N24" s="695">
        <v>0.5</v>
      </c>
      <c r="O24" s="710">
        <f t="shared" si="17"/>
        <v>72.854033455372388</v>
      </c>
      <c r="P24" s="710">
        <f t="shared" si="3"/>
        <v>7.2854033455372391E-2</v>
      </c>
      <c r="Q24" s="710">
        <f t="shared" si="16"/>
        <v>0.26713145600303206</v>
      </c>
      <c r="R24" s="710">
        <f t="shared" si="4"/>
        <v>7.2854033455372388E-4</v>
      </c>
      <c r="S24" s="710">
        <f t="shared" si="5"/>
        <v>8.7424840146446876E-4</v>
      </c>
      <c r="T24" s="710">
        <f t="shared" si="6"/>
        <v>4.3712420073223433E-3</v>
      </c>
      <c r="U24" s="710">
        <f t="shared" si="7"/>
        <v>5.0997823418760676E-6</v>
      </c>
      <c r="V24" s="710">
        <f t="shared" si="8"/>
        <v>8.8153380481000582E-5</v>
      </c>
      <c r="W24" s="710">
        <f t="shared" si="9"/>
        <v>1.1656645352859582E-3</v>
      </c>
      <c r="X24" s="710">
        <f t="shared" si="10"/>
        <v>1.0199564683752134E-2</v>
      </c>
      <c r="Y24" s="710">
        <f t="shared" si="11"/>
        <v>8.0139436800909634E-6</v>
      </c>
      <c r="Z24" s="710">
        <f t="shared" si="12"/>
        <v>2.8964682158043049E-4</v>
      </c>
      <c r="AA24" s="721">
        <f t="shared" si="13"/>
        <v>1.1656645352859583</v>
      </c>
      <c r="AB24" s="721">
        <f t="shared" si="13"/>
        <v>10.199564683752135</v>
      </c>
      <c r="AC24" s="721">
        <f t="shared" si="13"/>
        <v>8.0139436800909635E-3</v>
      </c>
      <c r="AD24" s="721">
        <f t="shared" si="13"/>
        <v>0.28964682158043048</v>
      </c>
      <c r="AE24" s="721">
        <f t="shared" si="14"/>
        <v>267.13145600303204</v>
      </c>
      <c r="AF24" s="722">
        <f t="shared" si="18"/>
        <v>294.09473378486535</v>
      </c>
    </row>
    <row r="25" spans="1:32">
      <c r="A25" s="674"/>
      <c r="B25" s="674" t="s">
        <v>1231</v>
      </c>
      <c r="C25" s="674" t="s">
        <v>1232</v>
      </c>
      <c r="D25" s="675">
        <v>2013</v>
      </c>
      <c r="E25" s="720">
        <v>2015</v>
      </c>
      <c r="F25" s="720">
        <f t="shared" si="1"/>
        <v>2014</v>
      </c>
      <c r="G25" s="677">
        <f>B_intervenida!N53</f>
        <v>0</v>
      </c>
      <c r="H25" s="677">
        <f>B_intervenida!O53</f>
        <v>0</v>
      </c>
      <c r="I25" s="677">
        <f>B_intervenida!P53</f>
        <v>0</v>
      </c>
      <c r="J25" s="677">
        <f>B_intervenida!Q53</f>
        <v>0</v>
      </c>
      <c r="K25" s="677">
        <f t="shared" si="2"/>
        <v>0</v>
      </c>
      <c r="L25" s="695">
        <v>0.9</v>
      </c>
      <c r="M25" s="710">
        <f t="shared" si="15"/>
        <v>0</v>
      </c>
      <c r="N25" s="695">
        <v>0.5</v>
      </c>
      <c r="O25" s="710">
        <f t="shared" si="17"/>
        <v>0</v>
      </c>
      <c r="P25" s="710">
        <f t="shared" si="3"/>
        <v>0</v>
      </c>
      <c r="Q25" s="710">
        <f t="shared" si="16"/>
        <v>0</v>
      </c>
      <c r="R25" s="710">
        <f t="shared" si="4"/>
        <v>0</v>
      </c>
      <c r="S25" s="710">
        <f t="shared" si="5"/>
        <v>0</v>
      </c>
      <c r="T25" s="710">
        <f t="shared" si="6"/>
        <v>0</v>
      </c>
      <c r="U25" s="710">
        <f t="shared" si="7"/>
        <v>0</v>
      </c>
      <c r="V25" s="710">
        <f t="shared" si="8"/>
        <v>0</v>
      </c>
      <c r="W25" s="710">
        <f t="shared" si="9"/>
        <v>0</v>
      </c>
      <c r="X25" s="710">
        <f t="shared" si="10"/>
        <v>0</v>
      </c>
      <c r="Y25" s="710">
        <f t="shared" si="11"/>
        <v>0</v>
      </c>
      <c r="Z25" s="710">
        <f t="shared" si="12"/>
        <v>0</v>
      </c>
      <c r="AA25" s="721">
        <f t="shared" si="13"/>
        <v>0</v>
      </c>
      <c r="AB25" s="721">
        <f t="shared" si="13"/>
        <v>0</v>
      </c>
      <c r="AC25" s="721">
        <f t="shared" si="13"/>
        <v>0</v>
      </c>
      <c r="AD25" s="721">
        <f t="shared" si="13"/>
        <v>0</v>
      </c>
      <c r="AE25" s="721">
        <f t="shared" si="14"/>
        <v>0</v>
      </c>
      <c r="AF25" s="722">
        <f t="shared" si="18"/>
        <v>0</v>
      </c>
    </row>
    <row r="26" spans="1:32">
      <c r="A26" s="674"/>
      <c r="B26" s="674" t="s">
        <v>1185</v>
      </c>
      <c r="C26" s="674" t="s">
        <v>1186</v>
      </c>
      <c r="D26" s="675">
        <v>2012</v>
      </c>
      <c r="E26" s="720">
        <v>2015</v>
      </c>
      <c r="F26" s="720">
        <f t="shared" si="1"/>
        <v>2013</v>
      </c>
      <c r="G26" s="677">
        <f>B_intervenida!N54</f>
        <v>0</v>
      </c>
      <c r="H26" s="677">
        <f>B_intervenida!O54</f>
        <v>0</v>
      </c>
      <c r="I26" s="677">
        <f>B_intervenida!P54</f>
        <v>0</v>
      </c>
      <c r="J26" s="677">
        <f>B_intervenida!Q54</f>
        <v>0</v>
      </c>
      <c r="K26" s="677">
        <f t="shared" si="2"/>
        <v>0</v>
      </c>
      <c r="L26" s="695">
        <v>0.9</v>
      </c>
      <c r="M26" s="710">
        <f t="shared" si="15"/>
        <v>0</v>
      </c>
      <c r="N26" s="695">
        <v>0.5</v>
      </c>
      <c r="O26" s="710">
        <f t="shared" si="17"/>
        <v>0</v>
      </c>
      <c r="P26" s="710">
        <f t="shared" si="3"/>
        <v>0</v>
      </c>
      <c r="Q26" s="710">
        <f t="shared" si="16"/>
        <v>0</v>
      </c>
      <c r="R26" s="710">
        <f t="shared" si="4"/>
        <v>0</v>
      </c>
      <c r="S26" s="710">
        <f t="shared" si="5"/>
        <v>0</v>
      </c>
      <c r="T26" s="710">
        <f t="shared" si="6"/>
        <v>0</v>
      </c>
      <c r="U26" s="710">
        <f t="shared" si="7"/>
        <v>0</v>
      </c>
      <c r="V26" s="710">
        <f t="shared" si="8"/>
        <v>0</v>
      </c>
      <c r="W26" s="710">
        <f t="shared" si="9"/>
        <v>0</v>
      </c>
      <c r="X26" s="710">
        <f t="shared" si="10"/>
        <v>0</v>
      </c>
      <c r="Y26" s="710">
        <f t="shared" si="11"/>
        <v>0</v>
      </c>
      <c r="Z26" s="710">
        <f t="shared" si="12"/>
        <v>0</v>
      </c>
      <c r="AA26" s="721">
        <f t="shared" si="13"/>
        <v>0</v>
      </c>
      <c r="AB26" s="721">
        <f t="shared" si="13"/>
        <v>0</v>
      </c>
      <c r="AC26" s="721">
        <f t="shared" si="13"/>
        <v>0</v>
      </c>
      <c r="AD26" s="721">
        <f t="shared" si="13"/>
        <v>0</v>
      </c>
      <c r="AE26" s="721">
        <f t="shared" si="14"/>
        <v>0</v>
      </c>
      <c r="AF26" s="722">
        <f t="shared" si="18"/>
        <v>0</v>
      </c>
    </row>
    <row r="27" spans="1:32">
      <c r="A27" s="674"/>
      <c r="B27" s="674" t="s">
        <v>1195</v>
      </c>
      <c r="C27" s="674" t="s">
        <v>1196</v>
      </c>
      <c r="D27" s="675">
        <v>2012</v>
      </c>
      <c r="E27" s="720">
        <v>2014</v>
      </c>
      <c r="F27" s="720">
        <f t="shared" si="1"/>
        <v>2013</v>
      </c>
      <c r="G27" s="677">
        <f>B_intervenida!N55</f>
        <v>0</v>
      </c>
      <c r="H27" s="677">
        <f>B_intervenida!O55</f>
        <v>0</v>
      </c>
      <c r="I27" s="677">
        <f>B_intervenida!P55</f>
        <v>0</v>
      </c>
      <c r="J27" s="677">
        <f>B_intervenida!Q55</f>
        <v>0</v>
      </c>
      <c r="K27" s="677">
        <f t="shared" si="2"/>
        <v>0</v>
      </c>
      <c r="L27" s="695">
        <v>0.9</v>
      </c>
      <c r="M27" s="710">
        <f t="shared" si="15"/>
        <v>0</v>
      </c>
      <c r="N27" s="695">
        <v>0.5</v>
      </c>
      <c r="O27" s="710">
        <f t="shared" si="17"/>
        <v>0</v>
      </c>
      <c r="P27" s="710">
        <f t="shared" si="3"/>
        <v>0</v>
      </c>
      <c r="Q27" s="710">
        <f t="shared" si="16"/>
        <v>0</v>
      </c>
      <c r="R27" s="710">
        <f t="shared" si="4"/>
        <v>0</v>
      </c>
      <c r="S27" s="710">
        <f t="shared" si="5"/>
        <v>0</v>
      </c>
      <c r="T27" s="710">
        <f t="shared" si="6"/>
        <v>0</v>
      </c>
      <c r="U27" s="710">
        <f t="shared" si="7"/>
        <v>0</v>
      </c>
      <c r="V27" s="710">
        <f t="shared" si="8"/>
        <v>0</v>
      </c>
      <c r="W27" s="710">
        <f t="shared" si="9"/>
        <v>0</v>
      </c>
      <c r="X27" s="710">
        <f t="shared" si="10"/>
        <v>0</v>
      </c>
      <c r="Y27" s="710">
        <f t="shared" si="11"/>
        <v>0</v>
      </c>
      <c r="Z27" s="710">
        <f t="shared" si="12"/>
        <v>0</v>
      </c>
      <c r="AA27" s="721">
        <f t="shared" si="13"/>
        <v>0</v>
      </c>
      <c r="AB27" s="721">
        <f t="shared" si="13"/>
        <v>0</v>
      </c>
      <c r="AC27" s="721">
        <f t="shared" si="13"/>
        <v>0</v>
      </c>
      <c r="AD27" s="721">
        <f t="shared" si="13"/>
        <v>0</v>
      </c>
      <c r="AE27" s="721">
        <f t="shared" si="14"/>
        <v>0</v>
      </c>
      <c r="AF27" s="722">
        <f t="shared" si="18"/>
        <v>0</v>
      </c>
    </row>
    <row r="28" spans="1:32">
      <c r="A28" s="674">
        <v>6</v>
      </c>
      <c r="B28" s="674" t="s">
        <v>1237</v>
      </c>
      <c r="C28" s="674" t="s">
        <v>1249</v>
      </c>
      <c r="D28" s="675">
        <v>2013</v>
      </c>
      <c r="E28" s="720">
        <v>2014</v>
      </c>
      <c r="F28" s="720">
        <f t="shared" si="1"/>
        <v>2014</v>
      </c>
      <c r="G28" s="677">
        <f>B_intervenida!N58</f>
        <v>0.24565609993320001</v>
      </c>
      <c r="H28" s="677">
        <f>B_intervenida!O58</f>
        <v>0</v>
      </c>
      <c r="I28" s="677">
        <f>B_intervenida!P58</f>
        <v>0</v>
      </c>
      <c r="J28" s="677">
        <f>B_intervenida!Q58</f>
        <v>0</v>
      </c>
      <c r="K28" s="677">
        <f t="shared" si="2"/>
        <v>0.24565609993320001</v>
      </c>
      <c r="L28" s="695">
        <v>0.9</v>
      </c>
      <c r="M28" s="710">
        <f t="shared" si="15"/>
        <v>0.22109048993988001</v>
      </c>
      <c r="N28" s="695">
        <v>0.5</v>
      </c>
      <c r="O28" s="710">
        <f t="shared" si="17"/>
        <v>0.11054524496994</v>
      </c>
      <c r="P28" s="710">
        <f t="shared" si="3"/>
        <v>1.1054524496994001E-4</v>
      </c>
      <c r="Q28" s="710">
        <f t="shared" si="16"/>
        <v>4.0533256488978008E-4</v>
      </c>
      <c r="R28" s="710">
        <f t="shared" si="4"/>
        <v>1.1054524496994002E-6</v>
      </c>
      <c r="S28" s="710">
        <f t="shared" si="5"/>
        <v>1.3265429396392801E-6</v>
      </c>
      <c r="T28" s="710">
        <f t="shared" si="6"/>
        <v>6.6327146981964005E-6</v>
      </c>
      <c r="U28" s="710">
        <f t="shared" si="7"/>
        <v>7.7381671478958021E-9</v>
      </c>
      <c r="V28" s="710">
        <f t="shared" si="8"/>
        <v>1.3375974641362742E-7</v>
      </c>
      <c r="W28" s="710">
        <f t="shared" si="9"/>
        <v>1.7687239195190399E-6</v>
      </c>
      <c r="X28" s="710">
        <f t="shared" si="10"/>
        <v>1.5476334295791602E-5</v>
      </c>
      <c r="Y28" s="710">
        <f t="shared" si="11"/>
        <v>1.2159976946693403E-8</v>
      </c>
      <c r="Z28" s="710">
        <f t="shared" si="12"/>
        <v>4.3949630964477582E-7</v>
      </c>
      <c r="AA28" s="721">
        <f t="shared" si="13"/>
        <v>1.7687239195190399E-3</v>
      </c>
      <c r="AB28" s="721">
        <f t="shared" si="13"/>
        <v>1.5476334295791603E-2</v>
      </c>
      <c r="AC28" s="721">
        <f t="shared" si="13"/>
        <v>1.2159976946693404E-5</v>
      </c>
      <c r="AD28" s="721">
        <f t="shared" si="13"/>
        <v>4.394963096447758E-4</v>
      </c>
      <c r="AE28" s="721">
        <f t="shared" si="14"/>
        <v>0.40533256488978009</v>
      </c>
      <c r="AF28" s="722">
        <f t="shared" si="18"/>
        <v>0.4462453600531549</v>
      </c>
    </row>
    <row r="29" spans="1:32">
      <c r="A29" s="674"/>
      <c r="B29" s="674" t="s">
        <v>1195</v>
      </c>
      <c r="C29" s="674" t="s">
        <v>1196</v>
      </c>
      <c r="D29" s="675">
        <v>2013</v>
      </c>
      <c r="E29" s="720">
        <v>2014</v>
      </c>
      <c r="F29" s="720">
        <f t="shared" si="1"/>
        <v>2014</v>
      </c>
      <c r="G29" s="677">
        <f>B_intervenida!N62</f>
        <v>0</v>
      </c>
      <c r="H29" s="677">
        <f>B_intervenida!O62</f>
        <v>0</v>
      </c>
      <c r="I29" s="677">
        <f>B_intervenida!P62</f>
        <v>0</v>
      </c>
      <c r="J29" s="677">
        <f>B_intervenida!Q62</f>
        <v>0</v>
      </c>
      <c r="K29" s="677">
        <f t="shared" si="2"/>
        <v>0</v>
      </c>
      <c r="L29" s="695">
        <v>0.9</v>
      </c>
      <c r="M29" s="710">
        <f t="shared" si="15"/>
        <v>0</v>
      </c>
      <c r="N29" s="695">
        <v>0.5</v>
      </c>
      <c r="O29" s="710">
        <f t="shared" si="17"/>
        <v>0</v>
      </c>
      <c r="P29" s="710">
        <f t="shared" si="3"/>
        <v>0</v>
      </c>
      <c r="Q29" s="710">
        <f t="shared" si="16"/>
        <v>0</v>
      </c>
      <c r="R29" s="710">
        <f t="shared" si="4"/>
        <v>0</v>
      </c>
      <c r="S29" s="710">
        <f t="shared" si="5"/>
        <v>0</v>
      </c>
      <c r="T29" s="710">
        <f t="shared" si="6"/>
        <v>0</v>
      </c>
      <c r="U29" s="710">
        <f t="shared" si="7"/>
        <v>0</v>
      </c>
      <c r="V29" s="710">
        <f t="shared" si="8"/>
        <v>0</v>
      </c>
      <c r="W29" s="710">
        <f t="shared" si="9"/>
        <v>0</v>
      </c>
      <c r="X29" s="710">
        <f t="shared" si="10"/>
        <v>0</v>
      </c>
      <c r="Y29" s="710">
        <f t="shared" si="11"/>
        <v>0</v>
      </c>
      <c r="Z29" s="710">
        <f t="shared" si="12"/>
        <v>0</v>
      </c>
      <c r="AA29" s="721">
        <f t="shared" si="13"/>
        <v>0</v>
      </c>
      <c r="AB29" s="721">
        <f t="shared" si="13"/>
        <v>0</v>
      </c>
      <c r="AC29" s="721">
        <f t="shared" si="13"/>
        <v>0</v>
      </c>
      <c r="AD29" s="721">
        <f t="shared" si="13"/>
        <v>0</v>
      </c>
      <c r="AE29" s="721">
        <f t="shared" si="14"/>
        <v>0</v>
      </c>
      <c r="AF29" s="722">
        <f t="shared" si="18"/>
        <v>0</v>
      </c>
    </row>
    <row r="30" spans="1:32">
      <c r="A30" s="673">
        <v>0.1</v>
      </c>
      <c r="B30" s="673" t="s">
        <v>1190</v>
      </c>
      <c r="C30" s="673" t="s">
        <v>1191</v>
      </c>
      <c r="D30" s="675">
        <v>2013</v>
      </c>
      <c r="E30" s="723">
        <v>2013</v>
      </c>
      <c r="F30" s="720">
        <f t="shared" si="1"/>
        <v>2014</v>
      </c>
      <c r="G30" s="677">
        <f>B_intervenida!N76</f>
        <v>2.4018748381414725</v>
      </c>
      <c r="H30" s="677">
        <f>B_intervenida!O76</f>
        <v>0</v>
      </c>
      <c r="I30" s="677">
        <f>B_intervenida!P76</f>
        <v>0</v>
      </c>
      <c r="J30" s="677">
        <f>B_intervenida!Q76</f>
        <v>0</v>
      </c>
      <c r="K30" s="677">
        <f t="shared" si="2"/>
        <v>2.4018748381414725</v>
      </c>
      <c r="L30" s="695">
        <v>0.9</v>
      </c>
      <c r="M30" s="710">
        <f t="shared" si="15"/>
        <v>2.1616873543273254</v>
      </c>
      <c r="N30" s="695">
        <v>0.5</v>
      </c>
      <c r="O30" s="710">
        <f t="shared" si="17"/>
        <v>1.0808436771636627</v>
      </c>
      <c r="P30" s="710">
        <f t="shared" si="3"/>
        <v>1.0808436771636628E-3</v>
      </c>
      <c r="Q30" s="710">
        <f t="shared" si="16"/>
        <v>3.9630934829334302E-3</v>
      </c>
      <c r="R30" s="710">
        <f t="shared" si="4"/>
        <v>1.0808436771636628E-5</v>
      </c>
      <c r="S30" s="710">
        <f t="shared" si="5"/>
        <v>1.2970124125963954E-5</v>
      </c>
      <c r="T30" s="710">
        <f t="shared" si="6"/>
        <v>6.4850620629819757E-5</v>
      </c>
      <c r="U30" s="710">
        <f t="shared" si="7"/>
        <v>7.5659057401456398E-8</v>
      </c>
      <c r="V30" s="710">
        <f t="shared" si="8"/>
        <v>1.3078208493680319E-6</v>
      </c>
      <c r="W30" s="710">
        <f t="shared" si="9"/>
        <v>1.7293498834618603E-5</v>
      </c>
      <c r="X30" s="710">
        <f t="shared" si="10"/>
        <v>1.5131811480291279E-4</v>
      </c>
      <c r="Y30" s="710">
        <f t="shared" si="11"/>
        <v>1.1889280448800291E-7</v>
      </c>
      <c r="Z30" s="710">
        <f t="shared" si="12"/>
        <v>4.297125647923533E-6</v>
      </c>
      <c r="AA30" s="721">
        <f t="shared" si="13"/>
        <v>1.7293498834618604E-2</v>
      </c>
      <c r="AB30" s="721">
        <f t="shared" si="13"/>
        <v>0.1513181148029128</v>
      </c>
      <c r="AC30" s="721">
        <f t="shared" si="13"/>
        <v>1.1889280448800291E-4</v>
      </c>
      <c r="AD30" s="721">
        <f t="shared" si="13"/>
        <v>4.2971256479235331E-3</v>
      </c>
      <c r="AE30" s="721">
        <f t="shared" si="14"/>
        <v>3.9630934829334303</v>
      </c>
      <c r="AF30" s="722">
        <f t="shared" si="18"/>
        <v>4.3631137278517018</v>
      </c>
    </row>
    <row r="31" spans="1:32">
      <c r="A31" s="673">
        <v>0.1</v>
      </c>
      <c r="B31" s="673" t="s">
        <v>1190</v>
      </c>
      <c r="C31" s="673" t="s">
        <v>1191</v>
      </c>
      <c r="D31" s="675">
        <v>2013</v>
      </c>
      <c r="E31" s="723">
        <f>D31+1</f>
        <v>2014</v>
      </c>
      <c r="F31" s="720">
        <f t="shared" si="1"/>
        <v>2014</v>
      </c>
      <c r="G31" s="677">
        <f>B_intervenida!N77</f>
        <v>2.4018748381414725</v>
      </c>
      <c r="H31" s="677">
        <f>B_intervenida!O77</f>
        <v>0</v>
      </c>
      <c r="I31" s="677">
        <f>B_intervenida!P77</f>
        <v>0</v>
      </c>
      <c r="J31" s="677">
        <f>B_intervenida!Q77</f>
        <v>0</v>
      </c>
      <c r="K31" s="677">
        <f t="shared" si="2"/>
        <v>2.4018748381414725</v>
      </c>
      <c r="L31" s="695">
        <v>0.9</v>
      </c>
      <c r="M31" s="710">
        <f t="shared" si="15"/>
        <v>2.1616873543273254</v>
      </c>
      <c r="N31" s="695">
        <v>0.5</v>
      </c>
      <c r="O31" s="710">
        <f t="shared" si="17"/>
        <v>1.0808436771636627</v>
      </c>
      <c r="P31" s="710">
        <f t="shared" si="3"/>
        <v>1.0808436771636628E-3</v>
      </c>
      <c r="Q31" s="710">
        <f t="shared" si="16"/>
        <v>3.9630934829334302E-3</v>
      </c>
      <c r="R31" s="710">
        <f t="shared" si="4"/>
        <v>1.0808436771636628E-5</v>
      </c>
      <c r="S31" s="710">
        <f t="shared" si="5"/>
        <v>1.2970124125963954E-5</v>
      </c>
      <c r="T31" s="710">
        <f t="shared" si="6"/>
        <v>6.4850620629819757E-5</v>
      </c>
      <c r="U31" s="710">
        <f>R31*$D$45</f>
        <v>7.5659057401456398E-8</v>
      </c>
      <c r="V31" s="710">
        <f t="shared" si="8"/>
        <v>1.3078208493680319E-6</v>
      </c>
      <c r="W31" s="710">
        <f>S31*$D$49</f>
        <v>1.7293498834618603E-5</v>
      </c>
      <c r="X31" s="710">
        <f t="shared" si="10"/>
        <v>1.5131811480291279E-4</v>
      </c>
      <c r="Y31" s="710">
        <f t="shared" si="11"/>
        <v>1.1889280448800291E-7</v>
      </c>
      <c r="Z31" s="710">
        <f t="shared" si="12"/>
        <v>4.297125647923533E-6</v>
      </c>
      <c r="AA31" s="721">
        <f t="shared" si="13"/>
        <v>1.7293498834618604E-2</v>
      </c>
      <c r="AB31" s="721">
        <f t="shared" si="13"/>
        <v>0.1513181148029128</v>
      </c>
      <c r="AC31" s="721">
        <f t="shared" si="13"/>
        <v>1.1889280448800291E-4</v>
      </c>
      <c r="AD31" s="721">
        <f t="shared" si="13"/>
        <v>4.2971256479235331E-3</v>
      </c>
      <c r="AE31" s="721">
        <f t="shared" si="14"/>
        <v>3.9630934829334303</v>
      </c>
      <c r="AF31" s="722">
        <f t="shared" si="18"/>
        <v>4.3631137278517018</v>
      </c>
    </row>
    <row r="32" spans="1:32">
      <c r="A32" s="673">
        <v>2.86</v>
      </c>
      <c r="B32" s="673" t="s">
        <v>1234</v>
      </c>
      <c r="C32" s="673" t="s">
        <v>1186</v>
      </c>
      <c r="D32" s="675">
        <v>2012</v>
      </c>
      <c r="E32" s="723">
        <f t="shared" ref="E32:E37" si="19">D32+1</f>
        <v>2013</v>
      </c>
      <c r="F32" s="720">
        <f t="shared" si="1"/>
        <v>2013</v>
      </c>
      <c r="G32" s="677">
        <f>B_intervenida!N78</f>
        <v>8.2370815174496421</v>
      </c>
      <c r="H32" s="677">
        <f>B_intervenida!O78</f>
        <v>0</v>
      </c>
      <c r="I32" s="677">
        <f>B_intervenida!P78</f>
        <v>1.5100799999999999</v>
      </c>
      <c r="J32" s="677">
        <f>B_intervenida!Q78</f>
        <v>0</v>
      </c>
      <c r="K32" s="677">
        <f t="shared" si="2"/>
        <v>9.7471615174496424</v>
      </c>
      <c r="L32" s="695">
        <v>0.9</v>
      </c>
      <c r="M32" s="710">
        <f t="shared" si="15"/>
        <v>8.7724453657046784</v>
      </c>
      <c r="N32" s="695">
        <v>0.5</v>
      </c>
      <c r="O32" s="710">
        <f t="shared" si="17"/>
        <v>4.3862226828523392</v>
      </c>
      <c r="P32" s="710">
        <f t="shared" si="3"/>
        <v>4.3862226828523393E-3</v>
      </c>
      <c r="Q32" s="710">
        <f t="shared" si="16"/>
        <v>1.6082816503791911E-2</v>
      </c>
      <c r="R32" s="710">
        <f t="shared" si="4"/>
        <v>4.3862226828523393E-5</v>
      </c>
      <c r="S32" s="710">
        <f t="shared" si="5"/>
        <v>5.2634672194228073E-5</v>
      </c>
      <c r="T32" s="710">
        <f t="shared" si="6"/>
        <v>2.6317336097114036E-4</v>
      </c>
      <c r="U32" s="710">
        <f t="shared" si="7"/>
        <v>3.0703558779966375E-7</v>
      </c>
      <c r="V32" s="710">
        <f t="shared" si="8"/>
        <v>5.3073294462513302E-6</v>
      </c>
      <c r="W32" s="710">
        <f t="shared" si="9"/>
        <v>7.0179562925637426E-5</v>
      </c>
      <c r="X32" s="710">
        <f t="shared" si="10"/>
        <v>6.140711755993275E-4</v>
      </c>
      <c r="Y32" s="710">
        <f t="shared" si="11"/>
        <v>4.8248449511375728E-7</v>
      </c>
      <c r="Z32" s="710">
        <f t="shared" si="12"/>
        <v>1.7438368180540083E-5</v>
      </c>
      <c r="AA32" s="721">
        <f t="shared" si="13"/>
        <v>7.0179562925637429E-2</v>
      </c>
      <c r="AB32" s="721">
        <f t="shared" si="13"/>
        <v>0.61407117559932756</v>
      </c>
      <c r="AC32" s="721">
        <f t="shared" si="13"/>
        <v>4.8248449511375727E-4</v>
      </c>
      <c r="AD32" s="721">
        <f t="shared" si="13"/>
        <v>1.7438368180540082E-2</v>
      </c>
      <c r="AE32" s="721">
        <f t="shared" si="14"/>
        <v>16.082816503791911</v>
      </c>
      <c r="AF32" s="722">
        <f t="shared" si="18"/>
        <v>17.70615751871556</v>
      </c>
    </row>
    <row r="33" spans="1:32">
      <c r="A33" s="673">
        <v>0.63999999999999968</v>
      </c>
      <c r="B33" s="673" t="s">
        <v>1280</v>
      </c>
      <c r="C33" s="673" t="s">
        <v>1186</v>
      </c>
      <c r="D33" s="675">
        <v>2012</v>
      </c>
      <c r="E33" s="723">
        <f t="shared" si="19"/>
        <v>2013</v>
      </c>
      <c r="F33" s="720">
        <f t="shared" si="1"/>
        <v>2013</v>
      </c>
      <c r="G33" s="677">
        <f>B_intervenida!N80</f>
        <v>1.0325640228104167</v>
      </c>
      <c r="H33" s="677">
        <f>B_intervenida!O80</f>
        <v>0</v>
      </c>
      <c r="I33" s="677">
        <f>B_intervenida!P80</f>
        <v>0.33791999999999989</v>
      </c>
      <c r="J33" s="677">
        <f>B_intervenida!Q80</f>
        <v>0</v>
      </c>
      <c r="K33" s="677">
        <f t="shared" si="2"/>
        <v>1.3704840228104165</v>
      </c>
      <c r="L33" s="695">
        <v>0.9</v>
      </c>
      <c r="M33" s="710">
        <f t="shared" si="15"/>
        <v>1.2334356205293748</v>
      </c>
      <c r="N33" s="695">
        <v>0.5</v>
      </c>
      <c r="O33" s="710">
        <f t="shared" si="17"/>
        <v>0.61671781026468742</v>
      </c>
      <c r="P33" s="710">
        <f t="shared" si="3"/>
        <v>6.167178102646874E-4</v>
      </c>
      <c r="Q33" s="710">
        <f t="shared" si="16"/>
        <v>2.2612986376371871E-3</v>
      </c>
      <c r="R33" s="710">
        <f t="shared" si="4"/>
        <v>6.1671781026468744E-6</v>
      </c>
      <c r="S33" s="710">
        <f t="shared" si="5"/>
        <v>7.4006137231762488E-6</v>
      </c>
      <c r="T33" s="710">
        <f t="shared" si="6"/>
        <v>3.7003068615881245E-5</v>
      </c>
      <c r="U33" s="710">
        <f t="shared" si="7"/>
        <v>4.3170246718528124E-8</v>
      </c>
      <c r="V33" s="710">
        <f t="shared" si="8"/>
        <v>7.4622855042027177E-7</v>
      </c>
      <c r="W33" s="710">
        <f t="shared" si="9"/>
        <v>9.8674849642349983E-6</v>
      </c>
      <c r="X33" s="710">
        <f t="shared" si="10"/>
        <v>8.6340493437056246E-5</v>
      </c>
      <c r="Y33" s="710">
        <f t="shared" si="11"/>
        <v>6.7838959129115627E-8</v>
      </c>
      <c r="Z33" s="710">
        <f t="shared" si="12"/>
        <v>2.4518938085237499E-6</v>
      </c>
      <c r="AA33" s="721">
        <f t="shared" si="13"/>
        <v>9.8674849642349984E-3</v>
      </c>
      <c r="AB33" s="721">
        <f t="shared" si="13"/>
        <v>8.6340493437056243E-2</v>
      </c>
      <c r="AC33" s="721">
        <f t="shared" si="13"/>
        <v>6.7838959129115631E-5</v>
      </c>
      <c r="AD33" s="721">
        <f t="shared" si="13"/>
        <v>2.4518938085237498E-3</v>
      </c>
      <c r="AE33" s="721">
        <f t="shared" si="14"/>
        <v>2.2612986376371871</v>
      </c>
      <c r="AF33" s="722">
        <f t="shared" si="18"/>
        <v>2.4895458992161479</v>
      </c>
    </row>
    <row r="34" spans="1:32">
      <c r="A34" s="673">
        <v>0.75</v>
      </c>
      <c r="B34" s="673" t="s">
        <v>1204</v>
      </c>
      <c r="C34" s="673" t="s">
        <v>1186</v>
      </c>
      <c r="D34" s="675">
        <v>2012</v>
      </c>
      <c r="E34" s="723">
        <f t="shared" si="19"/>
        <v>2013</v>
      </c>
      <c r="F34" s="720">
        <f t="shared" si="1"/>
        <v>2013</v>
      </c>
      <c r="G34" s="677">
        <f>B_intervenida!N82</f>
        <v>2.6596672327874882</v>
      </c>
      <c r="H34" s="677">
        <f>B_intervenida!O82</f>
        <v>0</v>
      </c>
      <c r="I34" s="677">
        <f>B_intervenida!P82</f>
        <v>0.39600000000000007</v>
      </c>
      <c r="J34" s="677">
        <f>B_intervenida!Q82</f>
        <v>0</v>
      </c>
      <c r="K34" s="677">
        <f t="shared" si="2"/>
        <v>3.0556672327874881</v>
      </c>
      <c r="L34" s="695">
        <v>0.9</v>
      </c>
      <c r="M34" s="710">
        <f t="shared" si="15"/>
        <v>2.7501005095087394</v>
      </c>
      <c r="N34" s="695">
        <v>0.5</v>
      </c>
      <c r="O34" s="710">
        <f t="shared" si="17"/>
        <v>1.3750502547543697</v>
      </c>
      <c r="P34" s="710">
        <f t="shared" si="3"/>
        <v>1.3750502547543698E-3</v>
      </c>
      <c r="Q34" s="710">
        <f t="shared" si="16"/>
        <v>5.0418509340993557E-3</v>
      </c>
      <c r="R34" s="710">
        <f t="shared" si="4"/>
        <v>1.3750502547543699E-5</v>
      </c>
      <c r="S34" s="710">
        <f t="shared" si="5"/>
        <v>1.6500603057052437E-5</v>
      </c>
      <c r="T34" s="710">
        <f t="shared" si="6"/>
        <v>8.2503015285262184E-5</v>
      </c>
      <c r="U34" s="710">
        <f t="shared" si="7"/>
        <v>9.6253517832805895E-8</v>
      </c>
      <c r="V34" s="710">
        <f t="shared" si="8"/>
        <v>1.6638108082527875E-6</v>
      </c>
      <c r="W34" s="710">
        <f t="shared" si="9"/>
        <v>2.2000804076069914E-5</v>
      </c>
      <c r="X34" s="710">
        <f t="shared" si="10"/>
        <v>1.9250703566561179E-4</v>
      </c>
      <c r="Y34" s="710">
        <f t="shared" si="11"/>
        <v>1.5125552802298069E-7</v>
      </c>
      <c r="Z34" s="710">
        <f t="shared" si="12"/>
        <v>5.4668069414020158E-6</v>
      </c>
      <c r="AA34" s="721">
        <f t="shared" si="13"/>
        <v>2.2000804076069913E-2</v>
      </c>
      <c r="AB34" s="721">
        <f t="shared" si="13"/>
        <v>0.19250703566561178</v>
      </c>
      <c r="AC34" s="721">
        <f t="shared" si="13"/>
        <v>1.5125552802298069E-4</v>
      </c>
      <c r="AD34" s="721">
        <f t="shared" si="13"/>
        <v>5.4668069414020156E-3</v>
      </c>
      <c r="AE34" s="721">
        <f t="shared" si="14"/>
        <v>5.0418509340993554</v>
      </c>
      <c r="AF34" s="722">
        <f t="shared" si="18"/>
        <v>5.5507570333839471</v>
      </c>
    </row>
    <row r="35" spans="1:32">
      <c r="A35" s="673">
        <v>4.1219999999999999</v>
      </c>
      <c r="B35" s="673" t="s">
        <v>1185</v>
      </c>
      <c r="C35" s="673" t="s">
        <v>1186</v>
      </c>
      <c r="D35" s="675">
        <v>2013</v>
      </c>
      <c r="E35" s="723">
        <f t="shared" si="19"/>
        <v>2014</v>
      </c>
      <c r="F35" s="720">
        <f t="shared" si="1"/>
        <v>2014</v>
      </c>
      <c r="G35" s="677">
        <f>B_intervenida!N84</f>
        <v>10.469359602258026</v>
      </c>
      <c r="H35" s="677">
        <f>B_intervenida!O84</f>
        <v>0</v>
      </c>
      <c r="I35" s="677">
        <f>B_intervenida!P84</f>
        <v>0</v>
      </c>
      <c r="J35" s="677">
        <f>B_intervenida!Q84</f>
        <v>0</v>
      </c>
      <c r="K35" s="677">
        <f t="shared" si="2"/>
        <v>10.469359602258026</v>
      </c>
      <c r="L35" s="695">
        <v>0.9</v>
      </c>
      <c r="M35" s="710">
        <f t="shared" si="15"/>
        <v>9.4224236420322232</v>
      </c>
      <c r="N35" s="695">
        <v>0.5</v>
      </c>
      <c r="O35" s="710">
        <f t="shared" si="17"/>
        <v>4.7112118210161116</v>
      </c>
      <c r="P35" s="710">
        <f t="shared" si="3"/>
        <v>4.7112118210161117E-3</v>
      </c>
      <c r="Q35" s="710">
        <f t="shared" si="16"/>
        <v>1.7274443343725743E-2</v>
      </c>
      <c r="R35" s="710">
        <f t="shared" si="4"/>
        <v>4.7112118210161121E-5</v>
      </c>
      <c r="S35" s="710">
        <f t="shared" si="5"/>
        <v>5.6534541852193341E-5</v>
      </c>
      <c r="T35" s="710">
        <f t="shared" si="6"/>
        <v>2.8267270926096667E-4</v>
      </c>
      <c r="U35" s="710">
        <f t="shared" si="7"/>
        <v>3.2978482747112784E-7</v>
      </c>
      <c r="V35" s="710">
        <f t="shared" si="8"/>
        <v>5.7005663034294952E-6</v>
      </c>
      <c r="W35" s="710">
        <f t="shared" si="9"/>
        <v>7.5379389136257788E-5</v>
      </c>
      <c r="X35" s="710">
        <f t="shared" si="10"/>
        <v>6.5956965494225563E-4</v>
      </c>
      <c r="Y35" s="710">
        <f t="shared" si="11"/>
        <v>5.1823330031177235E-7</v>
      </c>
      <c r="Z35" s="710">
        <f t="shared" si="12"/>
        <v>1.873043213983977E-5</v>
      </c>
      <c r="AA35" s="721">
        <f t="shared" si="13"/>
        <v>7.5379389136257788E-2</v>
      </c>
      <c r="AB35" s="721">
        <f t="shared" si="13"/>
        <v>0.65956965494225561</v>
      </c>
      <c r="AC35" s="721">
        <f t="shared" si="13"/>
        <v>5.182333003117723E-4</v>
      </c>
      <c r="AD35" s="721">
        <f t="shared" si="13"/>
        <v>1.873043213983977E-2</v>
      </c>
      <c r="AE35" s="721">
        <f t="shared" si="14"/>
        <v>17.274443343725743</v>
      </c>
      <c r="AF35" s="722">
        <f t="shared" si="18"/>
        <v>19.018062838683807</v>
      </c>
    </row>
    <row r="36" spans="1:32">
      <c r="A36" s="673">
        <v>0.1</v>
      </c>
      <c r="B36" s="673" t="s">
        <v>1288</v>
      </c>
      <c r="C36" s="673" t="s">
        <v>1186</v>
      </c>
      <c r="D36" s="675">
        <v>2013</v>
      </c>
      <c r="E36" s="723">
        <f t="shared" si="19"/>
        <v>2014</v>
      </c>
      <c r="F36" s="720">
        <f t="shared" si="1"/>
        <v>2014</v>
      </c>
      <c r="G36" s="677">
        <f>B_intervenida!N86</f>
        <v>1.4640960252352666</v>
      </c>
      <c r="H36" s="677">
        <f>B_intervenida!O86</f>
        <v>0</v>
      </c>
      <c r="I36" s="677">
        <f>B_intervenida!P86</f>
        <v>5.2800000000000014E-2</v>
      </c>
      <c r="J36" s="677">
        <f>B_intervenida!Q86</f>
        <v>0.88440000000000007</v>
      </c>
      <c r="K36" s="677">
        <f t="shared" si="2"/>
        <v>2.4012960252352666</v>
      </c>
      <c r="L36" s="695">
        <v>0.9</v>
      </c>
      <c r="M36" s="710">
        <f t="shared" si="15"/>
        <v>2.16116642271174</v>
      </c>
      <c r="N36" s="695">
        <v>0.5</v>
      </c>
      <c r="O36" s="710">
        <f t="shared" si="17"/>
        <v>1.08058321135587</v>
      </c>
      <c r="P36" s="710">
        <f t="shared" si="3"/>
        <v>1.0805832113558701E-3</v>
      </c>
      <c r="Q36" s="710">
        <f t="shared" si="16"/>
        <v>3.96213844163819E-3</v>
      </c>
      <c r="R36" s="710">
        <f t="shared" si="4"/>
        <v>1.08058321135587E-5</v>
      </c>
      <c r="S36" s="710">
        <f t="shared" si="5"/>
        <v>1.2966998536270441E-5</v>
      </c>
      <c r="T36" s="710">
        <f t="shared" si="6"/>
        <v>6.4834992681352208E-5</v>
      </c>
      <c r="U36" s="710">
        <f t="shared" si="7"/>
        <v>7.56408247949109E-8</v>
      </c>
      <c r="V36" s="710">
        <f t="shared" si="8"/>
        <v>1.3075056857406028E-6</v>
      </c>
      <c r="W36" s="710">
        <f t="shared" si="9"/>
        <v>1.7289331381693919E-5</v>
      </c>
      <c r="X36" s="710">
        <f t="shared" si="10"/>
        <v>1.5128164958982184E-4</v>
      </c>
      <c r="Y36" s="710">
        <f t="shared" si="11"/>
        <v>1.188641532491457E-7</v>
      </c>
      <c r="Z36" s="710">
        <f t="shared" si="12"/>
        <v>4.2960901102905519E-6</v>
      </c>
      <c r="AA36" s="721">
        <f t="shared" si="13"/>
        <v>1.7289331381693918E-2</v>
      </c>
      <c r="AB36" s="721">
        <f t="shared" si="13"/>
        <v>0.15128164958982185</v>
      </c>
      <c r="AC36" s="721">
        <f t="shared" si="13"/>
        <v>1.1886415324914569E-4</v>
      </c>
      <c r="AD36" s="721">
        <f t="shared" si="13"/>
        <v>4.2960901102905517E-3</v>
      </c>
      <c r="AE36" s="721">
        <f t="shared" si="14"/>
        <v>3.96213844163819</v>
      </c>
      <c r="AF36" s="722">
        <f>AA36*$F$56+AC36*$E$56+AE36</f>
        <v>4.3620622881609972</v>
      </c>
    </row>
    <row r="37" spans="1:32">
      <c r="A37" s="673">
        <v>0.45</v>
      </c>
      <c r="B37" s="673" t="s">
        <v>1221</v>
      </c>
      <c r="C37" s="673" t="s">
        <v>1290</v>
      </c>
      <c r="D37" s="675">
        <v>2011</v>
      </c>
      <c r="E37" s="723">
        <f t="shared" si="19"/>
        <v>2012</v>
      </c>
      <c r="F37" s="720">
        <f t="shared" si="1"/>
        <v>2012</v>
      </c>
      <c r="G37" s="677">
        <f>B_intervenida!N87</f>
        <v>0.74012776715393425</v>
      </c>
      <c r="H37" s="677">
        <f>B_intervenida!O87</f>
        <v>0</v>
      </c>
      <c r="I37" s="677">
        <f>B_intervenida!P87</f>
        <v>0.23760000000000003</v>
      </c>
      <c r="J37" s="677">
        <f>B_intervenida!Q87</f>
        <v>0</v>
      </c>
      <c r="K37" s="677">
        <f t="shared" si="2"/>
        <v>0.97772776715393428</v>
      </c>
      <c r="L37" s="695">
        <v>0.9</v>
      </c>
      <c r="M37" s="710">
        <f t="shared" si="15"/>
        <v>0.87995499043854086</v>
      </c>
      <c r="N37" s="695">
        <v>0.5</v>
      </c>
      <c r="O37" s="710">
        <f t="shared" si="17"/>
        <v>0.43997749521927043</v>
      </c>
      <c r="P37" s="710">
        <f t="shared" si="3"/>
        <v>4.3997749521927041E-4</v>
      </c>
      <c r="Q37" s="710">
        <f t="shared" si="16"/>
        <v>1.6132508158039915E-3</v>
      </c>
      <c r="R37" s="710">
        <f t="shared" si="4"/>
        <v>4.3997749521927038E-6</v>
      </c>
      <c r="S37" s="710">
        <f t="shared" si="5"/>
        <v>5.2797299426312454E-6</v>
      </c>
      <c r="T37" s="710">
        <f t="shared" si="6"/>
        <v>2.6398649713156224E-5</v>
      </c>
      <c r="U37" s="710">
        <f t="shared" si="7"/>
        <v>3.0798424665348925E-8</v>
      </c>
      <c r="V37" s="710">
        <f t="shared" si="8"/>
        <v>5.3237276921531713E-7</v>
      </c>
      <c r="W37" s="710">
        <f t="shared" si="9"/>
        <v>7.0396399235083269E-6</v>
      </c>
      <c r="X37" s="710">
        <f t="shared" si="10"/>
        <v>6.1596849330697865E-5</v>
      </c>
      <c r="Y37" s="710">
        <f t="shared" si="11"/>
        <v>4.8397524474119739E-8</v>
      </c>
      <c r="Z37" s="710">
        <f t="shared" si="12"/>
        <v>1.749224813136042E-6</v>
      </c>
      <c r="AA37" s="721">
        <f t="shared" si="13"/>
        <v>7.0396399235083265E-3</v>
      </c>
      <c r="AB37" s="721">
        <f t="shared" si="13"/>
        <v>6.1596849330697867E-2</v>
      </c>
      <c r="AC37" s="721">
        <f t="shared" si="13"/>
        <v>4.8397524474119737E-5</v>
      </c>
      <c r="AD37" s="721">
        <f t="shared" si="13"/>
        <v>1.749224813136042E-3</v>
      </c>
      <c r="AE37" s="721">
        <f t="shared" si="14"/>
        <v>1.6132508158039915</v>
      </c>
      <c r="AF37" s="722">
        <f t="shared" si="18"/>
        <v>1.7760864867846435</v>
      </c>
    </row>
    <row r="39" spans="1:32">
      <c r="C39" s="724" t="s">
        <v>1367</v>
      </c>
      <c r="D39" s="725"/>
      <c r="E39" s="725"/>
      <c r="F39" s="725"/>
      <c r="G39" s="725"/>
    </row>
    <row r="40" spans="1:32">
      <c r="C40" s="726" t="s">
        <v>1368</v>
      </c>
      <c r="D40" s="727">
        <v>0.01</v>
      </c>
      <c r="E40" s="725"/>
      <c r="F40" s="725"/>
      <c r="G40" s="725"/>
    </row>
    <row r="41" spans="1:32">
      <c r="C41" s="726" t="s">
        <v>1369</v>
      </c>
      <c r="D41" s="726"/>
      <c r="E41" s="725"/>
      <c r="F41" s="725"/>
      <c r="G41" s="725"/>
    </row>
    <row r="42" spans="1:32">
      <c r="C42" s="1053" t="s">
        <v>1370</v>
      </c>
      <c r="D42" s="1053"/>
      <c r="E42" s="725"/>
      <c r="F42" s="725"/>
      <c r="G42" s="725"/>
    </row>
    <row r="43" spans="1:32" s="661" customFormat="1" ht="15.75">
      <c r="C43" s="728" t="s">
        <v>1371</v>
      </c>
      <c r="D43" s="729">
        <v>1.2E-2</v>
      </c>
      <c r="E43" s="730"/>
      <c r="F43" s="730"/>
      <c r="G43" s="730"/>
    </row>
    <row r="44" spans="1:32" s="661" customFormat="1" ht="15.75">
      <c r="C44" s="728" t="s">
        <v>1372</v>
      </c>
      <c r="D44" s="729">
        <v>0.06</v>
      </c>
      <c r="E44" s="730"/>
      <c r="F44" s="730"/>
      <c r="G44" s="730"/>
    </row>
    <row r="45" spans="1:32" s="661" customFormat="1" ht="15.75">
      <c r="C45" s="728" t="s">
        <v>1373</v>
      </c>
      <c r="D45" s="729">
        <v>7.0000000000000001E-3</v>
      </c>
      <c r="E45" s="730"/>
      <c r="F45" s="730"/>
      <c r="G45" s="730"/>
    </row>
    <row r="46" spans="1:32" s="661" customFormat="1" ht="15.75">
      <c r="C46" s="728" t="s">
        <v>1374</v>
      </c>
      <c r="D46" s="729">
        <v>0.121</v>
      </c>
      <c r="E46" s="730"/>
      <c r="F46" s="730"/>
      <c r="G46" s="730"/>
    </row>
    <row r="47" spans="1:32" s="661" customFormat="1">
      <c r="C47" s="731" t="s">
        <v>1369</v>
      </c>
      <c r="D47" s="731"/>
      <c r="E47" s="730"/>
      <c r="F47" s="730"/>
      <c r="G47" s="730"/>
    </row>
    <row r="48" spans="1:32" s="661" customFormat="1">
      <c r="C48" s="1047" t="s">
        <v>1375</v>
      </c>
      <c r="D48" s="1047"/>
      <c r="E48" s="730"/>
      <c r="F48" s="730"/>
      <c r="G48" s="730"/>
    </row>
    <row r="49" spans="3:7" s="661" customFormat="1" ht="15.75">
      <c r="C49" s="728" t="s">
        <v>1371</v>
      </c>
      <c r="D49" s="728">
        <v>1.3333333333333333</v>
      </c>
      <c r="E49" s="730"/>
      <c r="F49" s="730"/>
      <c r="G49" s="730"/>
    </row>
    <row r="50" spans="3:7" s="661" customFormat="1" ht="15.75">
      <c r="C50" s="728" t="s">
        <v>1372</v>
      </c>
      <c r="D50" s="728">
        <v>2.3333333333333335</v>
      </c>
      <c r="E50" s="730"/>
      <c r="F50" s="730"/>
      <c r="G50" s="730"/>
    </row>
    <row r="51" spans="3:7" s="661" customFormat="1" ht="15.75">
      <c r="C51" s="728" t="s">
        <v>1373</v>
      </c>
      <c r="D51" s="728">
        <v>1.5714285714285714</v>
      </c>
      <c r="E51" s="730"/>
      <c r="F51" s="730"/>
      <c r="G51" s="730"/>
    </row>
    <row r="52" spans="3:7" s="661" customFormat="1" ht="15.75">
      <c r="C52" s="728" t="s">
        <v>1374</v>
      </c>
      <c r="D52" s="728">
        <v>3.2857142857142856</v>
      </c>
      <c r="E52" s="730"/>
      <c r="F52" s="730"/>
      <c r="G52" s="730"/>
    </row>
    <row r="53" spans="3:7">
      <c r="C53" s="725" t="s">
        <v>1369</v>
      </c>
      <c r="D53" s="725"/>
      <c r="E53" s="725"/>
      <c r="F53" s="725"/>
      <c r="G53" s="725"/>
    </row>
    <row r="54" spans="3:7" ht="15.75">
      <c r="C54" s="732" t="s">
        <v>1376</v>
      </c>
      <c r="D54" s="725"/>
      <c r="E54" s="725"/>
      <c r="F54" s="725"/>
      <c r="G54" s="725"/>
    </row>
    <row r="55" spans="3:7" ht="15.75">
      <c r="C55" s="732"/>
      <c r="D55" s="733" t="s">
        <v>842</v>
      </c>
      <c r="E55" s="733" t="s">
        <v>858</v>
      </c>
      <c r="F55" s="733" t="s">
        <v>857</v>
      </c>
      <c r="G55" s="725"/>
    </row>
    <row r="56" spans="3:7" ht="15.75">
      <c r="C56" s="728" t="s">
        <v>1377</v>
      </c>
      <c r="D56" s="733">
        <v>1</v>
      </c>
      <c r="E56" s="733">
        <v>310</v>
      </c>
      <c r="F56" s="733">
        <v>21</v>
      </c>
      <c r="G56" s="725"/>
    </row>
    <row r="57" spans="3:7">
      <c r="C57" s="725" t="s">
        <v>1369</v>
      </c>
      <c r="D57" s="725"/>
      <c r="E57" s="725"/>
      <c r="F57" s="725"/>
      <c r="G57" s="725"/>
    </row>
    <row r="58" spans="3:7">
      <c r="C58" s="725"/>
      <c r="D58" s="725"/>
      <c r="E58" s="725"/>
      <c r="F58" s="725"/>
      <c r="G58" s="725"/>
    </row>
  </sheetData>
  <autoFilter ref="A2:AF37"/>
  <mergeCells count="6">
    <mergeCell ref="C48:D48"/>
    <mergeCell ref="G1:K1"/>
    <mergeCell ref="S1:V1"/>
    <mergeCell ref="W1:Z1"/>
    <mergeCell ref="AA1:AF1"/>
    <mergeCell ref="C42:D42"/>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AH85"/>
  <sheetViews>
    <sheetView topLeftCell="S1" workbookViewId="0">
      <selection activeCell="AD6" sqref="AD6"/>
    </sheetView>
  </sheetViews>
  <sheetFormatPr baseColWidth="10" defaultRowHeight="15"/>
  <cols>
    <col min="3" max="3" width="29" customWidth="1"/>
    <col min="19" max="19" width="20.28515625" customWidth="1"/>
    <col min="20" max="20" width="12.7109375" bestFit="1" customWidth="1"/>
    <col min="21" max="21" width="17.7109375" customWidth="1"/>
    <col min="22" max="22" width="16.42578125" bestFit="1" customWidth="1"/>
    <col min="23" max="23" width="17" customWidth="1"/>
  </cols>
  <sheetData>
    <row r="1" spans="1:33" ht="15" customHeight="1">
      <c r="A1" s="1058" t="s">
        <v>1378</v>
      </c>
      <c r="B1" s="1058"/>
      <c r="C1" s="1058"/>
      <c r="D1" s="1058"/>
      <c r="E1" s="1058"/>
      <c r="F1" s="1059" t="s">
        <v>1145</v>
      </c>
      <c r="G1" s="1059"/>
      <c r="H1" s="1059"/>
      <c r="I1" s="1059"/>
      <c r="J1" s="1059"/>
      <c r="K1" s="734"/>
      <c r="L1" s="734"/>
      <c r="M1" s="734"/>
      <c r="N1" s="734"/>
      <c r="O1" s="734"/>
      <c r="P1" s="734"/>
      <c r="T1" t="s">
        <v>1379</v>
      </c>
    </row>
    <row r="2" spans="1:33" s="661" customFormat="1" ht="63.75">
      <c r="A2" s="735" t="s">
        <v>1147</v>
      </c>
      <c r="B2" s="735" t="s">
        <v>1351</v>
      </c>
      <c r="C2" s="735" t="s">
        <v>1149</v>
      </c>
      <c r="D2" s="736" t="s">
        <v>1150</v>
      </c>
      <c r="E2" s="737" t="s">
        <v>1151</v>
      </c>
      <c r="F2" s="738" t="s">
        <v>1152</v>
      </c>
      <c r="G2" s="738" t="s">
        <v>1153</v>
      </c>
      <c r="H2" s="738" t="s">
        <v>1154</v>
      </c>
      <c r="I2" s="738" t="s">
        <v>1155</v>
      </c>
      <c r="J2" s="739" t="s">
        <v>32</v>
      </c>
      <c r="K2" s="734" t="s">
        <v>1380</v>
      </c>
      <c r="L2" s="734" t="s">
        <v>1381</v>
      </c>
      <c r="M2" s="734" t="s">
        <v>1382</v>
      </c>
      <c r="N2" s="734" t="s">
        <v>1383</v>
      </c>
      <c r="O2" s="734" t="s">
        <v>1384</v>
      </c>
      <c r="P2" s="734" t="s">
        <v>1385</v>
      </c>
      <c r="T2" s="740" t="s">
        <v>1386</v>
      </c>
      <c r="U2" s="740" t="s">
        <v>1387</v>
      </c>
      <c r="V2" s="740" t="s">
        <v>1381</v>
      </c>
      <c r="W2" s="740" t="s">
        <v>1383</v>
      </c>
      <c r="X2" s="740" t="s">
        <v>1385</v>
      </c>
      <c r="Y2" s="568"/>
      <c r="Z2" s="741" t="s">
        <v>1388</v>
      </c>
      <c r="AA2" s="742"/>
      <c r="AB2" s="742"/>
      <c r="AC2" s="742"/>
      <c r="AD2"/>
      <c r="AE2"/>
    </row>
    <row r="3" spans="1:33" s="661" customFormat="1">
      <c r="A3" s="743">
        <v>1.63</v>
      </c>
      <c r="B3" s="743" t="s">
        <v>1195</v>
      </c>
      <c r="C3" s="743" t="s">
        <v>1196</v>
      </c>
      <c r="D3" s="744">
        <v>2011</v>
      </c>
      <c r="E3" s="745">
        <v>2013</v>
      </c>
      <c r="F3" s="746">
        <f>B_intervenida!S23</f>
        <v>12.621487511011996</v>
      </c>
      <c r="G3" s="746">
        <f>B_intervenida!T23</f>
        <v>0</v>
      </c>
      <c r="H3" s="746">
        <f>B_intervenida!U23</f>
        <v>0.44335999999999998</v>
      </c>
      <c r="I3" s="746">
        <f>B_intervenida!V23</f>
        <v>7.1002799999999979</v>
      </c>
      <c r="J3" s="746">
        <f t="shared" ref="J3:J37" si="0">SUM(F3:I3)</f>
        <v>20.165127511011995</v>
      </c>
      <c r="K3" s="695">
        <v>0.2</v>
      </c>
      <c r="L3" s="710">
        <f t="shared" ref="L3:L37" si="1">J3*K3</f>
        <v>4.0330255022023991</v>
      </c>
      <c r="M3" s="710">
        <f t="shared" ref="M3:M37" si="2">L3*0.5</f>
        <v>2.0165127511011995</v>
      </c>
      <c r="N3" s="710">
        <f t="shared" ref="N3:N37" si="3">M3/1000</f>
        <v>2.0165127511011997E-3</v>
      </c>
      <c r="O3" s="747">
        <f t="shared" ref="O3:O37" si="4">N3*44/12</f>
        <v>7.3938800873710664E-3</v>
      </c>
      <c r="P3" s="710">
        <f t="shared" ref="P3:P37" si="5">O3*1000</f>
        <v>7.3938800873710662</v>
      </c>
      <c r="T3" s="748">
        <v>2011</v>
      </c>
      <c r="U3" s="749">
        <v>33.23666123377398</v>
      </c>
      <c r="V3" s="749">
        <v>6.6473322467547966</v>
      </c>
      <c r="W3" s="749">
        <v>3.3236661233773984E-3</v>
      </c>
      <c r="X3" s="749">
        <v>12.186775785717126</v>
      </c>
      <c r="Y3"/>
      <c r="Z3" s="750" t="s">
        <v>1389</v>
      </c>
      <c r="AA3" s="742"/>
      <c r="AB3" s="742"/>
      <c r="AC3" s="742"/>
      <c r="AD3"/>
      <c r="AE3"/>
    </row>
    <row r="4" spans="1:33" s="661" customFormat="1">
      <c r="A4" s="743">
        <v>0.97</v>
      </c>
      <c r="B4" s="743" t="s">
        <v>1190</v>
      </c>
      <c r="C4" s="743" t="s">
        <v>1202</v>
      </c>
      <c r="D4" s="744">
        <v>2011</v>
      </c>
      <c r="E4" s="745">
        <v>2014</v>
      </c>
      <c r="F4" s="746">
        <f>B_intervenida!S27</f>
        <v>12.002095782106931</v>
      </c>
      <c r="G4" s="746">
        <f>B_intervenida!T27</f>
        <v>0</v>
      </c>
      <c r="H4" s="746">
        <f>B_intervenida!U27</f>
        <v>0</v>
      </c>
      <c r="I4" s="746">
        <f>B_intervenida!V27</f>
        <v>0</v>
      </c>
      <c r="J4" s="746">
        <f t="shared" si="0"/>
        <v>12.002095782106931</v>
      </c>
      <c r="K4" s="695">
        <v>0.2</v>
      </c>
      <c r="L4" s="710">
        <f t="shared" si="1"/>
        <v>2.4004191564213864</v>
      </c>
      <c r="M4" s="710">
        <f t="shared" si="2"/>
        <v>1.2002095782106932</v>
      </c>
      <c r="N4" s="710">
        <f t="shared" si="3"/>
        <v>1.2002095782106931E-3</v>
      </c>
      <c r="O4" s="747">
        <f t="shared" si="4"/>
        <v>4.4007684534392083E-3</v>
      </c>
      <c r="P4" s="710">
        <f t="shared" si="5"/>
        <v>4.4007684534392082</v>
      </c>
      <c r="T4" s="748">
        <v>2012</v>
      </c>
      <c r="U4" s="749">
        <v>92.45072899568693</v>
      </c>
      <c r="V4" s="749">
        <v>18.490145799137387</v>
      </c>
      <c r="W4" s="749">
        <v>9.2450728995686939E-3</v>
      </c>
      <c r="X4" s="749">
        <v>33.898600631751883</v>
      </c>
      <c r="Y4"/>
      <c r="Z4" s="750" t="s">
        <v>1390</v>
      </c>
      <c r="AA4" s="742"/>
      <c r="AB4" s="742"/>
      <c r="AC4" s="742"/>
      <c r="AD4"/>
      <c r="AE4"/>
    </row>
    <row r="5" spans="1:33" s="661" customFormat="1">
      <c r="A5" s="751">
        <v>0.45</v>
      </c>
      <c r="B5" s="751" t="s">
        <v>1221</v>
      </c>
      <c r="C5" s="751" t="s">
        <v>1290</v>
      </c>
      <c r="D5" s="744">
        <v>2011</v>
      </c>
      <c r="E5" s="752" t="s">
        <v>34</v>
      </c>
      <c r="F5" s="746">
        <f>B_intervenida!S87</f>
        <v>0.38127794065505693</v>
      </c>
      <c r="G5" s="746">
        <f>B_intervenida!T87</f>
        <v>0</v>
      </c>
      <c r="H5" s="746">
        <f>B_intervenida!U87</f>
        <v>0.12240000000000001</v>
      </c>
      <c r="I5" s="746">
        <f>B_intervenida!V87</f>
        <v>0</v>
      </c>
      <c r="J5" s="746">
        <f t="shared" si="0"/>
        <v>0.50367794065505689</v>
      </c>
      <c r="K5" s="695">
        <v>0.2</v>
      </c>
      <c r="L5" s="710">
        <f t="shared" si="1"/>
        <v>0.10073558813101138</v>
      </c>
      <c r="M5" s="710">
        <f t="shared" si="2"/>
        <v>5.0367794065505692E-2</v>
      </c>
      <c r="N5" s="710">
        <f t="shared" si="3"/>
        <v>5.0367794065505692E-5</v>
      </c>
      <c r="O5" s="747">
        <f t="shared" si="4"/>
        <v>1.8468191157352087E-4</v>
      </c>
      <c r="P5" s="710">
        <f t="shared" si="5"/>
        <v>0.18468191157352087</v>
      </c>
      <c r="Q5" s="753"/>
      <c r="R5" s="753"/>
      <c r="T5" s="748">
        <v>2013</v>
      </c>
      <c r="U5" s="749">
        <v>1340.6791138344063</v>
      </c>
      <c r="V5" s="749">
        <v>268.13582276688129</v>
      </c>
      <c r="W5" s="749">
        <v>0.1340679113834406</v>
      </c>
      <c r="X5" s="749">
        <v>491.58234173928224</v>
      </c>
      <c r="Y5"/>
      <c r="Z5" s="742"/>
      <c r="AA5" s="742"/>
      <c r="AB5" s="742"/>
      <c r="AC5" s="742"/>
      <c r="AD5"/>
      <c r="AE5"/>
    </row>
    <row r="6" spans="1:33" s="661" customFormat="1">
      <c r="A6" s="743">
        <v>2.2400000000000002</v>
      </c>
      <c r="B6" s="743" t="s">
        <v>1185</v>
      </c>
      <c r="C6" s="743" t="s">
        <v>1186</v>
      </c>
      <c r="D6" s="744">
        <v>2012</v>
      </c>
      <c r="E6" s="745">
        <v>2015</v>
      </c>
      <c r="F6" s="746">
        <f>B_intervenida!S18</f>
        <v>2.9308603770895685</v>
      </c>
      <c r="G6" s="746">
        <f>B_intervenida!T18</f>
        <v>0</v>
      </c>
      <c r="H6" s="746">
        <f>B_intervenida!U18</f>
        <v>0</v>
      </c>
      <c r="I6" s="746">
        <f>B_intervenida!V18</f>
        <v>0</v>
      </c>
      <c r="J6" s="746">
        <f t="shared" si="0"/>
        <v>2.9308603770895685</v>
      </c>
      <c r="K6" s="695">
        <v>0.2</v>
      </c>
      <c r="L6" s="710">
        <f t="shared" si="1"/>
        <v>0.58617207541791372</v>
      </c>
      <c r="M6" s="710">
        <f t="shared" si="2"/>
        <v>0.29308603770895686</v>
      </c>
      <c r="N6" s="710">
        <f t="shared" si="3"/>
        <v>2.9308603770895685E-4</v>
      </c>
      <c r="O6" s="747">
        <f t="shared" si="4"/>
        <v>1.0746488049328418E-3</v>
      </c>
      <c r="P6" s="710">
        <f t="shared" si="5"/>
        <v>1.0746488049328418</v>
      </c>
      <c r="T6" s="748">
        <v>2015</v>
      </c>
      <c r="U6" s="749">
        <v>911.32510793935489</v>
      </c>
      <c r="V6" s="749">
        <v>182.26502158787099</v>
      </c>
      <c r="W6" s="749">
        <v>9.1132510793935501E-2</v>
      </c>
      <c r="X6" s="749">
        <v>334.15253957776355</v>
      </c>
      <c r="Y6"/>
      <c r="Z6"/>
      <c r="AA6"/>
      <c r="AB6"/>
      <c r="AC6"/>
      <c r="AD6"/>
      <c r="AE6"/>
    </row>
    <row r="7" spans="1:33" s="661" customFormat="1">
      <c r="A7" s="743">
        <v>3.09</v>
      </c>
      <c r="B7" s="743" t="s">
        <v>1190</v>
      </c>
      <c r="C7" s="743" t="s">
        <v>1191</v>
      </c>
      <c r="D7" s="744">
        <v>2012</v>
      </c>
      <c r="E7" s="745">
        <v>2014</v>
      </c>
      <c r="F7" s="746">
        <f>B_intervenida!S20</f>
        <v>38.233480378051979</v>
      </c>
      <c r="G7" s="746">
        <f>B_intervenida!T20</f>
        <v>0</v>
      </c>
      <c r="H7" s="746">
        <f>B_intervenida!U20</f>
        <v>0</v>
      </c>
      <c r="I7" s="746">
        <f>B_intervenida!V20</f>
        <v>0</v>
      </c>
      <c r="J7" s="746">
        <f t="shared" si="0"/>
        <v>38.233480378051979</v>
      </c>
      <c r="K7" s="695">
        <v>0.2</v>
      </c>
      <c r="L7" s="710">
        <f t="shared" si="1"/>
        <v>7.6466960756103965</v>
      </c>
      <c r="M7" s="710">
        <f t="shared" si="2"/>
        <v>3.8233480378051983</v>
      </c>
      <c r="N7" s="710">
        <f t="shared" si="3"/>
        <v>3.8233480378051981E-3</v>
      </c>
      <c r="O7" s="747">
        <f t="shared" si="4"/>
        <v>1.4018942805285727E-2</v>
      </c>
      <c r="P7" s="710">
        <f t="shared" si="5"/>
        <v>14.018942805285727</v>
      </c>
      <c r="T7" s="748" t="s">
        <v>341</v>
      </c>
      <c r="U7" s="749">
        <v>2377.691612003222</v>
      </c>
      <c r="V7" s="749">
        <v>475.53832240064446</v>
      </c>
      <c r="W7" s="749">
        <v>0.23776916120032218</v>
      </c>
      <c r="X7" s="749">
        <v>871.82025773451483</v>
      </c>
      <c r="Y7"/>
      <c r="Z7"/>
      <c r="AA7"/>
      <c r="AB7"/>
      <c r="AC7"/>
      <c r="AD7"/>
      <c r="AE7"/>
    </row>
    <row r="8" spans="1:33" s="661" customFormat="1">
      <c r="A8" s="743">
        <v>2</v>
      </c>
      <c r="B8" s="743" t="s">
        <v>1190</v>
      </c>
      <c r="C8" s="743" t="s">
        <v>1202</v>
      </c>
      <c r="D8" s="744">
        <v>2012</v>
      </c>
      <c r="E8" s="745">
        <v>2014</v>
      </c>
      <c r="F8" s="746">
        <f>B_intervenida!S26</f>
        <v>24.746589241457592</v>
      </c>
      <c r="G8" s="746">
        <f>B_intervenida!T26</f>
        <v>0</v>
      </c>
      <c r="H8" s="746">
        <f>B_intervenida!U26</f>
        <v>0</v>
      </c>
      <c r="I8" s="746">
        <f>B_intervenida!V26</f>
        <v>0</v>
      </c>
      <c r="J8" s="746">
        <f t="shared" si="0"/>
        <v>24.746589241457592</v>
      </c>
      <c r="K8" s="695">
        <v>0.2</v>
      </c>
      <c r="L8" s="710">
        <f t="shared" si="1"/>
        <v>4.9493178482915186</v>
      </c>
      <c r="M8" s="710">
        <f t="shared" si="2"/>
        <v>2.4746589241457593</v>
      </c>
      <c r="N8" s="710">
        <f t="shared" si="3"/>
        <v>2.4746589241457593E-3</v>
      </c>
      <c r="O8" s="747">
        <f t="shared" si="4"/>
        <v>9.0737493885344519E-3</v>
      </c>
      <c r="P8" s="710">
        <f t="shared" si="5"/>
        <v>9.073749388534452</v>
      </c>
      <c r="T8" s="661" t="s">
        <v>1391</v>
      </c>
      <c r="Y8"/>
      <c r="Z8"/>
      <c r="AA8"/>
      <c r="AB8"/>
      <c r="AC8"/>
      <c r="AD8"/>
      <c r="AE8"/>
    </row>
    <row r="9" spans="1:33" s="661" customFormat="1">
      <c r="A9" s="743">
        <v>0.2</v>
      </c>
      <c r="B9" s="743" t="s">
        <v>1204</v>
      </c>
      <c r="C9" s="743" t="s">
        <v>1186</v>
      </c>
      <c r="D9" s="744">
        <v>2012</v>
      </c>
      <c r="E9" s="745">
        <v>2012</v>
      </c>
      <c r="F9" s="746">
        <f>B_intervenida!S28</f>
        <v>0.36536842793848323</v>
      </c>
      <c r="G9" s="746">
        <f>B_intervenida!T28</f>
        <v>0</v>
      </c>
      <c r="H9" s="746">
        <f>B_intervenida!U28</f>
        <v>5.4400000000000004E-2</v>
      </c>
      <c r="I9" s="746">
        <f>B_intervenida!V28</f>
        <v>0</v>
      </c>
      <c r="J9" s="746">
        <f t="shared" si="0"/>
        <v>0.41976842793848324</v>
      </c>
      <c r="K9" s="695">
        <v>0.2</v>
      </c>
      <c r="L9" s="710">
        <f t="shared" si="1"/>
        <v>8.3953685587696655E-2</v>
      </c>
      <c r="M9" s="710">
        <f t="shared" si="2"/>
        <v>4.1976842793848328E-2</v>
      </c>
      <c r="N9" s="710">
        <f t="shared" si="3"/>
        <v>4.1976842793848327E-5</v>
      </c>
      <c r="O9" s="747">
        <f t="shared" si="4"/>
        <v>1.5391509024411052E-4</v>
      </c>
      <c r="P9" s="710">
        <f t="shared" si="5"/>
        <v>0.15391509024411051</v>
      </c>
      <c r="T9" s="754" t="s">
        <v>1392</v>
      </c>
      <c r="U9" s="1056" t="s">
        <v>1393</v>
      </c>
      <c r="V9" s="1056"/>
      <c r="W9" s="1056"/>
      <c r="X9" s="1056"/>
      <c r="Y9" s="1056"/>
      <c r="Z9" s="1056"/>
      <c r="AA9" s="1056"/>
      <c r="AB9" s="1056"/>
      <c r="AC9" s="1056"/>
      <c r="AD9" s="1057" t="s">
        <v>1382</v>
      </c>
      <c r="AE9" s="1057" t="s">
        <v>1383</v>
      </c>
      <c r="AF9" s="1057" t="s">
        <v>1384</v>
      </c>
      <c r="AG9" s="1055" t="s">
        <v>1385</v>
      </c>
    </row>
    <row r="10" spans="1:33" s="661" customFormat="1" ht="63.75">
      <c r="A10" s="743">
        <v>0.51</v>
      </c>
      <c r="B10" s="743" t="s">
        <v>1204</v>
      </c>
      <c r="C10" s="743" t="s">
        <v>1186</v>
      </c>
      <c r="D10" s="744">
        <v>2012</v>
      </c>
      <c r="E10" s="745">
        <v>2014</v>
      </c>
      <c r="F10" s="746">
        <f>B_intervenida!S36</f>
        <v>0.93168949124313216</v>
      </c>
      <c r="G10" s="746">
        <f>B_intervenida!T36</f>
        <v>0</v>
      </c>
      <c r="H10" s="746">
        <f>B_intervenida!U36</f>
        <v>0.13872000000000001</v>
      </c>
      <c r="I10" s="746">
        <f>B_intervenida!V36</f>
        <v>0</v>
      </c>
      <c r="J10" s="746">
        <f t="shared" si="0"/>
        <v>1.0704094912431321</v>
      </c>
      <c r="K10" s="695">
        <v>0.2</v>
      </c>
      <c r="L10" s="710">
        <f t="shared" si="1"/>
        <v>0.21408189824862645</v>
      </c>
      <c r="M10" s="710">
        <f t="shared" si="2"/>
        <v>0.10704094912431322</v>
      </c>
      <c r="N10" s="710">
        <f t="shared" si="3"/>
        <v>1.0704094912431322E-4</v>
      </c>
      <c r="O10" s="747">
        <f t="shared" si="4"/>
        <v>3.9248348012248181E-4</v>
      </c>
      <c r="P10" s="710">
        <f t="shared" si="5"/>
        <v>0.3924834801224818</v>
      </c>
      <c r="T10" s="671" t="s">
        <v>1394</v>
      </c>
      <c r="U10" s="671" t="s">
        <v>1395</v>
      </c>
      <c r="V10" s="671" t="s">
        <v>1396</v>
      </c>
      <c r="W10" s="671" t="s">
        <v>1397</v>
      </c>
      <c r="X10" s="671" t="s">
        <v>1396</v>
      </c>
      <c r="Y10" s="671" t="s">
        <v>1398</v>
      </c>
      <c r="Z10" s="671" t="s">
        <v>1396</v>
      </c>
      <c r="AA10" s="671" t="s">
        <v>1399</v>
      </c>
      <c r="AB10" s="671" t="s">
        <v>1396</v>
      </c>
      <c r="AC10" s="671" t="s">
        <v>1400</v>
      </c>
      <c r="AD10" s="1057"/>
      <c r="AE10" s="1057"/>
      <c r="AF10" s="1057"/>
      <c r="AG10" s="1055"/>
    </row>
    <row r="11" spans="1:33" s="661" customFormat="1">
      <c r="A11" s="743">
        <v>0.51</v>
      </c>
      <c r="B11" s="743" t="s">
        <v>1221</v>
      </c>
      <c r="C11" s="743" t="s">
        <v>1186</v>
      </c>
      <c r="D11" s="744">
        <v>2012</v>
      </c>
      <c r="E11" s="745">
        <v>2014</v>
      </c>
      <c r="F11" s="746">
        <f>B_intervenida!S38</f>
        <v>0.43211499940906462</v>
      </c>
      <c r="G11" s="746">
        <f>B_intervenida!T38</f>
        <v>0</v>
      </c>
      <c r="H11" s="746">
        <f>B_intervenida!U38</f>
        <v>0.13872000000000001</v>
      </c>
      <c r="I11" s="746">
        <f>B_intervenida!V38</f>
        <v>0</v>
      </c>
      <c r="J11" s="746">
        <f t="shared" si="0"/>
        <v>0.57083499940906468</v>
      </c>
      <c r="K11" s="695">
        <v>0.2</v>
      </c>
      <c r="L11" s="710">
        <f t="shared" si="1"/>
        <v>0.11416699988181295</v>
      </c>
      <c r="M11" s="710">
        <f t="shared" si="2"/>
        <v>5.7083499940906474E-2</v>
      </c>
      <c r="N11" s="710">
        <f t="shared" si="3"/>
        <v>5.7083499940906472E-5</v>
      </c>
      <c r="O11" s="747">
        <f t="shared" si="4"/>
        <v>2.0930616644999041E-4</v>
      </c>
      <c r="P11" s="710">
        <f t="shared" si="5"/>
        <v>0.20930616644999039</v>
      </c>
      <c r="T11" s="744">
        <v>2011</v>
      </c>
      <c r="U11" s="755">
        <f>V3</f>
        <v>6.6473322467547966</v>
      </c>
      <c r="V11" s="710">
        <f>U11</f>
        <v>6.6473322467547966</v>
      </c>
      <c r="W11" s="710"/>
      <c r="X11" s="710">
        <f>W11</f>
        <v>0</v>
      </c>
      <c r="Y11" s="746"/>
      <c r="Z11" s="746">
        <f>Y11</f>
        <v>0</v>
      </c>
      <c r="AA11" s="746"/>
      <c r="AB11" s="746">
        <f>AA11</f>
        <v>0</v>
      </c>
      <c r="AC11" s="746">
        <f>U11+W11+Y11+AA11</f>
        <v>6.6473322467547966</v>
      </c>
      <c r="AD11" s="746">
        <f>AC11*0.5</f>
        <v>3.3236661233773983</v>
      </c>
      <c r="AE11" s="746">
        <f>AD11/1000</f>
        <v>3.3236661233773984E-3</v>
      </c>
      <c r="AF11" s="746">
        <f>AE11*44/12</f>
        <v>1.2186775785717127E-2</v>
      </c>
      <c r="AG11" s="756">
        <f>AF11*1000</f>
        <v>12.186775785717128</v>
      </c>
    </row>
    <row r="12" spans="1:33" s="661" customFormat="1">
      <c r="A12" s="743">
        <v>2.5</v>
      </c>
      <c r="B12" s="743" t="s">
        <v>1234</v>
      </c>
      <c r="C12" s="743" t="s">
        <v>1186</v>
      </c>
      <c r="D12" s="744">
        <v>2012</v>
      </c>
      <c r="E12" s="745">
        <v>2015</v>
      </c>
      <c r="F12" s="746">
        <f>B_intervenida!S47</f>
        <v>3.7092176784446886</v>
      </c>
      <c r="G12" s="746">
        <f>B_intervenida!T47</f>
        <v>0</v>
      </c>
      <c r="H12" s="746">
        <f>B_intervenida!U47</f>
        <v>0.67999999999999994</v>
      </c>
      <c r="I12" s="746">
        <f>B_intervenida!V47</f>
        <v>0</v>
      </c>
      <c r="J12" s="746">
        <f t="shared" si="0"/>
        <v>4.3892176784446884</v>
      </c>
      <c r="K12" s="695">
        <v>0.2</v>
      </c>
      <c r="L12" s="710">
        <f t="shared" si="1"/>
        <v>0.87784353568893769</v>
      </c>
      <c r="M12" s="710">
        <f t="shared" si="2"/>
        <v>0.43892176784446885</v>
      </c>
      <c r="N12" s="710">
        <f t="shared" si="3"/>
        <v>4.3892176784446883E-4</v>
      </c>
      <c r="O12" s="747">
        <f t="shared" si="4"/>
        <v>1.6093798154297189E-3</v>
      </c>
      <c r="P12" s="710">
        <f t="shared" si="5"/>
        <v>1.609379815429719</v>
      </c>
      <c r="T12" s="744">
        <v>2012</v>
      </c>
      <c r="U12" s="755">
        <f t="shared" ref="U12:U21" si="6">($U$3-V11)*0.2</f>
        <v>5.3178657974038366</v>
      </c>
      <c r="V12" s="710">
        <f>V11+U12</f>
        <v>11.965198044158633</v>
      </c>
      <c r="W12" s="710">
        <f>V4</f>
        <v>18.490145799137387</v>
      </c>
      <c r="X12" s="710">
        <f>W12+X11</f>
        <v>18.490145799137387</v>
      </c>
      <c r="Y12" s="746"/>
      <c r="Z12" s="746">
        <f>Y12+Z11</f>
        <v>0</v>
      </c>
      <c r="AA12" s="746"/>
      <c r="AB12" s="746">
        <f>AA12+AB11</f>
        <v>0</v>
      </c>
      <c r="AC12" s="746">
        <f t="shared" ref="AC12:AC21" si="7">U12+W12+Y12+AA12</f>
        <v>23.808011596541224</v>
      </c>
      <c r="AD12" s="746">
        <f t="shared" ref="AD12:AD21" si="8">AC12*0.5</f>
        <v>11.904005798270612</v>
      </c>
      <c r="AE12" s="746">
        <f t="shared" ref="AE12:AE21" si="9">AD12/1000</f>
        <v>1.1904005798270612E-2</v>
      </c>
      <c r="AF12" s="746">
        <f t="shared" ref="AF12:AF21" si="10">AE12*44/12</f>
        <v>4.3648021260325576E-2</v>
      </c>
      <c r="AG12" s="756">
        <f t="shared" ref="AG12:AG21" si="11">AF12*1000</f>
        <v>43.648021260325578</v>
      </c>
    </row>
    <row r="13" spans="1:33" s="661" customFormat="1">
      <c r="A13" s="743">
        <v>0.84</v>
      </c>
      <c r="B13" s="743" t="s">
        <v>1195</v>
      </c>
      <c r="C13" s="743" t="s">
        <v>1196</v>
      </c>
      <c r="D13" s="744">
        <v>2012</v>
      </c>
      <c r="E13" s="745">
        <v>2014</v>
      </c>
      <c r="F13" s="746">
        <f>B_intervenida!S48</f>
        <v>6.5043248523006607</v>
      </c>
      <c r="G13" s="746">
        <f>B_intervenida!T48</f>
        <v>0</v>
      </c>
      <c r="H13" s="746">
        <f>B_intervenida!U48</f>
        <v>0.22848000000000002</v>
      </c>
      <c r="I13" s="746">
        <f>B_intervenida!V48</f>
        <v>3.6590399999999992</v>
      </c>
      <c r="J13" s="746">
        <f t="shared" si="0"/>
        <v>10.391844852300661</v>
      </c>
      <c r="K13" s="695">
        <v>0.2</v>
      </c>
      <c r="L13" s="710">
        <f t="shared" si="1"/>
        <v>2.0783689704601325</v>
      </c>
      <c r="M13" s="710">
        <f t="shared" si="2"/>
        <v>1.0391844852300662</v>
      </c>
      <c r="N13" s="710">
        <f t="shared" si="3"/>
        <v>1.0391844852300663E-3</v>
      </c>
      <c r="O13" s="747">
        <f t="shared" si="4"/>
        <v>3.8103431125102432E-3</v>
      </c>
      <c r="P13" s="710">
        <f t="shared" si="5"/>
        <v>3.8103431125102434</v>
      </c>
      <c r="T13" s="744">
        <v>2013</v>
      </c>
      <c r="U13" s="755">
        <f t="shared" si="6"/>
        <v>4.2542926379230694</v>
      </c>
      <c r="V13" s="710">
        <f>V12+U13</f>
        <v>16.219490682081702</v>
      </c>
      <c r="W13" s="710">
        <f t="shared" ref="W13:W21" si="12">($U$4-X12)*0.2</f>
        <v>14.79211663930991</v>
      </c>
      <c r="X13" s="710">
        <f>W13+X12</f>
        <v>33.282262438447297</v>
      </c>
      <c r="Y13" s="746">
        <f>V5</f>
        <v>268.13582276688129</v>
      </c>
      <c r="Z13" s="746">
        <f t="shared" ref="Z13:Z21" si="13">Y13+Z12</f>
        <v>268.13582276688129</v>
      </c>
      <c r="AA13" s="746"/>
      <c r="AB13" s="746">
        <f t="shared" ref="AB13:AB21" si="14">AA13+AB12</f>
        <v>0</v>
      </c>
      <c r="AC13" s="746">
        <f t="shared" si="7"/>
        <v>287.18223204411424</v>
      </c>
      <c r="AD13" s="746">
        <f t="shared" si="8"/>
        <v>143.59111602205712</v>
      </c>
      <c r="AE13" s="746">
        <f t="shared" si="9"/>
        <v>0.14359111602205712</v>
      </c>
      <c r="AF13" s="746">
        <f t="shared" si="10"/>
        <v>0.52650075874754276</v>
      </c>
      <c r="AG13" s="756">
        <f t="shared" si="11"/>
        <v>526.50075874754282</v>
      </c>
    </row>
    <row r="14" spans="1:33" s="661" customFormat="1">
      <c r="A14" s="743"/>
      <c r="B14" s="743" t="s">
        <v>1185</v>
      </c>
      <c r="C14" s="743" t="s">
        <v>1186</v>
      </c>
      <c r="D14" s="744">
        <v>2012</v>
      </c>
      <c r="E14" s="745">
        <v>2015</v>
      </c>
      <c r="F14" s="746">
        <f>B_intervenida!S54</f>
        <v>0</v>
      </c>
      <c r="G14" s="746">
        <f>B_intervenida!T54</f>
        <v>0</v>
      </c>
      <c r="H14" s="746">
        <f>B_intervenida!U54</f>
        <v>0</v>
      </c>
      <c r="I14" s="746">
        <f>B_intervenida!V54</f>
        <v>0</v>
      </c>
      <c r="J14" s="746">
        <f t="shared" si="0"/>
        <v>0</v>
      </c>
      <c r="K14" s="695">
        <v>0.2</v>
      </c>
      <c r="L14" s="710">
        <f t="shared" si="1"/>
        <v>0</v>
      </c>
      <c r="M14" s="710">
        <f t="shared" si="2"/>
        <v>0</v>
      </c>
      <c r="N14" s="710">
        <f t="shared" si="3"/>
        <v>0</v>
      </c>
      <c r="O14" s="747">
        <f t="shared" si="4"/>
        <v>0</v>
      </c>
      <c r="P14" s="710">
        <f t="shared" si="5"/>
        <v>0</v>
      </c>
      <c r="T14" s="744">
        <v>2014</v>
      </c>
      <c r="U14" s="755">
        <f t="shared" si="6"/>
        <v>3.4034341103384556</v>
      </c>
      <c r="V14" s="710">
        <f t="shared" ref="V14:V21" si="15">V13+U14</f>
        <v>19.622924792420157</v>
      </c>
      <c r="W14" s="710">
        <f t="shared" si="12"/>
        <v>11.833693311447927</v>
      </c>
      <c r="X14" s="710">
        <f t="shared" ref="X14:X21" si="16">W14+X13</f>
        <v>45.115955749895221</v>
      </c>
      <c r="Y14" s="746">
        <f t="shared" ref="Y14:Y21" si="17">($U$5-Z13)*0.2</f>
        <v>214.50865821350499</v>
      </c>
      <c r="Z14" s="746">
        <f t="shared" si="13"/>
        <v>482.64448098038628</v>
      </c>
      <c r="AA14" s="746"/>
      <c r="AB14" s="746">
        <f t="shared" si="14"/>
        <v>0</v>
      </c>
      <c r="AC14" s="746">
        <f t="shared" si="7"/>
        <v>229.74578563529138</v>
      </c>
      <c r="AD14" s="746">
        <f t="shared" si="8"/>
        <v>114.87289281764569</v>
      </c>
      <c r="AE14" s="746">
        <f t="shared" si="9"/>
        <v>0.11487289281764569</v>
      </c>
      <c r="AF14" s="746">
        <f t="shared" si="10"/>
        <v>0.42120060699803424</v>
      </c>
      <c r="AG14" s="756">
        <f t="shared" si="11"/>
        <v>421.20060699803423</v>
      </c>
    </row>
    <row r="15" spans="1:33" s="661" customFormat="1">
      <c r="A15" s="743"/>
      <c r="B15" s="743" t="s">
        <v>1195</v>
      </c>
      <c r="C15" s="743" t="s">
        <v>1196</v>
      </c>
      <c r="D15" s="744">
        <v>2012</v>
      </c>
      <c r="E15" s="745">
        <v>2014</v>
      </c>
      <c r="F15" s="746">
        <f>B_intervenida!S55</f>
        <v>0</v>
      </c>
      <c r="G15" s="746">
        <f>B_intervenida!T55</f>
        <v>0</v>
      </c>
      <c r="H15" s="746">
        <f>B_intervenida!U55</f>
        <v>0</v>
      </c>
      <c r="I15" s="746">
        <f>B_intervenida!V55</f>
        <v>0</v>
      </c>
      <c r="J15" s="746">
        <f t="shared" si="0"/>
        <v>0</v>
      </c>
      <c r="K15" s="695">
        <v>0.2</v>
      </c>
      <c r="L15" s="710">
        <f t="shared" si="1"/>
        <v>0</v>
      </c>
      <c r="M15" s="710">
        <f t="shared" si="2"/>
        <v>0</v>
      </c>
      <c r="N15" s="710">
        <f t="shared" si="3"/>
        <v>0</v>
      </c>
      <c r="O15" s="747">
        <f t="shared" si="4"/>
        <v>0</v>
      </c>
      <c r="P15" s="710">
        <f t="shared" si="5"/>
        <v>0</v>
      </c>
      <c r="T15" s="744">
        <v>2015</v>
      </c>
      <c r="U15" s="755">
        <f t="shared" si="6"/>
        <v>2.7227472882707646</v>
      </c>
      <c r="V15" s="710">
        <f t="shared" si="15"/>
        <v>22.345672080690921</v>
      </c>
      <c r="W15" s="710">
        <f t="shared" si="12"/>
        <v>9.4669546491583425</v>
      </c>
      <c r="X15" s="710">
        <f t="shared" si="16"/>
        <v>54.58291039905356</v>
      </c>
      <c r="Y15" s="746">
        <f t="shared" si="17"/>
        <v>171.60692657080401</v>
      </c>
      <c r="Z15" s="746">
        <f t="shared" si="13"/>
        <v>654.25140755119025</v>
      </c>
      <c r="AA15" s="746">
        <f>V6</f>
        <v>182.26502158787099</v>
      </c>
      <c r="AB15" s="746">
        <f t="shared" si="14"/>
        <v>182.26502158787099</v>
      </c>
      <c r="AC15" s="746">
        <f t="shared" si="7"/>
        <v>366.06165009610413</v>
      </c>
      <c r="AD15" s="746">
        <f t="shared" si="8"/>
        <v>183.03082504805207</v>
      </c>
      <c r="AE15" s="746">
        <f t="shared" si="9"/>
        <v>0.18303082504805207</v>
      </c>
      <c r="AF15" s="746">
        <f t="shared" si="10"/>
        <v>0.67111302517619098</v>
      </c>
      <c r="AG15" s="756">
        <f t="shared" si="11"/>
        <v>671.11302517619094</v>
      </c>
    </row>
    <row r="16" spans="1:33" s="661" customFormat="1">
      <c r="A16" s="751">
        <v>2.86</v>
      </c>
      <c r="B16" s="751" t="s">
        <v>1234</v>
      </c>
      <c r="C16" s="751" t="s">
        <v>1186</v>
      </c>
      <c r="D16" s="744">
        <v>2012</v>
      </c>
      <c r="E16" s="752" t="s">
        <v>34</v>
      </c>
      <c r="F16" s="746">
        <f>B_intervenida!S78</f>
        <v>4.2433450241407247</v>
      </c>
      <c r="G16" s="746">
        <f>B_intervenida!T78</f>
        <v>0</v>
      </c>
      <c r="H16" s="746">
        <f>B_intervenida!U78</f>
        <v>0.77791999999999994</v>
      </c>
      <c r="I16" s="746">
        <f>B_intervenida!V78</f>
        <v>0</v>
      </c>
      <c r="J16" s="746">
        <f t="shared" si="0"/>
        <v>5.0212650241407246</v>
      </c>
      <c r="K16" s="695">
        <v>0.2</v>
      </c>
      <c r="L16" s="710">
        <f t="shared" si="1"/>
        <v>1.0042530048281451</v>
      </c>
      <c r="M16" s="710">
        <f t="shared" si="2"/>
        <v>0.50212650241407253</v>
      </c>
      <c r="N16" s="710">
        <f t="shared" si="3"/>
        <v>5.0212650241407257E-4</v>
      </c>
      <c r="O16" s="747">
        <f t="shared" si="4"/>
        <v>1.8411305088515994E-3</v>
      </c>
      <c r="P16" s="710">
        <f t="shared" si="5"/>
        <v>1.8411305088515995</v>
      </c>
      <c r="T16" s="744">
        <v>2016</v>
      </c>
      <c r="U16" s="755">
        <f t="shared" si="6"/>
        <v>2.1781978306166119</v>
      </c>
      <c r="V16" s="710">
        <f t="shared" si="15"/>
        <v>24.523869911307532</v>
      </c>
      <c r="W16" s="710">
        <f t="shared" si="12"/>
        <v>7.5735637193266747</v>
      </c>
      <c r="X16" s="710">
        <f t="shared" si="16"/>
        <v>62.156474118380231</v>
      </c>
      <c r="Y16" s="746">
        <f t="shared" si="17"/>
        <v>137.2855412566432</v>
      </c>
      <c r="Z16" s="746">
        <f t="shared" si="13"/>
        <v>791.53694880783348</v>
      </c>
      <c r="AA16" s="746">
        <f t="shared" ref="AA16:AA21" si="18">($U$6-AB15)*0.2</f>
        <v>145.81201727029679</v>
      </c>
      <c r="AB16" s="746">
        <f t="shared" si="14"/>
        <v>328.07703885816778</v>
      </c>
      <c r="AC16" s="746">
        <f t="shared" si="7"/>
        <v>292.84932007688326</v>
      </c>
      <c r="AD16" s="746">
        <f t="shared" si="8"/>
        <v>146.42466003844163</v>
      </c>
      <c r="AE16" s="746">
        <f t="shared" si="9"/>
        <v>0.14642466003844162</v>
      </c>
      <c r="AF16" s="746">
        <f t="shared" si="10"/>
        <v>0.53689042014095267</v>
      </c>
      <c r="AG16" s="756">
        <f t="shared" si="11"/>
        <v>536.89042014095264</v>
      </c>
    </row>
    <row r="17" spans="1:33" s="661" customFormat="1">
      <c r="A17" s="751">
        <v>0.63999999999999968</v>
      </c>
      <c r="B17" s="751" t="s">
        <v>1280</v>
      </c>
      <c r="C17" s="751" t="s">
        <v>1186</v>
      </c>
      <c r="D17" s="744">
        <v>2012</v>
      </c>
      <c r="E17" s="752" t="s">
        <v>34</v>
      </c>
      <c r="F17" s="746">
        <f>B_intervenida!S80</f>
        <v>0.53192692084172988</v>
      </c>
      <c r="G17" s="746">
        <f>B_intervenida!T80</f>
        <v>0</v>
      </c>
      <c r="H17" s="746">
        <f>B_intervenida!U80</f>
        <v>0.1740799999999999</v>
      </c>
      <c r="I17" s="746">
        <f>B_intervenida!V80</f>
        <v>0</v>
      </c>
      <c r="J17" s="746">
        <f t="shared" si="0"/>
        <v>0.70600692084172978</v>
      </c>
      <c r="K17" s="695">
        <v>0.2</v>
      </c>
      <c r="L17" s="710">
        <f t="shared" si="1"/>
        <v>0.14120138416834596</v>
      </c>
      <c r="M17" s="710">
        <f t="shared" si="2"/>
        <v>7.0600692084172981E-2</v>
      </c>
      <c r="N17" s="710">
        <f t="shared" si="3"/>
        <v>7.0600692084172979E-5</v>
      </c>
      <c r="O17" s="747">
        <f t="shared" si="4"/>
        <v>2.5886920430863425E-4</v>
      </c>
      <c r="P17" s="710">
        <f t="shared" si="5"/>
        <v>0.25886920430863425</v>
      </c>
      <c r="T17" s="744">
        <v>2017</v>
      </c>
      <c r="U17" s="755">
        <f t="shared" si="6"/>
        <v>1.7425582644932895</v>
      </c>
      <c r="V17" s="710">
        <f t="shared" si="15"/>
        <v>26.266428175800822</v>
      </c>
      <c r="W17" s="710">
        <f t="shared" si="12"/>
        <v>6.0588509754613398</v>
      </c>
      <c r="X17" s="710">
        <f t="shared" si="16"/>
        <v>68.215325093841571</v>
      </c>
      <c r="Y17" s="746">
        <f t="shared" si="17"/>
        <v>109.82843300531457</v>
      </c>
      <c r="Z17" s="746">
        <f t="shared" si="13"/>
        <v>901.36538181314802</v>
      </c>
      <c r="AA17" s="746">
        <f t="shared" si="18"/>
        <v>116.64961381623743</v>
      </c>
      <c r="AB17" s="746">
        <f t="shared" si="14"/>
        <v>444.72665267440522</v>
      </c>
      <c r="AC17" s="746">
        <f t="shared" si="7"/>
        <v>234.27945606150661</v>
      </c>
      <c r="AD17" s="746">
        <f t="shared" si="8"/>
        <v>117.1397280307533</v>
      </c>
      <c r="AE17" s="746">
        <f t="shared" si="9"/>
        <v>0.1171397280307533</v>
      </c>
      <c r="AF17" s="746">
        <f t="shared" si="10"/>
        <v>0.42951233611276213</v>
      </c>
      <c r="AG17" s="756">
        <f t="shared" si="11"/>
        <v>429.51233611276211</v>
      </c>
    </row>
    <row r="18" spans="1:33" s="661" customFormat="1">
      <c r="A18" s="751">
        <v>0.75</v>
      </c>
      <c r="B18" s="751" t="s">
        <v>1204</v>
      </c>
      <c r="C18" s="751" t="s">
        <v>1186</v>
      </c>
      <c r="D18" s="744">
        <v>2012</v>
      </c>
      <c r="E18" s="752" t="s">
        <v>34</v>
      </c>
      <c r="F18" s="746">
        <f>B_intervenida!S82</f>
        <v>1.3701316047693122</v>
      </c>
      <c r="G18" s="746">
        <f>B_intervenida!T82</f>
        <v>0</v>
      </c>
      <c r="H18" s="746">
        <f>B_intervenida!U82</f>
        <v>0.20400000000000001</v>
      </c>
      <c r="I18" s="746">
        <f>B_intervenida!V82</f>
        <v>0</v>
      </c>
      <c r="J18" s="746">
        <f t="shared" si="0"/>
        <v>1.5741316047693121</v>
      </c>
      <c r="K18" s="695">
        <v>0.2</v>
      </c>
      <c r="L18" s="710">
        <f t="shared" si="1"/>
        <v>0.31482632095386243</v>
      </c>
      <c r="M18" s="710">
        <f t="shared" si="2"/>
        <v>0.15741316047693121</v>
      </c>
      <c r="N18" s="710">
        <f t="shared" si="3"/>
        <v>1.5741316047693121E-4</v>
      </c>
      <c r="O18" s="747">
        <f t="shared" si="4"/>
        <v>5.7718158841541444E-4</v>
      </c>
      <c r="P18" s="710">
        <f t="shared" si="5"/>
        <v>0.57718158841541445</v>
      </c>
      <c r="T18" s="744">
        <v>2018</v>
      </c>
      <c r="U18" s="755">
        <f t="shared" si="6"/>
        <v>1.3940466115946315</v>
      </c>
      <c r="V18" s="710">
        <f t="shared" si="15"/>
        <v>27.660474787395454</v>
      </c>
      <c r="W18" s="710">
        <f t="shared" si="12"/>
        <v>4.8470807803690725</v>
      </c>
      <c r="X18" s="710">
        <f t="shared" si="16"/>
        <v>73.06240587421064</v>
      </c>
      <c r="Y18" s="746">
        <f t="shared" si="17"/>
        <v>87.862746404251652</v>
      </c>
      <c r="Z18" s="746">
        <f t="shared" si="13"/>
        <v>989.22812821739967</v>
      </c>
      <c r="AA18" s="746">
        <f t="shared" si="18"/>
        <v>93.319691052989938</v>
      </c>
      <c r="AB18" s="746">
        <f t="shared" si="14"/>
        <v>538.0463437273952</v>
      </c>
      <c r="AC18" s="746">
        <f t="shared" si="7"/>
        <v>187.42356484920529</v>
      </c>
      <c r="AD18" s="746">
        <f t="shared" si="8"/>
        <v>93.711782424602646</v>
      </c>
      <c r="AE18" s="746">
        <f t="shared" si="9"/>
        <v>9.3711782424602652E-2</v>
      </c>
      <c r="AF18" s="746">
        <f t="shared" si="10"/>
        <v>0.34360986889020967</v>
      </c>
      <c r="AG18" s="756">
        <f t="shared" si="11"/>
        <v>343.60986889020967</v>
      </c>
    </row>
    <row r="19" spans="1:33" s="661" customFormat="1">
      <c r="A19" s="743">
        <v>3.43</v>
      </c>
      <c r="B19" s="743" t="s">
        <v>1185</v>
      </c>
      <c r="C19" s="743" t="s">
        <v>1186</v>
      </c>
      <c r="D19" s="744">
        <v>2013</v>
      </c>
      <c r="E19" s="745">
        <v>2015</v>
      </c>
      <c r="F19" s="746">
        <f>B_intervenida!S17</f>
        <v>4.4878799524184014</v>
      </c>
      <c r="G19" s="746">
        <f>B_intervenida!T17</f>
        <v>0</v>
      </c>
      <c r="H19" s="746">
        <f>B_intervenida!U17</f>
        <v>0</v>
      </c>
      <c r="I19" s="746">
        <f>B_intervenida!V17</f>
        <v>0</v>
      </c>
      <c r="J19" s="746">
        <f t="shared" si="0"/>
        <v>4.4878799524184014</v>
      </c>
      <c r="K19" s="695">
        <v>0.2</v>
      </c>
      <c r="L19" s="710">
        <f t="shared" si="1"/>
        <v>0.89757599048368031</v>
      </c>
      <c r="M19" s="710">
        <f t="shared" si="2"/>
        <v>0.44878799524184015</v>
      </c>
      <c r="N19" s="710">
        <f t="shared" si="3"/>
        <v>4.4878799524184014E-4</v>
      </c>
      <c r="O19" s="747">
        <f t="shared" si="4"/>
        <v>1.6455559825534138E-3</v>
      </c>
      <c r="P19" s="710">
        <f t="shared" si="5"/>
        <v>1.6455559825534138</v>
      </c>
      <c r="T19" s="744">
        <v>2019</v>
      </c>
      <c r="U19" s="755">
        <f t="shared" si="6"/>
        <v>1.115237289275705</v>
      </c>
      <c r="V19" s="710">
        <f t="shared" si="15"/>
        <v>28.775712076671159</v>
      </c>
      <c r="W19" s="710">
        <f t="shared" si="12"/>
        <v>3.8776646242952584</v>
      </c>
      <c r="X19" s="710">
        <f t="shared" si="16"/>
        <v>76.940070498505904</v>
      </c>
      <c r="Y19" s="746">
        <f t="shared" si="17"/>
        <v>70.290197123401327</v>
      </c>
      <c r="Z19" s="746">
        <f t="shared" si="13"/>
        <v>1059.5183253408011</v>
      </c>
      <c r="AA19" s="746">
        <f t="shared" si="18"/>
        <v>74.655752842391948</v>
      </c>
      <c r="AB19" s="746">
        <f t="shared" si="14"/>
        <v>612.70209656978716</v>
      </c>
      <c r="AC19" s="746">
        <f t="shared" si="7"/>
        <v>149.93885187936422</v>
      </c>
      <c r="AD19" s="746">
        <f t="shared" si="8"/>
        <v>74.969425939682111</v>
      </c>
      <c r="AE19" s="746">
        <f t="shared" si="9"/>
        <v>7.4969425939682116E-2</v>
      </c>
      <c r="AF19" s="746">
        <f t="shared" si="10"/>
        <v>0.27488789511216777</v>
      </c>
      <c r="AG19" s="756">
        <f t="shared" si="11"/>
        <v>274.88789511216777</v>
      </c>
    </row>
    <row r="20" spans="1:33" s="661" customFormat="1">
      <c r="A20" s="743">
        <v>2.12</v>
      </c>
      <c r="B20" s="743" t="s">
        <v>1187</v>
      </c>
      <c r="C20" s="743" t="s">
        <v>1188</v>
      </c>
      <c r="D20" s="744">
        <v>2013</v>
      </c>
      <c r="E20" s="745">
        <v>2013</v>
      </c>
      <c r="F20" s="746">
        <f>B_intervenida!S19</f>
        <v>100.63166030434766</v>
      </c>
      <c r="G20" s="746">
        <f>B_intervenida!T19</f>
        <v>0</v>
      </c>
      <c r="H20" s="746">
        <f>B_intervenida!U19</f>
        <v>0</v>
      </c>
      <c r="I20" s="746">
        <f>B_intervenida!V19</f>
        <v>0</v>
      </c>
      <c r="J20" s="746">
        <f t="shared" si="0"/>
        <v>100.63166030434766</v>
      </c>
      <c r="K20" s="695">
        <v>0.2</v>
      </c>
      <c r="L20" s="710">
        <f t="shared" si="1"/>
        <v>20.126332060869533</v>
      </c>
      <c r="M20" s="710">
        <f t="shared" si="2"/>
        <v>10.063166030434767</v>
      </c>
      <c r="N20" s="710">
        <f t="shared" si="3"/>
        <v>1.0063166030434766E-2</v>
      </c>
      <c r="O20" s="747">
        <f t="shared" si="4"/>
        <v>3.6898275444927471E-2</v>
      </c>
      <c r="P20" s="710">
        <f t="shared" si="5"/>
        <v>36.898275444927471</v>
      </c>
      <c r="T20" s="744">
        <v>2020</v>
      </c>
      <c r="U20" s="755">
        <f t="shared" si="6"/>
        <v>0.89218983142056418</v>
      </c>
      <c r="V20" s="710">
        <f t="shared" si="15"/>
        <v>29.667901908091721</v>
      </c>
      <c r="W20" s="710">
        <f t="shared" si="12"/>
        <v>3.1021316994362054</v>
      </c>
      <c r="X20" s="710">
        <f t="shared" si="16"/>
        <v>80.042202197942103</v>
      </c>
      <c r="Y20" s="746">
        <f t="shared" si="17"/>
        <v>56.232157698721039</v>
      </c>
      <c r="Z20" s="746">
        <f t="shared" si="13"/>
        <v>1115.7504830395221</v>
      </c>
      <c r="AA20" s="746">
        <f t="shared" si="18"/>
        <v>59.724602273913547</v>
      </c>
      <c r="AB20" s="746">
        <f t="shared" si="14"/>
        <v>672.42669884370071</v>
      </c>
      <c r="AC20" s="746">
        <f t="shared" si="7"/>
        <v>119.95108150349135</v>
      </c>
      <c r="AD20" s="746">
        <f t="shared" si="8"/>
        <v>59.975540751745676</v>
      </c>
      <c r="AE20" s="746">
        <f t="shared" si="9"/>
        <v>5.9975540751745673E-2</v>
      </c>
      <c r="AF20" s="746">
        <f t="shared" si="10"/>
        <v>0.21991031608973413</v>
      </c>
      <c r="AG20" s="756">
        <f t="shared" si="11"/>
        <v>219.91031608973412</v>
      </c>
    </row>
    <row r="21" spans="1:33" s="661" customFormat="1">
      <c r="A21" s="743">
        <v>1.18</v>
      </c>
      <c r="B21" s="743" t="s">
        <v>1195</v>
      </c>
      <c r="C21" s="743" t="s">
        <v>1196</v>
      </c>
      <c r="D21" s="744">
        <v>2013</v>
      </c>
      <c r="E21" s="745">
        <v>2015</v>
      </c>
      <c r="F21" s="746">
        <f>B_intervenida!S22</f>
        <v>9.1370277687080694</v>
      </c>
      <c r="G21" s="746">
        <f>B_intervenida!T22</f>
        <v>0</v>
      </c>
      <c r="H21" s="746">
        <f>B_intervenida!U22</f>
        <v>0.32095999999999991</v>
      </c>
      <c r="I21" s="746">
        <f>B_intervenida!V22</f>
        <v>5.1400799999999993</v>
      </c>
      <c r="J21" s="746">
        <f t="shared" si="0"/>
        <v>14.598067768708068</v>
      </c>
      <c r="K21" s="695">
        <v>0.2</v>
      </c>
      <c r="L21" s="710">
        <f t="shared" si="1"/>
        <v>2.9196135537416139</v>
      </c>
      <c r="M21" s="710">
        <f t="shared" si="2"/>
        <v>1.459806776870807</v>
      </c>
      <c r="N21" s="710">
        <f t="shared" si="3"/>
        <v>1.459806776870807E-3</v>
      </c>
      <c r="O21" s="747">
        <f t="shared" si="4"/>
        <v>5.352624848526292E-3</v>
      </c>
      <c r="P21" s="710">
        <f t="shared" si="5"/>
        <v>5.3526248485262924</v>
      </c>
      <c r="T21" s="744">
        <v>2021</v>
      </c>
      <c r="U21" s="755">
        <f t="shared" si="6"/>
        <v>0.71375186513645161</v>
      </c>
      <c r="V21" s="710">
        <f t="shared" si="15"/>
        <v>30.381653773228173</v>
      </c>
      <c r="W21" s="710">
        <f t="shared" si="12"/>
        <v>2.4817053595489655</v>
      </c>
      <c r="X21" s="710">
        <f t="shared" si="16"/>
        <v>82.523907557491071</v>
      </c>
      <c r="Y21" s="746">
        <f t="shared" si="17"/>
        <v>44.985726158976831</v>
      </c>
      <c r="Z21" s="746">
        <f t="shared" si="13"/>
        <v>1160.736209198499</v>
      </c>
      <c r="AA21" s="746">
        <f t="shared" si="18"/>
        <v>47.779681819130843</v>
      </c>
      <c r="AB21" s="746">
        <f t="shared" si="14"/>
        <v>720.20638066283152</v>
      </c>
      <c r="AC21" s="746">
        <f t="shared" si="7"/>
        <v>95.960865202793087</v>
      </c>
      <c r="AD21" s="746">
        <f t="shared" si="8"/>
        <v>47.980432601396544</v>
      </c>
      <c r="AE21" s="746">
        <f t="shared" si="9"/>
        <v>4.7980432601396547E-2</v>
      </c>
      <c r="AF21" s="746">
        <f t="shared" si="10"/>
        <v>0.17592825287178734</v>
      </c>
      <c r="AG21" s="756">
        <f t="shared" si="11"/>
        <v>175.92825287178735</v>
      </c>
    </row>
    <row r="22" spans="1:33" s="661" customFormat="1">
      <c r="A22" s="743">
        <v>2.36</v>
      </c>
      <c r="B22" s="743" t="s">
        <v>1177</v>
      </c>
      <c r="C22" s="743" t="s">
        <v>1178</v>
      </c>
      <c r="D22" s="744">
        <v>2013</v>
      </c>
      <c r="E22" s="745">
        <v>2015</v>
      </c>
      <c r="F22" s="746">
        <f>B_intervenida!S24</f>
        <v>0</v>
      </c>
      <c r="G22" s="746">
        <f>B_intervenida!T24</f>
        <v>1514.705766591665</v>
      </c>
      <c r="H22" s="746">
        <f>B_intervenida!U24</f>
        <v>0.64191999999999982</v>
      </c>
      <c r="I22" s="746">
        <f>B_intervenida!V24</f>
        <v>0</v>
      </c>
      <c r="J22" s="746">
        <f t="shared" si="0"/>
        <v>1515.347686591665</v>
      </c>
      <c r="K22" s="695">
        <v>0.2</v>
      </c>
      <c r="L22" s="710">
        <f t="shared" si="1"/>
        <v>303.069537318333</v>
      </c>
      <c r="M22" s="710">
        <f t="shared" si="2"/>
        <v>151.5347686591665</v>
      </c>
      <c r="N22" s="710">
        <f t="shared" si="3"/>
        <v>0.15153476865916651</v>
      </c>
      <c r="O22" s="747">
        <f t="shared" si="4"/>
        <v>0.55562748508361059</v>
      </c>
      <c r="P22" s="710">
        <f t="shared" si="5"/>
        <v>555.62748508361062</v>
      </c>
      <c r="S22" s="757"/>
      <c r="T22" s="758"/>
      <c r="U22" s="660"/>
      <c r="V22" s="758"/>
      <c r="W22" s="660"/>
      <c r="X22" s="758"/>
      <c r="Y22" s="660"/>
      <c r="Z22" s="758"/>
    </row>
    <row r="23" spans="1:33" s="661" customFormat="1">
      <c r="A23" s="743">
        <v>1.1200000000000001</v>
      </c>
      <c r="B23" s="743" t="s">
        <v>1199</v>
      </c>
      <c r="C23" s="743" t="s">
        <v>1200</v>
      </c>
      <c r="D23" s="744">
        <v>2013</v>
      </c>
      <c r="E23" s="745">
        <v>2014</v>
      </c>
      <c r="F23" s="746">
        <f>B_intervenida!S25</f>
        <v>0</v>
      </c>
      <c r="G23" s="746">
        <f>B_intervenida!T25</f>
        <v>0</v>
      </c>
      <c r="H23" s="746">
        <f>B_intervenida!U25</f>
        <v>0</v>
      </c>
      <c r="I23" s="746">
        <f>B_intervenida!V25</f>
        <v>0</v>
      </c>
      <c r="J23" s="746">
        <f t="shared" si="0"/>
        <v>0</v>
      </c>
      <c r="K23" s="695">
        <v>0.2</v>
      </c>
      <c r="L23" s="710">
        <f t="shared" si="1"/>
        <v>0</v>
      </c>
      <c r="M23" s="710">
        <f t="shared" si="2"/>
        <v>0</v>
      </c>
      <c r="N23" s="710">
        <f t="shared" si="3"/>
        <v>0</v>
      </c>
      <c r="O23" s="747">
        <f t="shared" si="4"/>
        <v>0</v>
      </c>
      <c r="P23" s="710">
        <f t="shared" si="5"/>
        <v>0</v>
      </c>
      <c r="S23" s="759"/>
      <c r="T23" s="758"/>
      <c r="U23" s="660"/>
      <c r="V23" s="758"/>
      <c r="W23" s="660"/>
      <c r="X23" s="758"/>
      <c r="Y23" s="660"/>
      <c r="Z23" s="758"/>
    </row>
    <row r="24" spans="1:33" s="661" customFormat="1">
      <c r="A24" s="743">
        <v>0.51</v>
      </c>
      <c r="B24" s="743" t="s">
        <v>1195</v>
      </c>
      <c r="C24" s="743" t="s">
        <v>1196</v>
      </c>
      <c r="D24" s="744">
        <v>2013</v>
      </c>
      <c r="E24" s="745">
        <v>2015</v>
      </c>
      <c r="F24" s="746">
        <f>B_intervenida!S39</f>
        <v>3.9490543746111157</v>
      </c>
      <c r="G24" s="746">
        <f>B_intervenida!T39</f>
        <v>0</v>
      </c>
      <c r="H24" s="746">
        <f>B_intervenida!U39</f>
        <v>0.13872000000000001</v>
      </c>
      <c r="I24" s="746">
        <f>B_intervenida!V39</f>
        <v>2.2215599999999993</v>
      </c>
      <c r="J24" s="746">
        <f t="shared" si="0"/>
        <v>6.3093343746111152</v>
      </c>
      <c r="K24" s="695">
        <v>0.2</v>
      </c>
      <c r="L24" s="710">
        <f t="shared" si="1"/>
        <v>1.261866874922223</v>
      </c>
      <c r="M24" s="710">
        <f t="shared" si="2"/>
        <v>0.63093343746111152</v>
      </c>
      <c r="N24" s="710">
        <f t="shared" si="3"/>
        <v>6.3093343746111158E-4</v>
      </c>
      <c r="O24" s="747">
        <f t="shared" si="4"/>
        <v>2.3134226040240759E-3</v>
      </c>
      <c r="P24" s="710">
        <f t="shared" si="5"/>
        <v>2.3134226040240757</v>
      </c>
      <c r="S24" s="759"/>
      <c r="T24" s="758"/>
      <c r="U24" s="660"/>
      <c r="V24" s="758"/>
      <c r="W24" s="660"/>
      <c r="X24" s="758"/>
      <c r="Y24" s="660"/>
      <c r="Z24" s="758"/>
    </row>
    <row r="25" spans="1:33" s="661" customFormat="1">
      <c r="A25" s="743">
        <v>0.51</v>
      </c>
      <c r="B25" s="743" t="s">
        <v>1224</v>
      </c>
      <c r="C25" s="743" t="s">
        <v>1191</v>
      </c>
      <c r="D25" s="744">
        <v>2013</v>
      </c>
      <c r="E25" s="745">
        <v>2015</v>
      </c>
      <c r="F25" s="746">
        <f>B_intervenida!S40</f>
        <v>0</v>
      </c>
      <c r="G25" s="746">
        <f>B_intervenida!T40</f>
        <v>0</v>
      </c>
      <c r="H25" s="746">
        <f>B_intervenida!U40</f>
        <v>0</v>
      </c>
      <c r="I25" s="746">
        <f>B_intervenida!V40</f>
        <v>0</v>
      </c>
      <c r="J25" s="746">
        <f t="shared" si="0"/>
        <v>0</v>
      </c>
      <c r="K25" s="695">
        <v>0.2</v>
      </c>
      <c r="L25" s="710">
        <f t="shared" si="1"/>
        <v>0</v>
      </c>
      <c r="M25" s="710">
        <f t="shared" si="2"/>
        <v>0</v>
      </c>
      <c r="N25" s="710">
        <f t="shared" si="3"/>
        <v>0</v>
      </c>
      <c r="O25" s="747">
        <f t="shared" si="4"/>
        <v>0</v>
      </c>
      <c r="P25" s="710">
        <f t="shared" si="5"/>
        <v>0</v>
      </c>
      <c r="S25" s="759"/>
      <c r="T25" s="758"/>
      <c r="U25" s="660"/>
      <c r="V25" s="758"/>
      <c r="W25" s="660"/>
      <c r="X25" s="758"/>
      <c r="Y25" s="660"/>
      <c r="Z25" s="758"/>
    </row>
    <row r="26" spans="1:33" s="661" customFormat="1">
      <c r="A26" s="743">
        <v>1.5</v>
      </c>
      <c r="B26" s="743" t="s">
        <v>1185</v>
      </c>
      <c r="C26" s="743" t="s">
        <v>1186</v>
      </c>
      <c r="D26" s="744">
        <v>2013</v>
      </c>
      <c r="E26" s="745">
        <v>2015</v>
      </c>
      <c r="F26" s="746">
        <f>B_intervenida!S45</f>
        <v>1.9626297168010503</v>
      </c>
      <c r="G26" s="746">
        <f>B_intervenida!T45</f>
        <v>0</v>
      </c>
      <c r="H26" s="746">
        <f>B_intervenida!U45</f>
        <v>0</v>
      </c>
      <c r="I26" s="746">
        <f>B_intervenida!V45</f>
        <v>0</v>
      </c>
      <c r="J26" s="746">
        <f t="shared" si="0"/>
        <v>1.9626297168010503</v>
      </c>
      <c r="K26" s="695">
        <v>0.2</v>
      </c>
      <c r="L26" s="710">
        <f t="shared" si="1"/>
        <v>0.39252594336021007</v>
      </c>
      <c r="M26" s="710">
        <f t="shared" si="2"/>
        <v>0.19626297168010504</v>
      </c>
      <c r="N26" s="710">
        <f t="shared" si="3"/>
        <v>1.9626297168010503E-4</v>
      </c>
      <c r="O26" s="747">
        <f t="shared" si="4"/>
        <v>7.1963089616038512E-4</v>
      </c>
      <c r="P26" s="710">
        <f t="shared" si="5"/>
        <v>0.71963089616038511</v>
      </c>
      <c r="S26" s="759"/>
      <c r="T26" s="758"/>
      <c r="U26" s="660"/>
      <c r="V26" s="758"/>
      <c r="W26" s="660"/>
      <c r="X26" s="758"/>
      <c r="Y26" s="660"/>
      <c r="Z26" s="758"/>
    </row>
    <row r="27" spans="1:33" s="661" customFormat="1">
      <c r="A27" s="743">
        <v>1.35</v>
      </c>
      <c r="B27" s="743" t="s">
        <v>1231</v>
      </c>
      <c r="C27" s="743" t="s">
        <v>1232</v>
      </c>
      <c r="D27" s="744">
        <v>2013</v>
      </c>
      <c r="E27" s="745">
        <v>2015</v>
      </c>
      <c r="F27" s="746">
        <f>B_intervenida!S46</f>
        <v>0</v>
      </c>
      <c r="G27" s="746">
        <f>B_intervenida!T46</f>
        <v>0</v>
      </c>
      <c r="H27" s="746">
        <f>B_intervenida!U46</f>
        <v>0</v>
      </c>
      <c r="I27" s="746">
        <f>B_intervenida!V46</f>
        <v>0</v>
      </c>
      <c r="J27" s="746">
        <f t="shared" si="0"/>
        <v>0</v>
      </c>
      <c r="K27" s="695">
        <v>0.2</v>
      </c>
      <c r="L27" s="710">
        <f t="shared" si="1"/>
        <v>0</v>
      </c>
      <c r="M27" s="710">
        <f t="shared" si="2"/>
        <v>0</v>
      </c>
      <c r="N27" s="710">
        <f t="shared" si="3"/>
        <v>0</v>
      </c>
      <c r="O27" s="747">
        <f t="shared" si="4"/>
        <v>0</v>
      </c>
      <c r="P27" s="710">
        <f t="shared" si="5"/>
        <v>0</v>
      </c>
      <c r="S27"/>
    </row>
    <row r="28" spans="1:33" s="661" customFormat="1">
      <c r="A28" s="743">
        <v>1.99</v>
      </c>
      <c r="B28" s="743" t="s">
        <v>1237</v>
      </c>
      <c r="C28" s="743" t="s">
        <v>1188</v>
      </c>
      <c r="D28" s="744">
        <v>2013</v>
      </c>
      <c r="E28" s="745">
        <v>2014</v>
      </c>
      <c r="F28" s="746">
        <f>B_intervenida!S49</f>
        <v>4.197245384212199E-2</v>
      </c>
      <c r="G28" s="746">
        <f>B_intervenida!T49</f>
        <v>0</v>
      </c>
      <c r="H28" s="746">
        <f>B_intervenida!U49</f>
        <v>0</v>
      </c>
      <c r="I28" s="746">
        <f>B_intervenida!V49</f>
        <v>0</v>
      </c>
      <c r="J28" s="746">
        <f t="shared" si="0"/>
        <v>4.197245384212199E-2</v>
      </c>
      <c r="K28" s="695">
        <v>0.2</v>
      </c>
      <c r="L28" s="710">
        <f t="shared" si="1"/>
        <v>8.394490768424398E-3</v>
      </c>
      <c r="M28" s="710">
        <f t="shared" si="2"/>
        <v>4.197245384212199E-3</v>
      </c>
      <c r="N28" s="710">
        <f t="shared" si="3"/>
        <v>4.1972453842121992E-6</v>
      </c>
      <c r="O28" s="747">
        <f t="shared" si="4"/>
        <v>1.5389899742111397E-5</v>
      </c>
      <c r="P28" s="710">
        <f t="shared" si="5"/>
        <v>1.5389899742111397E-2</v>
      </c>
      <c r="S28"/>
    </row>
    <row r="29" spans="1:33" s="661" customFormat="1">
      <c r="A29" s="743">
        <v>0.28000000000000003</v>
      </c>
      <c r="B29" s="743" t="s">
        <v>1177</v>
      </c>
      <c r="C29" s="743" t="s">
        <v>1178</v>
      </c>
      <c r="D29" s="744">
        <v>2013</v>
      </c>
      <c r="E29" s="745">
        <v>2015</v>
      </c>
      <c r="F29" s="746">
        <f>B_intervenida!S50</f>
        <v>0</v>
      </c>
      <c r="G29" s="746">
        <f>B_intervenida!T50</f>
        <v>179.71085366341791</v>
      </c>
      <c r="H29" s="746">
        <f>B_intervenida!U50</f>
        <v>7.6160000000000005E-2</v>
      </c>
      <c r="I29" s="746">
        <f>B_intervenida!V50</f>
        <v>0</v>
      </c>
      <c r="J29" s="746">
        <f t="shared" si="0"/>
        <v>179.78701366341789</v>
      </c>
      <c r="K29" s="695">
        <v>0.2</v>
      </c>
      <c r="L29" s="710">
        <f t="shared" si="1"/>
        <v>35.957402732683583</v>
      </c>
      <c r="M29" s="710">
        <f t="shared" si="2"/>
        <v>17.978701366341792</v>
      </c>
      <c r="N29" s="710">
        <f t="shared" si="3"/>
        <v>1.797870136634179E-2</v>
      </c>
      <c r="O29" s="747">
        <f t="shared" si="4"/>
        <v>6.5921905009919901E-2</v>
      </c>
      <c r="P29" s="710">
        <f t="shared" si="5"/>
        <v>65.921905009919897</v>
      </c>
      <c r="S29"/>
    </row>
    <row r="30" spans="1:33" s="661" customFormat="1">
      <c r="A30" s="743"/>
      <c r="B30" s="743" t="s">
        <v>1231</v>
      </c>
      <c r="C30" s="743" t="s">
        <v>1232</v>
      </c>
      <c r="D30" s="744">
        <v>2013</v>
      </c>
      <c r="E30" s="745">
        <v>2015</v>
      </c>
      <c r="F30" s="746">
        <f>B_intervenida!S53</f>
        <v>0</v>
      </c>
      <c r="G30" s="746">
        <f>B_intervenida!T53</f>
        <v>0</v>
      </c>
      <c r="H30" s="746">
        <f>B_intervenida!U53</f>
        <v>0</v>
      </c>
      <c r="I30" s="746">
        <f>B_intervenida!V53</f>
        <v>0</v>
      </c>
      <c r="J30" s="746">
        <f t="shared" si="0"/>
        <v>0</v>
      </c>
      <c r="K30" s="695">
        <v>0.2</v>
      </c>
      <c r="L30" s="710">
        <f t="shared" si="1"/>
        <v>0</v>
      </c>
      <c r="M30" s="710">
        <f t="shared" si="2"/>
        <v>0</v>
      </c>
      <c r="N30" s="710">
        <f t="shared" si="3"/>
        <v>0</v>
      </c>
      <c r="O30" s="747">
        <f t="shared" si="4"/>
        <v>0</v>
      </c>
      <c r="P30" s="710">
        <f t="shared" si="5"/>
        <v>0</v>
      </c>
      <c r="S30"/>
    </row>
    <row r="31" spans="1:33" s="661" customFormat="1">
      <c r="A31" s="743">
        <v>6</v>
      </c>
      <c r="B31" s="743" t="s">
        <v>1237</v>
      </c>
      <c r="C31" s="743" t="s">
        <v>1249</v>
      </c>
      <c r="D31" s="744">
        <v>2013</v>
      </c>
      <c r="E31" s="745">
        <v>2014</v>
      </c>
      <c r="F31" s="746">
        <f>B_intervenida!S58</f>
        <v>0.12655011208679998</v>
      </c>
      <c r="G31" s="746">
        <f>B_intervenida!T58</f>
        <v>0</v>
      </c>
      <c r="H31" s="746">
        <f>B_intervenida!U58</f>
        <v>0</v>
      </c>
      <c r="I31" s="746">
        <f>B_intervenida!V58</f>
        <v>0</v>
      </c>
      <c r="J31" s="746">
        <f t="shared" si="0"/>
        <v>0.12655011208679998</v>
      </c>
      <c r="K31" s="695">
        <v>0.2</v>
      </c>
      <c r="L31" s="710">
        <f t="shared" si="1"/>
        <v>2.5310022417359995E-2</v>
      </c>
      <c r="M31" s="710">
        <f t="shared" si="2"/>
        <v>1.2655011208679998E-2</v>
      </c>
      <c r="N31" s="710">
        <f t="shared" si="3"/>
        <v>1.2655011208679997E-5</v>
      </c>
      <c r="O31" s="747">
        <f t="shared" si="4"/>
        <v>4.6401707765159988E-5</v>
      </c>
      <c r="P31" s="710">
        <f t="shared" si="5"/>
        <v>4.6401707765159991E-2</v>
      </c>
      <c r="S31"/>
    </row>
    <row r="32" spans="1:33" s="661" customFormat="1">
      <c r="A32" s="743"/>
      <c r="B32" s="743" t="s">
        <v>1195</v>
      </c>
      <c r="C32" s="743" t="s">
        <v>1196</v>
      </c>
      <c r="D32" s="744">
        <v>2013</v>
      </c>
      <c r="E32" s="745">
        <v>2014</v>
      </c>
      <c r="F32" s="746">
        <f>B_intervenida!S62</f>
        <v>0</v>
      </c>
      <c r="G32" s="746">
        <f>B_intervenida!T62</f>
        <v>0</v>
      </c>
      <c r="H32" s="746">
        <f>B_intervenida!U62</f>
        <v>0</v>
      </c>
      <c r="I32" s="746">
        <f>B_intervenida!V62</f>
        <v>0</v>
      </c>
      <c r="J32" s="746">
        <f t="shared" si="0"/>
        <v>0</v>
      </c>
      <c r="K32" s="695">
        <v>0.2</v>
      </c>
      <c r="L32" s="710">
        <f t="shared" si="1"/>
        <v>0</v>
      </c>
      <c r="M32" s="710">
        <f t="shared" si="2"/>
        <v>0</v>
      </c>
      <c r="N32" s="710">
        <f t="shared" si="3"/>
        <v>0</v>
      </c>
      <c r="O32" s="747">
        <f t="shared" si="4"/>
        <v>0</v>
      </c>
      <c r="P32" s="710">
        <f t="shared" si="5"/>
        <v>0</v>
      </c>
      <c r="S32"/>
    </row>
    <row r="33" spans="1:34" s="661" customFormat="1">
      <c r="A33" s="751">
        <v>0.1</v>
      </c>
      <c r="B33" s="751" t="s">
        <v>1190</v>
      </c>
      <c r="C33" s="751" t="s">
        <v>1191</v>
      </c>
      <c r="D33" s="744">
        <v>2013</v>
      </c>
      <c r="E33" s="752">
        <v>2013</v>
      </c>
      <c r="F33" s="746">
        <f>B_intervenida!S76</f>
        <v>1.2373294620728794</v>
      </c>
      <c r="G33" s="746">
        <f>B_intervenida!T76</f>
        <v>0</v>
      </c>
      <c r="H33" s="746">
        <f>B_intervenida!U76</f>
        <v>0</v>
      </c>
      <c r="I33" s="746">
        <f>B_intervenida!V76</f>
        <v>0</v>
      </c>
      <c r="J33" s="746">
        <f t="shared" si="0"/>
        <v>1.2373294620728794</v>
      </c>
      <c r="K33" s="695">
        <v>0.2</v>
      </c>
      <c r="L33" s="710">
        <f t="shared" si="1"/>
        <v>0.24746589241457589</v>
      </c>
      <c r="M33" s="710">
        <f t="shared" si="2"/>
        <v>0.12373294620728795</v>
      </c>
      <c r="N33" s="710">
        <f t="shared" si="3"/>
        <v>1.2373294620728794E-4</v>
      </c>
      <c r="O33" s="747">
        <f t="shared" si="4"/>
        <v>4.5368746942672246E-4</v>
      </c>
      <c r="P33" s="710">
        <f t="shared" si="5"/>
        <v>0.45368746942672245</v>
      </c>
      <c r="S33"/>
    </row>
    <row r="34" spans="1:34" s="661" customFormat="1">
      <c r="A34" s="751">
        <v>0.1</v>
      </c>
      <c r="B34" s="751" t="s">
        <v>1190</v>
      </c>
      <c r="C34" s="751" t="s">
        <v>1191</v>
      </c>
      <c r="D34" s="744">
        <v>2013</v>
      </c>
      <c r="E34" s="752" t="s">
        <v>34</v>
      </c>
      <c r="F34" s="746">
        <f>B_intervenida!S77</f>
        <v>1.2373294620728794</v>
      </c>
      <c r="G34" s="746">
        <f>B_intervenida!T77</f>
        <v>0</v>
      </c>
      <c r="H34" s="746">
        <f>B_intervenida!U77</f>
        <v>0</v>
      </c>
      <c r="I34" s="746">
        <f>B_intervenida!V77</f>
        <v>0</v>
      </c>
      <c r="J34" s="746">
        <f t="shared" si="0"/>
        <v>1.2373294620728794</v>
      </c>
      <c r="K34" s="695">
        <v>0.2</v>
      </c>
      <c r="L34" s="710">
        <f t="shared" si="1"/>
        <v>0.24746589241457589</v>
      </c>
      <c r="M34" s="710">
        <f t="shared" si="2"/>
        <v>0.12373294620728795</v>
      </c>
      <c r="N34" s="710">
        <f t="shared" si="3"/>
        <v>1.2373294620728794E-4</v>
      </c>
      <c r="O34" s="747">
        <f t="shared" si="4"/>
        <v>4.5368746942672246E-4</v>
      </c>
      <c r="P34" s="710">
        <f t="shared" si="5"/>
        <v>0.45368746942672245</v>
      </c>
      <c r="S34"/>
    </row>
    <row r="35" spans="1:34" s="661" customFormat="1">
      <c r="A35" s="751">
        <v>4.1219999999999999</v>
      </c>
      <c r="B35" s="751" t="s">
        <v>1185</v>
      </c>
      <c r="C35" s="751" t="s">
        <v>1186</v>
      </c>
      <c r="D35" s="744">
        <v>2013</v>
      </c>
      <c r="E35" s="752" t="s">
        <v>34</v>
      </c>
      <c r="F35" s="746">
        <f>B_intervenida!S84</f>
        <v>5.393306461769285</v>
      </c>
      <c r="G35" s="746">
        <f>B_intervenida!T84</f>
        <v>0</v>
      </c>
      <c r="H35" s="746">
        <f>B_intervenida!U84</f>
        <v>0</v>
      </c>
      <c r="I35" s="746">
        <f>B_intervenida!V84</f>
        <v>0</v>
      </c>
      <c r="J35" s="746">
        <f t="shared" si="0"/>
        <v>5.393306461769285</v>
      </c>
      <c r="K35" s="695">
        <v>0.2</v>
      </c>
      <c r="L35" s="710">
        <f t="shared" si="1"/>
        <v>1.078661292353857</v>
      </c>
      <c r="M35" s="710">
        <f t="shared" si="2"/>
        <v>0.5393306461769285</v>
      </c>
      <c r="N35" s="710">
        <f t="shared" si="3"/>
        <v>5.3933064617692845E-4</v>
      </c>
      <c r="O35" s="747">
        <f t="shared" si="4"/>
        <v>1.9775457026487376E-3</v>
      </c>
      <c r="P35" s="710">
        <f t="shared" si="5"/>
        <v>1.9775457026487375</v>
      </c>
      <c r="S35"/>
    </row>
    <row r="36" spans="1:34" s="661" customFormat="1">
      <c r="A36" s="751">
        <v>0.1</v>
      </c>
      <c r="B36" s="751" t="s">
        <v>1288</v>
      </c>
      <c r="C36" s="751" t="s">
        <v>1186</v>
      </c>
      <c r="D36" s="744">
        <v>2013</v>
      </c>
      <c r="E36" s="752" t="s">
        <v>34</v>
      </c>
      <c r="F36" s="746">
        <f>B_intervenida!S86</f>
        <v>0.75423128572725839</v>
      </c>
      <c r="G36" s="746">
        <f>B_intervenida!T86</f>
        <v>0</v>
      </c>
      <c r="H36" s="746">
        <f>B_intervenida!U86</f>
        <v>2.7200000000000002E-2</v>
      </c>
      <c r="I36" s="746">
        <f>B_intervenida!V86</f>
        <v>0.43559999999999999</v>
      </c>
      <c r="J36" s="746">
        <f t="shared" si="0"/>
        <v>1.2170312857272583</v>
      </c>
      <c r="K36" s="695">
        <v>0.2</v>
      </c>
      <c r="L36" s="710">
        <f t="shared" si="1"/>
        <v>0.24340625714545167</v>
      </c>
      <c r="M36" s="710">
        <f t="shared" si="2"/>
        <v>0.12170312857272583</v>
      </c>
      <c r="N36" s="710">
        <f t="shared" si="3"/>
        <v>1.2170312857272583E-4</v>
      </c>
      <c r="O36" s="747">
        <f t="shared" si="4"/>
        <v>4.462448047666614E-4</v>
      </c>
      <c r="P36" s="710">
        <f t="shared" si="5"/>
        <v>0.4462448047666614</v>
      </c>
      <c r="S36"/>
    </row>
    <row r="37" spans="1:34" s="661" customFormat="1">
      <c r="A37" s="743">
        <v>2</v>
      </c>
      <c r="B37" s="743" t="s">
        <v>1177</v>
      </c>
      <c r="C37" s="743" t="s">
        <v>1178</v>
      </c>
      <c r="D37" s="744">
        <v>2015</v>
      </c>
      <c r="E37" s="745">
        <v>2015</v>
      </c>
      <c r="F37" s="746">
        <f>B_intervenida!S12</f>
        <v>0</v>
      </c>
      <c r="G37" s="746">
        <f>B_intervenida!T12</f>
        <v>1283.6489547386993</v>
      </c>
      <c r="H37" s="746">
        <f>B_intervenida!U12</f>
        <v>0.54400000000000004</v>
      </c>
      <c r="I37" s="746">
        <f>B_intervenida!V12</f>
        <v>0</v>
      </c>
      <c r="J37" s="746">
        <f t="shared" si="0"/>
        <v>1284.1929547386994</v>
      </c>
      <c r="K37" s="695">
        <v>0.2</v>
      </c>
      <c r="L37" s="710">
        <f t="shared" si="1"/>
        <v>256.83859094773987</v>
      </c>
      <c r="M37" s="710">
        <f t="shared" si="2"/>
        <v>128.41929547386994</v>
      </c>
      <c r="N37" s="710">
        <f t="shared" si="3"/>
        <v>0.12841929547386993</v>
      </c>
      <c r="O37" s="747">
        <f t="shared" si="4"/>
        <v>0.47087075007085644</v>
      </c>
      <c r="P37" s="710">
        <f t="shared" si="5"/>
        <v>470.87075007085645</v>
      </c>
      <c r="S37"/>
    </row>
    <row r="38" spans="1:34">
      <c r="A38" s="760" t="s">
        <v>1401</v>
      </c>
      <c r="B38" s="760"/>
      <c r="C38" s="760"/>
      <c r="D38" s="760"/>
      <c r="E38" s="760"/>
      <c r="F38" s="761">
        <f>SUM(F3:F37)</f>
        <v>237.96288158391843</v>
      </c>
      <c r="G38" s="761">
        <f>SUM(G3:G37)</f>
        <v>2978.0655749937823</v>
      </c>
      <c r="H38" s="761">
        <f>SUM(H3:H37)</f>
        <v>4.7110399999999988</v>
      </c>
      <c r="I38" s="761">
        <f>SUM(I3:I37)</f>
        <v>18.556559999999998</v>
      </c>
      <c r="J38" s="761">
        <f>SUM(J3:J37)</f>
        <v>3239.2960565777007</v>
      </c>
      <c r="K38" s="761"/>
      <c r="L38" s="761">
        <f>SUM(L3:L37)</f>
        <v>647.85921131554028</v>
      </c>
      <c r="M38" s="761">
        <f>SUM(M3:M37)</f>
        <v>323.92960565777014</v>
      </c>
      <c r="N38" s="761">
        <f>SUM(N3:N37)</f>
        <v>0.32392960565777007</v>
      </c>
      <c r="O38" s="761">
        <f>SUM(O3:O37)</f>
        <v>1.1877418874118237</v>
      </c>
      <c r="P38" s="761">
        <f>SUM(P3:P37)</f>
        <v>1187.7418874118239</v>
      </c>
      <c r="T38" s="661"/>
      <c r="U38" s="661"/>
      <c r="V38" s="661"/>
      <c r="W38" s="661"/>
      <c r="X38" s="661"/>
      <c r="Y38" s="661"/>
      <c r="Z38" s="661"/>
      <c r="AA38" s="661"/>
      <c r="AB38" s="661"/>
      <c r="AC38" s="661"/>
      <c r="AD38" s="661"/>
    </row>
    <row r="39" spans="1:34">
      <c r="A39" s="762"/>
      <c r="B39" s="762"/>
      <c r="C39" s="762"/>
      <c r="D39" s="762"/>
      <c r="E39" s="762"/>
      <c r="T39" s="661"/>
      <c r="U39" s="661"/>
      <c r="V39" s="661"/>
      <c r="W39" s="661"/>
      <c r="X39" s="661"/>
      <c r="Y39" s="661"/>
      <c r="Z39" s="661"/>
      <c r="AA39" s="661"/>
      <c r="AB39" s="661"/>
      <c r="AC39" s="661"/>
      <c r="AD39" s="661"/>
    </row>
    <row r="40" spans="1:34">
      <c r="A40" s="762" t="s">
        <v>1402</v>
      </c>
      <c r="B40" s="762"/>
      <c r="C40" s="762"/>
      <c r="D40" s="762"/>
      <c r="E40" s="762"/>
      <c r="O40" s="568" t="s">
        <v>1403</v>
      </c>
      <c r="P40" s="568"/>
      <c r="Q40" s="568"/>
      <c r="R40" s="568"/>
      <c r="T40" s="754" t="s">
        <v>1404</v>
      </c>
      <c r="U40" s="1056" t="s">
        <v>1405</v>
      </c>
      <c r="V40" s="1056"/>
      <c r="W40" s="1056"/>
      <c r="X40" s="1056"/>
      <c r="Y40" s="1056"/>
      <c r="Z40" s="1056"/>
      <c r="AA40" s="1056"/>
      <c r="AB40" s="1056"/>
      <c r="AC40" s="1056"/>
      <c r="AD40" s="1056"/>
      <c r="AE40" s="1057" t="s">
        <v>1382</v>
      </c>
      <c r="AF40" s="1057" t="s">
        <v>1383</v>
      </c>
      <c r="AG40" s="1057" t="s">
        <v>1384</v>
      </c>
      <c r="AH40" s="1055" t="s">
        <v>1385</v>
      </c>
    </row>
    <row r="41" spans="1:34" ht="75">
      <c r="A41" s="763" t="s">
        <v>1147</v>
      </c>
      <c r="B41" s="763" t="s">
        <v>1351</v>
      </c>
      <c r="C41" s="763" t="s">
        <v>1149</v>
      </c>
      <c r="D41" s="669" t="s">
        <v>1150</v>
      </c>
      <c r="E41" s="763" t="s">
        <v>1151</v>
      </c>
      <c r="F41" s="668" t="s">
        <v>1406</v>
      </c>
      <c r="G41" s="668" t="s">
        <v>1407</v>
      </c>
      <c r="H41" s="668" t="s">
        <v>1408</v>
      </c>
      <c r="I41" s="668" t="s">
        <v>1409</v>
      </c>
      <c r="J41" s="668" t="s">
        <v>1410</v>
      </c>
      <c r="K41" s="668" t="s">
        <v>1384</v>
      </c>
      <c r="L41" s="764" t="s">
        <v>1385</v>
      </c>
      <c r="O41" s="740" t="s">
        <v>844</v>
      </c>
      <c r="P41" s="740" t="s">
        <v>1411</v>
      </c>
      <c r="Q41" s="740" t="s">
        <v>1412</v>
      </c>
      <c r="R41" s="740" t="s">
        <v>1413</v>
      </c>
      <c r="T41" s="671" t="s">
        <v>1394</v>
      </c>
      <c r="U41" s="671" t="s">
        <v>1395</v>
      </c>
      <c r="V41" s="671" t="s">
        <v>1414</v>
      </c>
      <c r="W41" s="671" t="s">
        <v>1397</v>
      </c>
      <c r="X41" s="671" t="s">
        <v>1414</v>
      </c>
      <c r="Y41" s="671" t="s">
        <v>1398</v>
      </c>
      <c r="Z41" s="671" t="s">
        <v>1414</v>
      </c>
      <c r="AA41" s="671" t="s">
        <v>1415</v>
      </c>
      <c r="AB41" s="671" t="s">
        <v>1414</v>
      </c>
      <c r="AC41" s="671" t="s">
        <v>1399</v>
      </c>
      <c r="AD41" s="671" t="s">
        <v>1414</v>
      </c>
      <c r="AE41" s="1057"/>
      <c r="AF41" s="1057"/>
      <c r="AG41" s="1057"/>
      <c r="AH41" s="1055"/>
    </row>
    <row r="42" spans="1:34">
      <c r="A42" s="765">
        <v>0.2</v>
      </c>
      <c r="B42" s="765" t="s">
        <v>1166</v>
      </c>
      <c r="C42" s="765" t="s">
        <v>1162</v>
      </c>
      <c r="D42" s="766">
        <v>2012</v>
      </c>
      <c r="E42" s="765">
        <v>2013</v>
      </c>
      <c r="F42" s="695">
        <v>7.15</v>
      </c>
      <c r="G42" s="709">
        <f>A42*F42</f>
        <v>1.4300000000000002</v>
      </c>
      <c r="H42" s="695">
        <v>0.2</v>
      </c>
      <c r="I42" s="710">
        <f>G42*H42</f>
        <v>0.28600000000000003</v>
      </c>
      <c r="J42" s="710">
        <f>I42/1000</f>
        <v>2.8600000000000001E-4</v>
      </c>
      <c r="K42" s="710">
        <f>J42*44/12</f>
        <v>1.0486666666666667E-3</v>
      </c>
      <c r="L42" s="721">
        <f>K42*1000</f>
        <v>1.0486666666666666</v>
      </c>
      <c r="O42" s="695">
        <v>2011</v>
      </c>
      <c r="P42" s="709">
        <v>1.3585</v>
      </c>
      <c r="Q42" s="709">
        <v>0.2717</v>
      </c>
      <c r="R42" s="709">
        <v>0.99623333333333342</v>
      </c>
      <c r="T42" s="744">
        <v>2011</v>
      </c>
      <c r="U42" s="755">
        <f>Q42</f>
        <v>0.2717</v>
      </c>
      <c r="V42" s="710">
        <f>U42</f>
        <v>0.2717</v>
      </c>
      <c r="W42" s="710"/>
      <c r="X42" s="710">
        <f>W42</f>
        <v>0</v>
      </c>
      <c r="Y42" s="746"/>
      <c r="Z42" s="746">
        <f>Y42</f>
        <v>0</v>
      </c>
      <c r="AA42" s="746"/>
      <c r="AB42" s="746">
        <f>AA42</f>
        <v>0</v>
      </c>
      <c r="AC42" s="746"/>
      <c r="AD42" s="746">
        <f>AC42</f>
        <v>0</v>
      </c>
      <c r="AE42" s="746">
        <f>SUM(U42,W42,Y42,AA42,AC42)</f>
        <v>0.2717</v>
      </c>
      <c r="AF42" s="746">
        <f>AE42/1000</f>
        <v>2.7169999999999999E-4</v>
      </c>
      <c r="AG42" s="746">
        <f>AF42*44/12</f>
        <v>9.9623333333333339E-4</v>
      </c>
      <c r="AH42" s="756">
        <f>AG42*1000</f>
        <v>0.99623333333333342</v>
      </c>
    </row>
    <row r="43" spans="1:34">
      <c r="A43" s="767">
        <v>0.2</v>
      </c>
      <c r="B43" s="767" t="s">
        <v>1207</v>
      </c>
      <c r="C43" s="767" t="s">
        <v>1208</v>
      </c>
      <c r="D43" s="675">
        <v>2012</v>
      </c>
      <c r="E43" s="767">
        <v>2013</v>
      </c>
      <c r="F43" s="695">
        <v>7.15</v>
      </c>
      <c r="G43" s="709">
        <f t="shared" ref="G43:G77" si="19">A43*F43</f>
        <v>1.4300000000000002</v>
      </c>
      <c r="H43" s="695">
        <v>0.2</v>
      </c>
      <c r="I43" s="710">
        <f t="shared" ref="I43:I77" si="20">G43*H43</f>
        <v>0.28600000000000003</v>
      </c>
      <c r="J43" s="710">
        <f t="shared" ref="J43:J77" si="21">I43/1000</f>
        <v>2.8600000000000001E-4</v>
      </c>
      <c r="K43" s="710">
        <f t="shared" ref="K43:K77" si="22">J43*44/12</f>
        <v>1.0486666666666667E-3</v>
      </c>
      <c r="L43" s="721">
        <f t="shared" ref="L43:L77" si="23">K43*1000</f>
        <v>1.0486666666666666</v>
      </c>
      <c r="O43" s="695">
        <v>2012</v>
      </c>
      <c r="P43" s="709">
        <v>137.08695000000003</v>
      </c>
      <c r="Q43" s="709">
        <v>27.417390000000001</v>
      </c>
      <c r="R43" s="709">
        <v>100.53043000000004</v>
      </c>
      <c r="T43" s="744">
        <v>2012</v>
      </c>
      <c r="U43" s="755">
        <f>($P$42-V42)*0.2</f>
        <v>0.21736</v>
      </c>
      <c r="V43" s="710">
        <f>V42+U43</f>
        <v>0.48905999999999999</v>
      </c>
      <c r="W43" s="710">
        <f>Q43</f>
        <v>27.417390000000001</v>
      </c>
      <c r="X43" s="710">
        <f>W43+X42</f>
        <v>27.417390000000001</v>
      </c>
      <c r="Y43" s="746"/>
      <c r="Z43" s="746">
        <f>Y43+Z42</f>
        <v>0</v>
      </c>
      <c r="AA43" s="746"/>
      <c r="AB43" s="746">
        <f>AA43+AB42</f>
        <v>0</v>
      </c>
      <c r="AC43" s="746"/>
      <c r="AD43" s="746">
        <f t="shared" ref="AD43:AD45" si="24">AC43</f>
        <v>0</v>
      </c>
      <c r="AE43" s="746">
        <f t="shared" ref="AE43:AE52" si="25">SUM(U43,W43,Y43,AA43,AC43)</f>
        <v>27.63475</v>
      </c>
      <c r="AF43" s="746">
        <f t="shared" ref="AF43:AF52" si="26">AE43/1000</f>
        <v>2.763475E-2</v>
      </c>
      <c r="AG43" s="746">
        <f t="shared" ref="AG43:AG52" si="27">AF43*44/12</f>
        <v>0.10132741666666667</v>
      </c>
      <c r="AH43" s="756">
        <f>AG43*1000</f>
        <v>101.32741666666666</v>
      </c>
    </row>
    <row r="44" spans="1:34">
      <c r="A44" s="767">
        <v>0.2</v>
      </c>
      <c r="B44" s="674" t="s">
        <v>1210</v>
      </c>
      <c r="C44" s="674" t="s">
        <v>1211</v>
      </c>
      <c r="D44" s="675">
        <v>2013</v>
      </c>
      <c r="E44" s="767">
        <v>2013</v>
      </c>
      <c r="F44" s="695">
        <v>7.15</v>
      </c>
      <c r="G44" s="709">
        <f t="shared" si="19"/>
        <v>1.4300000000000002</v>
      </c>
      <c r="H44" s="695">
        <v>0.2</v>
      </c>
      <c r="I44" s="710">
        <f t="shared" si="20"/>
        <v>0.28600000000000003</v>
      </c>
      <c r="J44" s="710">
        <f t="shared" si="21"/>
        <v>2.8600000000000001E-4</v>
      </c>
      <c r="K44" s="710">
        <f t="shared" si="22"/>
        <v>1.0486666666666667E-3</v>
      </c>
      <c r="L44" s="721">
        <f t="shared" si="23"/>
        <v>1.0486666666666666</v>
      </c>
      <c r="O44" s="695">
        <v>2013</v>
      </c>
      <c r="P44" s="709">
        <v>215.87995000000001</v>
      </c>
      <c r="Q44" s="709">
        <v>43.175990000000006</v>
      </c>
      <c r="R44" s="709">
        <v>158.31196333333335</v>
      </c>
      <c r="T44" s="744">
        <v>2013</v>
      </c>
      <c r="U44" s="755">
        <f>($P$42-V43)*0.2</f>
        <v>0.17388800000000001</v>
      </c>
      <c r="V44" s="710">
        <f>V43+U44</f>
        <v>0.66294799999999998</v>
      </c>
      <c r="W44" s="710">
        <f>($P$43-X43)*0.2</f>
        <v>21.933912000000007</v>
      </c>
      <c r="X44" s="710">
        <f>W44+X43</f>
        <v>49.351302000000004</v>
      </c>
      <c r="Y44" s="746">
        <f>Q44</f>
        <v>43.175990000000006</v>
      </c>
      <c r="Z44" s="746">
        <f t="shared" ref="Z44:Z52" si="28">Y44+Z43</f>
        <v>43.175990000000006</v>
      </c>
      <c r="AA44" s="746"/>
      <c r="AB44" s="746">
        <f t="shared" ref="AB44:AB52" si="29">AA44+AB43</f>
        <v>0</v>
      </c>
      <c r="AC44" s="746"/>
      <c r="AD44" s="746">
        <f t="shared" si="24"/>
        <v>0</v>
      </c>
      <c r="AE44" s="746">
        <f t="shared" si="25"/>
        <v>65.28379000000001</v>
      </c>
      <c r="AF44" s="746">
        <f t="shared" si="26"/>
        <v>6.5283790000000008E-2</v>
      </c>
      <c r="AG44" s="746">
        <f t="shared" si="27"/>
        <v>0.23937389666666667</v>
      </c>
      <c r="AH44" s="756">
        <f>AG44*1000</f>
        <v>239.37389666666667</v>
      </c>
    </row>
    <row r="45" spans="1:34">
      <c r="A45" s="767">
        <v>1</v>
      </c>
      <c r="B45" s="767" t="s">
        <v>1164</v>
      </c>
      <c r="C45" s="767" t="s">
        <v>1162</v>
      </c>
      <c r="D45" s="675">
        <v>2013</v>
      </c>
      <c r="E45" s="767">
        <v>2016</v>
      </c>
      <c r="F45" s="695">
        <v>7.15</v>
      </c>
      <c r="G45" s="709">
        <f t="shared" si="19"/>
        <v>7.15</v>
      </c>
      <c r="H45" s="695">
        <v>0.2</v>
      </c>
      <c r="I45" s="710">
        <f t="shared" si="20"/>
        <v>1.4300000000000002</v>
      </c>
      <c r="J45" s="710">
        <f t="shared" si="21"/>
        <v>1.4300000000000001E-3</v>
      </c>
      <c r="K45" s="710">
        <f t="shared" si="22"/>
        <v>5.2433333333333334E-3</v>
      </c>
      <c r="L45" s="721">
        <f t="shared" si="23"/>
        <v>5.2433333333333332</v>
      </c>
      <c r="O45" s="695">
        <v>2014</v>
      </c>
      <c r="P45" s="709">
        <v>1.7875000000000001</v>
      </c>
      <c r="Q45" s="709">
        <v>0.35750000000000004</v>
      </c>
      <c r="R45" s="709">
        <v>1.3108333333333333</v>
      </c>
      <c r="T45" s="744">
        <v>2014</v>
      </c>
      <c r="U45" s="755">
        <f t="shared" ref="U45:U52" si="30">($P$42-V44)*0.2</f>
        <v>0.13911040000000002</v>
      </c>
      <c r="V45" s="710">
        <f t="shared" ref="V45:V52" si="31">V44+U45</f>
        <v>0.80205839999999995</v>
      </c>
      <c r="W45" s="710">
        <f t="shared" ref="W45:W52" si="32">($P$43-X44)*0.2</f>
        <v>17.547129600000005</v>
      </c>
      <c r="X45" s="710">
        <f>W45+X44</f>
        <v>66.898431600000009</v>
      </c>
      <c r="Y45" s="746">
        <f>($P$44-Z44)*0.2</f>
        <v>34.540792000000003</v>
      </c>
      <c r="Z45" s="746">
        <f t="shared" si="28"/>
        <v>77.716782000000009</v>
      </c>
      <c r="AA45" s="746">
        <f>Q45</f>
        <v>0.35750000000000004</v>
      </c>
      <c r="AB45" s="746">
        <f t="shared" si="29"/>
        <v>0.35750000000000004</v>
      </c>
      <c r="AC45" s="746"/>
      <c r="AD45" s="746">
        <f t="shared" si="24"/>
        <v>0</v>
      </c>
      <c r="AE45" s="746">
        <f t="shared" si="25"/>
        <v>52.58453200000001</v>
      </c>
      <c r="AF45" s="746">
        <f t="shared" si="26"/>
        <v>5.258453200000001E-2</v>
      </c>
      <c r="AG45" s="746">
        <f t="shared" si="27"/>
        <v>0.1928099506666667</v>
      </c>
      <c r="AH45" s="756">
        <f t="shared" ref="AH45:AH52" si="33">AG45*1000</f>
        <v>192.80995066666671</v>
      </c>
    </row>
    <row r="46" spans="1:34">
      <c r="A46" s="767">
        <v>1</v>
      </c>
      <c r="B46" s="767" t="s">
        <v>1180</v>
      </c>
      <c r="C46" s="767" t="s">
        <v>1162</v>
      </c>
      <c r="D46" s="675">
        <v>2015</v>
      </c>
      <c r="E46" s="767">
        <v>2016</v>
      </c>
      <c r="F46" s="695">
        <v>7.15</v>
      </c>
      <c r="G46" s="709">
        <f t="shared" si="19"/>
        <v>7.15</v>
      </c>
      <c r="H46" s="695">
        <v>0.2</v>
      </c>
      <c r="I46" s="710">
        <f t="shared" si="20"/>
        <v>1.4300000000000002</v>
      </c>
      <c r="J46" s="710">
        <f t="shared" si="21"/>
        <v>1.4300000000000001E-3</v>
      </c>
      <c r="K46" s="710">
        <f t="shared" si="22"/>
        <v>5.2433333333333334E-3</v>
      </c>
      <c r="L46" s="721">
        <f t="shared" si="23"/>
        <v>5.2433333333333332</v>
      </c>
      <c r="O46" s="695">
        <v>2015</v>
      </c>
      <c r="P46" s="709">
        <v>7.15</v>
      </c>
      <c r="Q46" s="709">
        <v>1.4300000000000002</v>
      </c>
      <c r="R46" s="709">
        <v>5.2433333333333332</v>
      </c>
      <c r="T46" s="744">
        <v>2015</v>
      </c>
      <c r="U46" s="755">
        <f t="shared" si="30"/>
        <v>0.11128832000000002</v>
      </c>
      <c r="V46" s="710">
        <f t="shared" si="31"/>
        <v>0.91334671999999995</v>
      </c>
      <c r="W46" s="710">
        <f t="shared" si="32"/>
        <v>14.037703680000005</v>
      </c>
      <c r="X46" s="710">
        <f t="shared" ref="X46:X52" si="34">W46+X45</f>
        <v>80.936135280000016</v>
      </c>
      <c r="Y46" s="746">
        <f t="shared" ref="Y46:Y52" si="35">($P$44-Z45)*0.2</f>
        <v>27.632633599999998</v>
      </c>
      <c r="Z46" s="746">
        <f t="shared" si="28"/>
        <v>105.34941560000001</v>
      </c>
      <c r="AA46" s="746">
        <f>($P$45-AB45)*0.2</f>
        <v>0.28600000000000003</v>
      </c>
      <c r="AB46" s="746">
        <f t="shared" si="29"/>
        <v>0.64350000000000007</v>
      </c>
      <c r="AC46" s="746">
        <f>Q46</f>
        <v>1.4300000000000002</v>
      </c>
      <c r="AD46" s="746">
        <f t="shared" ref="AD46" si="36">AC46*0.5</f>
        <v>0.71500000000000008</v>
      </c>
      <c r="AE46" s="746">
        <f t="shared" si="25"/>
        <v>43.497625600000006</v>
      </c>
      <c r="AF46" s="746">
        <f t="shared" si="26"/>
        <v>4.3497625600000006E-2</v>
      </c>
      <c r="AG46" s="746">
        <f t="shared" si="27"/>
        <v>0.15949129386666669</v>
      </c>
      <c r="AH46" s="756">
        <f t="shared" si="33"/>
        <v>159.49129386666669</v>
      </c>
    </row>
    <row r="47" spans="1:34">
      <c r="A47" s="767">
        <v>1</v>
      </c>
      <c r="B47" s="767" t="s">
        <v>1182</v>
      </c>
      <c r="C47" s="767" t="s">
        <v>1162</v>
      </c>
      <c r="D47" s="675">
        <v>2012</v>
      </c>
      <c r="E47" s="767">
        <v>2016</v>
      </c>
      <c r="F47" s="695">
        <v>7.15</v>
      </c>
      <c r="G47" s="709">
        <f t="shared" si="19"/>
        <v>7.15</v>
      </c>
      <c r="H47" s="695">
        <v>0.2</v>
      </c>
      <c r="I47" s="710">
        <f t="shared" si="20"/>
        <v>1.4300000000000002</v>
      </c>
      <c r="J47" s="710">
        <f t="shared" si="21"/>
        <v>1.4300000000000001E-3</v>
      </c>
      <c r="K47" s="710">
        <f t="shared" si="22"/>
        <v>5.2433333333333334E-3</v>
      </c>
      <c r="L47" s="721">
        <f t="shared" si="23"/>
        <v>5.2433333333333332</v>
      </c>
      <c r="O47" s="695" t="s">
        <v>341</v>
      </c>
      <c r="P47" s="709">
        <v>363.26290000000006</v>
      </c>
      <c r="Q47" s="709">
        <v>72.652580000000015</v>
      </c>
      <c r="R47" s="709">
        <v>266.39279333333343</v>
      </c>
      <c r="T47" s="744">
        <v>2016</v>
      </c>
      <c r="U47" s="755">
        <f t="shared" si="30"/>
        <v>8.9030656000000027E-2</v>
      </c>
      <c r="V47" s="710">
        <f t="shared" si="31"/>
        <v>1.0023773759999999</v>
      </c>
      <c r="W47" s="710">
        <f t="shared" si="32"/>
        <v>11.230162944000003</v>
      </c>
      <c r="X47" s="710">
        <f t="shared" si="34"/>
        <v>92.166298224000016</v>
      </c>
      <c r="Y47" s="746">
        <f t="shared" si="35"/>
        <v>22.106106879999999</v>
      </c>
      <c r="Z47" s="746">
        <f t="shared" si="28"/>
        <v>127.45552248000001</v>
      </c>
      <c r="AA47" s="746">
        <f>($P$45-AB46)*0.2</f>
        <v>0.22880000000000003</v>
      </c>
      <c r="AB47" s="746">
        <f t="shared" si="29"/>
        <v>0.87230000000000008</v>
      </c>
      <c r="AC47" s="746">
        <f>($P$46-AD46)*0.2</f>
        <v>1.2870000000000001</v>
      </c>
      <c r="AD47" s="746">
        <f t="shared" ref="AD47:AD52" si="37">AC47+AD46</f>
        <v>2.0020000000000002</v>
      </c>
      <c r="AE47" s="746">
        <f t="shared" si="25"/>
        <v>34.941100480000003</v>
      </c>
      <c r="AF47" s="746">
        <f t="shared" si="26"/>
        <v>3.4941100480000001E-2</v>
      </c>
      <c r="AG47" s="746">
        <f t="shared" si="27"/>
        <v>0.12811736842666668</v>
      </c>
      <c r="AH47" s="756">
        <f t="shared" si="33"/>
        <v>128.11736842666667</v>
      </c>
    </row>
    <row r="48" spans="1:34">
      <c r="A48" s="767">
        <v>0.51</v>
      </c>
      <c r="B48" s="767" t="s">
        <v>1216</v>
      </c>
      <c r="C48" s="767" t="s">
        <v>1217</v>
      </c>
      <c r="D48" s="675">
        <v>2013</v>
      </c>
      <c r="E48" s="767">
        <v>2015</v>
      </c>
      <c r="F48" s="695">
        <v>7.15</v>
      </c>
      <c r="G48" s="709">
        <f t="shared" si="19"/>
        <v>3.6465000000000001</v>
      </c>
      <c r="H48" s="695">
        <v>0.2</v>
      </c>
      <c r="I48" s="710">
        <f t="shared" si="20"/>
        <v>0.72930000000000006</v>
      </c>
      <c r="J48" s="710">
        <f t="shared" si="21"/>
        <v>7.2930000000000011E-4</v>
      </c>
      <c r="K48" s="710">
        <f t="shared" si="22"/>
        <v>2.6741000000000004E-3</v>
      </c>
      <c r="L48" s="721">
        <f t="shared" si="23"/>
        <v>2.6741000000000006</v>
      </c>
      <c r="R48" s="768"/>
      <c r="T48" s="744">
        <v>2017</v>
      </c>
      <c r="U48" s="755">
        <f t="shared" si="30"/>
        <v>7.1224524800000036E-2</v>
      </c>
      <c r="V48" s="710">
        <f t="shared" si="31"/>
        <v>1.0736019008</v>
      </c>
      <c r="W48" s="710">
        <f t="shared" si="32"/>
        <v>8.9841303552000031</v>
      </c>
      <c r="X48" s="710">
        <f t="shared" si="34"/>
        <v>101.15042857920002</v>
      </c>
      <c r="Y48" s="746">
        <f t="shared" si="35"/>
        <v>17.684885504</v>
      </c>
      <c r="Z48" s="746">
        <f t="shared" si="28"/>
        <v>145.14040798400001</v>
      </c>
      <c r="AA48" s="746">
        <f t="shared" ref="AA48:AA52" si="38">($P$45-AB47)*0.2</f>
        <v>0.18304000000000001</v>
      </c>
      <c r="AB48" s="746">
        <f t="shared" si="29"/>
        <v>1.0553400000000002</v>
      </c>
      <c r="AC48" s="746">
        <f>($P$46-AD47)*0.2</f>
        <v>1.0296000000000001</v>
      </c>
      <c r="AD48" s="746">
        <f t="shared" si="37"/>
        <v>3.0316000000000001</v>
      </c>
      <c r="AE48" s="746">
        <f t="shared" si="25"/>
        <v>27.952880384</v>
      </c>
      <c r="AF48" s="746">
        <f t="shared" si="26"/>
        <v>2.7952880384000001E-2</v>
      </c>
      <c r="AG48" s="746">
        <f t="shared" si="27"/>
        <v>0.10249389474133334</v>
      </c>
      <c r="AH48" s="756">
        <f t="shared" si="33"/>
        <v>102.49389474133335</v>
      </c>
    </row>
    <row r="49" spans="1:34" ht="25.5">
      <c r="A49" s="767">
        <v>0.51</v>
      </c>
      <c r="B49" s="767" t="s">
        <v>1224</v>
      </c>
      <c r="C49" s="767" t="s">
        <v>1226</v>
      </c>
      <c r="D49" s="675">
        <v>2013</v>
      </c>
      <c r="E49" s="767">
        <v>2014</v>
      </c>
      <c r="F49" s="695">
        <v>7.15</v>
      </c>
      <c r="G49" s="709">
        <f t="shared" si="19"/>
        <v>3.6465000000000001</v>
      </c>
      <c r="H49" s="695">
        <v>0.2</v>
      </c>
      <c r="I49" s="710">
        <f t="shared" si="20"/>
        <v>0.72930000000000006</v>
      </c>
      <c r="J49" s="710">
        <f t="shared" si="21"/>
        <v>7.2930000000000011E-4</v>
      </c>
      <c r="K49" s="710">
        <f t="shared" si="22"/>
        <v>2.6741000000000004E-3</v>
      </c>
      <c r="L49" s="721">
        <f t="shared" si="23"/>
        <v>2.6741000000000006</v>
      </c>
      <c r="O49" s="741" t="s">
        <v>1388</v>
      </c>
      <c r="P49" s="742"/>
      <c r="Q49" s="742"/>
      <c r="R49" s="742"/>
      <c r="T49" s="744">
        <v>2018</v>
      </c>
      <c r="U49" s="755">
        <f t="shared" si="30"/>
        <v>5.6979619840000023E-2</v>
      </c>
      <c r="V49" s="710">
        <f t="shared" si="31"/>
        <v>1.1305815206400001</v>
      </c>
      <c r="W49" s="710">
        <f t="shared" si="32"/>
        <v>7.1873042841600014</v>
      </c>
      <c r="X49" s="710">
        <f t="shared" si="34"/>
        <v>108.33773286336003</v>
      </c>
      <c r="Y49" s="746">
        <f t="shared" si="35"/>
        <v>14.147908403200001</v>
      </c>
      <c r="Z49" s="746">
        <f t="shared" si="28"/>
        <v>159.28831638720001</v>
      </c>
      <c r="AA49" s="746">
        <f t="shared" si="38"/>
        <v>0.14643199999999998</v>
      </c>
      <c r="AB49" s="746">
        <f t="shared" si="29"/>
        <v>1.2017720000000001</v>
      </c>
      <c r="AC49" s="746">
        <f>($P$46-AD48)*0.2</f>
        <v>0.82368000000000008</v>
      </c>
      <c r="AD49" s="746">
        <f t="shared" si="37"/>
        <v>3.85528</v>
      </c>
      <c r="AE49" s="746">
        <f t="shared" si="25"/>
        <v>22.362304307200002</v>
      </c>
      <c r="AF49" s="746">
        <f t="shared" si="26"/>
        <v>2.2362304307200001E-2</v>
      </c>
      <c r="AG49" s="746">
        <f t="shared" si="27"/>
        <v>8.1995115793066675E-2</v>
      </c>
      <c r="AH49" s="756">
        <f t="shared" si="33"/>
        <v>81.995115793066674</v>
      </c>
    </row>
    <row r="50" spans="1:34">
      <c r="A50" s="767">
        <v>0.51</v>
      </c>
      <c r="B50" s="674" t="s">
        <v>1210</v>
      </c>
      <c r="C50" s="674" t="s">
        <v>1211</v>
      </c>
      <c r="D50" s="675">
        <v>2013</v>
      </c>
      <c r="E50" s="767">
        <v>2014</v>
      </c>
      <c r="F50" s="695">
        <v>7.15</v>
      </c>
      <c r="G50" s="709">
        <f t="shared" si="19"/>
        <v>3.6465000000000001</v>
      </c>
      <c r="H50" s="695">
        <v>0.2</v>
      </c>
      <c r="I50" s="710">
        <f t="shared" si="20"/>
        <v>0.72930000000000006</v>
      </c>
      <c r="J50" s="710">
        <f t="shared" si="21"/>
        <v>7.2930000000000011E-4</v>
      </c>
      <c r="K50" s="710">
        <f t="shared" si="22"/>
        <v>2.6741000000000004E-3</v>
      </c>
      <c r="L50" s="721">
        <f t="shared" si="23"/>
        <v>2.6741000000000006</v>
      </c>
      <c r="O50" s="750" t="s">
        <v>1389</v>
      </c>
      <c r="P50" s="742"/>
      <c r="Q50" s="742"/>
      <c r="R50" s="742"/>
      <c r="T50" s="744">
        <v>2019</v>
      </c>
      <c r="U50" s="755">
        <f t="shared" si="30"/>
        <v>4.5583695872E-2</v>
      </c>
      <c r="V50" s="710">
        <f t="shared" si="31"/>
        <v>1.176165216512</v>
      </c>
      <c r="W50" s="710">
        <f t="shared" si="32"/>
        <v>5.7498434273279999</v>
      </c>
      <c r="X50" s="710">
        <f t="shared" si="34"/>
        <v>114.08757629068803</v>
      </c>
      <c r="Y50" s="746">
        <f t="shared" si="35"/>
        <v>11.31832672256</v>
      </c>
      <c r="Z50" s="746">
        <f t="shared" si="28"/>
        <v>170.60664310976</v>
      </c>
      <c r="AA50" s="746">
        <f t="shared" si="38"/>
        <v>0.11714560000000002</v>
      </c>
      <c r="AB50" s="746">
        <f t="shared" si="29"/>
        <v>1.3189176</v>
      </c>
      <c r="AC50" s="746">
        <f>($P$46-AD49)*0.2</f>
        <v>0.65894400000000009</v>
      </c>
      <c r="AD50" s="746">
        <f t="shared" si="37"/>
        <v>4.5142240000000005</v>
      </c>
      <c r="AE50" s="746">
        <f t="shared" si="25"/>
        <v>17.889843445760004</v>
      </c>
      <c r="AF50" s="746">
        <f t="shared" si="26"/>
        <v>1.7889843445760004E-2</v>
      </c>
      <c r="AG50" s="746">
        <f t="shared" si="27"/>
        <v>6.5596092634453346E-2</v>
      </c>
      <c r="AH50" s="756">
        <f t="shared" si="33"/>
        <v>65.596092634453342</v>
      </c>
    </row>
    <row r="51" spans="1:34">
      <c r="A51" s="767">
        <v>1.91</v>
      </c>
      <c r="B51" s="767" t="s">
        <v>1164</v>
      </c>
      <c r="C51" s="767" t="s">
        <v>1162</v>
      </c>
      <c r="D51" s="675">
        <v>2012</v>
      </c>
      <c r="E51" s="767">
        <v>2016</v>
      </c>
      <c r="F51" s="695">
        <v>7.15</v>
      </c>
      <c r="G51" s="709">
        <f t="shared" si="19"/>
        <v>13.656499999999999</v>
      </c>
      <c r="H51" s="695">
        <v>0.2</v>
      </c>
      <c r="I51" s="710">
        <f t="shared" si="20"/>
        <v>2.7313000000000001</v>
      </c>
      <c r="J51" s="710">
        <f t="shared" si="21"/>
        <v>2.7312999999999999E-3</v>
      </c>
      <c r="K51" s="710">
        <f t="shared" si="22"/>
        <v>1.0014766666666666E-2</v>
      </c>
      <c r="L51" s="721">
        <f t="shared" si="23"/>
        <v>10.014766666666667</v>
      </c>
      <c r="O51" s="750" t="s">
        <v>1390</v>
      </c>
      <c r="P51" s="742"/>
      <c r="Q51" s="742"/>
      <c r="R51" s="742"/>
      <c r="T51" s="744">
        <v>2020</v>
      </c>
      <c r="U51" s="755">
        <f t="shared" si="30"/>
        <v>3.6466956697600007E-2</v>
      </c>
      <c r="V51" s="710">
        <f t="shared" si="31"/>
        <v>1.2126321732095999</v>
      </c>
      <c r="W51" s="710">
        <f t="shared" si="32"/>
        <v>4.5998747418623998</v>
      </c>
      <c r="X51" s="710">
        <f t="shared" si="34"/>
        <v>118.68745103255043</v>
      </c>
      <c r="Y51" s="746">
        <f t="shared" si="35"/>
        <v>9.0546613780480012</v>
      </c>
      <c r="Z51" s="746">
        <f t="shared" si="28"/>
        <v>179.661304487808</v>
      </c>
      <c r="AA51" s="746">
        <f t="shared" si="38"/>
        <v>9.3716480000000019E-2</v>
      </c>
      <c r="AB51" s="746">
        <f t="shared" si="29"/>
        <v>1.4126340800000001</v>
      </c>
      <c r="AC51" s="746">
        <f t="shared" ref="AC51:AC52" si="39">($P$46-AD50)*0.2</f>
        <v>0.52715520000000005</v>
      </c>
      <c r="AD51" s="746">
        <f t="shared" si="37"/>
        <v>5.0413792000000006</v>
      </c>
      <c r="AE51" s="746">
        <f t="shared" si="25"/>
        <v>14.311874756608001</v>
      </c>
      <c r="AF51" s="746">
        <f t="shared" si="26"/>
        <v>1.4311874756608001E-2</v>
      </c>
      <c r="AG51" s="746">
        <f t="shared" si="27"/>
        <v>5.2476874107562667E-2</v>
      </c>
      <c r="AH51" s="756">
        <f t="shared" si="33"/>
        <v>52.476874107562665</v>
      </c>
    </row>
    <row r="52" spans="1:34">
      <c r="A52" s="767">
        <v>2.19</v>
      </c>
      <c r="B52" s="767" t="s">
        <v>1180</v>
      </c>
      <c r="C52" s="767" t="s">
        <v>1162</v>
      </c>
      <c r="D52" s="675">
        <v>2012</v>
      </c>
      <c r="E52" s="767">
        <v>2016</v>
      </c>
      <c r="F52" s="695">
        <v>7.15</v>
      </c>
      <c r="G52" s="709">
        <f t="shared" si="19"/>
        <v>15.6585</v>
      </c>
      <c r="H52" s="695">
        <v>0.2</v>
      </c>
      <c r="I52" s="710">
        <f t="shared" si="20"/>
        <v>3.1317000000000004</v>
      </c>
      <c r="J52" s="710">
        <f t="shared" si="21"/>
        <v>3.1317000000000003E-3</v>
      </c>
      <c r="K52" s="710">
        <f t="shared" si="22"/>
        <v>1.1482900000000002E-2</v>
      </c>
      <c r="L52" s="721">
        <f t="shared" si="23"/>
        <v>11.482900000000003</v>
      </c>
      <c r="O52" s="742"/>
      <c r="P52" s="742"/>
      <c r="Q52" s="742"/>
      <c r="R52" s="742"/>
      <c r="T52" s="744">
        <v>2021</v>
      </c>
      <c r="U52" s="755">
        <f t="shared" si="30"/>
        <v>2.9173565358080022E-2</v>
      </c>
      <c r="V52" s="710">
        <f t="shared" si="31"/>
        <v>1.24180573856768</v>
      </c>
      <c r="W52" s="710">
        <f t="shared" si="32"/>
        <v>3.6798997934899207</v>
      </c>
      <c r="X52" s="710">
        <f t="shared" si="34"/>
        <v>122.36735082604035</v>
      </c>
      <c r="Y52" s="746">
        <f t="shared" si="35"/>
        <v>7.2437291024384027</v>
      </c>
      <c r="Z52" s="746">
        <f t="shared" si="28"/>
        <v>186.9050335902464</v>
      </c>
      <c r="AA52" s="746">
        <f t="shared" si="38"/>
        <v>7.4973183999999998E-2</v>
      </c>
      <c r="AB52" s="746">
        <f t="shared" si="29"/>
        <v>1.4876072640000002</v>
      </c>
      <c r="AC52" s="746">
        <f t="shared" si="39"/>
        <v>0.42172415999999996</v>
      </c>
      <c r="AD52" s="746">
        <f t="shared" si="37"/>
        <v>5.4631033600000007</v>
      </c>
      <c r="AE52" s="746">
        <f t="shared" si="25"/>
        <v>11.449499805286402</v>
      </c>
      <c r="AF52" s="746">
        <f t="shared" si="26"/>
        <v>1.1449499805286402E-2</v>
      </c>
      <c r="AG52" s="746">
        <f t="shared" si="27"/>
        <v>4.198149928605014E-2</v>
      </c>
      <c r="AH52" s="756">
        <f t="shared" si="33"/>
        <v>41.981499286050138</v>
      </c>
    </row>
    <row r="53" spans="1:34">
      <c r="A53" s="767"/>
      <c r="B53" s="767" t="s">
        <v>1164</v>
      </c>
      <c r="C53" s="767" t="s">
        <v>1162</v>
      </c>
      <c r="D53" s="675">
        <v>2012</v>
      </c>
      <c r="E53" s="767">
        <v>2016</v>
      </c>
      <c r="F53" s="695">
        <v>7.15</v>
      </c>
      <c r="G53" s="709">
        <f t="shared" si="19"/>
        <v>0</v>
      </c>
      <c r="H53" s="695">
        <v>0.2</v>
      </c>
      <c r="I53" s="710">
        <f t="shared" si="20"/>
        <v>0</v>
      </c>
      <c r="J53" s="710">
        <f t="shared" si="21"/>
        <v>0</v>
      </c>
      <c r="K53" s="710">
        <f t="shared" si="22"/>
        <v>0</v>
      </c>
      <c r="L53" s="721">
        <f t="shared" si="23"/>
        <v>0</v>
      </c>
    </row>
    <row r="54" spans="1:34">
      <c r="A54" s="767"/>
      <c r="B54" s="767" t="s">
        <v>1180</v>
      </c>
      <c r="C54" s="767" t="s">
        <v>1162</v>
      </c>
      <c r="D54" s="675">
        <v>2012</v>
      </c>
      <c r="E54" s="767">
        <v>2016</v>
      </c>
      <c r="F54" s="695">
        <v>7.15</v>
      </c>
      <c r="G54" s="709">
        <f t="shared" si="19"/>
        <v>0</v>
      </c>
      <c r="H54" s="695">
        <v>0.2</v>
      </c>
      <c r="I54" s="710">
        <f t="shared" si="20"/>
        <v>0</v>
      </c>
      <c r="J54" s="710">
        <f t="shared" si="21"/>
        <v>0</v>
      </c>
      <c r="K54" s="710">
        <f t="shared" si="22"/>
        <v>0</v>
      </c>
      <c r="L54" s="721">
        <f t="shared" si="23"/>
        <v>0</v>
      </c>
    </row>
    <row r="55" spans="1:34">
      <c r="A55" s="767">
        <v>0.1</v>
      </c>
      <c r="B55" s="674" t="s">
        <v>1169</v>
      </c>
      <c r="C55" s="674" t="s">
        <v>1248</v>
      </c>
      <c r="D55" s="675">
        <v>2013</v>
      </c>
      <c r="E55" s="767">
        <v>2014</v>
      </c>
      <c r="F55" s="695">
        <v>7.15</v>
      </c>
      <c r="G55" s="709">
        <f t="shared" si="19"/>
        <v>0.71500000000000008</v>
      </c>
      <c r="H55" s="695">
        <v>0.2</v>
      </c>
      <c r="I55" s="710">
        <f t="shared" si="20"/>
        <v>0.14300000000000002</v>
      </c>
      <c r="J55" s="710">
        <f t="shared" si="21"/>
        <v>1.4300000000000001E-4</v>
      </c>
      <c r="K55" s="710">
        <f t="shared" si="22"/>
        <v>5.2433333333333336E-4</v>
      </c>
      <c r="L55" s="721">
        <f t="shared" si="23"/>
        <v>0.52433333333333332</v>
      </c>
    </row>
    <row r="56" spans="1:34">
      <c r="A56" s="767">
        <v>3.2</v>
      </c>
      <c r="B56" s="767" t="s">
        <v>1169</v>
      </c>
      <c r="C56" s="767" t="s">
        <v>1170</v>
      </c>
      <c r="D56" s="675">
        <v>2013</v>
      </c>
      <c r="E56" s="767">
        <v>2014</v>
      </c>
      <c r="F56" s="695">
        <v>7.15</v>
      </c>
      <c r="G56" s="709">
        <f t="shared" si="19"/>
        <v>22.880000000000003</v>
      </c>
      <c r="H56" s="695">
        <v>0.2</v>
      </c>
      <c r="I56" s="710">
        <f t="shared" si="20"/>
        <v>4.5760000000000005</v>
      </c>
      <c r="J56" s="710">
        <f t="shared" si="21"/>
        <v>4.5760000000000002E-3</v>
      </c>
      <c r="K56" s="710">
        <f t="shared" si="22"/>
        <v>1.6778666666666667E-2</v>
      </c>
      <c r="L56" s="721">
        <f t="shared" si="23"/>
        <v>16.778666666666666</v>
      </c>
    </row>
    <row r="57" spans="1:34">
      <c r="A57" s="767">
        <v>0</v>
      </c>
      <c r="B57" s="767" t="s">
        <v>1251</v>
      </c>
      <c r="C57" s="767" t="s">
        <v>1252</v>
      </c>
      <c r="D57" s="675">
        <v>2013</v>
      </c>
      <c r="E57" s="767">
        <v>2014</v>
      </c>
      <c r="F57" s="695">
        <v>7.15</v>
      </c>
      <c r="G57" s="709">
        <f t="shared" si="19"/>
        <v>0</v>
      </c>
      <c r="H57" s="695">
        <v>0.2</v>
      </c>
      <c r="I57" s="710">
        <f t="shared" si="20"/>
        <v>0</v>
      </c>
      <c r="J57" s="710">
        <f t="shared" si="21"/>
        <v>0</v>
      </c>
      <c r="K57" s="710">
        <f t="shared" si="22"/>
        <v>0</v>
      </c>
      <c r="L57" s="721">
        <f t="shared" si="23"/>
        <v>0</v>
      </c>
    </row>
    <row r="58" spans="1:34">
      <c r="A58" s="767">
        <v>0.25</v>
      </c>
      <c r="B58" s="767" t="s">
        <v>1251</v>
      </c>
      <c r="C58" s="767" t="s">
        <v>1252</v>
      </c>
      <c r="D58" s="675">
        <v>2014</v>
      </c>
      <c r="E58" s="674">
        <v>2015</v>
      </c>
      <c r="F58" s="695">
        <v>7.15</v>
      </c>
      <c r="G58" s="709">
        <f t="shared" si="19"/>
        <v>1.7875000000000001</v>
      </c>
      <c r="H58" s="695">
        <v>0.2</v>
      </c>
      <c r="I58" s="710">
        <f t="shared" si="20"/>
        <v>0.35750000000000004</v>
      </c>
      <c r="J58" s="710">
        <f t="shared" si="21"/>
        <v>3.5750000000000002E-4</v>
      </c>
      <c r="K58" s="710">
        <f t="shared" si="22"/>
        <v>1.3108333333333333E-3</v>
      </c>
      <c r="L58" s="721">
        <f>K58*1000</f>
        <v>1.3108333333333333</v>
      </c>
    </row>
    <row r="59" spans="1:34">
      <c r="A59" s="679">
        <v>3.4699999999999998</v>
      </c>
      <c r="B59" s="673" t="s">
        <v>1161</v>
      </c>
      <c r="C59" s="673" t="s">
        <v>1162</v>
      </c>
      <c r="D59" s="675">
        <v>2013</v>
      </c>
      <c r="E59" s="673">
        <v>2016</v>
      </c>
      <c r="F59" s="695">
        <v>7.15</v>
      </c>
      <c r="G59" s="709">
        <f t="shared" si="19"/>
        <v>24.810500000000001</v>
      </c>
      <c r="H59" s="695">
        <v>0.2</v>
      </c>
      <c r="I59" s="710">
        <f t="shared" si="20"/>
        <v>4.9621000000000004</v>
      </c>
      <c r="J59" s="710">
        <f t="shared" si="21"/>
        <v>4.9621000000000005E-3</v>
      </c>
      <c r="K59" s="710">
        <f t="shared" si="22"/>
        <v>1.819436666666667E-2</v>
      </c>
      <c r="L59" s="721">
        <f t="shared" si="23"/>
        <v>18.194366666666671</v>
      </c>
    </row>
    <row r="60" spans="1:34">
      <c r="A60" s="673">
        <v>7</v>
      </c>
      <c r="B60" s="673" t="s">
        <v>1164</v>
      </c>
      <c r="C60" s="673" t="s">
        <v>1162</v>
      </c>
      <c r="D60" s="675">
        <v>2012</v>
      </c>
      <c r="E60" s="673" t="s">
        <v>34</v>
      </c>
      <c r="F60" s="695">
        <v>7.15</v>
      </c>
      <c r="G60" s="709">
        <f t="shared" si="19"/>
        <v>50.050000000000004</v>
      </c>
      <c r="H60" s="695">
        <v>0.2</v>
      </c>
      <c r="I60" s="710">
        <f t="shared" si="20"/>
        <v>10.010000000000002</v>
      </c>
      <c r="J60" s="710">
        <f t="shared" si="21"/>
        <v>1.0010000000000002E-2</v>
      </c>
      <c r="K60" s="710">
        <f t="shared" si="22"/>
        <v>3.6703333333333338E-2</v>
      </c>
      <c r="L60" s="721">
        <f t="shared" si="23"/>
        <v>36.70333333333334</v>
      </c>
    </row>
    <row r="61" spans="1:34">
      <c r="A61" s="673">
        <v>3.18</v>
      </c>
      <c r="B61" s="673" t="s">
        <v>1161</v>
      </c>
      <c r="C61" s="673" t="s">
        <v>1162</v>
      </c>
      <c r="D61" s="675">
        <v>2013</v>
      </c>
      <c r="E61" s="673">
        <v>2013</v>
      </c>
      <c r="F61" s="695">
        <v>7.15</v>
      </c>
      <c r="G61" s="709">
        <f t="shared" si="19"/>
        <v>22.737000000000002</v>
      </c>
      <c r="H61" s="695">
        <v>0.2</v>
      </c>
      <c r="I61" s="710">
        <f t="shared" si="20"/>
        <v>4.5474000000000006</v>
      </c>
      <c r="J61" s="710">
        <f t="shared" si="21"/>
        <v>4.5474000000000009E-3</v>
      </c>
      <c r="K61" s="710">
        <f t="shared" si="22"/>
        <v>1.6673800000000003E-2</v>
      </c>
      <c r="L61" s="721">
        <f t="shared" si="23"/>
        <v>16.673800000000004</v>
      </c>
    </row>
    <row r="62" spans="1:34">
      <c r="A62" s="673">
        <v>0.14000000000000001</v>
      </c>
      <c r="B62" s="673" t="s">
        <v>1164</v>
      </c>
      <c r="C62" s="673" t="s">
        <v>1162</v>
      </c>
      <c r="D62" s="675">
        <v>2013</v>
      </c>
      <c r="E62" s="673">
        <v>2016</v>
      </c>
      <c r="F62" s="695">
        <v>7.15</v>
      </c>
      <c r="G62" s="709">
        <f t="shared" si="19"/>
        <v>1.0010000000000001</v>
      </c>
      <c r="H62" s="695">
        <v>0.2</v>
      </c>
      <c r="I62" s="710">
        <f t="shared" si="20"/>
        <v>0.20020000000000004</v>
      </c>
      <c r="J62" s="710">
        <f t="shared" si="21"/>
        <v>2.0020000000000004E-4</v>
      </c>
      <c r="K62" s="710">
        <f t="shared" si="22"/>
        <v>7.3406666666666687E-4</v>
      </c>
      <c r="L62" s="721">
        <f t="shared" si="23"/>
        <v>0.73406666666666687</v>
      </c>
    </row>
    <row r="63" spans="1:34">
      <c r="A63" s="673">
        <v>0.38</v>
      </c>
      <c r="B63" s="673" t="s">
        <v>1262</v>
      </c>
      <c r="C63" s="673" t="s">
        <v>1162</v>
      </c>
      <c r="D63" s="675">
        <v>2012</v>
      </c>
      <c r="E63" s="673">
        <v>2016</v>
      </c>
      <c r="F63" s="695">
        <v>7.15</v>
      </c>
      <c r="G63" s="709">
        <f t="shared" si="19"/>
        <v>2.7170000000000001</v>
      </c>
      <c r="H63" s="695">
        <v>0.2</v>
      </c>
      <c r="I63" s="710">
        <f t="shared" si="20"/>
        <v>0.54339999999999999</v>
      </c>
      <c r="J63" s="710">
        <f t="shared" si="21"/>
        <v>5.4339999999999998E-4</v>
      </c>
      <c r="K63" s="710">
        <f t="shared" si="22"/>
        <v>1.9924666666666668E-3</v>
      </c>
      <c r="L63" s="721">
        <f t="shared" si="23"/>
        <v>1.9924666666666668</v>
      </c>
    </row>
    <row r="64" spans="1:34">
      <c r="A64" s="673">
        <v>1.04</v>
      </c>
      <c r="B64" s="673" t="s">
        <v>1262</v>
      </c>
      <c r="C64" s="673" t="s">
        <v>1162</v>
      </c>
      <c r="D64" s="675">
        <v>2012</v>
      </c>
      <c r="E64" s="673">
        <v>2016</v>
      </c>
      <c r="F64" s="695">
        <v>7.15</v>
      </c>
      <c r="G64" s="709">
        <f t="shared" si="19"/>
        <v>7.4360000000000008</v>
      </c>
      <c r="H64" s="695">
        <v>0.2</v>
      </c>
      <c r="I64" s="710">
        <f t="shared" si="20"/>
        <v>1.4872000000000003</v>
      </c>
      <c r="J64" s="710">
        <f t="shared" si="21"/>
        <v>1.4872000000000004E-3</v>
      </c>
      <c r="K64" s="710">
        <f t="shared" si="22"/>
        <v>5.4530666666666684E-3</v>
      </c>
      <c r="L64" s="721">
        <f t="shared" si="23"/>
        <v>5.4530666666666683</v>
      </c>
    </row>
    <row r="65" spans="1:12" ht="25.5">
      <c r="A65" s="673">
        <v>2.2130000000000001</v>
      </c>
      <c r="B65" s="673" t="s">
        <v>1265</v>
      </c>
      <c r="C65" s="673" t="s">
        <v>1162</v>
      </c>
      <c r="D65" s="675">
        <v>2012</v>
      </c>
      <c r="E65" s="673">
        <v>2016</v>
      </c>
      <c r="F65" s="695">
        <v>7.15</v>
      </c>
      <c r="G65" s="709">
        <f t="shared" si="19"/>
        <v>15.822950000000001</v>
      </c>
      <c r="H65" s="695">
        <v>0.2</v>
      </c>
      <c r="I65" s="710">
        <f t="shared" si="20"/>
        <v>3.1645900000000005</v>
      </c>
      <c r="J65" s="710">
        <f t="shared" si="21"/>
        <v>3.1645900000000005E-3</v>
      </c>
      <c r="K65" s="710">
        <f t="shared" si="22"/>
        <v>1.1603496666666669E-2</v>
      </c>
      <c r="L65" s="721">
        <f t="shared" si="23"/>
        <v>11.60349666666667</v>
      </c>
    </row>
    <row r="66" spans="1:12">
      <c r="A66" s="673">
        <v>2.4900000000000002</v>
      </c>
      <c r="B66" s="673" t="s">
        <v>1267</v>
      </c>
      <c r="C66" s="673" t="s">
        <v>1162</v>
      </c>
      <c r="D66" s="675">
        <v>2013</v>
      </c>
      <c r="E66" s="673">
        <v>2016</v>
      </c>
      <c r="F66" s="695">
        <v>7.15</v>
      </c>
      <c r="G66" s="709">
        <f t="shared" si="19"/>
        <v>17.803500000000003</v>
      </c>
      <c r="H66" s="695">
        <v>0.2</v>
      </c>
      <c r="I66" s="710">
        <f t="shared" si="20"/>
        <v>3.5607000000000006</v>
      </c>
      <c r="J66" s="710">
        <f t="shared" si="21"/>
        <v>3.5607000000000008E-3</v>
      </c>
      <c r="K66" s="710">
        <f t="shared" si="22"/>
        <v>1.3055900000000002E-2</v>
      </c>
      <c r="L66" s="721">
        <f t="shared" si="23"/>
        <v>13.055900000000003</v>
      </c>
    </row>
    <row r="67" spans="1:12">
      <c r="A67" s="673">
        <v>0.8</v>
      </c>
      <c r="B67" s="673" t="s">
        <v>1166</v>
      </c>
      <c r="C67" s="673" t="s">
        <v>1162</v>
      </c>
      <c r="D67" s="675">
        <v>2013</v>
      </c>
      <c r="E67" s="673">
        <v>2016</v>
      </c>
      <c r="F67" s="695">
        <v>7.15</v>
      </c>
      <c r="G67" s="709">
        <f t="shared" si="19"/>
        <v>5.7200000000000006</v>
      </c>
      <c r="H67" s="695">
        <v>0.2</v>
      </c>
      <c r="I67" s="710">
        <f t="shared" si="20"/>
        <v>1.1440000000000001</v>
      </c>
      <c r="J67" s="710">
        <f t="shared" si="21"/>
        <v>1.1440000000000001E-3</v>
      </c>
      <c r="K67" s="710">
        <f t="shared" si="22"/>
        <v>4.1946666666666669E-3</v>
      </c>
      <c r="L67" s="721">
        <f t="shared" si="23"/>
        <v>4.1946666666666665</v>
      </c>
    </row>
    <row r="68" spans="1:12">
      <c r="A68" s="673">
        <v>4.2</v>
      </c>
      <c r="B68" s="673" t="s">
        <v>1180</v>
      </c>
      <c r="C68" s="673" t="s">
        <v>1162</v>
      </c>
      <c r="D68" s="675">
        <v>2013</v>
      </c>
      <c r="E68" s="673">
        <v>2015</v>
      </c>
      <c r="F68" s="695">
        <v>7.15</v>
      </c>
      <c r="G68" s="709">
        <f t="shared" si="19"/>
        <v>30.03</v>
      </c>
      <c r="H68" s="695">
        <v>0.2</v>
      </c>
      <c r="I68" s="710">
        <f t="shared" si="20"/>
        <v>6.0060000000000002</v>
      </c>
      <c r="J68" s="710">
        <f t="shared" si="21"/>
        <v>6.0060000000000001E-3</v>
      </c>
      <c r="K68" s="710">
        <f t="shared" si="22"/>
        <v>2.2022E-2</v>
      </c>
      <c r="L68" s="721">
        <f t="shared" si="23"/>
        <v>22.021999999999998</v>
      </c>
    </row>
    <row r="69" spans="1:12">
      <c r="A69" s="673">
        <v>0.22</v>
      </c>
      <c r="B69" s="673" t="s">
        <v>1169</v>
      </c>
      <c r="C69" s="673" t="s">
        <v>1170</v>
      </c>
      <c r="D69" s="675">
        <v>2013</v>
      </c>
      <c r="E69" s="673">
        <v>2014</v>
      </c>
      <c r="F69" s="695">
        <v>7.15</v>
      </c>
      <c r="G69" s="709">
        <f t="shared" si="19"/>
        <v>1.5730000000000002</v>
      </c>
      <c r="H69" s="695">
        <v>0.2</v>
      </c>
      <c r="I69" s="710">
        <f t="shared" si="20"/>
        <v>0.31460000000000005</v>
      </c>
      <c r="J69" s="710">
        <f t="shared" si="21"/>
        <v>3.1460000000000006E-4</v>
      </c>
      <c r="K69" s="710">
        <f t="shared" si="22"/>
        <v>1.1535333333333336E-3</v>
      </c>
      <c r="L69" s="721">
        <f t="shared" si="23"/>
        <v>1.1535333333333335</v>
      </c>
    </row>
    <row r="70" spans="1:12">
      <c r="A70" s="673">
        <v>1.06</v>
      </c>
      <c r="B70" s="673" t="s">
        <v>1277</v>
      </c>
      <c r="C70" s="673" t="s">
        <v>1278</v>
      </c>
      <c r="D70" s="675">
        <v>2012</v>
      </c>
      <c r="E70" s="673" t="s">
        <v>34</v>
      </c>
      <c r="F70" s="695">
        <v>7.15</v>
      </c>
      <c r="G70" s="709">
        <f t="shared" si="19"/>
        <v>7.5790000000000006</v>
      </c>
      <c r="H70" s="695">
        <v>0.2</v>
      </c>
      <c r="I70" s="710">
        <f t="shared" si="20"/>
        <v>1.5158000000000003</v>
      </c>
      <c r="J70" s="710">
        <f t="shared" si="21"/>
        <v>1.5158000000000003E-3</v>
      </c>
      <c r="K70" s="710">
        <f t="shared" si="22"/>
        <v>5.5579333333333342E-3</v>
      </c>
      <c r="L70" s="721">
        <f t="shared" si="23"/>
        <v>5.5579333333333345</v>
      </c>
    </row>
    <row r="71" spans="1:12">
      <c r="A71" s="673">
        <v>0.78000000000000025</v>
      </c>
      <c r="B71" s="673" t="s">
        <v>1277</v>
      </c>
      <c r="C71" s="673" t="s">
        <v>1278</v>
      </c>
      <c r="D71" s="675">
        <v>2012</v>
      </c>
      <c r="E71" s="673" t="s">
        <v>34</v>
      </c>
      <c r="F71" s="695">
        <v>7.15</v>
      </c>
      <c r="G71" s="709">
        <f t="shared" si="19"/>
        <v>5.5770000000000017</v>
      </c>
      <c r="H71" s="695">
        <v>0.2</v>
      </c>
      <c r="I71" s="710">
        <f t="shared" si="20"/>
        <v>1.1154000000000004</v>
      </c>
      <c r="J71" s="710">
        <f t="shared" si="21"/>
        <v>1.1154000000000003E-3</v>
      </c>
      <c r="K71" s="710">
        <f t="shared" si="22"/>
        <v>4.0898000000000011E-3</v>
      </c>
      <c r="L71" s="721">
        <f t="shared" si="23"/>
        <v>4.0898000000000012</v>
      </c>
    </row>
    <row r="72" spans="1:12">
      <c r="A72" s="673">
        <v>1</v>
      </c>
      <c r="B72" s="673" t="s">
        <v>1277</v>
      </c>
      <c r="C72" s="673" t="s">
        <v>1278</v>
      </c>
      <c r="D72" s="675">
        <v>2012</v>
      </c>
      <c r="E72" s="673" t="s">
        <v>34</v>
      </c>
      <c r="F72" s="695">
        <v>7.15</v>
      </c>
      <c r="G72" s="709">
        <f t="shared" si="19"/>
        <v>7.15</v>
      </c>
      <c r="H72" s="695">
        <v>0.2</v>
      </c>
      <c r="I72" s="710">
        <f t="shared" si="20"/>
        <v>1.4300000000000002</v>
      </c>
      <c r="J72" s="710">
        <f t="shared" si="21"/>
        <v>1.4300000000000001E-3</v>
      </c>
      <c r="K72" s="710">
        <f t="shared" si="22"/>
        <v>5.2433333333333334E-3</v>
      </c>
      <c r="L72" s="721">
        <f t="shared" si="23"/>
        <v>5.2433333333333332</v>
      </c>
    </row>
    <row r="73" spans="1:12" ht="25.5">
      <c r="A73" s="673">
        <v>8.5630000000000006</v>
      </c>
      <c r="B73" s="673" t="s">
        <v>1286</v>
      </c>
      <c r="C73" s="673" t="s">
        <v>1252</v>
      </c>
      <c r="D73" s="675">
        <v>2013</v>
      </c>
      <c r="E73" s="673" t="s">
        <v>34</v>
      </c>
      <c r="F73" s="695">
        <v>7.15</v>
      </c>
      <c r="G73" s="709">
        <f t="shared" si="19"/>
        <v>61.225450000000009</v>
      </c>
      <c r="H73" s="695">
        <v>0.2</v>
      </c>
      <c r="I73" s="710">
        <f t="shared" si="20"/>
        <v>12.245090000000003</v>
      </c>
      <c r="J73" s="710">
        <f t="shared" si="21"/>
        <v>1.2245090000000004E-2</v>
      </c>
      <c r="K73" s="710">
        <f t="shared" si="22"/>
        <v>4.4898663333333345E-2</v>
      </c>
      <c r="L73" s="721">
        <f t="shared" si="23"/>
        <v>44.898663333333346</v>
      </c>
    </row>
    <row r="74" spans="1:12">
      <c r="A74" s="673">
        <v>0.19</v>
      </c>
      <c r="B74" s="673" t="s">
        <v>1292</v>
      </c>
      <c r="C74" s="673" t="s">
        <v>1278</v>
      </c>
      <c r="D74" s="675">
        <v>2011</v>
      </c>
      <c r="E74" s="673" t="s">
        <v>34</v>
      </c>
      <c r="F74" s="695">
        <v>7.15</v>
      </c>
      <c r="G74" s="709">
        <f t="shared" si="19"/>
        <v>1.3585</v>
      </c>
      <c r="H74" s="695">
        <v>0.2</v>
      </c>
      <c r="I74" s="710">
        <f t="shared" si="20"/>
        <v>0.2717</v>
      </c>
      <c r="J74" s="710">
        <f t="shared" si="21"/>
        <v>2.7169999999999999E-4</v>
      </c>
      <c r="K74" s="710">
        <f t="shared" si="22"/>
        <v>9.9623333333333339E-4</v>
      </c>
      <c r="L74" s="721">
        <f t="shared" si="23"/>
        <v>0.99623333333333342</v>
      </c>
    </row>
    <row r="75" spans="1:12">
      <c r="A75" s="673">
        <v>0.1</v>
      </c>
      <c r="B75" s="673" t="s">
        <v>1294</v>
      </c>
      <c r="C75" s="673" t="s">
        <v>1295</v>
      </c>
      <c r="D75" s="675">
        <v>2013</v>
      </c>
      <c r="E75" s="673" t="s">
        <v>34</v>
      </c>
      <c r="F75" s="695">
        <v>7.15</v>
      </c>
      <c r="G75" s="709">
        <f t="shared" si="19"/>
        <v>0.71500000000000008</v>
      </c>
      <c r="H75" s="695">
        <v>0.2</v>
      </c>
      <c r="I75" s="710">
        <f t="shared" si="20"/>
        <v>0.14300000000000002</v>
      </c>
      <c r="J75" s="710">
        <f t="shared" si="21"/>
        <v>1.4300000000000001E-4</v>
      </c>
      <c r="K75" s="710">
        <f t="shared" si="22"/>
        <v>5.2433333333333336E-4</v>
      </c>
      <c r="L75" s="721">
        <f t="shared" si="23"/>
        <v>0.52433333333333332</v>
      </c>
    </row>
    <row r="76" spans="1:12">
      <c r="A76" s="673">
        <v>1</v>
      </c>
      <c r="B76" s="673" t="s">
        <v>1169</v>
      </c>
      <c r="C76" s="673" t="s">
        <v>1170</v>
      </c>
      <c r="D76" s="675">
        <v>2013</v>
      </c>
      <c r="E76" s="673">
        <v>2015</v>
      </c>
      <c r="F76" s="695">
        <v>7.15</v>
      </c>
      <c r="G76" s="709">
        <f t="shared" si="19"/>
        <v>7.15</v>
      </c>
      <c r="H76" s="695">
        <v>0.2</v>
      </c>
      <c r="I76" s="710">
        <f t="shared" si="20"/>
        <v>1.4300000000000002</v>
      </c>
      <c r="J76" s="710">
        <f t="shared" si="21"/>
        <v>1.4300000000000001E-3</v>
      </c>
      <c r="K76" s="710">
        <f t="shared" si="22"/>
        <v>5.2433333333333334E-3</v>
      </c>
      <c r="L76" s="721">
        <f t="shared" si="23"/>
        <v>5.2433333333333332</v>
      </c>
    </row>
    <row r="77" spans="1:12">
      <c r="A77" s="673">
        <v>0.2</v>
      </c>
      <c r="B77" s="673" t="s">
        <v>1164</v>
      </c>
      <c r="C77" s="673" t="s">
        <v>1162</v>
      </c>
      <c r="D77" s="675">
        <v>2012</v>
      </c>
      <c r="E77" s="673" t="s">
        <v>34</v>
      </c>
      <c r="F77" s="695">
        <v>7.15</v>
      </c>
      <c r="G77" s="709">
        <f t="shared" si="19"/>
        <v>1.4300000000000002</v>
      </c>
      <c r="H77" s="695">
        <v>0.2</v>
      </c>
      <c r="I77" s="710">
        <f t="shared" si="20"/>
        <v>0.28600000000000003</v>
      </c>
      <c r="J77" s="710">
        <f t="shared" si="21"/>
        <v>2.8600000000000001E-4</v>
      </c>
      <c r="K77" s="710">
        <f t="shared" si="22"/>
        <v>1.0486666666666667E-3</v>
      </c>
      <c r="L77" s="721">
        <f t="shared" si="23"/>
        <v>1.0486666666666666</v>
      </c>
    </row>
    <row r="78" spans="1:12">
      <c r="A78" s="1054" t="s">
        <v>1416</v>
      </c>
      <c r="B78" s="1054"/>
      <c r="C78" s="1054"/>
      <c r="D78" s="1054"/>
      <c r="E78" s="1054"/>
      <c r="F78" s="769"/>
      <c r="G78" s="761">
        <f>SUM(G42:G77)</f>
        <v>363.26289999999995</v>
      </c>
      <c r="H78" s="769"/>
      <c r="I78" s="761">
        <f t="shared" ref="I78:L78" si="40">SUM(I42:I77)</f>
        <v>72.65258</v>
      </c>
      <c r="J78" s="761">
        <f t="shared" si="40"/>
        <v>7.2652580000000008E-2</v>
      </c>
      <c r="K78" s="761">
        <f t="shared" si="40"/>
        <v>0.26639279333333332</v>
      </c>
      <c r="L78" s="761">
        <f t="shared" si="40"/>
        <v>266.39279333333343</v>
      </c>
    </row>
    <row r="82" spans="1:5" ht="25.5">
      <c r="A82" s="668" t="s">
        <v>1147</v>
      </c>
      <c r="B82" s="668" t="s">
        <v>1351</v>
      </c>
      <c r="C82" s="668" t="s">
        <v>1149</v>
      </c>
      <c r="D82" s="669" t="s">
        <v>1150</v>
      </c>
      <c r="E82" s="763" t="s">
        <v>1151</v>
      </c>
    </row>
    <row r="83" spans="1:5">
      <c r="A83" s="674">
        <v>0.1</v>
      </c>
      <c r="B83" s="674" t="s">
        <v>1157</v>
      </c>
      <c r="C83" s="674" t="s">
        <v>1158</v>
      </c>
      <c r="D83" s="675">
        <v>2013</v>
      </c>
      <c r="E83" s="767">
        <v>2016</v>
      </c>
    </row>
    <row r="84" spans="1:5">
      <c r="A84" s="674">
        <v>0.15</v>
      </c>
      <c r="B84" s="674" t="s">
        <v>1157</v>
      </c>
      <c r="C84" s="674" t="s">
        <v>1158</v>
      </c>
      <c r="D84" s="675">
        <v>2013</v>
      </c>
      <c r="E84" s="767">
        <v>2016</v>
      </c>
    </row>
    <row r="85" spans="1:5">
      <c r="A85" s="674">
        <v>0.1</v>
      </c>
      <c r="B85" s="674" t="s">
        <v>1245</v>
      </c>
      <c r="C85" s="674" t="s">
        <v>1246</v>
      </c>
      <c r="D85" s="675">
        <v>2013</v>
      </c>
      <c r="E85" s="767">
        <v>2015</v>
      </c>
    </row>
  </sheetData>
  <autoFilter ref="A2:P38">
    <sortState ref="A3:P38">
      <sortCondition ref="D2"/>
    </sortState>
  </autoFilter>
  <mergeCells count="13">
    <mergeCell ref="AH40:AH41"/>
    <mergeCell ref="A1:E1"/>
    <mergeCell ref="F1:J1"/>
    <mergeCell ref="U9:AC9"/>
    <mergeCell ref="AD9:AD10"/>
    <mergeCell ref="AE9:AE10"/>
    <mergeCell ref="AF9:AF10"/>
    <mergeCell ref="A78:E78"/>
    <mergeCell ref="AG9:AG10"/>
    <mergeCell ref="U40:AD40"/>
    <mergeCell ref="AE40:AE41"/>
    <mergeCell ref="AF40:AF41"/>
    <mergeCell ref="AG40:AG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1"/>
  <sheetViews>
    <sheetView topLeftCell="A4" workbookViewId="0">
      <selection activeCell="D23" sqref="D23"/>
    </sheetView>
  </sheetViews>
  <sheetFormatPr baseColWidth="10" defaultRowHeight="12"/>
  <cols>
    <col min="1" max="1" width="27.140625" style="29" customWidth="1"/>
    <col min="2" max="2" width="40.85546875" style="29" customWidth="1"/>
    <col min="3" max="3" width="29.85546875" style="29" bestFit="1" customWidth="1"/>
    <col min="4" max="16384" width="11.42578125" style="29"/>
  </cols>
  <sheetData>
    <row r="1" spans="1:3">
      <c r="A1" s="30" t="s">
        <v>120</v>
      </c>
    </row>
    <row r="2" spans="1:3">
      <c r="A2" s="42" t="s">
        <v>119</v>
      </c>
      <c r="B2" s="42" t="s">
        <v>81</v>
      </c>
      <c r="C2" s="29" t="s">
        <v>5</v>
      </c>
    </row>
    <row r="3" spans="1:3">
      <c r="A3" s="29" t="s">
        <v>103</v>
      </c>
      <c r="B3" s="29">
        <v>17</v>
      </c>
      <c r="C3" s="29" t="s">
        <v>5</v>
      </c>
    </row>
    <row r="4" spans="1:3">
      <c r="A4" s="29" t="s">
        <v>104</v>
      </c>
      <c r="B4" s="29">
        <v>7</v>
      </c>
      <c r="C4" s="29" t="s">
        <v>5</v>
      </c>
    </row>
    <row r="5" spans="1:3">
      <c r="A5" s="29" t="s">
        <v>105</v>
      </c>
      <c r="B5" s="29">
        <v>20</v>
      </c>
      <c r="C5" s="29" t="s">
        <v>5</v>
      </c>
    </row>
    <row r="6" spans="1:3">
      <c r="A6" s="29" t="s">
        <v>106</v>
      </c>
      <c r="B6" s="29">
        <v>18</v>
      </c>
      <c r="C6" s="29" t="s">
        <v>5</v>
      </c>
    </row>
    <row r="7" spans="1:3">
      <c r="A7" s="29" t="s">
        <v>107</v>
      </c>
      <c r="B7" s="29">
        <v>16</v>
      </c>
      <c r="C7" s="29" t="s">
        <v>5</v>
      </c>
    </row>
    <row r="8" spans="1:3">
      <c r="A8" s="29" t="s">
        <v>108</v>
      </c>
      <c r="B8" s="29">
        <v>12</v>
      </c>
      <c r="C8" s="29" t="s">
        <v>5</v>
      </c>
    </row>
    <row r="9" spans="1:3">
      <c r="A9" s="29" t="s">
        <v>109</v>
      </c>
      <c r="B9" s="29">
        <v>3</v>
      </c>
      <c r="C9" s="29" t="s">
        <v>5</v>
      </c>
    </row>
    <row r="10" spans="1:3">
      <c r="A10" s="29" t="s">
        <v>110</v>
      </c>
      <c r="B10" s="29">
        <v>32</v>
      </c>
      <c r="C10" s="29" t="s">
        <v>5</v>
      </c>
    </row>
    <row r="11" spans="1:3">
      <c r="A11" s="29" t="s">
        <v>111</v>
      </c>
      <c r="B11" s="29">
        <v>32</v>
      </c>
      <c r="C11" s="29" t="s">
        <v>5</v>
      </c>
    </row>
    <row r="12" spans="1:3">
      <c r="A12" s="29" t="s">
        <v>112</v>
      </c>
      <c r="B12" s="29">
        <v>6</v>
      </c>
      <c r="C12" s="29" t="s">
        <v>5</v>
      </c>
    </row>
    <row r="13" spans="1:3">
      <c r="A13" s="29" t="s">
        <v>113</v>
      </c>
      <c r="B13" s="29">
        <v>9</v>
      </c>
      <c r="C13" s="29" t="s">
        <v>5</v>
      </c>
    </row>
    <row r="14" spans="1:3">
      <c r="A14" s="29" t="s">
        <v>114</v>
      </c>
      <c r="B14" s="29">
        <v>85</v>
      </c>
      <c r="C14" s="29" t="s">
        <v>5</v>
      </c>
    </row>
    <row r="15" spans="1:3">
      <c r="A15" s="29" t="s">
        <v>115</v>
      </c>
      <c r="B15" s="29">
        <v>2</v>
      </c>
      <c r="C15" s="29" t="s">
        <v>5</v>
      </c>
    </row>
    <row r="16" spans="1:3">
      <c r="A16" s="29" t="s">
        <v>116</v>
      </c>
      <c r="B16" s="29">
        <v>2</v>
      </c>
      <c r="C16" s="29" t="s">
        <v>5</v>
      </c>
    </row>
    <row r="17" spans="1:5">
      <c r="A17" s="29" t="s">
        <v>117</v>
      </c>
      <c r="B17" s="29">
        <v>2</v>
      </c>
      <c r="C17" s="29" t="s">
        <v>5</v>
      </c>
    </row>
    <row r="18" spans="1:5">
      <c r="A18" s="29" t="s">
        <v>118</v>
      </c>
      <c r="B18" s="29">
        <v>3</v>
      </c>
      <c r="C18" s="29" t="s">
        <v>5</v>
      </c>
    </row>
    <row r="19" spans="1:5">
      <c r="A19" s="30" t="s">
        <v>476</v>
      </c>
    </row>
    <row r="20" spans="1:5">
      <c r="A20" s="30"/>
    </row>
    <row r="21" spans="1:5">
      <c r="A21" s="30" t="s">
        <v>200</v>
      </c>
    </row>
    <row r="22" spans="1:5">
      <c r="A22" s="42" t="s">
        <v>198</v>
      </c>
      <c r="B22" s="42" t="s">
        <v>187</v>
      </c>
      <c r="C22" s="42" t="s">
        <v>188</v>
      </c>
      <c r="D22" s="42" t="s">
        <v>189</v>
      </c>
      <c r="E22" s="29" t="s">
        <v>5</v>
      </c>
    </row>
    <row r="23" spans="1:5">
      <c r="A23" s="29" t="s">
        <v>190</v>
      </c>
      <c r="B23" s="29">
        <v>1</v>
      </c>
      <c r="C23" s="29" t="s">
        <v>191</v>
      </c>
      <c r="D23" s="29">
        <v>151</v>
      </c>
      <c r="E23" s="29" t="s">
        <v>5</v>
      </c>
    </row>
    <row r="24" spans="1:5">
      <c r="A24" s="29" t="s">
        <v>192</v>
      </c>
      <c r="B24" s="29">
        <v>1</v>
      </c>
      <c r="C24" s="29" t="s">
        <v>193</v>
      </c>
      <c r="D24" s="29">
        <v>84</v>
      </c>
      <c r="E24" s="29" t="s">
        <v>5</v>
      </c>
    </row>
    <row r="25" spans="1:5">
      <c r="A25" s="29" t="s">
        <v>194</v>
      </c>
      <c r="B25" s="29">
        <v>1</v>
      </c>
      <c r="C25" s="29" t="s">
        <v>195</v>
      </c>
      <c r="D25" s="29">
        <v>42</v>
      </c>
      <c r="E25" s="29" t="s">
        <v>5</v>
      </c>
    </row>
    <row r="26" spans="1:5">
      <c r="A26" s="29" t="s">
        <v>196</v>
      </c>
      <c r="B26" s="29">
        <v>1</v>
      </c>
      <c r="C26" s="29" t="s">
        <v>197</v>
      </c>
      <c r="D26" s="29">
        <v>14</v>
      </c>
      <c r="E26" s="29" t="s">
        <v>5</v>
      </c>
    </row>
    <row r="27" spans="1:5">
      <c r="A27" s="29" t="s">
        <v>199</v>
      </c>
    </row>
    <row r="28" spans="1:5">
      <c r="A28" s="30" t="s">
        <v>477</v>
      </c>
    </row>
    <row r="29" spans="1:5">
      <c r="A29" s="30"/>
    </row>
    <row r="30" spans="1:5">
      <c r="A30" s="30" t="s">
        <v>405</v>
      </c>
    </row>
    <row r="31" spans="1:5">
      <c r="A31" s="42" t="s">
        <v>404</v>
      </c>
      <c r="B31" s="42" t="s">
        <v>6</v>
      </c>
      <c r="C31" s="42" t="s">
        <v>387</v>
      </c>
    </row>
    <row r="32" spans="1:5">
      <c r="A32" s="29" t="s">
        <v>388</v>
      </c>
      <c r="B32" s="29" t="s">
        <v>389</v>
      </c>
      <c r="C32" s="29" t="s">
        <v>390</v>
      </c>
      <c r="D32" s="29" t="s">
        <v>5</v>
      </c>
    </row>
    <row r="33" spans="1:4">
      <c r="A33" s="29" t="s">
        <v>391</v>
      </c>
      <c r="B33" s="29" t="s">
        <v>392</v>
      </c>
      <c r="C33" s="29" t="s">
        <v>393</v>
      </c>
      <c r="D33" s="29" t="s">
        <v>5</v>
      </c>
    </row>
    <row r="34" spans="1:4">
      <c r="A34" s="29" t="s">
        <v>394</v>
      </c>
      <c r="B34" s="29" t="s">
        <v>395</v>
      </c>
      <c r="C34" s="29" t="s">
        <v>396</v>
      </c>
      <c r="D34" s="29" t="s">
        <v>5</v>
      </c>
    </row>
    <row r="35" spans="1:4">
      <c r="A35" s="29" t="s">
        <v>397</v>
      </c>
      <c r="B35" s="29" t="s">
        <v>398</v>
      </c>
      <c r="C35" s="29" t="s">
        <v>396</v>
      </c>
      <c r="D35" s="29" t="s">
        <v>5</v>
      </c>
    </row>
    <row r="36" spans="1:4">
      <c r="A36" s="29" t="s">
        <v>399</v>
      </c>
      <c r="B36" s="29" t="s">
        <v>400</v>
      </c>
      <c r="C36" s="29" t="s">
        <v>401</v>
      </c>
      <c r="D36" s="29" t="s">
        <v>5</v>
      </c>
    </row>
    <row r="37" spans="1:4">
      <c r="A37" s="29" t="s">
        <v>402</v>
      </c>
      <c r="B37" s="29" t="s">
        <v>403</v>
      </c>
      <c r="D37" s="29" t="s">
        <v>5</v>
      </c>
    </row>
    <row r="38" spans="1:4">
      <c r="A38" s="30" t="s">
        <v>406</v>
      </c>
    </row>
    <row r="40" spans="1:4">
      <c r="A40" s="30" t="s">
        <v>421</v>
      </c>
    </row>
    <row r="41" spans="1:4">
      <c r="A41" s="42" t="s">
        <v>419</v>
      </c>
      <c r="B41" s="42" t="s">
        <v>138</v>
      </c>
      <c r="C41" s="42" t="s">
        <v>139</v>
      </c>
    </row>
    <row r="42" spans="1:4">
      <c r="A42" s="29" t="s">
        <v>410</v>
      </c>
      <c r="B42" s="31">
        <v>405250</v>
      </c>
      <c r="C42" s="31">
        <v>6260880</v>
      </c>
    </row>
    <row r="43" spans="1:4">
      <c r="A43" s="29" t="s">
        <v>411</v>
      </c>
      <c r="B43" s="31">
        <v>399200</v>
      </c>
      <c r="C43" s="31">
        <v>6272860</v>
      </c>
    </row>
    <row r="44" spans="1:4">
      <c r="A44" s="29" t="s">
        <v>412</v>
      </c>
      <c r="B44" s="31">
        <v>385132</v>
      </c>
      <c r="C44" s="31">
        <v>6285756</v>
      </c>
    </row>
    <row r="45" spans="1:4">
      <c r="A45" s="29" t="s">
        <v>413</v>
      </c>
      <c r="B45" s="31">
        <v>380300</v>
      </c>
      <c r="C45" s="31">
        <v>6287461.7599999998</v>
      </c>
    </row>
    <row r="46" spans="1:4">
      <c r="A46" s="29" t="s">
        <v>414</v>
      </c>
      <c r="B46" s="31">
        <v>387701</v>
      </c>
      <c r="C46" s="31">
        <v>6291445</v>
      </c>
    </row>
    <row r="47" spans="1:4">
      <c r="A47" s="29" t="s">
        <v>415</v>
      </c>
      <c r="B47" s="31">
        <v>386380</v>
      </c>
      <c r="C47" s="31">
        <v>6290750</v>
      </c>
    </row>
    <row r="48" spans="1:4">
      <c r="A48" s="29" t="s">
        <v>416</v>
      </c>
      <c r="B48" s="31">
        <v>379211</v>
      </c>
      <c r="C48" s="31">
        <v>6287126</v>
      </c>
    </row>
    <row r="49" spans="1:3">
      <c r="A49" s="29" t="s">
        <v>417</v>
      </c>
      <c r="B49" s="31">
        <v>376623.06</v>
      </c>
      <c r="C49" s="31">
        <v>6285531.0599999996</v>
      </c>
    </row>
    <row r="50" spans="1:3">
      <c r="A50" s="29" t="s">
        <v>418</v>
      </c>
      <c r="B50" s="31">
        <v>368064.94</v>
      </c>
      <c r="C50" s="31">
        <v>6284084.3499999996</v>
      </c>
    </row>
    <row r="51" spans="1:3">
      <c r="A51" s="30" t="s">
        <v>420</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AC51"/>
  <sheetViews>
    <sheetView topLeftCell="N1" workbookViewId="0">
      <selection activeCell="C142" sqref="C142"/>
    </sheetView>
  </sheetViews>
  <sheetFormatPr baseColWidth="10" defaultRowHeight="15"/>
  <cols>
    <col min="1" max="1" width="3.140625" bestFit="1" customWidth="1"/>
    <col min="2" max="2" width="46.5703125" customWidth="1"/>
    <col min="5" max="5" width="26.85546875" customWidth="1"/>
    <col min="6" max="6" width="8.5703125" bestFit="1" customWidth="1"/>
    <col min="7" max="7" width="8.5703125" customWidth="1"/>
    <col min="8" max="8" width="14.42578125" bestFit="1" customWidth="1"/>
    <col min="11" max="11" width="12.85546875" customWidth="1"/>
    <col min="12" max="12" width="15.140625" customWidth="1"/>
    <col min="13" max="13" width="16.85546875" bestFit="1" customWidth="1"/>
    <col min="14" max="14" width="16.28515625" bestFit="1" customWidth="1"/>
    <col min="15" max="15" width="18.7109375" bestFit="1" customWidth="1"/>
    <col min="18" max="18" width="14.85546875" bestFit="1" customWidth="1"/>
    <col min="19" max="19" width="15.42578125" bestFit="1" customWidth="1"/>
  </cols>
  <sheetData>
    <row r="1" spans="1:29">
      <c r="R1" t="s">
        <v>1417</v>
      </c>
    </row>
    <row r="2" spans="1:29" s="661" customFormat="1" ht="46.9" customHeight="1">
      <c r="A2" s="661" t="s">
        <v>1146</v>
      </c>
      <c r="B2" s="735" t="s">
        <v>149</v>
      </c>
      <c r="C2" s="735" t="s">
        <v>1147</v>
      </c>
      <c r="D2" s="735" t="s">
        <v>1351</v>
      </c>
      <c r="E2" s="735" t="s">
        <v>1149</v>
      </c>
      <c r="F2" s="736" t="s">
        <v>1150</v>
      </c>
      <c r="G2" s="763" t="s">
        <v>1151</v>
      </c>
      <c r="H2" s="763" t="s">
        <v>1418</v>
      </c>
      <c r="I2" s="763" t="s">
        <v>1419</v>
      </c>
      <c r="J2" s="763" t="s">
        <v>1420</v>
      </c>
      <c r="K2" s="763" t="s">
        <v>1421</v>
      </c>
      <c r="L2" s="770" t="s">
        <v>1422</v>
      </c>
      <c r="M2" s="770" t="s">
        <v>1423</v>
      </c>
      <c r="N2" s="770" t="s">
        <v>1424</v>
      </c>
      <c r="O2" s="770" t="s">
        <v>1425</v>
      </c>
      <c r="P2" s="667" t="s">
        <v>1426</v>
      </c>
      <c r="R2" s="740" t="s">
        <v>1427</v>
      </c>
      <c r="S2" s="740" t="s">
        <v>1428</v>
      </c>
      <c r="U2" s="741" t="s">
        <v>1388</v>
      </c>
      <c r="V2" s="742"/>
      <c r="W2" s="742"/>
      <c r="X2" s="742"/>
      <c r="Y2" s="730"/>
      <c r="Z2" s="730"/>
      <c r="AA2" s="730"/>
      <c r="AB2" s="730"/>
    </row>
    <row r="3" spans="1:29" s="661" customFormat="1">
      <c r="A3" s="661">
        <v>1</v>
      </c>
      <c r="B3" s="743" t="s">
        <v>67</v>
      </c>
      <c r="C3" s="743">
        <v>1.84</v>
      </c>
      <c r="D3" s="743" t="s">
        <v>1179</v>
      </c>
      <c r="E3" s="743" t="s">
        <v>1162</v>
      </c>
      <c r="F3" s="744">
        <v>2012</v>
      </c>
      <c r="G3" s="743">
        <v>2016</v>
      </c>
      <c r="H3" s="771" t="s">
        <v>1429</v>
      </c>
      <c r="I3" s="771"/>
      <c r="J3" s="771">
        <f t="shared" ref="J3:J17" si="0">C3*1.1</f>
        <v>2.0240000000000005</v>
      </c>
      <c r="K3" s="771">
        <f>0.5*J3</f>
        <v>1.0120000000000002</v>
      </c>
      <c r="L3" s="771">
        <f>K3*0.5</f>
        <v>0.50600000000000012</v>
      </c>
      <c r="M3" s="771">
        <v>5</v>
      </c>
      <c r="N3" s="771">
        <f>M3*J3</f>
        <v>10.120000000000003</v>
      </c>
      <c r="O3" s="771">
        <f>N3*0.5</f>
        <v>5.0600000000000014</v>
      </c>
      <c r="P3" s="772">
        <f>O3*44/12</f>
        <v>18.553333333333338</v>
      </c>
      <c r="R3" s="771">
        <v>2012</v>
      </c>
      <c r="S3" s="772">
        <v>2.3466666666666662</v>
      </c>
      <c r="U3" s="750" t="s">
        <v>1430</v>
      </c>
      <c r="V3" s="742"/>
      <c r="W3" s="742"/>
      <c r="X3" s="742"/>
      <c r="Y3" s="730"/>
      <c r="Z3" s="730"/>
      <c r="AA3" s="730"/>
      <c r="AB3" s="730"/>
    </row>
    <row r="4" spans="1:29" s="661" customFormat="1">
      <c r="A4" s="661">
        <v>2</v>
      </c>
      <c r="B4" s="743" t="s">
        <v>68</v>
      </c>
      <c r="C4" s="743">
        <v>3</v>
      </c>
      <c r="D4" s="743" t="s">
        <v>1180</v>
      </c>
      <c r="E4" s="743" t="s">
        <v>1162</v>
      </c>
      <c r="F4" s="744">
        <v>2012</v>
      </c>
      <c r="G4" s="743">
        <v>2016</v>
      </c>
      <c r="H4" s="771" t="s">
        <v>1429</v>
      </c>
      <c r="I4" s="771"/>
      <c r="J4" s="771">
        <f t="shared" si="0"/>
        <v>3.3000000000000003</v>
      </c>
      <c r="K4" s="771">
        <f t="shared" ref="K4:K17" si="1">0.5*J4</f>
        <v>1.6500000000000001</v>
      </c>
      <c r="L4" s="771">
        <f t="shared" ref="L4:L44" si="2">K4*0.5</f>
        <v>0.82500000000000007</v>
      </c>
      <c r="M4" s="771">
        <v>5</v>
      </c>
      <c r="N4" s="771">
        <f t="shared" ref="N4:N44" si="3">M4*J4</f>
        <v>16.5</v>
      </c>
      <c r="O4" s="771">
        <f t="shared" ref="O4:O44" si="4">N4*0.5</f>
        <v>8.25</v>
      </c>
      <c r="P4" s="772">
        <f t="shared" ref="P4:P44" si="5">O4*44/12</f>
        <v>30.25</v>
      </c>
      <c r="R4" s="771">
        <v>2013</v>
      </c>
      <c r="S4" s="772">
        <v>101.5025</v>
      </c>
      <c r="U4" s="750" t="s">
        <v>1431</v>
      </c>
      <c r="V4" s="742"/>
      <c r="W4" s="742"/>
      <c r="X4" s="742"/>
      <c r="Y4" s="730"/>
      <c r="Z4" s="730"/>
      <c r="AA4" s="730"/>
      <c r="AB4" s="730"/>
    </row>
    <row r="5" spans="1:29" s="661" customFormat="1">
      <c r="A5" s="661">
        <v>3</v>
      </c>
      <c r="B5" s="743" t="s">
        <v>69</v>
      </c>
      <c r="C5" s="743">
        <v>0.83</v>
      </c>
      <c r="D5" s="743" t="s">
        <v>1182</v>
      </c>
      <c r="E5" s="743" t="s">
        <v>1162</v>
      </c>
      <c r="F5" s="744">
        <v>2013</v>
      </c>
      <c r="G5" s="743">
        <v>2016</v>
      </c>
      <c r="H5" s="771" t="s">
        <v>1429</v>
      </c>
      <c r="I5" s="771"/>
      <c r="J5" s="771">
        <f t="shared" si="0"/>
        <v>0.91300000000000003</v>
      </c>
      <c r="K5" s="771">
        <f t="shared" si="1"/>
        <v>0.45650000000000002</v>
      </c>
      <c r="L5" s="771">
        <f t="shared" si="2"/>
        <v>0.22825000000000001</v>
      </c>
      <c r="M5" s="771">
        <v>5</v>
      </c>
      <c r="N5" s="771">
        <f t="shared" si="3"/>
        <v>4.5650000000000004</v>
      </c>
      <c r="O5" s="771">
        <f t="shared" si="4"/>
        <v>2.2825000000000002</v>
      </c>
      <c r="P5" s="772">
        <f t="shared" si="5"/>
        <v>8.3691666666666666</v>
      </c>
      <c r="R5" s="771">
        <v>2014</v>
      </c>
      <c r="S5" s="772">
        <v>145.95166666666668</v>
      </c>
      <c r="U5" s="750" t="s">
        <v>1432</v>
      </c>
      <c r="V5" s="742"/>
      <c r="W5" s="742"/>
      <c r="X5" s="742"/>
      <c r="Y5" s="730"/>
      <c r="Z5" s="730"/>
      <c r="AA5" s="730"/>
      <c r="AB5" s="730"/>
    </row>
    <row r="6" spans="1:29" s="661" customFormat="1">
      <c r="A6" s="661">
        <v>4</v>
      </c>
      <c r="B6" s="743" t="s">
        <v>70</v>
      </c>
      <c r="C6" s="743">
        <v>2.3199999999999998</v>
      </c>
      <c r="D6" s="743" t="s">
        <v>1183</v>
      </c>
      <c r="E6" s="743" t="s">
        <v>1162</v>
      </c>
      <c r="F6" s="744">
        <v>2013</v>
      </c>
      <c r="G6" s="743">
        <v>2016</v>
      </c>
      <c r="H6" s="771" t="s">
        <v>1429</v>
      </c>
      <c r="I6" s="771"/>
      <c r="J6" s="771">
        <f t="shared" si="0"/>
        <v>2.552</v>
      </c>
      <c r="K6" s="771">
        <f t="shared" si="1"/>
        <v>1.276</v>
      </c>
      <c r="L6" s="771">
        <f t="shared" si="2"/>
        <v>0.63800000000000001</v>
      </c>
      <c r="M6" s="771">
        <v>5</v>
      </c>
      <c r="N6" s="771">
        <f t="shared" si="3"/>
        <v>12.76</v>
      </c>
      <c r="O6" s="771">
        <f t="shared" si="4"/>
        <v>6.38</v>
      </c>
      <c r="P6" s="772">
        <f t="shared" si="5"/>
        <v>23.393333333333331</v>
      </c>
      <c r="R6" s="771">
        <v>2015</v>
      </c>
      <c r="S6" s="772">
        <v>201.04333333333332</v>
      </c>
    </row>
    <row r="7" spans="1:29" s="661" customFormat="1">
      <c r="A7" s="661">
        <v>5</v>
      </c>
      <c r="B7" s="743" t="s">
        <v>1184</v>
      </c>
      <c r="C7" s="743">
        <v>3.43</v>
      </c>
      <c r="D7" s="743" t="s">
        <v>1185</v>
      </c>
      <c r="E7" s="743" t="s">
        <v>1186</v>
      </c>
      <c r="F7" s="744">
        <v>2013</v>
      </c>
      <c r="G7" s="743">
        <v>2015</v>
      </c>
      <c r="H7" s="771" t="s">
        <v>1429</v>
      </c>
      <c r="I7" s="771"/>
      <c r="J7" s="771">
        <f t="shared" si="0"/>
        <v>3.7730000000000006</v>
      </c>
      <c r="K7" s="771">
        <f t="shared" si="1"/>
        <v>1.8865000000000003</v>
      </c>
      <c r="L7" s="771">
        <f t="shared" si="2"/>
        <v>0.94325000000000014</v>
      </c>
      <c r="M7" s="771">
        <v>5</v>
      </c>
      <c r="N7" s="771">
        <f t="shared" si="3"/>
        <v>18.865000000000002</v>
      </c>
      <c r="O7" s="771">
        <f t="shared" si="4"/>
        <v>9.432500000000001</v>
      </c>
      <c r="P7" s="772">
        <f t="shared" si="5"/>
        <v>34.585833333333333</v>
      </c>
      <c r="R7" s="771">
        <v>2016</v>
      </c>
      <c r="S7" s="772">
        <v>131.47016666666664</v>
      </c>
    </row>
    <row r="8" spans="1:29" s="661" customFormat="1">
      <c r="A8" s="661">
        <v>6</v>
      </c>
      <c r="B8" s="743" t="s">
        <v>72</v>
      </c>
      <c r="C8" s="743">
        <v>2.2400000000000002</v>
      </c>
      <c r="D8" s="743" t="s">
        <v>1185</v>
      </c>
      <c r="E8" s="743" t="s">
        <v>1186</v>
      </c>
      <c r="F8" s="744">
        <v>2012</v>
      </c>
      <c r="G8" s="743">
        <v>2015</v>
      </c>
      <c r="H8" s="771" t="s">
        <v>1429</v>
      </c>
      <c r="I8" s="771"/>
      <c r="J8" s="771">
        <f t="shared" si="0"/>
        <v>2.4640000000000004</v>
      </c>
      <c r="K8" s="771">
        <f t="shared" si="1"/>
        <v>1.2320000000000002</v>
      </c>
      <c r="L8" s="771">
        <f t="shared" si="2"/>
        <v>0.6160000000000001</v>
      </c>
      <c r="M8" s="771">
        <v>5</v>
      </c>
      <c r="N8" s="771">
        <f t="shared" si="3"/>
        <v>12.320000000000002</v>
      </c>
      <c r="O8" s="771">
        <f t="shared" si="4"/>
        <v>6.160000000000001</v>
      </c>
      <c r="P8" s="772">
        <f t="shared" si="5"/>
        <v>22.58666666666667</v>
      </c>
      <c r="R8" s="771" t="s">
        <v>341</v>
      </c>
      <c r="S8" s="772">
        <v>582.31433333333325</v>
      </c>
    </row>
    <row r="9" spans="1:29" s="661" customFormat="1">
      <c r="A9" s="661">
        <v>7</v>
      </c>
      <c r="B9" s="743" t="s">
        <v>73</v>
      </c>
      <c r="C9" s="743">
        <v>2.12</v>
      </c>
      <c r="D9" s="743" t="s">
        <v>1187</v>
      </c>
      <c r="E9" s="743" t="s">
        <v>1188</v>
      </c>
      <c r="F9" s="744">
        <v>2013</v>
      </c>
      <c r="G9" s="743">
        <v>2013</v>
      </c>
      <c r="H9" s="771" t="s">
        <v>1429</v>
      </c>
      <c r="I9" s="771"/>
      <c r="J9" s="771">
        <f t="shared" si="0"/>
        <v>2.3320000000000003</v>
      </c>
      <c r="K9" s="771">
        <f t="shared" si="1"/>
        <v>1.1660000000000001</v>
      </c>
      <c r="L9" s="771">
        <f t="shared" si="2"/>
        <v>0.58300000000000007</v>
      </c>
      <c r="M9" s="771">
        <v>5</v>
      </c>
      <c r="N9" s="771">
        <f t="shared" si="3"/>
        <v>11.660000000000002</v>
      </c>
      <c r="O9" s="771">
        <f t="shared" si="4"/>
        <v>5.830000000000001</v>
      </c>
      <c r="P9" s="772">
        <f t="shared" si="5"/>
        <v>21.376666666666669</v>
      </c>
    </row>
    <row r="10" spans="1:29" s="661" customFormat="1">
      <c r="A10" s="661">
        <v>8</v>
      </c>
      <c r="B10" s="743" t="s">
        <v>1189</v>
      </c>
      <c r="C10" s="743">
        <v>3.09</v>
      </c>
      <c r="D10" s="743" t="s">
        <v>1190</v>
      </c>
      <c r="E10" s="743" t="s">
        <v>1191</v>
      </c>
      <c r="F10" s="744">
        <v>2012</v>
      </c>
      <c r="G10" s="743">
        <v>2014</v>
      </c>
      <c r="H10" s="771" t="s">
        <v>1429</v>
      </c>
      <c r="I10" s="771"/>
      <c r="J10" s="771">
        <f t="shared" si="0"/>
        <v>3.399</v>
      </c>
      <c r="K10" s="771">
        <f t="shared" si="1"/>
        <v>1.6995</v>
      </c>
      <c r="L10" s="771">
        <f t="shared" si="2"/>
        <v>0.84975000000000001</v>
      </c>
      <c r="M10" s="771">
        <v>5</v>
      </c>
      <c r="N10" s="771">
        <f t="shared" si="3"/>
        <v>16.995000000000001</v>
      </c>
      <c r="O10" s="771">
        <f t="shared" si="4"/>
        <v>8.4975000000000005</v>
      </c>
      <c r="P10" s="772">
        <f t="shared" si="5"/>
        <v>31.157500000000002</v>
      </c>
    </row>
    <row r="11" spans="1:29" s="661" customFormat="1">
      <c r="A11" s="661">
        <v>9</v>
      </c>
      <c r="B11" s="743" t="s">
        <v>75</v>
      </c>
      <c r="C11" s="743">
        <v>5.61</v>
      </c>
      <c r="D11" s="743" t="s">
        <v>1193</v>
      </c>
      <c r="E11" s="743" t="s">
        <v>1194</v>
      </c>
      <c r="F11" s="744">
        <v>2012</v>
      </c>
      <c r="G11" s="743">
        <v>2015</v>
      </c>
      <c r="H11" s="771" t="s">
        <v>1429</v>
      </c>
      <c r="I11" s="771"/>
      <c r="J11" s="771">
        <f t="shared" si="0"/>
        <v>6.1710000000000012</v>
      </c>
      <c r="K11" s="771">
        <f t="shared" si="1"/>
        <v>3.0855000000000006</v>
      </c>
      <c r="L11" s="771">
        <f t="shared" si="2"/>
        <v>1.5427500000000003</v>
      </c>
      <c r="M11" s="771">
        <v>5</v>
      </c>
      <c r="N11" s="771">
        <f t="shared" si="3"/>
        <v>30.855000000000004</v>
      </c>
      <c r="O11" s="771">
        <f t="shared" si="4"/>
        <v>15.427500000000002</v>
      </c>
      <c r="P11" s="772">
        <f t="shared" si="5"/>
        <v>56.567500000000003</v>
      </c>
      <c r="R11" s="1060" t="s">
        <v>1433</v>
      </c>
      <c r="S11" s="1056" t="s">
        <v>1434</v>
      </c>
      <c r="T11" s="1056"/>
      <c r="U11" s="1056"/>
      <c r="V11" s="1056"/>
      <c r="W11" s="1056"/>
      <c r="X11" s="1056"/>
      <c r="Y11" s="1056"/>
      <c r="Z11" s="1056"/>
      <c r="AA11" s="1056"/>
      <c r="AB11" s="1056"/>
      <c r="AC11" s="1056"/>
    </row>
    <row r="12" spans="1:29" s="661" customFormat="1">
      <c r="A12" s="661">
        <v>10</v>
      </c>
      <c r="B12" s="743" t="s">
        <v>76</v>
      </c>
      <c r="C12" s="743">
        <v>1.18</v>
      </c>
      <c r="D12" s="743" t="s">
        <v>1195</v>
      </c>
      <c r="E12" s="743" t="s">
        <v>1196</v>
      </c>
      <c r="F12" s="744">
        <v>2013</v>
      </c>
      <c r="G12" s="743">
        <v>2015</v>
      </c>
      <c r="H12" s="771" t="s">
        <v>1429</v>
      </c>
      <c r="I12" s="771"/>
      <c r="J12" s="771">
        <f t="shared" si="0"/>
        <v>1.298</v>
      </c>
      <c r="K12" s="771">
        <f t="shared" si="1"/>
        <v>0.64900000000000002</v>
      </c>
      <c r="L12" s="771">
        <f t="shared" si="2"/>
        <v>0.32450000000000001</v>
      </c>
      <c r="M12" s="771">
        <v>5</v>
      </c>
      <c r="N12" s="771">
        <f t="shared" si="3"/>
        <v>6.49</v>
      </c>
      <c r="O12" s="771">
        <f t="shared" si="4"/>
        <v>3.2450000000000001</v>
      </c>
      <c r="P12" s="772">
        <f t="shared" si="5"/>
        <v>11.898333333333333</v>
      </c>
      <c r="R12" s="1061"/>
      <c r="S12" s="773">
        <v>2011</v>
      </c>
      <c r="T12" s="773">
        <v>2012</v>
      </c>
      <c r="U12" s="773">
        <v>2013</v>
      </c>
      <c r="V12" s="773">
        <v>2014</v>
      </c>
      <c r="W12" s="773">
        <v>2015</v>
      </c>
      <c r="X12" s="773">
        <v>2016</v>
      </c>
      <c r="Y12" s="773">
        <v>2017</v>
      </c>
      <c r="Z12" s="773">
        <v>2018</v>
      </c>
      <c r="AA12" s="773">
        <v>2019</v>
      </c>
      <c r="AB12" s="773">
        <v>2020</v>
      </c>
      <c r="AC12" s="773">
        <v>2021</v>
      </c>
    </row>
    <row r="13" spans="1:29" s="661" customFormat="1">
      <c r="A13" s="661">
        <v>11</v>
      </c>
      <c r="B13" s="743" t="s">
        <v>1197</v>
      </c>
      <c r="C13" s="743">
        <v>1.63</v>
      </c>
      <c r="D13" s="743" t="s">
        <v>1195</v>
      </c>
      <c r="E13" s="743" t="s">
        <v>1196</v>
      </c>
      <c r="F13" s="744">
        <v>2011</v>
      </c>
      <c r="G13" s="743">
        <v>2013</v>
      </c>
      <c r="H13" s="771" t="s">
        <v>1429</v>
      </c>
      <c r="I13" s="771"/>
      <c r="J13" s="771">
        <f t="shared" si="0"/>
        <v>1.7929999999999999</v>
      </c>
      <c r="K13" s="771">
        <f t="shared" si="1"/>
        <v>0.89649999999999996</v>
      </c>
      <c r="L13" s="771">
        <f t="shared" si="2"/>
        <v>0.44824999999999998</v>
      </c>
      <c r="M13" s="771">
        <v>5</v>
      </c>
      <c r="N13" s="771">
        <f t="shared" si="3"/>
        <v>8.9649999999999999</v>
      </c>
      <c r="O13" s="771">
        <f t="shared" si="4"/>
        <v>4.4824999999999999</v>
      </c>
      <c r="P13" s="772">
        <f t="shared" si="5"/>
        <v>16.435833333333331</v>
      </c>
      <c r="R13" s="771">
        <f>R3+1</f>
        <v>2013</v>
      </c>
      <c r="S13" s="774">
        <v>0</v>
      </c>
      <c r="T13" s="774">
        <v>0</v>
      </c>
      <c r="U13" s="774">
        <f>$S$3</f>
        <v>2.3466666666666662</v>
      </c>
      <c r="V13" s="774">
        <f>$S$3</f>
        <v>2.3466666666666662</v>
      </c>
      <c r="W13" s="774">
        <f t="shared" ref="W13:AC13" si="6">$S$3</f>
        <v>2.3466666666666662</v>
      </c>
      <c r="X13" s="774">
        <f t="shared" si="6"/>
        <v>2.3466666666666662</v>
      </c>
      <c r="Y13" s="774">
        <f t="shared" si="6"/>
        <v>2.3466666666666662</v>
      </c>
      <c r="Z13" s="774">
        <f t="shared" si="6"/>
        <v>2.3466666666666662</v>
      </c>
      <c r="AA13" s="774">
        <f t="shared" si="6"/>
        <v>2.3466666666666662</v>
      </c>
      <c r="AB13" s="774">
        <f t="shared" si="6"/>
        <v>2.3466666666666662</v>
      </c>
      <c r="AC13" s="774">
        <f t="shared" si="6"/>
        <v>2.3466666666666662</v>
      </c>
    </row>
    <row r="14" spans="1:29" s="661" customFormat="1">
      <c r="A14" s="661">
        <v>12</v>
      </c>
      <c r="B14" s="743" t="s">
        <v>78</v>
      </c>
      <c r="C14" s="743">
        <v>2.36</v>
      </c>
      <c r="D14" s="743" t="s">
        <v>1177</v>
      </c>
      <c r="E14" s="743" t="s">
        <v>1178</v>
      </c>
      <c r="F14" s="744">
        <v>2013</v>
      </c>
      <c r="G14" s="743">
        <v>2015</v>
      </c>
      <c r="H14" s="771" t="s">
        <v>1429</v>
      </c>
      <c r="I14" s="771"/>
      <c r="J14" s="771">
        <f t="shared" si="0"/>
        <v>2.5960000000000001</v>
      </c>
      <c r="K14" s="771">
        <f t="shared" si="1"/>
        <v>1.298</v>
      </c>
      <c r="L14" s="771">
        <f t="shared" si="2"/>
        <v>0.64900000000000002</v>
      </c>
      <c r="M14" s="771">
        <v>5</v>
      </c>
      <c r="N14" s="771">
        <f t="shared" si="3"/>
        <v>12.98</v>
      </c>
      <c r="O14" s="771">
        <f t="shared" si="4"/>
        <v>6.49</v>
      </c>
      <c r="P14" s="772">
        <f t="shared" si="5"/>
        <v>23.796666666666667</v>
      </c>
      <c r="R14" s="771">
        <f t="shared" ref="R14:R17" si="7">R4+1</f>
        <v>2014</v>
      </c>
      <c r="S14" s="774">
        <v>0</v>
      </c>
      <c r="T14" s="774">
        <v>0</v>
      </c>
      <c r="U14" s="774">
        <v>0</v>
      </c>
      <c r="V14" s="774">
        <f>$S$4</f>
        <v>101.5025</v>
      </c>
      <c r="W14" s="774">
        <f t="shared" ref="W14:AC14" si="8">$S$4</f>
        <v>101.5025</v>
      </c>
      <c r="X14" s="774">
        <f t="shared" si="8"/>
        <v>101.5025</v>
      </c>
      <c r="Y14" s="774">
        <f t="shared" si="8"/>
        <v>101.5025</v>
      </c>
      <c r="Z14" s="774">
        <f t="shared" si="8"/>
        <v>101.5025</v>
      </c>
      <c r="AA14" s="774">
        <f t="shared" si="8"/>
        <v>101.5025</v>
      </c>
      <c r="AB14" s="774">
        <f t="shared" si="8"/>
        <v>101.5025</v>
      </c>
      <c r="AC14" s="774">
        <f t="shared" si="8"/>
        <v>101.5025</v>
      </c>
    </row>
    <row r="15" spans="1:29" s="661" customFormat="1">
      <c r="A15" s="661">
        <v>13</v>
      </c>
      <c r="B15" s="743" t="s">
        <v>1198</v>
      </c>
      <c r="C15" s="743">
        <v>1.1200000000000001</v>
      </c>
      <c r="D15" s="743" t="s">
        <v>1199</v>
      </c>
      <c r="E15" s="743" t="s">
        <v>1200</v>
      </c>
      <c r="F15" s="744">
        <v>2013</v>
      </c>
      <c r="G15" s="743">
        <v>2014</v>
      </c>
      <c r="H15" s="771" t="s">
        <v>1429</v>
      </c>
      <c r="I15" s="771"/>
      <c r="J15" s="771">
        <f t="shared" si="0"/>
        <v>1.2320000000000002</v>
      </c>
      <c r="K15" s="771">
        <f t="shared" si="1"/>
        <v>0.6160000000000001</v>
      </c>
      <c r="L15" s="771">
        <f t="shared" si="2"/>
        <v>0.30800000000000005</v>
      </c>
      <c r="M15" s="771">
        <v>5</v>
      </c>
      <c r="N15" s="771">
        <f t="shared" si="3"/>
        <v>6.160000000000001</v>
      </c>
      <c r="O15" s="771">
        <f t="shared" si="4"/>
        <v>3.0800000000000005</v>
      </c>
      <c r="P15" s="772">
        <f t="shared" si="5"/>
        <v>11.293333333333335</v>
      </c>
      <c r="R15" s="771">
        <f t="shared" si="7"/>
        <v>2015</v>
      </c>
      <c r="S15" s="774">
        <v>0</v>
      </c>
      <c r="T15" s="774">
        <v>0</v>
      </c>
      <c r="U15" s="774">
        <v>0</v>
      </c>
      <c r="V15" s="774">
        <v>0</v>
      </c>
      <c r="W15" s="774">
        <f>$S$6</f>
        <v>201.04333333333332</v>
      </c>
      <c r="X15" s="774">
        <f t="shared" ref="X15:AC16" si="9">$S$6</f>
        <v>201.04333333333332</v>
      </c>
      <c r="Y15" s="774">
        <f t="shared" si="9"/>
        <v>201.04333333333332</v>
      </c>
      <c r="Z15" s="774">
        <f t="shared" si="9"/>
        <v>201.04333333333332</v>
      </c>
      <c r="AA15" s="774">
        <f t="shared" si="9"/>
        <v>201.04333333333332</v>
      </c>
      <c r="AB15" s="774">
        <f t="shared" si="9"/>
        <v>201.04333333333332</v>
      </c>
      <c r="AC15" s="774">
        <f t="shared" si="9"/>
        <v>201.04333333333332</v>
      </c>
    </row>
    <row r="16" spans="1:29" s="661" customFormat="1">
      <c r="A16" s="661">
        <v>14</v>
      </c>
      <c r="B16" s="743" t="s">
        <v>1201</v>
      </c>
      <c r="C16" s="743">
        <v>2</v>
      </c>
      <c r="D16" s="743" t="s">
        <v>1190</v>
      </c>
      <c r="E16" s="743" t="s">
        <v>1202</v>
      </c>
      <c r="F16" s="744">
        <v>2012</v>
      </c>
      <c r="G16" s="743">
        <v>2014</v>
      </c>
      <c r="H16" s="771" t="s">
        <v>1429</v>
      </c>
      <c r="I16" s="771"/>
      <c r="J16" s="771">
        <f t="shared" si="0"/>
        <v>2.2000000000000002</v>
      </c>
      <c r="K16" s="771">
        <f t="shared" si="1"/>
        <v>1.1000000000000001</v>
      </c>
      <c r="L16" s="771">
        <f t="shared" si="2"/>
        <v>0.55000000000000004</v>
      </c>
      <c r="M16" s="771">
        <v>5</v>
      </c>
      <c r="N16" s="771">
        <f t="shared" si="3"/>
        <v>11</v>
      </c>
      <c r="O16" s="771">
        <f t="shared" si="4"/>
        <v>5.5</v>
      </c>
      <c r="P16" s="772">
        <f t="shared" si="5"/>
        <v>20.166666666666668</v>
      </c>
      <c r="R16" s="771">
        <f t="shared" si="7"/>
        <v>2016</v>
      </c>
      <c r="S16" s="774">
        <v>0</v>
      </c>
      <c r="T16" s="774">
        <v>0</v>
      </c>
      <c r="U16" s="774">
        <v>0</v>
      </c>
      <c r="V16" s="774">
        <v>0</v>
      </c>
      <c r="W16" s="774">
        <v>0</v>
      </c>
      <c r="X16" s="774">
        <f>$S$6</f>
        <v>201.04333333333332</v>
      </c>
      <c r="Y16" s="774">
        <f t="shared" si="9"/>
        <v>201.04333333333332</v>
      </c>
      <c r="Z16" s="774">
        <f t="shared" si="9"/>
        <v>201.04333333333332</v>
      </c>
      <c r="AA16" s="774">
        <f t="shared" si="9"/>
        <v>201.04333333333332</v>
      </c>
      <c r="AB16" s="774">
        <f t="shared" si="9"/>
        <v>201.04333333333332</v>
      </c>
      <c r="AC16" s="774">
        <f t="shared" si="9"/>
        <v>201.04333333333332</v>
      </c>
    </row>
    <row r="17" spans="1:29" s="661" customFormat="1">
      <c r="A17" s="661">
        <v>15</v>
      </c>
      <c r="B17" s="743" t="s">
        <v>1201</v>
      </c>
      <c r="C17" s="743">
        <v>0.97</v>
      </c>
      <c r="D17" s="743" t="s">
        <v>1190</v>
      </c>
      <c r="E17" s="743" t="s">
        <v>1202</v>
      </c>
      <c r="F17" s="744">
        <v>2011</v>
      </c>
      <c r="G17" s="743">
        <v>2014</v>
      </c>
      <c r="H17" s="771" t="s">
        <v>1429</v>
      </c>
      <c r="I17" s="771"/>
      <c r="J17" s="771">
        <f t="shared" si="0"/>
        <v>1.0669999999999999</v>
      </c>
      <c r="K17" s="771">
        <f t="shared" si="1"/>
        <v>0.53349999999999997</v>
      </c>
      <c r="L17" s="771">
        <f t="shared" si="2"/>
        <v>0.26674999999999999</v>
      </c>
      <c r="M17" s="771">
        <v>5</v>
      </c>
      <c r="N17" s="771">
        <f t="shared" si="3"/>
        <v>5.335</v>
      </c>
      <c r="O17" s="771">
        <f t="shared" si="4"/>
        <v>2.6675</v>
      </c>
      <c r="P17" s="772">
        <f t="shared" si="5"/>
        <v>9.7808333333333337</v>
      </c>
      <c r="R17" s="771">
        <f t="shared" si="7"/>
        <v>2017</v>
      </c>
      <c r="S17" s="774">
        <v>0</v>
      </c>
      <c r="T17" s="774">
        <v>0</v>
      </c>
      <c r="U17" s="774">
        <v>0</v>
      </c>
      <c r="V17" s="774">
        <v>0</v>
      </c>
      <c r="W17" s="774">
        <v>0</v>
      </c>
      <c r="X17" s="774">
        <v>0</v>
      </c>
      <c r="Y17" s="774">
        <f>$S$7</f>
        <v>131.47016666666664</v>
      </c>
      <c r="Z17" s="774">
        <f t="shared" ref="Z17:AC17" si="10">$S$7</f>
        <v>131.47016666666664</v>
      </c>
      <c r="AA17" s="774">
        <f t="shared" si="10"/>
        <v>131.47016666666664</v>
      </c>
      <c r="AB17" s="774">
        <f t="shared" si="10"/>
        <v>131.47016666666664</v>
      </c>
      <c r="AC17" s="774">
        <f t="shared" si="10"/>
        <v>131.47016666666664</v>
      </c>
    </row>
    <row r="18" spans="1:29" s="661" customFormat="1">
      <c r="A18" s="661">
        <v>16</v>
      </c>
      <c r="B18" s="743" t="s">
        <v>1228</v>
      </c>
      <c r="C18" s="743">
        <v>1.91</v>
      </c>
      <c r="D18" s="743" t="s">
        <v>1164</v>
      </c>
      <c r="E18" s="743" t="s">
        <v>1162</v>
      </c>
      <c r="F18" s="744">
        <v>2012</v>
      </c>
      <c r="G18" s="743">
        <v>2016</v>
      </c>
      <c r="H18" s="771" t="s">
        <v>1404</v>
      </c>
      <c r="I18" s="771"/>
      <c r="J18" s="771">
        <f t="shared" ref="J18:J25" si="11">C18</f>
        <v>1.91</v>
      </c>
      <c r="K18" s="771">
        <f>7.15*J18</f>
        <v>13.656499999999999</v>
      </c>
      <c r="L18" s="771">
        <f t="shared" si="2"/>
        <v>6.8282499999999997</v>
      </c>
      <c r="M18" s="771">
        <v>5</v>
      </c>
      <c r="N18" s="771">
        <f t="shared" si="3"/>
        <v>9.5499999999999989</v>
      </c>
      <c r="O18" s="771">
        <f t="shared" si="4"/>
        <v>4.7749999999999995</v>
      </c>
      <c r="P18" s="772">
        <f t="shared" si="5"/>
        <v>17.508333333333329</v>
      </c>
      <c r="R18" s="775" t="s">
        <v>32</v>
      </c>
      <c r="S18" s="776">
        <f>SUM(S13:S17)</f>
        <v>0</v>
      </c>
      <c r="T18" s="776">
        <f t="shared" ref="T18:AC18" si="12">SUM(T13:T17)</f>
        <v>0</v>
      </c>
      <c r="U18" s="776">
        <f t="shared" si="12"/>
        <v>2.3466666666666662</v>
      </c>
      <c r="V18" s="776">
        <f t="shared" si="12"/>
        <v>103.84916666666666</v>
      </c>
      <c r="W18" s="776">
        <f t="shared" si="12"/>
        <v>304.89249999999998</v>
      </c>
      <c r="X18" s="776">
        <f t="shared" si="12"/>
        <v>505.93583333333333</v>
      </c>
      <c r="Y18" s="776">
        <f t="shared" si="12"/>
        <v>637.40599999999995</v>
      </c>
      <c r="Z18" s="776">
        <f t="shared" si="12"/>
        <v>637.40599999999995</v>
      </c>
      <c r="AA18" s="776">
        <f t="shared" si="12"/>
        <v>637.40599999999995</v>
      </c>
      <c r="AB18" s="776">
        <f t="shared" si="12"/>
        <v>637.40599999999995</v>
      </c>
      <c r="AC18" s="776">
        <f t="shared" si="12"/>
        <v>637.40599999999995</v>
      </c>
    </row>
    <row r="19" spans="1:29" s="661" customFormat="1">
      <c r="A19" s="661">
        <v>17</v>
      </c>
      <c r="B19" s="743" t="s">
        <v>1229</v>
      </c>
      <c r="C19" s="743">
        <v>2.19</v>
      </c>
      <c r="D19" s="743" t="s">
        <v>1180</v>
      </c>
      <c r="E19" s="743" t="s">
        <v>1162</v>
      </c>
      <c r="F19" s="744">
        <v>2012</v>
      </c>
      <c r="G19" s="743">
        <v>2016</v>
      </c>
      <c r="H19" s="771" t="s">
        <v>1404</v>
      </c>
      <c r="I19" s="771"/>
      <c r="J19" s="771">
        <f t="shared" si="11"/>
        <v>2.19</v>
      </c>
      <c r="K19" s="771">
        <f t="shared" ref="K19:K44" si="13">7.15*J19</f>
        <v>15.6585</v>
      </c>
      <c r="L19" s="771">
        <f t="shared" si="2"/>
        <v>7.82925</v>
      </c>
      <c r="M19" s="771">
        <v>5</v>
      </c>
      <c r="N19" s="771">
        <f t="shared" si="3"/>
        <v>10.95</v>
      </c>
      <c r="O19" s="771">
        <f t="shared" si="4"/>
        <v>5.4749999999999996</v>
      </c>
      <c r="P19" s="772">
        <f t="shared" si="5"/>
        <v>20.074999999999999</v>
      </c>
    </row>
    <row r="20" spans="1:29" s="661" customFormat="1">
      <c r="A20" s="661">
        <v>18</v>
      </c>
      <c r="B20" s="743" t="s">
        <v>1230</v>
      </c>
      <c r="C20" s="743">
        <v>1.5</v>
      </c>
      <c r="D20" s="743" t="s">
        <v>1185</v>
      </c>
      <c r="E20" s="743" t="s">
        <v>1186</v>
      </c>
      <c r="F20" s="744">
        <v>2013</v>
      </c>
      <c r="G20" s="743">
        <v>2015</v>
      </c>
      <c r="H20" s="771" t="s">
        <v>1404</v>
      </c>
      <c r="I20" s="771"/>
      <c r="J20" s="771">
        <f t="shared" si="11"/>
        <v>1.5</v>
      </c>
      <c r="K20" s="771">
        <f t="shared" si="13"/>
        <v>10.725000000000001</v>
      </c>
      <c r="L20" s="771">
        <f t="shared" si="2"/>
        <v>5.3625000000000007</v>
      </c>
      <c r="M20" s="771">
        <v>5</v>
      </c>
      <c r="N20" s="771">
        <f t="shared" si="3"/>
        <v>7.5</v>
      </c>
      <c r="O20" s="771">
        <f t="shared" si="4"/>
        <v>3.75</v>
      </c>
      <c r="P20" s="772">
        <f t="shared" si="5"/>
        <v>13.75</v>
      </c>
    </row>
    <row r="21" spans="1:29" s="661" customFormat="1">
      <c r="A21" s="661">
        <v>19</v>
      </c>
      <c r="B21" s="743" t="s">
        <v>1230</v>
      </c>
      <c r="C21" s="743">
        <v>1.35</v>
      </c>
      <c r="D21" s="743" t="s">
        <v>1231</v>
      </c>
      <c r="E21" s="743" t="s">
        <v>1232</v>
      </c>
      <c r="F21" s="744">
        <v>2013</v>
      </c>
      <c r="G21" s="743">
        <v>2015</v>
      </c>
      <c r="H21" s="771" t="s">
        <v>1404</v>
      </c>
      <c r="I21" s="771"/>
      <c r="J21" s="771">
        <f t="shared" si="11"/>
        <v>1.35</v>
      </c>
      <c r="K21" s="771">
        <f t="shared" si="13"/>
        <v>9.6525000000000016</v>
      </c>
      <c r="L21" s="771">
        <f t="shared" si="2"/>
        <v>4.8262500000000008</v>
      </c>
      <c r="M21" s="771">
        <v>5</v>
      </c>
      <c r="N21" s="771">
        <f t="shared" si="3"/>
        <v>6.75</v>
      </c>
      <c r="O21" s="771">
        <f t="shared" si="4"/>
        <v>3.375</v>
      </c>
      <c r="P21" s="772">
        <f t="shared" si="5"/>
        <v>12.375</v>
      </c>
    </row>
    <row r="22" spans="1:29" s="661" customFormat="1">
      <c r="A22" s="661">
        <v>20</v>
      </c>
      <c r="B22" s="743" t="s">
        <v>1233</v>
      </c>
      <c r="C22" s="743">
        <v>2.5</v>
      </c>
      <c r="D22" s="743" t="s">
        <v>1234</v>
      </c>
      <c r="E22" s="743" t="s">
        <v>1186</v>
      </c>
      <c r="F22" s="744">
        <v>2012</v>
      </c>
      <c r="G22" s="743">
        <v>2015</v>
      </c>
      <c r="H22" s="771" t="s">
        <v>1404</v>
      </c>
      <c r="I22" s="771"/>
      <c r="J22" s="771">
        <f t="shared" si="11"/>
        <v>2.5</v>
      </c>
      <c r="K22" s="771">
        <f t="shared" si="13"/>
        <v>17.875</v>
      </c>
      <c r="L22" s="771">
        <f t="shared" si="2"/>
        <v>8.9375</v>
      </c>
      <c r="M22" s="771">
        <v>5</v>
      </c>
      <c r="N22" s="771">
        <f t="shared" si="3"/>
        <v>12.5</v>
      </c>
      <c r="O22" s="771">
        <f t="shared" si="4"/>
        <v>6.25</v>
      </c>
      <c r="P22" s="772">
        <f t="shared" si="5"/>
        <v>22.916666666666668</v>
      </c>
    </row>
    <row r="23" spans="1:29" s="661" customFormat="1">
      <c r="A23" s="661">
        <v>21</v>
      </c>
      <c r="B23" s="743" t="s">
        <v>1235</v>
      </c>
      <c r="C23" s="743">
        <v>0.84</v>
      </c>
      <c r="D23" s="743" t="s">
        <v>1195</v>
      </c>
      <c r="E23" s="743" t="s">
        <v>1196</v>
      </c>
      <c r="F23" s="744">
        <v>2012</v>
      </c>
      <c r="G23" s="743">
        <v>2014</v>
      </c>
      <c r="H23" s="771" t="s">
        <v>1404</v>
      </c>
      <c r="I23" s="771"/>
      <c r="J23" s="771">
        <f t="shared" si="11"/>
        <v>0.84</v>
      </c>
      <c r="K23" s="771">
        <f t="shared" si="13"/>
        <v>6.0060000000000002</v>
      </c>
      <c r="L23" s="771">
        <f t="shared" si="2"/>
        <v>3.0030000000000001</v>
      </c>
      <c r="M23" s="771">
        <v>5</v>
      </c>
      <c r="N23" s="771">
        <f t="shared" si="3"/>
        <v>4.2</v>
      </c>
      <c r="O23" s="771">
        <f t="shared" si="4"/>
        <v>2.1</v>
      </c>
      <c r="P23" s="772">
        <f t="shared" si="5"/>
        <v>7.7</v>
      </c>
    </row>
    <row r="24" spans="1:29" s="661" customFormat="1">
      <c r="A24" s="661">
        <v>22</v>
      </c>
      <c r="B24" s="743" t="s">
        <v>1236</v>
      </c>
      <c r="C24" s="743">
        <v>1.99</v>
      </c>
      <c r="D24" s="743" t="s">
        <v>1237</v>
      </c>
      <c r="E24" s="743" t="s">
        <v>1188</v>
      </c>
      <c r="F24" s="744">
        <v>2013</v>
      </c>
      <c r="G24" s="743">
        <v>2014</v>
      </c>
      <c r="H24" s="771" t="s">
        <v>1404</v>
      </c>
      <c r="I24" s="771"/>
      <c r="J24" s="771">
        <f t="shared" si="11"/>
        <v>1.99</v>
      </c>
      <c r="K24" s="771">
        <f>7.15*J24</f>
        <v>14.2285</v>
      </c>
      <c r="L24" s="771">
        <f t="shared" si="2"/>
        <v>7.1142500000000002</v>
      </c>
      <c r="M24" s="771">
        <v>5</v>
      </c>
      <c r="N24" s="771">
        <f t="shared" si="3"/>
        <v>9.9499999999999993</v>
      </c>
      <c r="O24" s="771">
        <f t="shared" si="4"/>
        <v>4.9749999999999996</v>
      </c>
      <c r="P24" s="772">
        <f t="shared" si="5"/>
        <v>18.241666666666664</v>
      </c>
    </row>
    <row r="25" spans="1:29" s="661" customFormat="1">
      <c r="A25" s="661">
        <v>23</v>
      </c>
      <c r="B25" s="743" t="s">
        <v>1238</v>
      </c>
      <c r="C25" s="743">
        <v>0.28000000000000003</v>
      </c>
      <c r="D25" s="743" t="s">
        <v>1177</v>
      </c>
      <c r="E25" s="743" t="s">
        <v>1178</v>
      </c>
      <c r="F25" s="744">
        <v>2013</v>
      </c>
      <c r="G25" s="743">
        <v>2015</v>
      </c>
      <c r="H25" s="771" t="s">
        <v>1404</v>
      </c>
      <c r="I25" s="771"/>
      <c r="J25" s="771">
        <f t="shared" si="11"/>
        <v>0.28000000000000003</v>
      </c>
      <c r="K25" s="771">
        <f t="shared" si="13"/>
        <v>2.0020000000000002</v>
      </c>
      <c r="L25" s="771">
        <f t="shared" si="2"/>
        <v>1.0010000000000001</v>
      </c>
      <c r="M25" s="771">
        <v>5</v>
      </c>
      <c r="N25" s="771">
        <f t="shared" si="3"/>
        <v>1.4000000000000001</v>
      </c>
      <c r="O25" s="771">
        <f t="shared" si="4"/>
        <v>0.70000000000000007</v>
      </c>
      <c r="P25" s="772">
        <f t="shared" si="5"/>
        <v>2.5666666666666669</v>
      </c>
    </row>
    <row r="26" spans="1:29" s="661" customFormat="1">
      <c r="A26" s="661">
        <v>24</v>
      </c>
      <c r="B26" s="751" t="s">
        <v>1258</v>
      </c>
      <c r="C26" s="751">
        <v>7</v>
      </c>
      <c r="D26" s="751" t="s">
        <v>1164</v>
      </c>
      <c r="E26" s="751" t="s">
        <v>1162</v>
      </c>
      <c r="F26" s="744">
        <v>2012</v>
      </c>
      <c r="G26" s="751">
        <v>2013</v>
      </c>
      <c r="H26" s="771" t="s">
        <v>1404</v>
      </c>
      <c r="I26" s="771">
        <v>7000</v>
      </c>
      <c r="J26" s="771">
        <f>I26*($C$50*2)/10000</f>
        <v>2.8</v>
      </c>
      <c r="K26" s="771">
        <f t="shared" si="13"/>
        <v>20.02</v>
      </c>
      <c r="L26" s="771">
        <f t="shared" si="2"/>
        <v>10.01</v>
      </c>
      <c r="M26" s="771">
        <v>5</v>
      </c>
      <c r="N26" s="771">
        <f>M26*J26</f>
        <v>14</v>
      </c>
      <c r="O26" s="771">
        <f t="shared" si="4"/>
        <v>7</v>
      </c>
      <c r="P26" s="772">
        <f t="shared" si="5"/>
        <v>25.666666666666668</v>
      </c>
    </row>
    <row r="27" spans="1:29" s="661" customFormat="1">
      <c r="A27" s="661">
        <v>25</v>
      </c>
      <c r="B27" s="751" t="s">
        <v>1259</v>
      </c>
      <c r="C27" s="751">
        <v>3.18</v>
      </c>
      <c r="D27" s="751" t="s">
        <v>1161</v>
      </c>
      <c r="E27" s="751" t="s">
        <v>1162</v>
      </c>
      <c r="F27" s="744">
        <v>2013</v>
      </c>
      <c r="G27" s="751">
        <v>2013</v>
      </c>
      <c r="H27" s="771" t="s">
        <v>1404</v>
      </c>
      <c r="I27" s="771">
        <v>3180</v>
      </c>
      <c r="J27" s="771">
        <f t="shared" ref="J27:J44" si="14">I27*($C$50*2)/10000</f>
        <v>1.272</v>
      </c>
      <c r="K27" s="771">
        <f t="shared" si="13"/>
        <v>9.0948000000000011</v>
      </c>
      <c r="L27" s="771">
        <f t="shared" si="2"/>
        <v>4.5474000000000006</v>
      </c>
      <c r="M27" s="771">
        <v>5</v>
      </c>
      <c r="N27" s="771">
        <f t="shared" si="3"/>
        <v>6.36</v>
      </c>
      <c r="O27" s="771">
        <f t="shared" si="4"/>
        <v>3.18</v>
      </c>
      <c r="P27" s="772">
        <f t="shared" si="5"/>
        <v>11.660000000000002</v>
      </c>
    </row>
    <row r="28" spans="1:29" s="661" customFormat="1">
      <c r="A28" s="661">
        <v>26</v>
      </c>
      <c r="B28" s="751" t="s">
        <v>1261</v>
      </c>
      <c r="C28" s="751">
        <v>0.38</v>
      </c>
      <c r="D28" s="751" t="s">
        <v>1262</v>
      </c>
      <c r="E28" s="751" t="s">
        <v>1162</v>
      </c>
      <c r="F28" s="744">
        <v>2012</v>
      </c>
      <c r="G28" s="751">
        <v>2016</v>
      </c>
      <c r="H28" s="771" t="s">
        <v>1404</v>
      </c>
      <c r="I28" s="771">
        <f>0.38*1000</f>
        <v>380</v>
      </c>
      <c r="J28" s="771">
        <f t="shared" si="14"/>
        <v>0.152</v>
      </c>
      <c r="K28" s="771">
        <f t="shared" si="13"/>
        <v>1.0868</v>
      </c>
      <c r="L28" s="771">
        <f t="shared" si="2"/>
        <v>0.54339999999999999</v>
      </c>
      <c r="M28" s="771">
        <v>5</v>
      </c>
      <c r="N28" s="771">
        <f t="shared" si="3"/>
        <v>0.76</v>
      </c>
      <c r="O28" s="771">
        <f t="shared" si="4"/>
        <v>0.38</v>
      </c>
      <c r="P28" s="772">
        <f t="shared" si="5"/>
        <v>1.3933333333333333</v>
      </c>
    </row>
    <row r="29" spans="1:29" s="661" customFormat="1">
      <c r="A29" s="661">
        <v>27</v>
      </c>
      <c r="B29" s="751" t="s">
        <v>1263</v>
      </c>
      <c r="C29" s="751">
        <v>1.04</v>
      </c>
      <c r="D29" s="751" t="s">
        <v>1262</v>
      </c>
      <c r="E29" s="751" t="s">
        <v>1162</v>
      </c>
      <c r="F29" s="744">
        <v>2012</v>
      </c>
      <c r="G29" s="751">
        <v>2016</v>
      </c>
      <c r="H29" s="771" t="s">
        <v>1404</v>
      </c>
      <c r="I29" s="771">
        <f>(1.42-0.38)*1000</f>
        <v>1040</v>
      </c>
      <c r="J29" s="771">
        <f t="shared" si="14"/>
        <v>0.41599999999999998</v>
      </c>
      <c r="K29" s="771">
        <f t="shared" si="13"/>
        <v>2.9744000000000002</v>
      </c>
      <c r="L29" s="771">
        <f t="shared" si="2"/>
        <v>1.4872000000000001</v>
      </c>
      <c r="M29" s="771">
        <v>5</v>
      </c>
      <c r="N29" s="771">
        <f t="shared" si="3"/>
        <v>2.08</v>
      </c>
      <c r="O29" s="771">
        <f t="shared" si="4"/>
        <v>1.04</v>
      </c>
      <c r="P29" s="772">
        <f t="shared" si="5"/>
        <v>3.8133333333333339</v>
      </c>
    </row>
    <row r="30" spans="1:29" s="661" customFormat="1">
      <c r="A30" s="661">
        <v>28</v>
      </c>
      <c r="B30" s="751" t="s">
        <v>1264</v>
      </c>
      <c r="C30" s="751">
        <v>2.2130000000000001</v>
      </c>
      <c r="D30" s="751" t="s">
        <v>1265</v>
      </c>
      <c r="E30" s="751" t="s">
        <v>1162</v>
      </c>
      <c r="F30" s="744">
        <v>2012</v>
      </c>
      <c r="G30" s="751">
        <v>2016</v>
      </c>
      <c r="H30" s="771" t="s">
        <v>1404</v>
      </c>
      <c r="I30" s="771">
        <v>2213</v>
      </c>
      <c r="J30" s="771">
        <f t="shared" si="14"/>
        <v>0.88519999999999999</v>
      </c>
      <c r="K30" s="771">
        <f>7.15*J30</f>
        <v>6.32918</v>
      </c>
      <c r="L30" s="771">
        <f t="shared" si="2"/>
        <v>3.16459</v>
      </c>
      <c r="M30" s="771">
        <v>5</v>
      </c>
      <c r="N30" s="771">
        <f t="shared" si="3"/>
        <v>4.4260000000000002</v>
      </c>
      <c r="O30" s="771">
        <f t="shared" si="4"/>
        <v>2.2130000000000001</v>
      </c>
      <c r="P30" s="772">
        <f t="shared" si="5"/>
        <v>8.1143333333333327</v>
      </c>
    </row>
    <row r="31" spans="1:29" s="661" customFormat="1">
      <c r="A31" s="661">
        <v>29</v>
      </c>
      <c r="B31" s="751" t="s">
        <v>1273</v>
      </c>
      <c r="C31" s="751">
        <v>0.1</v>
      </c>
      <c r="D31" s="751" t="s">
        <v>1190</v>
      </c>
      <c r="E31" s="751" t="s">
        <v>1191</v>
      </c>
      <c r="F31" s="744">
        <v>2013</v>
      </c>
      <c r="G31" s="751">
        <v>2013</v>
      </c>
      <c r="H31" s="771" t="s">
        <v>1404</v>
      </c>
      <c r="I31" s="771">
        <v>100</v>
      </c>
      <c r="J31" s="771">
        <f t="shared" si="14"/>
        <v>0.04</v>
      </c>
      <c r="K31" s="771">
        <f t="shared" si="13"/>
        <v>0.28600000000000003</v>
      </c>
      <c r="L31" s="771">
        <f t="shared" si="2"/>
        <v>0.14300000000000002</v>
      </c>
      <c r="M31" s="771">
        <v>5</v>
      </c>
      <c r="N31" s="771">
        <f t="shared" si="3"/>
        <v>0.2</v>
      </c>
      <c r="O31" s="771">
        <f t="shared" si="4"/>
        <v>0.1</v>
      </c>
      <c r="P31" s="772">
        <f t="shared" si="5"/>
        <v>0.3666666666666667</v>
      </c>
    </row>
    <row r="32" spans="1:29" s="661" customFormat="1">
      <c r="A32" s="661">
        <v>30</v>
      </c>
      <c r="B32" s="751" t="s">
        <v>1274</v>
      </c>
      <c r="C32" s="751">
        <v>0.1</v>
      </c>
      <c r="D32" s="751" t="s">
        <v>1190</v>
      </c>
      <c r="E32" s="751" t="s">
        <v>1191</v>
      </c>
      <c r="F32" s="744">
        <v>2013</v>
      </c>
      <c r="G32" s="751">
        <f>F32+1</f>
        <v>2014</v>
      </c>
      <c r="H32" s="771" t="s">
        <v>1404</v>
      </c>
      <c r="I32" s="771">
        <v>100</v>
      </c>
      <c r="J32" s="771">
        <f t="shared" si="14"/>
        <v>0.04</v>
      </c>
      <c r="K32" s="771">
        <f t="shared" si="13"/>
        <v>0.28600000000000003</v>
      </c>
      <c r="L32" s="771">
        <f t="shared" si="2"/>
        <v>0.14300000000000002</v>
      </c>
      <c r="M32" s="771">
        <v>5</v>
      </c>
      <c r="N32" s="771">
        <f t="shared" si="3"/>
        <v>0.2</v>
      </c>
      <c r="O32" s="771">
        <f t="shared" si="4"/>
        <v>0.1</v>
      </c>
      <c r="P32" s="772">
        <f t="shared" si="5"/>
        <v>0.3666666666666667</v>
      </c>
    </row>
    <row r="33" spans="1:16" s="661" customFormat="1">
      <c r="A33" s="661">
        <v>31</v>
      </c>
      <c r="B33" s="751" t="s">
        <v>1275</v>
      </c>
      <c r="C33" s="751">
        <v>2.86</v>
      </c>
      <c r="D33" s="751" t="s">
        <v>1234</v>
      </c>
      <c r="E33" s="751" t="s">
        <v>1186</v>
      </c>
      <c r="F33" s="744">
        <v>2012</v>
      </c>
      <c r="G33" s="751">
        <f t="shared" ref="G33:G44" si="15">F33+1</f>
        <v>2013</v>
      </c>
      <c r="H33" s="771" t="s">
        <v>1404</v>
      </c>
      <c r="I33" s="771">
        <f>2.86*1000</f>
        <v>2860</v>
      </c>
      <c r="J33" s="771">
        <f t="shared" si="14"/>
        <v>1.1439999999999999</v>
      </c>
      <c r="K33" s="771">
        <f t="shared" si="13"/>
        <v>8.1795999999999989</v>
      </c>
      <c r="L33" s="771">
        <f t="shared" si="2"/>
        <v>4.0897999999999994</v>
      </c>
      <c r="M33" s="771">
        <v>5</v>
      </c>
      <c r="N33" s="771">
        <f t="shared" si="3"/>
        <v>5.72</v>
      </c>
      <c r="O33" s="771">
        <f t="shared" si="4"/>
        <v>2.86</v>
      </c>
      <c r="P33" s="772">
        <f t="shared" si="5"/>
        <v>10.486666666666666</v>
      </c>
    </row>
    <row r="34" spans="1:16" s="661" customFormat="1">
      <c r="A34" s="661">
        <v>32</v>
      </c>
      <c r="B34" s="751" t="s">
        <v>1276</v>
      </c>
      <c r="C34" s="751">
        <v>1.06</v>
      </c>
      <c r="D34" s="751" t="s">
        <v>1277</v>
      </c>
      <c r="E34" s="751" t="s">
        <v>1278</v>
      </c>
      <c r="F34" s="744">
        <v>2012</v>
      </c>
      <c r="G34" s="751">
        <f t="shared" si="15"/>
        <v>2013</v>
      </c>
      <c r="H34" s="771" t="s">
        <v>1404</v>
      </c>
      <c r="I34" s="771">
        <f>(3.92-2.86)*1000</f>
        <v>1060</v>
      </c>
      <c r="J34" s="771">
        <f t="shared" si="14"/>
        <v>0.42399999999999999</v>
      </c>
      <c r="K34" s="771">
        <f t="shared" si="13"/>
        <v>3.0316000000000001</v>
      </c>
      <c r="L34" s="771">
        <f t="shared" si="2"/>
        <v>1.5158</v>
      </c>
      <c r="M34" s="771">
        <v>5</v>
      </c>
      <c r="N34" s="771">
        <f t="shared" si="3"/>
        <v>2.12</v>
      </c>
      <c r="O34" s="771">
        <f t="shared" si="4"/>
        <v>1.06</v>
      </c>
      <c r="P34" s="772">
        <f t="shared" si="5"/>
        <v>3.8866666666666667</v>
      </c>
    </row>
    <row r="35" spans="1:16" s="661" customFormat="1">
      <c r="A35" s="661">
        <v>33</v>
      </c>
      <c r="B35" s="751" t="s">
        <v>1279</v>
      </c>
      <c r="C35" s="751">
        <v>0.63999999999999968</v>
      </c>
      <c r="D35" s="751" t="s">
        <v>1280</v>
      </c>
      <c r="E35" s="751" t="s">
        <v>1186</v>
      </c>
      <c r="F35" s="744">
        <v>2012</v>
      </c>
      <c r="G35" s="751">
        <f t="shared" si="15"/>
        <v>2013</v>
      </c>
      <c r="H35" s="771" t="s">
        <v>1404</v>
      </c>
      <c r="I35" s="771">
        <f>(4.56-3.92)*1000</f>
        <v>639.99999999999966</v>
      </c>
      <c r="J35" s="771">
        <f t="shared" si="14"/>
        <v>0.25599999999999984</v>
      </c>
      <c r="K35" s="771">
        <f t="shared" si="13"/>
        <v>1.8303999999999989</v>
      </c>
      <c r="L35" s="771">
        <f t="shared" si="2"/>
        <v>0.91519999999999946</v>
      </c>
      <c r="M35" s="771">
        <v>5</v>
      </c>
      <c r="N35" s="771">
        <f t="shared" si="3"/>
        <v>1.2799999999999991</v>
      </c>
      <c r="O35" s="771">
        <f t="shared" si="4"/>
        <v>0.63999999999999957</v>
      </c>
      <c r="P35" s="772">
        <f t="shared" si="5"/>
        <v>2.3466666666666653</v>
      </c>
    </row>
    <row r="36" spans="1:16" s="661" customFormat="1">
      <c r="A36" s="661">
        <v>34</v>
      </c>
      <c r="B36" s="751" t="s">
        <v>1281</v>
      </c>
      <c r="C36" s="751">
        <v>0.78000000000000025</v>
      </c>
      <c r="D36" s="751" t="s">
        <v>1277</v>
      </c>
      <c r="E36" s="751" t="s">
        <v>1278</v>
      </c>
      <c r="F36" s="744">
        <v>2012</v>
      </c>
      <c r="G36" s="751">
        <f t="shared" si="15"/>
        <v>2013</v>
      </c>
      <c r="H36" s="771" t="s">
        <v>1404</v>
      </c>
      <c r="I36" s="771">
        <f>(5.34-4.56)*1000</f>
        <v>780.00000000000023</v>
      </c>
      <c r="J36" s="771">
        <f t="shared" si="14"/>
        <v>0.31200000000000011</v>
      </c>
      <c r="K36" s="771">
        <f t="shared" si="13"/>
        <v>2.2308000000000008</v>
      </c>
      <c r="L36" s="771">
        <f t="shared" si="2"/>
        <v>1.1154000000000004</v>
      </c>
      <c r="M36" s="771">
        <v>5</v>
      </c>
      <c r="N36" s="771">
        <f t="shared" si="3"/>
        <v>1.5600000000000005</v>
      </c>
      <c r="O36" s="771">
        <f t="shared" si="4"/>
        <v>0.78000000000000025</v>
      </c>
      <c r="P36" s="772">
        <f t="shared" si="5"/>
        <v>2.8600000000000008</v>
      </c>
    </row>
    <row r="37" spans="1:16" s="661" customFormat="1">
      <c r="A37" s="661">
        <v>35</v>
      </c>
      <c r="B37" s="751" t="s">
        <v>1282</v>
      </c>
      <c r="C37" s="751">
        <v>0.75</v>
      </c>
      <c r="D37" s="751" t="s">
        <v>1204</v>
      </c>
      <c r="E37" s="751" t="s">
        <v>1186</v>
      </c>
      <c r="F37" s="744">
        <v>2012</v>
      </c>
      <c r="G37" s="751">
        <f t="shared" si="15"/>
        <v>2013</v>
      </c>
      <c r="H37" s="771" t="s">
        <v>1404</v>
      </c>
      <c r="I37" s="771">
        <f>(6.09-5.34)*1000</f>
        <v>750</v>
      </c>
      <c r="J37" s="771">
        <f t="shared" si="14"/>
        <v>0.3</v>
      </c>
      <c r="K37" s="771">
        <f t="shared" si="13"/>
        <v>2.145</v>
      </c>
      <c r="L37" s="771">
        <f t="shared" si="2"/>
        <v>1.0725</v>
      </c>
      <c r="M37" s="771">
        <v>5</v>
      </c>
      <c r="N37" s="771">
        <f t="shared" si="3"/>
        <v>1.5</v>
      </c>
      <c r="O37" s="771">
        <f t="shared" si="4"/>
        <v>0.75</v>
      </c>
      <c r="P37" s="772">
        <f t="shared" si="5"/>
        <v>2.75</v>
      </c>
    </row>
    <row r="38" spans="1:16" s="661" customFormat="1">
      <c r="A38" s="661">
        <v>36</v>
      </c>
      <c r="B38" s="751" t="s">
        <v>1283</v>
      </c>
      <c r="C38" s="751">
        <v>1</v>
      </c>
      <c r="D38" s="751" t="s">
        <v>1277</v>
      </c>
      <c r="E38" s="751" t="s">
        <v>1278</v>
      </c>
      <c r="F38" s="744">
        <v>2012</v>
      </c>
      <c r="G38" s="751">
        <f t="shared" si="15"/>
        <v>2013</v>
      </c>
      <c r="H38" s="771" t="s">
        <v>1404</v>
      </c>
      <c r="I38" s="771">
        <v>1000</v>
      </c>
      <c r="J38" s="771">
        <f t="shared" si="14"/>
        <v>0.4</v>
      </c>
      <c r="K38" s="771">
        <f t="shared" si="13"/>
        <v>2.8600000000000003</v>
      </c>
      <c r="L38" s="771">
        <f t="shared" si="2"/>
        <v>1.4300000000000002</v>
      </c>
      <c r="M38" s="771">
        <v>5</v>
      </c>
      <c r="N38" s="771">
        <f t="shared" si="3"/>
        <v>2</v>
      </c>
      <c r="O38" s="771">
        <f t="shared" si="4"/>
        <v>1</v>
      </c>
      <c r="P38" s="772">
        <f t="shared" si="5"/>
        <v>3.6666666666666665</v>
      </c>
    </row>
    <row r="39" spans="1:16" s="661" customFormat="1">
      <c r="A39" s="661">
        <v>37</v>
      </c>
      <c r="B39" s="751" t="s">
        <v>1284</v>
      </c>
      <c r="C39" s="751">
        <v>4.1219999999999999</v>
      </c>
      <c r="D39" s="751" t="s">
        <v>1185</v>
      </c>
      <c r="E39" s="751" t="s">
        <v>1186</v>
      </c>
      <c r="F39" s="744">
        <v>2013</v>
      </c>
      <c r="G39" s="751">
        <f t="shared" si="15"/>
        <v>2014</v>
      </c>
      <c r="H39" s="771" t="s">
        <v>1404</v>
      </c>
      <c r="I39" s="771">
        <v>4122</v>
      </c>
      <c r="J39" s="771">
        <f t="shared" si="14"/>
        <v>1.6488</v>
      </c>
      <c r="K39" s="771">
        <f t="shared" si="13"/>
        <v>11.788920000000001</v>
      </c>
      <c r="L39" s="771">
        <f t="shared" si="2"/>
        <v>5.8944600000000005</v>
      </c>
      <c r="M39" s="771">
        <v>5</v>
      </c>
      <c r="N39" s="771">
        <f t="shared" si="3"/>
        <v>8.2439999999999998</v>
      </c>
      <c r="O39" s="771">
        <f t="shared" si="4"/>
        <v>4.1219999999999999</v>
      </c>
      <c r="P39" s="772">
        <f t="shared" si="5"/>
        <v>15.113999999999999</v>
      </c>
    </row>
    <row r="40" spans="1:16" s="661" customFormat="1">
      <c r="A40" s="661">
        <v>38</v>
      </c>
      <c r="B40" s="751" t="s">
        <v>1285</v>
      </c>
      <c r="C40" s="751">
        <v>8.5630000000000006</v>
      </c>
      <c r="D40" s="751" t="s">
        <v>1286</v>
      </c>
      <c r="E40" s="751" t="s">
        <v>1252</v>
      </c>
      <c r="F40" s="744">
        <v>2013</v>
      </c>
      <c r="G40" s="751">
        <f t="shared" si="15"/>
        <v>2014</v>
      </c>
      <c r="H40" s="771" t="s">
        <v>1404</v>
      </c>
      <c r="I40" s="771">
        <v>8563</v>
      </c>
      <c r="J40" s="771">
        <f t="shared" si="14"/>
        <v>3.4251999999999998</v>
      </c>
      <c r="K40" s="771">
        <f t="shared" si="13"/>
        <v>24.490179999999999</v>
      </c>
      <c r="L40" s="771">
        <f t="shared" si="2"/>
        <v>12.245089999999999</v>
      </c>
      <c r="M40" s="771">
        <v>5</v>
      </c>
      <c r="N40" s="771">
        <f t="shared" si="3"/>
        <v>17.125999999999998</v>
      </c>
      <c r="O40" s="771">
        <f t="shared" si="4"/>
        <v>8.5629999999999988</v>
      </c>
      <c r="P40" s="772">
        <f t="shared" si="5"/>
        <v>31.397666666666662</v>
      </c>
    </row>
    <row r="41" spans="1:16" s="661" customFormat="1">
      <c r="A41" s="661">
        <v>39</v>
      </c>
      <c r="B41" s="751" t="s">
        <v>1287</v>
      </c>
      <c r="C41" s="751">
        <v>0.1</v>
      </c>
      <c r="D41" s="751" t="s">
        <v>1288</v>
      </c>
      <c r="E41" s="751" t="s">
        <v>1186</v>
      </c>
      <c r="F41" s="744">
        <v>2013</v>
      </c>
      <c r="G41" s="751">
        <f t="shared" si="15"/>
        <v>2014</v>
      </c>
      <c r="H41" s="771" t="s">
        <v>1404</v>
      </c>
      <c r="I41" s="771">
        <v>100</v>
      </c>
      <c r="J41" s="771">
        <f t="shared" si="14"/>
        <v>0.04</v>
      </c>
      <c r="K41" s="771">
        <f t="shared" si="13"/>
        <v>0.28600000000000003</v>
      </c>
      <c r="L41" s="771">
        <f t="shared" si="2"/>
        <v>0.14300000000000002</v>
      </c>
      <c r="M41" s="771">
        <v>5</v>
      </c>
      <c r="N41" s="771">
        <f t="shared" si="3"/>
        <v>0.2</v>
      </c>
      <c r="O41" s="771">
        <f t="shared" si="4"/>
        <v>0.1</v>
      </c>
      <c r="P41" s="772">
        <f t="shared" si="5"/>
        <v>0.3666666666666667</v>
      </c>
    </row>
    <row r="42" spans="1:16" s="661" customFormat="1">
      <c r="A42" s="661">
        <v>40</v>
      </c>
      <c r="B42" s="751" t="s">
        <v>1289</v>
      </c>
      <c r="C42" s="751">
        <v>0.45</v>
      </c>
      <c r="D42" s="751" t="s">
        <v>1221</v>
      </c>
      <c r="E42" s="751" t="s">
        <v>1290</v>
      </c>
      <c r="F42" s="744">
        <v>2011</v>
      </c>
      <c r="G42" s="751">
        <f t="shared" si="15"/>
        <v>2012</v>
      </c>
      <c r="H42" s="771" t="s">
        <v>1404</v>
      </c>
      <c r="I42" s="771">
        <v>450</v>
      </c>
      <c r="J42" s="771">
        <f t="shared" si="14"/>
        <v>0.18</v>
      </c>
      <c r="K42" s="771">
        <f t="shared" si="13"/>
        <v>1.2869999999999999</v>
      </c>
      <c r="L42" s="771">
        <f t="shared" si="2"/>
        <v>0.64349999999999996</v>
      </c>
      <c r="M42" s="771">
        <v>5</v>
      </c>
      <c r="N42" s="771">
        <f t="shared" si="3"/>
        <v>0.89999999999999991</v>
      </c>
      <c r="O42" s="771">
        <f t="shared" si="4"/>
        <v>0.44999999999999996</v>
      </c>
      <c r="P42" s="772">
        <f t="shared" si="5"/>
        <v>1.6499999999999997</v>
      </c>
    </row>
    <row r="43" spans="1:16" s="661" customFormat="1">
      <c r="A43" s="661">
        <v>41</v>
      </c>
      <c r="B43" s="751" t="s">
        <v>1291</v>
      </c>
      <c r="C43" s="751">
        <v>0.19</v>
      </c>
      <c r="D43" s="751" t="s">
        <v>1292</v>
      </c>
      <c r="E43" s="751" t="s">
        <v>1278</v>
      </c>
      <c r="F43" s="744">
        <v>2011</v>
      </c>
      <c r="G43" s="751">
        <f t="shared" si="15"/>
        <v>2012</v>
      </c>
      <c r="H43" s="771" t="s">
        <v>1404</v>
      </c>
      <c r="I43" s="771">
        <v>190</v>
      </c>
      <c r="J43" s="771">
        <f t="shared" si="14"/>
        <v>7.5999999999999998E-2</v>
      </c>
      <c r="K43" s="771">
        <f t="shared" si="13"/>
        <v>0.54339999999999999</v>
      </c>
      <c r="L43" s="771">
        <f t="shared" si="2"/>
        <v>0.2717</v>
      </c>
      <c r="M43" s="771">
        <v>5</v>
      </c>
      <c r="N43" s="771">
        <f t="shared" si="3"/>
        <v>0.38</v>
      </c>
      <c r="O43" s="771">
        <f t="shared" si="4"/>
        <v>0.19</v>
      </c>
      <c r="P43" s="772">
        <f t="shared" si="5"/>
        <v>0.69666666666666666</v>
      </c>
    </row>
    <row r="44" spans="1:16" s="661" customFormat="1">
      <c r="A44" s="661">
        <v>42</v>
      </c>
      <c r="B44" s="751" t="s">
        <v>1293</v>
      </c>
      <c r="C44" s="751">
        <v>0.1</v>
      </c>
      <c r="D44" s="751" t="s">
        <v>1294</v>
      </c>
      <c r="E44" s="751" t="s">
        <v>1295</v>
      </c>
      <c r="F44" s="744">
        <v>2013</v>
      </c>
      <c r="G44" s="751">
        <f t="shared" si="15"/>
        <v>2014</v>
      </c>
      <c r="H44" s="771" t="s">
        <v>1404</v>
      </c>
      <c r="I44" s="771">
        <v>100</v>
      </c>
      <c r="J44" s="771">
        <f t="shared" si="14"/>
        <v>0.04</v>
      </c>
      <c r="K44" s="771">
        <f t="shared" si="13"/>
        <v>0.28600000000000003</v>
      </c>
      <c r="L44" s="771">
        <f t="shared" si="2"/>
        <v>0.14300000000000002</v>
      </c>
      <c r="M44" s="771">
        <v>5</v>
      </c>
      <c r="N44" s="771">
        <f t="shared" si="3"/>
        <v>0.2</v>
      </c>
      <c r="O44" s="771">
        <f t="shared" si="4"/>
        <v>0.1</v>
      </c>
      <c r="P44" s="772">
        <f t="shared" si="5"/>
        <v>0.3666666666666667</v>
      </c>
    </row>
    <row r="45" spans="1:16">
      <c r="P45" s="712">
        <f>SUM(P3:P44)</f>
        <v>582.31433333333337</v>
      </c>
    </row>
    <row r="48" spans="1:16">
      <c r="B48" s="777" t="s">
        <v>1388</v>
      </c>
      <c r="C48" s="725"/>
    </row>
    <row r="49" spans="2:3">
      <c r="B49" s="725"/>
      <c r="C49" s="725"/>
    </row>
    <row r="50" spans="2:3">
      <c r="B50" s="725" t="s">
        <v>1435</v>
      </c>
      <c r="C50" s="725">
        <v>2</v>
      </c>
    </row>
    <row r="51" spans="2:3">
      <c r="B51" s="725"/>
      <c r="C51" s="725"/>
    </row>
  </sheetData>
  <autoFilter ref="A2:P44"/>
  <mergeCells count="2">
    <mergeCell ref="R11:R12"/>
    <mergeCell ref="S11:AC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U50"/>
  <sheetViews>
    <sheetView topLeftCell="E1" workbookViewId="0">
      <selection activeCell="S9" sqref="S9"/>
    </sheetView>
  </sheetViews>
  <sheetFormatPr baseColWidth="10" defaultRowHeight="15"/>
  <cols>
    <col min="1" max="1" width="13.42578125" customWidth="1"/>
    <col min="2" max="4" width="11.42578125" customWidth="1"/>
    <col min="5" max="5" width="9.42578125" bestFit="1" customWidth="1"/>
    <col min="6" max="6" width="9.5703125" bestFit="1" customWidth="1"/>
    <col min="7" max="7" width="11.5703125" bestFit="1" customWidth="1"/>
    <col min="8" max="8" width="11.7109375" customWidth="1"/>
    <col min="12" max="12" width="20.5703125" bestFit="1" customWidth="1"/>
  </cols>
  <sheetData>
    <row r="1" spans="1:19" s="659" customFormat="1" ht="33.75" customHeight="1">
      <c r="A1" s="661" t="s">
        <v>1436</v>
      </c>
      <c r="B1" s="661"/>
      <c r="C1" s="661"/>
      <c r="D1" s="661"/>
      <c r="E1" s="661"/>
      <c r="F1" s="661"/>
      <c r="G1" s="661"/>
      <c r="H1" s="661"/>
      <c r="I1" s="661"/>
      <c r="J1" s="661"/>
      <c r="M1" s="778" t="s">
        <v>1367</v>
      </c>
      <c r="N1" s="779"/>
      <c r="O1" s="779"/>
      <c r="P1" s="779"/>
      <c r="Q1" s="779"/>
      <c r="R1" s="779"/>
      <c r="S1" s="779"/>
    </row>
    <row r="2" spans="1:19">
      <c r="A2" s="1076" t="s">
        <v>1437</v>
      </c>
      <c r="B2" s="1076" t="s">
        <v>1438</v>
      </c>
      <c r="C2" s="1076"/>
      <c r="D2" s="1076"/>
      <c r="E2" s="1076" t="s">
        <v>1439</v>
      </c>
      <c r="F2" s="1076"/>
      <c r="G2" s="1076"/>
      <c r="H2" s="1076" t="s">
        <v>1440</v>
      </c>
      <c r="I2" s="1076"/>
      <c r="J2" s="1076"/>
      <c r="M2" s="725"/>
      <c r="N2" s="725"/>
      <c r="O2" s="725"/>
      <c r="P2" s="725"/>
      <c r="Q2" s="725"/>
      <c r="R2" s="725"/>
      <c r="S2" s="725"/>
    </row>
    <row r="3" spans="1:19">
      <c r="A3" s="1076"/>
      <c r="B3" s="780" t="s">
        <v>1441</v>
      </c>
      <c r="C3" s="780" t="s">
        <v>1442</v>
      </c>
      <c r="D3" s="780" t="s">
        <v>1443</v>
      </c>
      <c r="E3" s="780" t="s">
        <v>1441</v>
      </c>
      <c r="F3" s="780" t="s">
        <v>1442</v>
      </c>
      <c r="G3" s="780" t="s">
        <v>1443</v>
      </c>
      <c r="H3" s="780" t="s">
        <v>1441</v>
      </c>
      <c r="I3" s="780" t="s">
        <v>1442</v>
      </c>
      <c r="J3" s="780" t="s">
        <v>1443</v>
      </c>
      <c r="M3" s="725" t="s">
        <v>1444</v>
      </c>
      <c r="N3" s="725"/>
      <c r="O3" s="725"/>
      <c r="P3" s="725"/>
      <c r="Q3" s="725"/>
      <c r="R3" s="725"/>
      <c r="S3" s="781">
        <v>0.79554970319999996</v>
      </c>
    </row>
    <row r="4" spans="1:19">
      <c r="A4" s="782">
        <v>2012</v>
      </c>
      <c r="B4" s="695">
        <v>10000</v>
      </c>
      <c r="C4" s="695"/>
      <c r="D4" s="783"/>
      <c r="E4" s="695"/>
      <c r="F4" s="710">
        <f t="shared" ref="F4:F13" si="0">C4*$S$3</f>
        <v>0</v>
      </c>
      <c r="G4" s="695"/>
      <c r="H4" s="710">
        <f>E4*0.25</f>
        <v>0</v>
      </c>
      <c r="I4" s="710">
        <f t="shared" ref="I4:J13" si="1">F4*0.25</f>
        <v>0</v>
      </c>
      <c r="J4" s="710">
        <f t="shared" si="1"/>
        <v>0</v>
      </c>
      <c r="M4" s="1077" t="s">
        <v>1445</v>
      </c>
      <c r="N4" s="1077"/>
      <c r="O4" s="1077"/>
      <c r="P4" s="1077"/>
      <c r="Q4" s="1077"/>
      <c r="R4" s="1077"/>
      <c r="S4" s="1077"/>
    </row>
    <row r="5" spans="1:19">
      <c r="A5" s="782">
        <v>2013</v>
      </c>
      <c r="B5" s="695">
        <v>10000</v>
      </c>
      <c r="C5" s="695">
        <f>272+109+4</f>
        <v>385</v>
      </c>
      <c r="D5" s="783"/>
      <c r="E5" s="695"/>
      <c r="F5" s="710">
        <f>C5*$S$3/1000</f>
        <v>0.30628663573199999</v>
      </c>
      <c r="G5" s="695"/>
      <c r="H5" s="710">
        <f t="shared" ref="H5:H13" si="2">E5*0.25</f>
        <v>0</v>
      </c>
      <c r="I5" s="710">
        <f t="shared" si="1"/>
        <v>7.6571658932999997E-2</v>
      </c>
      <c r="J5" s="710">
        <f t="shared" si="1"/>
        <v>0</v>
      </c>
      <c r="M5" s="1077"/>
      <c r="N5" s="1077"/>
      <c r="O5" s="1077"/>
      <c r="P5" s="1077"/>
      <c r="Q5" s="1077"/>
      <c r="R5" s="1077"/>
      <c r="S5" s="1077"/>
    </row>
    <row r="6" spans="1:19">
      <c r="A6" s="782">
        <v>2014</v>
      </c>
      <c r="B6" s="695">
        <v>10750</v>
      </c>
      <c r="C6" s="695">
        <f>192+20+51</f>
        <v>263</v>
      </c>
      <c r="D6" s="783"/>
      <c r="E6" s="695"/>
      <c r="F6" s="710">
        <f t="shared" ref="F6:F7" si="3">C6*$S$3/1000</f>
        <v>0.2092295719416</v>
      </c>
      <c r="G6" s="695"/>
      <c r="H6" s="710">
        <f t="shared" si="2"/>
        <v>0</v>
      </c>
      <c r="I6" s="710">
        <f t="shared" si="1"/>
        <v>5.2307392985399999E-2</v>
      </c>
      <c r="J6" s="710">
        <f t="shared" si="1"/>
        <v>0</v>
      </c>
      <c r="M6" s="725" t="s">
        <v>1446</v>
      </c>
      <c r="N6" s="725"/>
      <c r="O6" s="725"/>
      <c r="P6" s="725"/>
      <c r="Q6" s="725"/>
      <c r="R6" s="725"/>
      <c r="S6" s="725">
        <v>0.92</v>
      </c>
    </row>
    <row r="7" spans="1:19">
      <c r="A7" s="782">
        <v>2015</v>
      </c>
      <c r="B7" s="695"/>
      <c r="C7" s="695">
        <v>369</v>
      </c>
      <c r="D7" s="783">
        <v>2000</v>
      </c>
      <c r="E7" s="695"/>
      <c r="F7" s="710">
        <f t="shared" si="3"/>
        <v>0.29355784048079997</v>
      </c>
      <c r="G7" s="695"/>
      <c r="H7" s="710">
        <f t="shared" si="2"/>
        <v>0</v>
      </c>
      <c r="I7" s="710">
        <f t="shared" si="1"/>
        <v>7.3389460120199992E-2</v>
      </c>
      <c r="J7" s="710">
        <f t="shared" si="1"/>
        <v>0</v>
      </c>
      <c r="M7" s="1075" t="s">
        <v>1447</v>
      </c>
      <c r="N7" s="1075"/>
      <c r="O7" s="1075"/>
      <c r="P7" s="1075"/>
      <c r="Q7" s="1075"/>
      <c r="R7" s="1075"/>
      <c r="S7" s="1075"/>
    </row>
    <row r="8" spans="1:19">
      <c r="A8" s="782">
        <v>2016</v>
      </c>
      <c r="B8" s="695"/>
      <c r="C8" s="695"/>
      <c r="D8" s="783">
        <v>2000</v>
      </c>
      <c r="E8" s="695"/>
      <c r="F8" s="710">
        <f t="shared" si="0"/>
        <v>0</v>
      </c>
      <c r="G8" s="695"/>
      <c r="H8" s="710">
        <f t="shared" si="2"/>
        <v>0</v>
      </c>
      <c r="I8" s="710">
        <f t="shared" si="1"/>
        <v>0</v>
      </c>
      <c r="J8" s="710">
        <f t="shared" si="1"/>
        <v>0</v>
      </c>
      <c r="M8" s="725"/>
      <c r="N8" s="725"/>
      <c r="O8" s="725"/>
      <c r="P8" s="725"/>
      <c r="Q8" s="725"/>
      <c r="R8" s="725"/>
      <c r="S8" s="725"/>
    </row>
    <row r="9" spans="1:19">
      <c r="A9" s="782">
        <v>2017</v>
      </c>
      <c r="B9" s="695"/>
      <c r="C9" s="695"/>
      <c r="D9" s="783">
        <v>2040</v>
      </c>
      <c r="E9" s="695"/>
      <c r="F9" s="710">
        <f t="shared" si="0"/>
        <v>0</v>
      </c>
      <c r="G9" s="695"/>
      <c r="H9" s="710">
        <f t="shared" si="2"/>
        <v>0</v>
      </c>
      <c r="I9" s="710">
        <f t="shared" si="1"/>
        <v>0</v>
      </c>
      <c r="J9" s="710">
        <f t="shared" si="1"/>
        <v>0</v>
      </c>
      <c r="M9" s="725" t="s">
        <v>1448</v>
      </c>
      <c r="N9" s="725"/>
      <c r="O9" s="725"/>
      <c r="P9" s="725"/>
      <c r="Q9" s="725"/>
      <c r="R9" s="725"/>
      <c r="S9" s="725">
        <v>0.2</v>
      </c>
    </row>
    <row r="10" spans="1:19">
      <c r="A10" s="782">
        <v>2018</v>
      </c>
      <c r="B10" s="695"/>
      <c r="C10" s="695"/>
      <c r="D10" s="783"/>
      <c r="E10" s="695"/>
      <c r="F10" s="710">
        <f t="shared" si="0"/>
        <v>0</v>
      </c>
      <c r="G10" s="695"/>
      <c r="H10" s="710">
        <f t="shared" si="2"/>
        <v>0</v>
      </c>
      <c r="I10" s="710">
        <f t="shared" si="1"/>
        <v>0</v>
      </c>
      <c r="J10" s="710">
        <f t="shared" si="1"/>
        <v>0</v>
      </c>
      <c r="M10" s="750" t="s">
        <v>1390</v>
      </c>
      <c r="N10" s="725"/>
      <c r="O10" s="725"/>
      <c r="P10" s="725"/>
      <c r="Q10" s="725"/>
      <c r="R10" s="725"/>
      <c r="S10" s="725"/>
    </row>
    <row r="11" spans="1:19">
      <c r="A11" s="782">
        <v>2019</v>
      </c>
      <c r="B11" s="695"/>
      <c r="C11" s="695"/>
      <c r="D11" s="783"/>
      <c r="E11" s="695"/>
      <c r="F11" s="710">
        <f t="shared" si="0"/>
        <v>0</v>
      </c>
      <c r="G11" s="695"/>
      <c r="H11" s="710">
        <f t="shared" si="2"/>
        <v>0</v>
      </c>
      <c r="I11" s="710">
        <f t="shared" si="1"/>
        <v>0</v>
      </c>
      <c r="J11" s="710">
        <f t="shared" si="1"/>
        <v>0</v>
      </c>
      <c r="M11" s="725"/>
      <c r="N11" s="725"/>
      <c r="O11" s="725"/>
      <c r="P11" s="725"/>
      <c r="Q11" s="725"/>
      <c r="R11" s="725"/>
      <c r="S11" s="725"/>
    </row>
    <row r="12" spans="1:19">
      <c r="A12" s="782">
        <v>2020</v>
      </c>
      <c r="B12" s="695"/>
      <c r="C12" s="695"/>
      <c r="D12" s="783"/>
      <c r="E12" s="695"/>
      <c r="F12" s="710">
        <f t="shared" si="0"/>
        <v>0</v>
      </c>
      <c r="G12" s="695"/>
      <c r="H12" s="710">
        <f t="shared" si="2"/>
        <v>0</v>
      </c>
      <c r="I12" s="710">
        <f t="shared" si="1"/>
        <v>0</v>
      </c>
      <c r="J12" s="710">
        <f t="shared" si="1"/>
        <v>0</v>
      </c>
      <c r="M12" s="725" t="s">
        <v>1449</v>
      </c>
      <c r="N12" s="725"/>
      <c r="O12" s="725"/>
      <c r="P12" s="725"/>
      <c r="Q12" s="725"/>
      <c r="R12" s="725"/>
      <c r="S12" s="725">
        <v>0.5</v>
      </c>
    </row>
    <row r="13" spans="1:19">
      <c r="A13" s="782">
        <v>2021</v>
      </c>
      <c r="B13" s="695"/>
      <c r="C13" s="695"/>
      <c r="D13" s="783"/>
      <c r="E13" s="695"/>
      <c r="F13" s="710">
        <f t="shared" si="0"/>
        <v>0</v>
      </c>
      <c r="G13" s="695"/>
      <c r="H13" s="710">
        <f t="shared" si="2"/>
        <v>0</v>
      </c>
      <c r="I13" s="710">
        <f t="shared" si="1"/>
        <v>0</v>
      </c>
      <c r="J13" s="710">
        <f t="shared" si="1"/>
        <v>0</v>
      </c>
      <c r="M13" s="725" t="s">
        <v>1450</v>
      </c>
      <c r="N13" s="725"/>
      <c r="O13" s="725"/>
      <c r="P13" s="725"/>
      <c r="Q13" s="725"/>
      <c r="R13" s="725"/>
      <c r="S13" s="725"/>
    </row>
    <row r="14" spans="1:19">
      <c r="A14" s="782" t="s">
        <v>1451</v>
      </c>
      <c r="B14" s="784">
        <v>30750</v>
      </c>
      <c r="C14" s="784">
        <v>3430</v>
      </c>
      <c r="D14" s="785">
        <v>6040</v>
      </c>
      <c r="E14" s="695"/>
      <c r="F14" s="695"/>
      <c r="G14" s="695"/>
      <c r="H14" s="695"/>
      <c r="I14" s="695"/>
      <c r="J14" s="695"/>
      <c r="M14" s="725"/>
      <c r="N14" s="725"/>
      <c r="O14" s="725"/>
      <c r="P14" s="725"/>
      <c r="Q14" s="725"/>
      <c r="R14" s="725"/>
      <c r="S14" s="725"/>
    </row>
    <row r="19" spans="1:21">
      <c r="A19" s="1062" t="s">
        <v>1452</v>
      </c>
      <c r="B19" s="1056" t="s">
        <v>1453</v>
      </c>
      <c r="C19" s="1056"/>
      <c r="D19" s="1056"/>
      <c r="E19" s="1056"/>
      <c r="F19" s="1056"/>
      <c r="G19" s="1056"/>
      <c r="H19" s="1056"/>
      <c r="I19" s="1056"/>
      <c r="J19" s="1056"/>
      <c r="L19" s="1064" t="s">
        <v>1452</v>
      </c>
      <c r="M19" s="1056" t="s">
        <v>1454</v>
      </c>
      <c r="N19" s="1056"/>
      <c r="O19" s="1056"/>
      <c r="P19" s="1056"/>
      <c r="Q19" s="1056"/>
      <c r="R19" s="1056"/>
      <c r="S19" s="1056"/>
      <c r="T19" s="1056"/>
      <c r="U19" s="1056"/>
    </row>
    <row r="20" spans="1:21">
      <c r="A20" s="1063"/>
      <c r="B20" s="754">
        <v>2013</v>
      </c>
      <c r="C20" s="754">
        <v>2014</v>
      </c>
      <c r="D20" s="754">
        <v>2015</v>
      </c>
      <c r="E20" s="754">
        <v>2016</v>
      </c>
      <c r="F20" s="754">
        <v>2017</v>
      </c>
      <c r="G20" s="754">
        <v>2018</v>
      </c>
      <c r="H20" s="754">
        <v>2019</v>
      </c>
      <c r="I20" s="754">
        <v>2020</v>
      </c>
      <c r="J20" s="754">
        <v>2021</v>
      </c>
      <c r="L20" s="1065"/>
      <c r="M20" s="754">
        <v>2013</v>
      </c>
      <c r="N20" s="754">
        <v>2014</v>
      </c>
      <c r="O20" s="754">
        <v>2015</v>
      </c>
      <c r="P20" s="754">
        <v>2016</v>
      </c>
      <c r="Q20" s="754">
        <v>2017</v>
      </c>
      <c r="R20" s="754">
        <v>2018</v>
      </c>
      <c r="S20" s="754">
        <v>2019</v>
      </c>
      <c r="T20" s="754">
        <v>2020</v>
      </c>
      <c r="U20" s="754">
        <v>2021</v>
      </c>
    </row>
    <row r="21" spans="1:21">
      <c r="A21" s="695">
        <v>2013</v>
      </c>
      <c r="B21" s="710">
        <f>$S$6*$C$5*0.75</f>
        <v>265.64999999999998</v>
      </c>
      <c r="C21" s="710">
        <f>$S$6*$C$5*0.75</f>
        <v>265.64999999999998</v>
      </c>
      <c r="D21" s="710">
        <f>$S$6*$C$5*0.75</f>
        <v>265.64999999999998</v>
      </c>
      <c r="E21" s="710">
        <f t="shared" ref="E21:J21" si="4">$S$6*$C$5*0.75</f>
        <v>265.64999999999998</v>
      </c>
      <c r="F21" s="710">
        <f t="shared" si="4"/>
        <v>265.64999999999998</v>
      </c>
      <c r="G21" s="710">
        <f t="shared" si="4"/>
        <v>265.64999999999998</v>
      </c>
      <c r="H21" s="710">
        <f t="shared" si="4"/>
        <v>265.64999999999998</v>
      </c>
      <c r="I21" s="710">
        <f t="shared" si="4"/>
        <v>265.64999999999998</v>
      </c>
      <c r="J21" s="710">
        <f t="shared" si="4"/>
        <v>265.64999999999998</v>
      </c>
      <c r="L21" s="695">
        <v>2013</v>
      </c>
      <c r="M21" s="710">
        <f>B21*$S$12</f>
        <v>132.82499999999999</v>
      </c>
      <c r="N21" s="710">
        <f t="shared" ref="N21:U29" si="5">C21*$S$12</f>
        <v>132.82499999999999</v>
      </c>
      <c r="O21" s="710">
        <f t="shared" si="5"/>
        <v>132.82499999999999</v>
      </c>
      <c r="P21" s="710">
        <f t="shared" si="5"/>
        <v>132.82499999999999</v>
      </c>
      <c r="Q21" s="710">
        <f t="shared" si="5"/>
        <v>132.82499999999999</v>
      </c>
      <c r="R21" s="710">
        <f t="shared" si="5"/>
        <v>132.82499999999999</v>
      </c>
      <c r="S21" s="710">
        <f t="shared" si="5"/>
        <v>132.82499999999999</v>
      </c>
      <c r="T21" s="710">
        <f t="shared" si="5"/>
        <v>132.82499999999999</v>
      </c>
      <c r="U21" s="710">
        <f t="shared" si="5"/>
        <v>132.82499999999999</v>
      </c>
    </row>
    <row r="22" spans="1:21">
      <c r="A22" s="695">
        <v>2014</v>
      </c>
      <c r="B22" s="695"/>
      <c r="C22" s="710">
        <f>$S$6*$C$6*0.75</f>
        <v>181.47</v>
      </c>
      <c r="D22" s="710">
        <f>$S$6*$C$6*0.75</f>
        <v>181.47</v>
      </c>
      <c r="E22" s="710">
        <f t="shared" ref="E22:J22" si="6">$S$6*$C$6*0.75</f>
        <v>181.47</v>
      </c>
      <c r="F22" s="710">
        <f t="shared" si="6"/>
        <v>181.47</v>
      </c>
      <c r="G22" s="710">
        <f t="shared" si="6"/>
        <v>181.47</v>
      </c>
      <c r="H22" s="710">
        <f t="shared" si="6"/>
        <v>181.47</v>
      </c>
      <c r="I22" s="710">
        <f t="shared" si="6"/>
        <v>181.47</v>
      </c>
      <c r="J22" s="710">
        <f t="shared" si="6"/>
        <v>181.47</v>
      </c>
      <c r="L22" s="695">
        <v>2014</v>
      </c>
      <c r="M22" s="710">
        <f t="shared" ref="M22:M29" si="7">B22*$S$12</f>
        <v>0</v>
      </c>
      <c r="N22" s="710">
        <f t="shared" si="5"/>
        <v>90.734999999999999</v>
      </c>
      <c r="O22" s="710">
        <f t="shared" si="5"/>
        <v>90.734999999999999</v>
      </c>
      <c r="P22" s="710">
        <f t="shared" si="5"/>
        <v>90.734999999999999</v>
      </c>
      <c r="Q22" s="710">
        <f t="shared" si="5"/>
        <v>90.734999999999999</v>
      </c>
      <c r="R22" s="710">
        <f t="shared" si="5"/>
        <v>90.734999999999999</v>
      </c>
      <c r="S22" s="710">
        <f t="shared" si="5"/>
        <v>90.734999999999999</v>
      </c>
      <c r="T22" s="710">
        <f t="shared" si="5"/>
        <v>90.734999999999999</v>
      </c>
      <c r="U22" s="710">
        <f t="shared" si="5"/>
        <v>90.734999999999999</v>
      </c>
    </row>
    <row r="23" spans="1:21">
      <c r="A23" s="695">
        <v>2015</v>
      </c>
      <c r="B23" s="695"/>
      <c r="C23" s="695"/>
      <c r="D23" s="710">
        <f>$S$6*$C$7*0.75</f>
        <v>254.61</v>
      </c>
      <c r="E23" s="710">
        <f>$S$6*$C$7*0.75</f>
        <v>254.61</v>
      </c>
      <c r="F23" s="710">
        <f t="shared" ref="F23:J23" si="8">$S$6*$C$7*0.75</f>
        <v>254.61</v>
      </c>
      <c r="G23" s="710">
        <f t="shared" si="8"/>
        <v>254.61</v>
      </c>
      <c r="H23" s="710">
        <f t="shared" si="8"/>
        <v>254.61</v>
      </c>
      <c r="I23" s="710">
        <f t="shared" si="8"/>
        <v>254.61</v>
      </c>
      <c r="J23" s="710">
        <f t="shared" si="8"/>
        <v>254.61</v>
      </c>
      <c r="L23" s="695">
        <v>2015</v>
      </c>
      <c r="M23" s="710">
        <f t="shared" si="7"/>
        <v>0</v>
      </c>
      <c r="N23" s="710">
        <f t="shared" si="5"/>
        <v>0</v>
      </c>
      <c r="O23" s="710">
        <f t="shared" si="5"/>
        <v>127.30500000000001</v>
      </c>
      <c r="P23" s="710">
        <f t="shared" si="5"/>
        <v>127.30500000000001</v>
      </c>
      <c r="Q23" s="710">
        <f t="shared" si="5"/>
        <v>127.30500000000001</v>
      </c>
      <c r="R23" s="710">
        <f t="shared" si="5"/>
        <v>127.30500000000001</v>
      </c>
      <c r="S23" s="710">
        <f t="shared" si="5"/>
        <v>127.30500000000001</v>
      </c>
      <c r="T23" s="710">
        <f t="shared" si="5"/>
        <v>127.30500000000001</v>
      </c>
      <c r="U23" s="710">
        <f t="shared" si="5"/>
        <v>127.30500000000001</v>
      </c>
    </row>
    <row r="24" spans="1:21">
      <c r="A24" s="695">
        <v>2016</v>
      </c>
      <c r="B24" s="695"/>
      <c r="C24" s="695"/>
      <c r="D24" s="695"/>
      <c r="E24" s="695"/>
      <c r="F24" s="695"/>
      <c r="G24" s="695"/>
      <c r="H24" s="695"/>
      <c r="I24" s="695"/>
      <c r="J24" s="695"/>
      <c r="L24" s="695">
        <v>2016</v>
      </c>
      <c r="M24" s="710">
        <f t="shared" si="7"/>
        <v>0</v>
      </c>
      <c r="N24" s="710">
        <f t="shared" si="5"/>
        <v>0</v>
      </c>
      <c r="O24" s="710">
        <f t="shared" si="5"/>
        <v>0</v>
      </c>
      <c r="P24" s="710">
        <f t="shared" si="5"/>
        <v>0</v>
      </c>
      <c r="Q24" s="710">
        <f t="shared" si="5"/>
        <v>0</v>
      </c>
      <c r="R24" s="710">
        <f t="shared" si="5"/>
        <v>0</v>
      </c>
      <c r="S24" s="710">
        <f t="shared" si="5"/>
        <v>0</v>
      </c>
      <c r="T24" s="710">
        <f t="shared" si="5"/>
        <v>0</v>
      </c>
      <c r="U24" s="710">
        <f t="shared" si="5"/>
        <v>0</v>
      </c>
    </row>
    <row r="25" spans="1:21">
      <c r="A25" s="695">
        <v>2017</v>
      </c>
      <c r="B25" s="695"/>
      <c r="C25" s="695"/>
      <c r="D25" s="695"/>
      <c r="E25" s="695"/>
      <c r="F25" s="695"/>
      <c r="G25" s="695"/>
      <c r="H25" s="695"/>
      <c r="I25" s="695"/>
      <c r="J25" s="695"/>
      <c r="L25" s="695">
        <v>2017</v>
      </c>
      <c r="M25" s="710">
        <f t="shared" si="7"/>
        <v>0</v>
      </c>
      <c r="N25" s="710">
        <f t="shared" si="5"/>
        <v>0</v>
      </c>
      <c r="O25" s="710">
        <f t="shared" si="5"/>
        <v>0</v>
      </c>
      <c r="P25" s="710">
        <f t="shared" si="5"/>
        <v>0</v>
      </c>
      <c r="Q25" s="710">
        <f t="shared" si="5"/>
        <v>0</v>
      </c>
      <c r="R25" s="710">
        <f t="shared" si="5"/>
        <v>0</v>
      </c>
      <c r="S25" s="710">
        <f t="shared" si="5"/>
        <v>0</v>
      </c>
      <c r="T25" s="710">
        <f t="shared" si="5"/>
        <v>0</v>
      </c>
      <c r="U25" s="710">
        <f t="shared" si="5"/>
        <v>0</v>
      </c>
    </row>
    <row r="26" spans="1:21">
      <c r="A26" s="695">
        <v>2018</v>
      </c>
      <c r="B26" s="695"/>
      <c r="C26" s="695"/>
      <c r="D26" s="695"/>
      <c r="E26" s="695"/>
      <c r="F26" s="695"/>
      <c r="G26" s="695"/>
      <c r="H26" s="695"/>
      <c r="I26" s="695"/>
      <c r="J26" s="695"/>
      <c r="L26" s="695">
        <v>2018</v>
      </c>
      <c r="M26" s="710">
        <f t="shared" si="7"/>
        <v>0</v>
      </c>
      <c r="N26" s="710">
        <f t="shared" si="5"/>
        <v>0</v>
      </c>
      <c r="O26" s="710">
        <f t="shared" si="5"/>
        <v>0</v>
      </c>
      <c r="P26" s="710">
        <f t="shared" si="5"/>
        <v>0</v>
      </c>
      <c r="Q26" s="710">
        <f t="shared" si="5"/>
        <v>0</v>
      </c>
      <c r="R26" s="710">
        <f t="shared" si="5"/>
        <v>0</v>
      </c>
      <c r="S26" s="710">
        <f t="shared" si="5"/>
        <v>0</v>
      </c>
      <c r="T26" s="710">
        <f t="shared" si="5"/>
        <v>0</v>
      </c>
      <c r="U26" s="710">
        <f t="shared" si="5"/>
        <v>0</v>
      </c>
    </row>
    <row r="27" spans="1:21">
      <c r="A27" s="695">
        <v>2019</v>
      </c>
      <c r="B27" s="695"/>
      <c r="C27" s="695"/>
      <c r="D27" s="695"/>
      <c r="E27" s="695"/>
      <c r="F27" s="695"/>
      <c r="G27" s="695"/>
      <c r="H27" s="695"/>
      <c r="I27" s="695"/>
      <c r="J27" s="695"/>
      <c r="L27" s="695">
        <v>2019</v>
      </c>
      <c r="M27" s="710">
        <f t="shared" si="7"/>
        <v>0</v>
      </c>
      <c r="N27" s="710">
        <f t="shared" si="5"/>
        <v>0</v>
      </c>
      <c r="O27" s="710">
        <f t="shared" si="5"/>
        <v>0</v>
      </c>
      <c r="P27" s="710">
        <f t="shared" si="5"/>
        <v>0</v>
      </c>
      <c r="Q27" s="710">
        <f t="shared" si="5"/>
        <v>0</v>
      </c>
      <c r="R27" s="710">
        <f t="shared" si="5"/>
        <v>0</v>
      </c>
      <c r="S27" s="710">
        <f t="shared" si="5"/>
        <v>0</v>
      </c>
      <c r="T27" s="710">
        <f t="shared" si="5"/>
        <v>0</v>
      </c>
      <c r="U27" s="710">
        <f t="shared" si="5"/>
        <v>0</v>
      </c>
    </row>
    <row r="28" spans="1:21">
      <c r="A28" s="695">
        <v>2020</v>
      </c>
      <c r="B28" s="695"/>
      <c r="C28" s="695"/>
      <c r="D28" s="695"/>
      <c r="E28" s="695"/>
      <c r="F28" s="695"/>
      <c r="G28" s="695"/>
      <c r="H28" s="695"/>
      <c r="I28" s="695"/>
      <c r="J28" s="695"/>
      <c r="L28" s="695">
        <v>2020</v>
      </c>
      <c r="M28" s="710">
        <f t="shared" si="7"/>
        <v>0</v>
      </c>
      <c r="N28" s="710">
        <f t="shared" si="5"/>
        <v>0</v>
      </c>
      <c r="O28" s="710">
        <f t="shared" si="5"/>
        <v>0</v>
      </c>
      <c r="P28" s="710">
        <f t="shared" si="5"/>
        <v>0</v>
      </c>
      <c r="Q28" s="710">
        <f t="shared" si="5"/>
        <v>0</v>
      </c>
      <c r="R28" s="710">
        <f t="shared" si="5"/>
        <v>0</v>
      </c>
      <c r="S28" s="710">
        <f t="shared" si="5"/>
        <v>0</v>
      </c>
      <c r="T28" s="710">
        <f t="shared" si="5"/>
        <v>0</v>
      </c>
      <c r="U28" s="710">
        <f t="shared" si="5"/>
        <v>0</v>
      </c>
    </row>
    <row r="29" spans="1:21">
      <c r="A29" s="695">
        <v>2021</v>
      </c>
      <c r="B29" s="695"/>
      <c r="C29" s="695"/>
      <c r="D29" s="695"/>
      <c r="E29" s="695"/>
      <c r="F29" s="695"/>
      <c r="G29" s="695"/>
      <c r="H29" s="695"/>
      <c r="I29" s="695"/>
      <c r="J29" s="695"/>
      <c r="L29" s="695">
        <v>2021</v>
      </c>
      <c r="M29" s="710">
        <f t="shared" si="7"/>
        <v>0</v>
      </c>
      <c r="N29" s="710">
        <f t="shared" si="5"/>
        <v>0</v>
      </c>
      <c r="O29" s="710">
        <f t="shared" si="5"/>
        <v>0</v>
      </c>
      <c r="P29" s="710">
        <f t="shared" si="5"/>
        <v>0</v>
      </c>
      <c r="Q29" s="710">
        <f t="shared" si="5"/>
        <v>0</v>
      </c>
      <c r="R29" s="710">
        <f t="shared" si="5"/>
        <v>0</v>
      </c>
      <c r="S29" s="710">
        <f t="shared" si="5"/>
        <v>0</v>
      </c>
      <c r="T29" s="710">
        <f t="shared" si="5"/>
        <v>0</v>
      </c>
      <c r="U29" s="710">
        <f t="shared" si="5"/>
        <v>0</v>
      </c>
    </row>
    <row r="30" spans="1:21">
      <c r="A30" s="695" t="s">
        <v>1455</v>
      </c>
      <c r="B30" s="710">
        <f>SUM(B21:B29)</f>
        <v>265.64999999999998</v>
      </c>
      <c r="C30" s="710">
        <f t="shared" ref="C30:J30" si="9">SUM(C21:C29)</f>
        <v>447.12</v>
      </c>
      <c r="D30" s="710">
        <f t="shared" si="9"/>
        <v>701.73</v>
      </c>
      <c r="E30" s="710">
        <f t="shared" si="9"/>
        <v>701.73</v>
      </c>
      <c r="F30" s="710">
        <f t="shared" si="9"/>
        <v>701.73</v>
      </c>
      <c r="G30" s="710">
        <f t="shared" si="9"/>
        <v>701.73</v>
      </c>
      <c r="H30" s="710">
        <f t="shared" si="9"/>
        <v>701.73</v>
      </c>
      <c r="I30" s="710">
        <f t="shared" si="9"/>
        <v>701.73</v>
      </c>
      <c r="J30" s="710">
        <f t="shared" si="9"/>
        <v>701.73</v>
      </c>
      <c r="L30" s="695" t="s">
        <v>1455</v>
      </c>
      <c r="M30" s="710">
        <f>SUM(M21:M29)</f>
        <v>132.82499999999999</v>
      </c>
      <c r="N30" s="710">
        <f t="shared" ref="N30:U30" si="10">SUM(N21:N29)</f>
        <v>223.56</v>
      </c>
      <c r="O30" s="710">
        <f t="shared" si="10"/>
        <v>350.86500000000001</v>
      </c>
      <c r="P30" s="710">
        <f t="shared" si="10"/>
        <v>350.86500000000001</v>
      </c>
      <c r="Q30" s="710">
        <f t="shared" si="10"/>
        <v>350.86500000000001</v>
      </c>
      <c r="R30" s="710">
        <f t="shared" si="10"/>
        <v>350.86500000000001</v>
      </c>
      <c r="S30" s="710">
        <f t="shared" si="10"/>
        <v>350.86500000000001</v>
      </c>
      <c r="T30" s="710">
        <f t="shared" si="10"/>
        <v>350.86500000000001</v>
      </c>
      <c r="U30" s="710">
        <f t="shared" si="10"/>
        <v>350.86500000000001</v>
      </c>
    </row>
    <row r="31" spans="1:21">
      <c r="A31" s="786" t="s">
        <v>1456</v>
      </c>
      <c r="B31" s="721">
        <f>B30/1000</f>
        <v>0.26565</v>
      </c>
      <c r="C31" s="721">
        <f>C30/1000</f>
        <v>0.44712000000000002</v>
      </c>
      <c r="D31" s="721">
        <f t="shared" ref="D31:J31" si="11">D30/1000</f>
        <v>0.70172999999999996</v>
      </c>
      <c r="E31" s="721">
        <f t="shared" si="11"/>
        <v>0.70172999999999996</v>
      </c>
      <c r="F31" s="721">
        <f t="shared" si="11"/>
        <v>0.70172999999999996</v>
      </c>
      <c r="G31" s="721">
        <f t="shared" si="11"/>
        <v>0.70172999999999996</v>
      </c>
      <c r="H31" s="721">
        <f t="shared" si="11"/>
        <v>0.70172999999999996</v>
      </c>
      <c r="I31" s="721">
        <f t="shared" si="11"/>
        <v>0.70172999999999996</v>
      </c>
      <c r="J31" s="721">
        <f t="shared" si="11"/>
        <v>0.70172999999999996</v>
      </c>
      <c r="L31" s="786" t="s">
        <v>1457</v>
      </c>
      <c r="M31" s="721">
        <f>M30/1000000</f>
        <v>1.3282499999999999E-4</v>
      </c>
      <c r="N31" s="721">
        <f t="shared" ref="N31:U31" si="12">N30/1000000</f>
        <v>2.2356000000000001E-4</v>
      </c>
      <c r="O31" s="721">
        <f t="shared" si="12"/>
        <v>3.5086500000000001E-4</v>
      </c>
      <c r="P31" s="721">
        <f t="shared" si="12"/>
        <v>3.5086500000000001E-4</v>
      </c>
      <c r="Q31" s="721">
        <f t="shared" si="12"/>
        <v>3.5086500000000001E-4</v>
      </c>
      <c r="R31" s="721">
        <f t="shared" si="12"/>
        <v>3.5086500000000001E-4</v>
      </c>
      <c r="S31" s="721">
        <f t="shared" si="12"/>
        <v>3.5086500000000001E-4</v>
      </c>
      <c r="T31" s="721">
        <f t="shared" si="12"/>
        <v>3.5086500000000001E-4</v>
      </c>
      <c r="U31" s="721">
        <f t="shared" si="12"/>
        <v>3.5086500000000001E-4</v>
      </c>
    </row>
    <row r="32" spans="1:21">
      <c r="L32" s="786" t="s">
        <v>1458</v>
      </c>
      <c r="M32" s="721">
        <f>M31*(44/12)*1000</f>
        <v>0.48702499999999993</v>
      </c>
      <c r="N32" s="721">
        <f t="shared" ref="N32:U32" si="13">N31*(44/12)*1000</f>
        <v>0.81972</v>
      </c>
      <c r="O32" s="721">
        <f t="shared" si="13"/>
        <v>1.286505</v>
      </c>
      <c r="P32" s="721">
        <f t="shared" si="13"/>
        <v>1.286505</v>
      </c>
      <c r="Q32" s="721">
        <f t="shared" si="13"/>
        <v>1.286505</v>
      </c>
      <c r="R32" s="721">
        <f t="shared" si="13"/>
        <v>1.286505</v>
      </c>
      <c r="S32" s="721">
        <f t="shared" si="13"/>
        <v>1.286505</v>
      </c>
      <c r="T32" s="721">
        <f t="shared" si="13"/>
        <v>1.286505</v>
      </c>
      <c r="U32" s="721">
        <f t="shared" si="13"/>
        <v>1.286505</v>
      </c>
    </row>
    <row r="37" spans="1:13" ht="14.45" customHeight="1">
      <c r="A37" s="1066" t="s">
        <v>1394</v>
      </c>
      <c r="B37" s="1068" t="s">
        <v>1459</v>
      </c>
      <c r="C37" s="1069"/>
      <c r="D37" s="1069"/>
      <c r="E37" s="1069"/>
      <c r="F37" s="1069"/>
      <c r="G37" s="1069"/>
      <c r="H37" s="1070"/>
      <c r="I37" s="1071" t="s">
        <v>1382</v>
      </c>
      <c r="J37" s="1071" t="s">
        <v>1383</v>
      </c>
      <c r="K37" s="1071" t="s">
        <v>1384</v>
      </c>
      <c r="L37" s="1073" t="s">
        <v>1460</v>
      </c>
    </row>
    <row r="38" spans="1:13" ht="63.75">
      <c r="A38" s="1067"/>
      <c r="B38" s="671" t="s">
        <v>1461</v>
      </c>
      <c r="C38" s="671" t="s">
        <v>1396</v>
      </c>
      <c r="D38" s="671" t="s">
        <v>1462</v>
      </c>
      <c r="E38" s="671" t="s">
        <v>1396</v>
      </c>
      <c r="F38" s="671" t="s">
        <v>1463</v>
      </c>
      <c r="G38" s="671" t="s">
        <v>1396</v>
      </c>
      <c r="H38" s="671" t="s">
        <v>1400</v>
      </c>
      <c r="I38" s="1072"/>
      <c r="J38" s="1072"/>
      <c r="K38" s="1072"/>
      <c r="L38" s="1074"/>
    </row>
    <row r="39" spans="1:13">
      <c r="A39" s="695">
        <v>2011</v>
      </c>
      <c r="B39" s="695"/>
      <c r="C39" s="695">
        <f>B39</f>
        <v>0</v>
      </c>
      <c r="D39" s="695"/>
      <c r="E39" s="695">
        <f>D39</f>
        <v>0</v>
      </c>
      <c r="F39" s="695"/>
      <c r="G39" s="695">
        <f>F39</f>
        <v>0</v>
      </c>
      <c r="H39" s="709">
        <f>B39+D39+F39</f>
        <v>0</v>
      </c>
      <c r="I39" s="710">
        <f>H39*0.5</f>
        <v>0</v>
      </c>
      <c r="J39" s="710">
        <f>I39/1000</f>
        <v>0</v>
      </c>
      <c r="K39" s="710">
        <f>J39*44/12</f>
        <v>0</v>
      </c>
      <c r="L39" s="721">
        <f>K39*1000</f>
        <v>0</v>
      </c>
    </row>
    <row r="40" spans="1:13">
      <c r="A40" s="695">
        <v>2012</v>
      </c>
      <c r="B40" s="695"/>
      <c r="C40" s="695">
        <f>B40+C39</f>
        <v>0</v>
      </c>
      <c r="D40" s="695"/>
      <c r="E40" s="695">
        <f>D40+E39</f>
        <v>0</v>
      </c>
      <c r="F40" s="695"/>
      <c r="G40" s="695">
        <f>F40+G39</f>
        <v>0</v>
      </c>
      <c r="H40" s="709">
        <f t="shared" ref="H40:H49" si="14">B40+D40+F40</f>
        <v>0</v>
      </c>
      <c r="I40" s="710">
        <f t="shared" ref="I40:I49" si="15">H40*0.5</f>
        <v>0</v>
      </c>
      <c r="J40" s="710">
        <f t="shared" ref="J40:J49" si="16">I40/1000</f>
        <v>0</v>
      </c>
      <c r="K40" s="710">
        <f t="shared" ref="K40:K49" si="17">J40*44/12</f>
        <v>0</v>
      </c>
      <c r="L40" s="721">
        <f t="shared" ref="L40:L49" si="18">K40*1000</f>
        <v>0</v>
      </c>
    </row>
    <row r="41" spans="1:13">
      <c r="A41" s="695">
        <v>2013</v>
      </c>
      <c r="B41" s="709">
        <f>$I$5*0.2</f>
        <v>1.5314331786600001E-2</v>
      </c>
      <c r="C41" s="709">
        <f t="shared" ref="C41:C49" si="19">B41+C40</f>
        <v>1.5314331786600001E-2</v>
      </c>
      <c r="D41" s="695"/>
      <c r="E41" s="695">
        <f t="shared" ref="E41:E49" si="20">D41+E40</f>
        <v>0</v>
      </c>
      <c r="F41" s="695"/>
      <c r="G41" s="695">
        <f t="shared" ref="G41:G49" si="21">F41+G40</f>
        <v>0</v>
      </c>
      <c r="H41" s="709">
        <f t="shared" si="14"/>
        <v>1.5314331786600001E-2</v>
      </c>
      <c r="I41" s="710">
        <f t="shared" si="15"/>
        <v>7.6571658933000004E-3</v>
      </c>
      <c r="J41" s="710">
        <f t="shared" si="16"/>
        <v>7.6571658933000004E-6</v>
      </c>
      <c r="K41" s="710">
        <f t="shared" si="17"/>
        <v>2.8076274942100002E-5</v>
      </c>
      <c r="L41" s="721">
        <f t="shared" si="18"/>
        <v>2.80762749421E-2</v>
      </c>
      <c r="M41" s="712"/>
    </row>
    <row r="42" spans="1:13">
      <c r="A42" s="695">
        <v>2014</v>
      </c>
      <c r="B42" s="709">
        <f>($F$5-C41)*0.2</f>
        <v>5.8194460789079999E-2</v>
      </c>
      <c r="C42" s="709">
        <f t="shared" si="19"/>
        <v>7.3508792575679993E-2</v>
      </c>
      <c r="D42" s="709">
        <f>$I$6*0.2</f>
        <v>1.046147859708E-2</v>
      </c>
      <c r="E42" s="709">
        <f t="shared" si="20"/>
        <v>1.046147859708E-2</v>
      </c>
      <c r="F42" s="695"/>
      <c r="G42" s="695">
        <f t="shared" si="21"/>
        <v>0</v>
      </c>
      <c r="H42" s="709">
        <f t="shared" si="14"/>
        <v>6.8655939386159992E-2</v>
      </c>
      <c r="I42" s="710">
        <f t="shared" si="15"/>
        <v>3.4327969693079996E-2</v>
      </c>
      <c r="J42" s="710">
        <f t="shared" si="16"/>
        <v>3.4327969693079995E-5</v>
      </c>
      <c r="K42" s="710">
        <f t="shared" si="17"/>
        <v>1.2586922220795998E-4</v>
      </c>
      <c r="L42" s="721">
        <f t="shared" si="18"/>
        <v>0.12586922220795999</v>
      </c>
    </row>
    <row r="43" spans="1:13">
      <c r="A43" s="695">
        <v>2015</v>
      </c>
      <c r="B43" s="709">
        <f t="shared" ref="B43:B49" si="22">($F$5-C42)*0.2</f>
        <v>4.6555568631264005E-2</v>
      </c>
      <c r="C43" s="709">
        <f t="shared" si="19"/>
        <v>0.120064361206944</v>
      </c>
      <c r="D43" s="709">
        <f>($F$6-E42)*0.2</f>
        <v>3.9753618668904006E-2</v>
      </c>
      <c r="E43" s="709">
        <f t="shared" si="20"/>
        <v>5.0215097265984006E-2</v>
      </c>
      <c r="F43" s="709">
        <f>$I$7*0.2</f>
        <v>1.4677892024039999E-2</v>
      </c>
      <c r="G43" s="709">
        <f t="shared" si="21"/>
        <v>1.4677892024039999E-2</v>
      </c>
      <c r="H43" s="709">
        <f t="shared" si="14"/>
        <v>0.10098707932420802</v>
      </c>
      <c r="I43" s="710">
        <f t="shared" si="15"/>
        <v>5.0493539662104008E-2</v>
      </c>
      <c r="J43" s="710">
        <f t="shared" si="16"/>
        <v>5.0493539662104005E-5</v>
      </c>
      <c r="K43" s="710">
        <f t="shared" si="17"/>
        <v>1.8514297876104802E-4</v>
      </c>
      <c r="L43" s="721">
        <f t="shared" si="18"/>
        <v>0.18514297876104802</v>
      </c>
    </row>
    <row r="44" spans="1:13">
      <c r="A44" s="695">
        <v>2016</v>
      </c>
      <c r="B44" s="709">
        <f t="shared" si="22"/>
        <v>3.7244454905011201E-2</v>
      </c>
      <c r="C44" s="709">
        <f t="shared" si="19"/>
        <v>0.15730881611195519</v>
      </c>
      <c r="D44" s="709">
        <f t="shared" ref="D44:D49" si="23">($F$6-E43)*0.2</f>
        <v>3.1802894935123199E-2</v>
      </c>
      <c r="E44" s="709">
        <f t="shared" si="20"/>
        <v>8.2017992201107198E-2</v>
      </c>
      <c r="F44" s="709">
        <f>($F$7-G43)*0.2</f>
        <v>5.5775989691351995E-2</v>
      </c>
      <c r="G44" s="709">
        <f t="shared" si="21"/>
        <v>7.0453881715391992E-2</v>
      </c>
      <c r="H44" s="709">
        <f t="shared" si="14"/>
        <v>0.12482333953148639</v>
      </c>
      <c r="I44" s="710">
        <f t="shared" si="15"/>
        <v>6.2411669765743194E-2</v>
      </c>
      <c r="J44" s="710">
        <f t="shared" si="16"/>
        <v>6.2411669765743188E-5</v>
      </c>
      <c r="K44" s="710">
        <f t="shared" si="17"/>
        <v>2.2884278914105834E-4</v>
      </c>
      <c r="L44" s="721">
        <f t="shared" si="18"/>
        <v>0.22884278914105835</v>
      </c>
    </row>
    <row r="45" spans="1:13">
      <c r="A45" s="695">
        <v>2017</v>
      </c>
      <c r="B45" s="709">
        <f t="shared" si="22"/>
        <v>2.9795563924008964E-2</v>
      </c>
      <c r="C45" s="709">
        <f t="shared" si="19"/>
        <v>0.18710438003596414</v>
      </c>
      <c r="D45" s="709">
        <f t="shared" si="23"/>
        <v>2.5442315948098562E-2</v>
      </c>
      <c r="E45" s="709">
        <f t="shared" si="20"/>
        <v>0.10746030814920576</v>
      </c>
      <c r="F45" s="709">
        <f t="shared" ref="F45:F49" si="24">($F$7-G44)*0.2</f>
        <v>4.4620791753081597E-2</v>
      </c>
      <c r="G45" s="709">
        <f t="shared" si="21"/>
        <v>0.11507467346847358</v>
      </c>
      <c r="H45" s="709">
        <f t="shared" si="14"/>
        <v>9.9858671625189133E-2</v>
      </c>
      <c r="I45" s="710">
        <f t="shared" si="15"/>
        <v>4.9929335812594566E-2</v>
      </c>
      <c r="J45" s="710">
        <f t="shared" si="16"/>
        <v>4.9929335812594565E-5</v>
      </c>
      <c r="K45" s="710">
        <f t="shared" si="17"/>
        <v>1.8307423131284675E-4</v>
      </c>
      <c r="L45" s="721">
        <f t="shared" si="18"/>
        <v>0.18307423131284675</v>
      </c>
    </row>
    <row r="46" spans="1:13">
      <c r="A46" s="695">
        <v>2018</v>
      </c>
      <c r="B46" s="709">
        <f t="shared" si="22"/>
        <v>2.3836451139207172E-2</v>
      </c>
      <c r="C46" s="709">
        <f t="shared" si="19"/>
        <v>0.21094083117517132</v>
      </c>
      <c r="D46" s="709">
        <f t="shared" si="23"/>
        <v>2.0353852758478848E-2</v>
      </c>
      <c r="E46" s="709">
        <f t="shared" si="20"/>
        <v>0.1278141609076846</v>
      </c>
      <c r="F46" s="709">
        <f t="shared" si="24"/>
        <v>3.5696633402465282E-2</v>
      </c>
      <c r="G46" s="709">
        <f t="shared" si="21"/>
        <v>0.15077130687093887</v>
      </c>
      <c r="H46" s="709">
        <f t="shared" si="14"/>
        <v>7.9886937300151312E-2</v>
      </c>
      <c r="I46" s="710">
        <f t="shared" si="15"/>
        <v>3.9943468650075656E-2</v>
      </c>
      <c r="J46" s="710">
        <f t="shared" si="16"/>
        <v>3.9943468650075656E-5</v>
      </c>
      <c r="K46" s="710">
        <f t="shared" si="17"/>
        <v>1.464593850502774E-4</v>
      </c>
      <c r="L46" s="721">
        <f t="shared" si="18"/>
        <v>0.14645938505027739</v>
      </c>
    </row>
    <row r="47" spans="1:13">
      <c r="A47" s="695">
        <v>2019</v>
      </c>
      <c r="B47" s="709">
        <f t="shared" si="22"/>
        <v>1.9069160911365735E-2</v>
      </c>
      <c r="C47" s="709">
        <f t="shared" si="19"/>
        <v>0.23000999208653705</v>
      </c>
      <c r="D47" s="709">
        <f t="shared" si="23"/>
        <v>1.6283082206783078E-2</v>
      </c>
      <c r="E47" s="709">
        <f t="shared" si="20"/>
        <v>0.14409724311446767</v>
      </c>
      <c r="F47" s="709">
        <f t="shared" si="24"/>
        <v>2.8557306721972223E-2</v>
      </c>
      <c r="G47" s="709">
        <f t="shared" si="21"/>
        <v>0.17932861359291108</v>
      </c>
      <c r="H47" s="709">
        <f t="shared" si="14"/>
        <v>6.3909549840121038E-2</v>
      </c>
      <c r="I47" s="710">
        <f t="shared" si="15"/>
        <v>3.1954774920060519E-2</v>
      </c>
      <c r="J47" s="710">
        <f t="shared" si="16"/>
        <v>3.195477492006052E-5</v>
      </c>
      <c r="K47" s="710">
        <f t="shared" si="17"/>
        <v>1.1716750804022191E-4</v>
      </c>
      <c r="L47" s="721">
        <f t="shared" si="18"/>
        <v>0.11716750804022191</v>
      </c>
    </row>
    <row r="48" spans="1:13">
      <c r="A48" s="695">
        <v>2020</v>
      </c>
      <c r="B48" s="709">
        <f t="shared" si="22"/>
        <v>1.5255328729092589E-2</v>
      </c>
      <c r="C48" s="709">
        <f t="shared" si="19"/>
        <v>0.24526532081562963</v>
      </c>
      <c r="D48" s="709">
        <f t="shared" si="23"/>
        <v>1.3026465765426466E-2</v>
      </c>
      <c r="E48" s="709">
        <f t="shared" si="20"/>
        <v>0.15712370887989413</v>
      </c>
      <c r="F48" s="709">
        <f t="shared" si="24"/>
        <v>2.2845845377577778E-2</v>
      </c>
      <c r="G48" s="709">
        <f t="shared" si="21"/>
        <v>0.20217445897048886</v>
      </c>
      <c r="H48" s="709">
        <f t="shared" si="14"/>
        <v>5.1127639872096835E-2</v>
      </c>
      <c r="I48" s="710">
        <f t="shared" si="15"/>
        <v>2.5563819936048417E-2</v>
      </c>
      <c r="J48" s="710">
        <f t="shared" si="16"/>
        <v>2.5563819936048418E-5</v>
      </c>
      <c r="K48" s="710">
        <f t="shared" si="17"/>
        <v>9.3734006432177538E-5</v>
      </c>
      <c r="L48" s="721">
        <f t="shared" si="18"/>
        <v>9.3734006432177538E-2</v>
      </c>
    </row>
    <row r="49" spans="1:12">
      <c r="A49" s="787">
        <v>2021</v>
      </c>
      <c r="B49" s="788">
        <f t="shared" si="22"/>
        <v>1.2204262983274074E-2</v>
      </c>
      <c r="C49" s="788">
        <f t="shared" si="19"/>
        <v>0.25746958379890372</v>
      </c>
      <c r="D49" s="788">
        <f t="shared" si="23"/>
        <v>1.0421172612341174E-2</v>
      </c>
      <c r="E49" s="788">
        <f t="shared" si="20"/>
        <v>0.16754488149223531</v>
      </c>
      <c r="F49" s="788">
        <f t="shared" si="24"/>
        <v>1.8276676302062225E-2</v>
      </c>
      <c r="G49" s="788">
        <f t="shared" si="21"/>
        <v>0.22045113527255109</v>
      </c>
      <c r="H49" s="788">
        <f t="shared" si="14"/>
        <v>4.0902111897677472E-2</v>
      </c>
      <c r="I49" s="789">
        <f t="shared" si="15"/>
        <v>2.0451055948838736E-2</v>
      </c>
      <c r="J49" s="789">
        <f t="shared" si="16"/>
        <v>2.0451055948838737E-5</v>
      </c>
      <c r="K49" s="789">
        <f t="shared" si="17"/>
        <v>7.4987205145742033E-5</v>
      </c>
      <c r="L49" s="790">
        <f t="shared" si="18"/>
        <v>7.4987205145742031E-2</v>
      </c>
    </row>
    <row r="50" spans="1:12">
      <c r="A50" s="791"/>
      <c r="B50" s="791"/>
      <c r="C50" s="791"/>
      <c r="D50" s="791"/>
      <c r="E50" s="791"/>
      <c r="F50" s="791"/>
      <c r="G50" s="791"/>
      <c r="H50" s="791"/>
      <c r="I50" s="791"/>
      <c r="J50" s="791"/>
      <c r="K50" s="791"/>
      <c r="L50" s="792"/>
    </row>
  </sheetData>
  <mergeCells count="16">
    <mergeCell ref="M7:S7"/>
    <mergeCell ref="A2:A3"/>
    <mergeCell ref="B2:D2"/>
    <mergeCell ref="E2:G2"/>
    <mergeCell ref="H2:J2"/>
    <mergeCell ref="M4:S5"/>
    <mergeCell ref="A19:A20"/>
    <mergeCell ref="B19:J19"/>
    <mergeCell ref="L19:L20"/>
    <mergeCell ref="M19:U19"/>
    <mergeCell ref="A37:A38"/>
    <mergeCell ref="B37:H37"/>
    <mergeCell ref="I37:I38"/>
    <mergeCell ref="J37:J38"/>
    <mergeCell ref="K37:K38"/>
    <mergeCell ref="L37:L3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2:V52"/>
  <sheetViews>
    <sheetView topLeftCell="I10" workbookViewId="0">
      <selection activeCell="J8" sqref="J8"/>
    </sheetView>
  </sheetViews>
  <sheetFormatPr baseColWidth="10" defaultRowHeight="15"/>
  <cols>
    <col min="1" max="1" width="17.5703125" customWidth="1"/>
    <col min="2" max="2" width="15" customWidth="1"/>
    <col min="3" max="3" width="15.42578125" bestFit="1" customWidth="1"/>
    <col min="4" max="4" width="15.5703125" bestFit="1" customWidth="1"/>
    <col min="5" max="5" width="16.42578125" bestFit="1" customWidth="1"/>
    <col min="10" max="10" width="19.140625" customWidth="1"/>
    <col min="15" max="15" width="11.42578125" customWidth="1"/>
  </cols>
  <sheetData>
    <row r="2" spans="1:21" ht="15.75">
      <c r="A2" t="s">
        <v>1464</v>
      </c>
      <c r="J2" s="793" t="s">
        <v>1465</v>
      </c>
    </row>
    <row r="3" spans="1:21" ht="32.25" customHeight="1">
      <c r="A3" s="863" t="s">
        <v>844</v>
      </c>
      <c r="B3" t="s">
        <v>1466</v>
      </c>
      <c r="C3" t="s">
        <v>1467</v>
      </c>
      <c r="D3" t="s">
        <v>1468</v>
      </c>
      <c r="E3" t="s">
        <v>1469</v>
      </c>
      <c r="J3" s="1081" t="s">
        <v>649</v>
      </c>
      <c r="K3" s="1081" t="s">
        <v>1470</v>
      </c>
      <c r="L3" s="1081"/>
      <c r="M3" s="1081"/>
      <c r="N3" s="1081"/>
      <c r="O3" s="1081"/>
      <c r="P3" s="1081"/>
    </row>
    <row r="4" spans="1:21">
      <c r="A4" s="453">
        <v>2012</v>
      </c>
      <c r="B4" s="712">
        <v>0.46118021959674704</v>
      </c>
      <c r="C4" s="712">
        <v>3.1706140097276358E-3</v>
      </c>
      <c r="D4" s="712">
        <v>105.68713365758786</v>
      </c>
      <c r="E4" s="712">
        <v>116.35480861213513</v>
      </c>
      <c r="J4" s="1081"/>
      <c r="K4" s="794">
        <v>2011</v>
      </c>
      <c r="L4" s="794">
        <v>2012</v>
      </c>
      <c r="M4" s="794">
        <v>2013</v>
      </c>
      <c r="N4" s="794">
        <v>2014</v>
      </c>
      <c r="O4" s="794">
        <v>2015</v>
      </c>
      <c r="P4" s="794">
        <v>2016</v>
      </c>
    </row>
    <row r="5" spans="1:21">
      <c r="A5" s="453">
        <v>2013</v>
      </c>
      <c r="B5" s="712">
        <v>1.2609908457279539</v>
      </c>
      <c r="C5" s="712">
        <v>8.6693120643796841E-3</v>
      </c>
      <c r="D5" s="712">
        <v>288.97706881265606</v>
      </c>
      <c r="E5" s="712">
        <v>318.14536331290083</v>
      </c>
      <c r="J5" s="794" t="s">
        <v>857</v>
      </c>
      <c r="K5" s="696">
        <v>0</v>
      </c>
      <c r="L5" s="696">
        <f>GETPIVOTDATA("Suma de CH4 (t)",$A$3,"Año de consumo de leña",2012)</f>
        <v>0.46118021959674704</v>
      </c>
      <c r="M5" s="696">
        <f>GETPIVOTDATA("Suma de CH4 (t)",$A$3,"Año de consumo de leña",2013)</f>
        <v>1.2609908457279539</v>
      </c>
      <c r="N5" s="696">
        <f>GETPIVOTDATA("Suma de CH4 (t)",$A$3,"Año de consumo de leña",2014)</f>
        <v>12.913728938920821</v>
      </c>
      <c r="O5" s="696">
        <v>0</v>
      </c>
      <c r="P5" s="795">
        <f>GETPIVOTDATA("Suma de CH4 (t)",$A$3,"Año de consumo de leña",2016)</f>
        <v>8.3261752520425567</v>
      </c>
      <c r="Q5" s="796"/>
    </row>
    <row r="6" spans="1:21">
      <c r="A6" s="453">
        <v>2014</v>
      </c>
      <c r="B6" s="712">
        <v>12.913728938920821</v>
      </c>
      <c r="C6" s="712">
        <v>8.8781886455080658E-2</v>
      </c>
      <c r="D6" s="712">
        <v>2959.3962151693549</v>
      </c>
      <c r="E6" s="712">
        <v>3258.1069076877679</v>
      </c>
      <c r="J6" s="794" t="s">
        <v>858</v>
      </c>
      <c r="K6" s="696">
        <v>0</v>
      </c>
      <c r="L6" s="696">
        <f>GETPIVOTDATA("Suma de N2O (t)",$A$3,"Año de consumo de leña",2012)</f>
        <v>3.1706140097276358E-3</v>
      </c>
      <c r="M6" s="696">
        <f>GETPIVOTDATA("Suma de N2O (t)",$A$3,"Año de consumo de leña",2013)</f>
        <v>8.6693120643796841E-3</v>
      </c>
      <c r="N6" s="696">
        <f>GETPIVOTDATA("Suma de N2O (t)",$A$3,"Año de consumo de leña",2014)</f>
        <v>8.8781886455080658E-2</v>
      </c>
      <c r="O6" s="696">
        <v>0</v>
      </c>
      <c r="P6" s="795">
        <f>GETPIVOTDATA("Suma de N2O (t)",$A$3,"Año de consumo de leña",2016)</f>
        <v>5.7242454857792578E-2</v>
      </c>
      <c r="Q6" s="796"/>
    </row>
    <row r="7" spans="1:21">
      <c r="A7" s="453">
        <v>2016</v>
      </c>
      <c r="B7" s="712">
        <v>8.3261752520425567</v>
      </c>
      <c r="C7" s="712">
        <v>5.7242454857792578E-2</v>
      </c>
      <c r="D7" s="712">
        <v>1908.0818285930859</v>
      </c>
      <c r="E7" s="712">
        <v>2100.6766698918955</v>
      </c>
      <c r="J7" s="794" t="s">
        <v>842</v>
      </c>
      <c r="K7" s="696">
        <v>0</v>
      </c>
      <c r="L7" s="696">
        <f>GETPIVOTDATA("Suma de  CO2 (t)",$A$3,"Año de consumo de leña",2012)</f>
        <v>105.68713365758786</v>
      </c>
      <c r="M7" s="696">
        <f>GETPIVOTDATA("Suma de  CO2 (t)",$A$3,"Año de consumo de leña",2013)</f>
        <v>288.97706881265606</v>
      </c>
      <c r="N7" s="696">
        <f>GETPIVOTDATA("Suma de  CO2 (t)",$A$3,"Año de consumo de leña",2014)</f>
        <v>2959.3962151693549</v>
      </c>
      <c r="O7" s="696">
        <v>0</v>
      </c>
      <c r="P7" s="795">
        <f>GETPIVOTDATA("Suma de  CO2 (t)",$A$3,"Año de consumo de leña",2016)</f>
        <v>1908.0818285930859</v>
      </c>
      <c r="Q7" s="796"/>
    </row>
    <row r="8" spans="1:21">
      <c r="A8" s="453" t="s">
        <v>341</v>
      </c>
      <c r="B8" s="712">
        <v>22.962075256288081</v>
      </c>
      <c r="C8" s="712">
        <v>0.15786426738698056</v>
      </c>
      <c r="D8" s="712">
        <v>5262.1422462326846</v>
      </c>
      <c r="E8" s="712">
        <v>5793.2837495046988</v>
      </c>
      <c r="J8" s="794" t="s">
        <v>1471</v>
      </c>
      <c r="K8" s="797">
        <v>0</v>
      </c>
      <c r="L8" s="797">
        <f>GETPIVOTDATA("Suma de CO2e (t)",$A$3,"Año de consumo de leña",2012)</f>
        <v>116.35480861213513</v>
      </c>
      <c r="M8" s="797">
        <f>GETPIVOTDATA("Suma de CO2e (t)",$A$3,"Año de consumo de leña",2013)</f>
        <v>318.14536331290083</v>
      </c>
      <c r="N8" s="797">
        <f>GETPIVOTDATA("Suma de CO2e (t)",$A$3,"Año de consumo de leña",2014)</f>
        <v>3258.1069076877679</v>
      </c>
      <c r="O8" s="797">
        <v>0</v>
      </c>
      <c r="P8" s="798">
        <f>GETPIVOTDATA("Suma de CO2e (t)",$A$3,"Año de consumo de leña",2016)</f>
        <v>2100.6766698918955</v>
      </c>
      <c r="Q8" s="796"/>
    </row>
    <row r="10" spans="1:21" ht="18.75">
      <c r="A10" t="s">
        <v>1472</v>
      </c>
      <c r="J10" s="793" t="s">
        <v>1473</v>
      </c>
    </row>
    <row r="11" spans="1:21" ht="27.6" customHeight="1">
      <c r="A11" s="671" t="s">
        <v>1394</v>
      </c>
      <c r="B11" s="799" t="s">
        <v>1385</v>
      </c>
      <c r="J11" s="1079" t="s">
        <v>1474</v>
      </c>
      <c r="K11" s="1080" t="s">
        <v>1470</v>
      </c>
      <c r="L11" s="1080"/>
      <c r="M11" s="1080"/>
      <c r="N11" s="1080"/>
      <c r="O11" s="1080"/>
      <c r="P11" s="1080"/>
      <c r="Q11" s="1080"/>
      <c r="R11" s="1080"/>
      <c r="S11" s="1080"/>
      <c r="T11" s="1080"/>
      <c r="U11" s="1080"/>
    </row>
    <row r="12" spans="1:21" ht="28.15" customHeight="1">
      <c r="A12" s="800">
        <v>2011</v>
      </c>
      <c r="B12" s="801">
        <f>Descomposicion!AG11</f>
        <v>12.186775785717128</v>
      </c>
      <c r="J12" s="1079"/>
      <c r="K12" s="1080" t="s">
        <v>1127</v>
      </c>
      <c r="L12" s="1080"/>
      <c r="M12" s="1080"/>
      <c r="N12" s="1080"/>
      <c r="O12" s="1080"/>
      <c r="P12" s="1080"/>
      <c r="Q12" s="1080" t="s">
        <v>1128</v>
      </c>
      <c r="R12" s="1080"/>
      <c r="S12" s="1080"/>
      <c r="T12" s="1080"/>
      <c r="U12" s="1080"/>
    </row>
    <row r="13" spans="1:21">
      <c r="A13" s="744">
        <v>2012</v>
      </c>
      <c r="B13" s="801">
        <f>Descomposicion!AG12</f>
        <v>43.648021260325578</v>
      </c>
      <c r="J13" s="1079"/>
      <c r="K13" s="802">
        <v>2011</v>
      </c>
      <c r="L13" s="803">
        <v>2012</v>
      </c>
      <c r="M13" s="803">
        <v>2013</v>
      </c>
      <c r="N13" s="803">
        <v>2014</v>
      </c>
      <c r="O13" s="803">
        <v>2015</v>
      </c>
      <c r="P13" s="803">
        <v>2016</v>
      </c>
      <c r="Q13" s="803">
        <v>2017</v>
      </c>
      <c r="R13" s="803">
        <v>2018</v>
      </c>
      <c r="S13" s="803">
        <v>2019</v>
      </c>
      <c r="T13" s="803">
        <v>2020</v>
      </c>
      <c r="U13" s="803">
        <v>2021</v>
      </c>
    </row>
    <row r="14" spans="1:21">
      <c r="A14" s="744">
        <v>2013</v>
      </c>
      <c r="B14" s="801">
        <f>Descomposicion!AG13</f>
        <v>526.50075874754282</v>
      </c>
      <c r="J14" s="794" t="s">
        <v>1392</v>
      </c>
      <c r="K14" s="804">
        <f>Descomposicion!AG11</f>
        <v>12.186775785717128</v>
      </c>
      <c r="L14" s="805">
        <f>B13</f>
        <v>43.648021260325578</v>
      </c>
      <c r="M14" s="805">
        <f>B14</f>
        <v>526.50075874754282</v>
      </c>
      <c r="N14" s="805">
        <f>B15</f>
        <v>421.20060699803423</v>
      </c>
      <c r="O14" s="805">
        <f>B16</f>
        <v>671.11302517619094</v>
      </c>
      <c r="P14" s="805">
        <f>B17</f>
        <v>536.89042014095264</v>
      </c>
      <c r="Q14" s="805">
        <f>B18</f>
        <v>429.51233611276211</v>
      </c>
      <c r="R14" s="805">
        <f>B19</f>
        <v>343.60986889020967</v>
      </c>
      <c r="S14" s="805">
        <f>B20</f>
        <v>274.88789511216777</v>
      </c>
      <c r="T14" s="805">
        <f>B21</f>
        <v>219.91031608973412</v>
      </c>
      <c r="U14" s="805">
        <f>B22</f>
        <v>175.92825287178735</v>
      </c>
    </row>
    <row r="15" spans="1:21">
      <c r="A15" s="744">
        <v>2014</v>
      </c>
      <c r="B15" s="801">
        <f>Descomposicion!AG14</f>
        <v>421.20060699803423</v>
      </c>
      <c r="J15" s="794" t="s">
        <v>1404</v>
      </c>
      <c r="K15" s="804">
        <f>B27</f>
        <v>0.99623333333333342</v>
      </c>
      <c r="L15" s="805">
        <f>B28</f>
        <v>101.32741666666666</v>
      </c>
      <c r="M15" s="805">
        <f>B29</f>
        <v>239.37389666666667</v>
      </c>
      <c r="N15" s="805">
        <f>B30</f>
        <v>192.80995066666671</v>
      </c>
      <c r="O15" s="805">
        <f>B31</f>
        <v>159.49129386666669</v>
      </c>
      <c r="P15" s="805">
        <f>B32</f>
        <v>128.11736842666667</v>
      </c>
      <c r="Q15" s="805">
        <f>B33</f>
        <v>102.49389474133335</v>
      </c>
      <c r="R15" s="805">
        <f>B34</f>
        <v>81.995115793066674</v>
      </c>
      <c r="S15" s="805">
        <f>B35</f>
        <v>65.596092634453342</v>
      </c>
      <c r="T15" s="805">
        <f>B36</f>
        <v>52.476874107562665</v>
      </c>
      <c r="U15" s="805">
        <f>B37</f>
        <v>41.981499286050138</v>
      </c>
    </row>
    <row r="16" spans="1:21">
      <c r="A16" s="744">
        <v>2015</v>
      </c>
      <c r="B16" s="801">
        <f>Descomposicion!AG15</f>
        <v>671.11302517619094</v>
      </c>
      <c r="J16" s="794" t="s">
        <v>1471</v>
      </c>
      <c r="K16" s="806">
        <f>SUM(K14:K15)</f>
        <v>13.18300911905046</v>
      </c>
      <c r="L16" s="807">
        <f t="shared" ref="L16:U16" si="0">SUM(L14:L15)</f>
        <v>144.97543792699224</v>
      </c>
      <c r="M16" s="807">
        <f t="shared" si="0"/>
        <v>765.87465541420943</v>
      </c>
      <c r="N16" s="807">
        <f t="shared" si="0"/>
        <v>614.01055766470097</v>
      </c>
      <c r="O16" s="807">
        <f t="shared" si="0"/>
        <v>830.6043190428577</v>
      </c>
      <c r="P16" s="807">
        <f t="shared" si="0"/>
        <v>665.00778856761929</v>
      </c>
      <c r="Q16" s="807">
        <f t="shared" si="0"/>
        <v>532.00623085409552</v>
      </c>
      <c r="R16" s="807">
        <f t="shared" si="0"/>
        <v>425.60498468327637</v>
      </c>
      <c r="S16" s="807">
        <f t="shared" si="0"/>
        <v>340.4839877466211</v>
      </c>
      <c r="T16" s="807">
        <f t="shared" si="0"/>
        <v>272.38719019729677</v>
      </c>
      <c r="U16" s="807">
        <f t="shared" si="0"/>
        <v>217.90975215783749</v>
      </c>
    </row>
    <row r="17" spans="1:21">
      <c r="A17" s="744">
        <v>2016</v>
      </c>
      <c r="B17" s="801">
        <f>Descomposicion!AG16</f>
        <v>536.89042014095264</v>
      </c>
    </row>
    <row r="18" spans="1:21" ht="15.75">
      <c r="A18" s="744">
        <v>2017</v>
      </c>
      <c r="B18" s="801">
        <f>Descomposicion!AG17</f>
        <v>429.51233611276211</v>
      </c>
      <c r="J18" s="793" t="s">
        <v>1475</v>
      </c>
    </row>
    <row r="19" spans="1:21">
      <c r="A19" s="744">
        <v>2018</v>
      </c>
      <c r="B19" s="801">
        <f>Descomposicion!AG18</f>
        <v>343.60986889020967</v>
      </c>
      <c r="J19" s="1079" t="s">
        <v>1474</v>
      </c>
      <c r="K19" s="1080" t="s">
        <v>1470</v>
      </c>
      <c r="L19" s="1080"/>
      <c r="M19" s="1080"/>
      <c r="N19" s="1080"/>
      <c r="O19" s="1080"/>
      <c r="P19" s="1080"/>
      <c r="Q19" s="1080"/>
      <c r="R19" s="1080"/>
      <c r="S19" s="1080"/>
      <c r="T19" s="1080"/>
      <c r="U19" s="1080"/>
    </row>
    <row r="20" spans="1:21">
      <c r="A20" s="744">
        <v>2019</v>
      </c>
      <c r="B20" s="801">
        <f>Descomposicion!AG19</f>
        <v>274.88789511216777</v>
      </c>
      <c r="J20" s="1079"/>
      <c r="K20" s="1080" t="s">
        <v>1127</v>
      </c>
      <c r="L20" s="1080"/>
      <c r="M20" s="1080"/>
      <c r="N20" s="1080"/>
      <c r="O20" s="1080"/>
      <c r="P20" s="1080"/>
      <c r="Q20" s="1080" t="s">
        <v>1128</v>
      </c>
      <c r="R20" s="1080"/>
      <c r="S20" s="1080"/>
      <c r="T20" s="1080"/>
      <c r="U20" s="1080"/>
    </row>
    <row r="21" spans="1:21">
      <c r="A21" s="744">
        <v>2020</v>
      </c>
      <c r="B21" s="801">
        <f>Descomposicion!AG20</f>
        <v>219.91031608973412</v>
      </c>
      <c r="J21" s="1079"/>
      <c r="K21" s="802">
        <v>2011</v>
      </c>
      <c r="L21" s="803">
        <v>2012</v>
      </c>
      <c r="M21" s="803">
        <v>2013</v>
      </c>
      <c r="N21" s="803">
        <v>2014</v>
      </c>
      <c r="O21" s="803">
        <v>2015</v>
      </c>
      <c r="P21" s="803">
        <v>2016</v>
      </c>
      <c r="Q21" s="803">
        <v>2017</v>
      </c>
      <c r="R21" s="803">
        <v>2018</v>
      </c>
      <c r="S21" s="803">
        <v>2019</v>
      </c>
      <c r="T21" s="803">
        <v>2020</v>
      </c>
      <c r="U21" s="803">
        <v>2021</v>
      </c>
    </row>
    <row r="22" spans="1:21">
      <c r="A22" s="744">
        <v>2021</v>
      </c>
      <c r="B22" s="801">
        <f>Descomposicion!AG21</f>
        <v>175.92825287178735</v>
      </c>
      <c r="J22" s="794" t="s">
        <v>1471</v>
      </c>
      <c r="K22" s="805">
        <f t="shared" ref="K22:U22" si="1">K8+K16</f>
        <v>13.18300911905046</v>
      </c>
      <c r="L22" s="805">
        <f t="shared" si="1"/>
        <v>261.33024653912736</v>
      </c>
      <c r="M22" s="805">
        <f t="shared" si="1"/>
        <v>1084.0200187271103</v>
      </c>
      <c r="N22" s="805">
        <f t="shared" si="1"/>
        <v>3872.117465352469</v>
      </c>
      <c r="O22" s="805">
        <f t="shared" si="1"/>
        <v>830.6043190428577</v>
      </c>
      <c r="P22" s="805">
        <f t="shared" si="1"/>
        <v>2765.6844584595146</v>
      </c>
      <c r="Q22" s="805">
        <f t="shared" si="1"/>
        <v>532.00623085409552</v>
      </c>
      <c r="R22" s="805">
        <f t="shared" si="1"/>
        <v>425.60498468327637</v>
      </c>
      <c r="S22" s="805">
        <f t="shared" si="1"/>
        <v>340.4839877466211</v>
      </c>
      <c r="T22" s="805">
        <f t="shared" si="1"/>
        <v>272.38719019729677</v>
      </c>
      <c r="U22" s="805">
        <f t="shared" si="1"/>
        <v>217.90975215783749</v>
      </c>
    </row>
    <row r="23" spans="1:21">
      <c r="A23" s="453"/>
      <c r="B23" s="712"/>
    </row>
    <row r="24" spans="1:21">
      <c r="A24" t="s">
        <v>1476</v>
      </c>
    </row>
    <row r="25" spans="1:21">
      <c r="J25" t="s">
        <v>1477</v>
      </c>
    </row>
    <row r="26" spans="1:21" ht="38.25">
      <c r="A26" s="671" t="s">
        <v>1394</v>
      </c>
      <c r="B26" s="799" t="s">
        <v>1385</v>
      </c>
      <c r="J26" s="1079" t="s">
        <v>1474</v>
      </c>
      <c r="K26" s="1080" t="s">
        <v>1470</v>
      </c>
      <c r="L26" s="1080"/>
      <c r="M26" s="1080"/>
      <c r="N26" s="1080"/>
      <c r="O26" s="1080"/>
      <c r="P26" s="1080"/>
      <c r="Q26" s="1080"/>
      <c r="R26" s="1080"/>
      <c r="S26" s="1080"/>
      <c r="T26" s="1080"/>
      <c r="U26" s="1080"/>
    </row>
    <row r="27" spans="1:21">
      <c r="A27" s="744">
        <v>2011</v>
      </c>
      <c r="B27" s="710">
        <f>Descomposicion!AH42</f>
        <v>0.99623333333333342</v>
      </c>
      <c r="J27" s="1079"/>
      <c r="K27" s="1080" t="s">
        <v>1127</v>
      </c>
      <c r="L27" s="1080"/>
      <c r="M27" s="1080"/>
      <c r="N27" s="1080"/>
      <c r="O27" s="1080"/>
      <c r="P27" s="1080"/>
      <c r="Q27" s="1080" t="s">
        <v>1128</v>
      </c>
      <c r="R27" s="1080"/>
      <c r="S27" s="1080"/>
      <c r="T27" s="1080"/>
      <c r="U27" s="1080"/>
    </row>
    <row r="28" spans="1:21">
      <c r="A28" s="744">
        <v>2012</v>
      </c>
      <c r="B28" s="710">
        <f>Descomposicion!AH43</f>
        <v>101.32741666666666</v>
      </c>
      <c r="J28" s="1079"/>
      <c r="K28" s="808">
        <v>2011</v>
      </c>
      <c r="L28" s="808">
        <v>2012</v>
      </c>
      <c r="M28" s="808">
        <v>2013</v>
      </c>
      <c r="N28" s="808">
        <v>2014</v>
      </c>
      <c r="O28" s="808">
        <v>2015</v>
      </c>
      <c r="P28" s="808">
        <v>2016</v>
      </c>
      <c r="Q28" s="808">
        <v>2017</v>
      </c>
      <c r="R28" s="808">
        <v>2018</v>
      </c>
      <c r="S28" s="808">
        <v>2019</v>
      </c>
      <c r="T28" s="808">
        <v>2020</v>
      </c>
      <c r="U28" s="808">
        <v>2021</v>
      </c>
    </row>
    <row r="29" spans="1:21">
      <c r="A29" s="744">
        <v>2013</v>
      </c>
      <c r="B29" s="710">
        <f>Descomposicion!AH44</f>
        <v>239.37389666666667</v>
      </c>
      <c r="J29" s="794" t="s">
        <v>1471</v>
      </c>
      <c r="K29" s="710">
        <f>Compensacion!L39</f>
        <v>0</v>
      </c>
      <c r="L29" s="710">
        <f>Compensacion!L40</f>
        <v>0</v>
      </c>
      <c r="M29" s="710">
        <f>Compensacion!L41</f>
        <v>2.80762749421E-2</v>
      </c>
      <c r="N29" s="710">
        <f>Compensacion!L42</f>
        <v>0.12586922220795999</v>
      </c>
      <c r="O29" s="710">
        <f>Compensacion!L43</f>
        <v>0.18514297876104802</v>
      </c>
      <c r="P29" s="710">
        <f>Compensacion!L44</f>
        <v>0.22884278914105835</v>
      </c>
      <c r="Q29" s="710">
        <f>Compensacion!L45</f>
        <v>0.18307423131284675</v>
      </c>
      <c r="R29" s="710">
        <f>Compensacion!L46</f>
        <v>0.14645938505027739</v>
      </c>
      <c r="S29" s="710">
        <f>Compensacion!L47</f>
        <v>0.11716750804022191</v>
      </c>
      <c r="T29" s="710">
        <f>Compensacion!L48</f>
        <v>9.3734006432177538E-2</v>
      </c>
      <c r="U29" s="710">
        <f>Compensacion!L49</f>
        <v>7.4987205145742031E-2</v>
      </c>
    </row>
    <row r="30" spans="1:21">
      <c r="A30" s="744">
        <v>2014</v>
      </c>
      <c r="B30" s="710">
        <f>Descomposicion!AH45</f>
        <v>192.80995066666671</v>
      </c>
    </row>
    <row r="31" spans="1:21">
      <c r="A31" s="744">
        <v>2015</v>
      </c>
      <c r="B31" s="710">
        <f>Descomposicion!AH46</f>
        <v>159.49129386666669</v>
      </c>
    </row>
    <row r="32" spans="1:21">
      <c r="A32" s="744">
        <v>2016</v>
      </c>
      <c r="B32" s="710">
        <f>Descomposicion!AH47</f>
        <v>128.11736842666667</v>
      </c>
    </row>
    <row r="33" spans="1:22">
      <c r="A33" s="744">
        <v>2017</v>
      </c>
      <c r="B33" s="710">
        <f>Descomposicion!AH48</f>
        <v>102.49389474133335</v>
      </c>
      <c r="V33" s="809">
        <f>SUM(K29:U29)</f>
        <v>1.183353601033432</v>
      </c>
    </row>
    <row r="34" spans="1:22">
      <c r="A34" s="744">
        <v>2018</v>
      </c>
      <c r="B34" s="710">
        <f>Descomposicion!AH49</f>
        <v>81.995115793066674</v>
      </c>
    </row>
    <row r="35" spans="1:22">
      <c r="A35" s="744">
        <v>2019</v>
      </c>
      <c r="B35" s="710">
        <f>Descomposicion!AH50</f>
        <v>65.596092634453342</v>
      </c>
    </row>
    <row r="36" spans="1:22">
      <c r="A36" s="744">
        <v>2020</v>
      </c>
      <c r="B36" s="710">
        <f>Descomposicion!AH51</f>
        <v>52.476874107562665</v>
      </c>
      <c r="J36" s="810" t="s">
        <v>1478</v>
      </c>
      <c r="K36" s="1078" t="s">
        <v>1479</v>
      </c>
      <c r="L36" s="1078"/>
      <c r="M36" s="1078"/>
      <c r="N36" s="1078"/>
      <c r="O36" s="1078"/>
      <c r="P36" s="1078"/>
      <c r="Q36" s="1078"/>
      <c r="R36" s="1078"/>
      <c r="S36" s="1078"/>
      <c r="T36" s="1078"/>
      <c r="U36" s="1078"/>
    </row>
    <row r="37" spans="1:22">
      <c r="A37" s="744">
        <v>2021</v>
      </c>
      <c r="B37" s="710">
        <f>Descomposicion!AH52</f>
        <v>41.981499286050138</v>
      </c>
      <c r="J37" s="810" t="s">
        <v>1480</v>
      </c>
      <c r="K37" s="744">
        <v>2011</v>
      </c>
      <c r="L37" s="744">
        <v>2012</v>
      </c>
      <c r="M37" s="744">
        <v>2013</v>
      </c>
      <c r="N37" s="744">
        <v>2014</v>
      </c>
      <c r="O37" s="744">
        <v>2015</v>
      </c>
      <c r="P37" s="744">
        <v>2016</v>
      </c>
      <c r="Q37" s="744">
        <v>2017</v>
      </c>
      <c r="R37" s="744">
        <v>2018</v>
      </c>
      <c r="S37" s="744">
        <v>2019</v>
      </c>
      <c r="T37" s="744">
        <v>2020</v>
      </c>
      <c r="U37" s="744">
        <v>2021</v>
      </c>
    </row>
    <row r="38" spans="1:22">
      <c r="A38" s="453"/>
      <c r="B38" s="712"/>
      <c r="J38" s="810" t="s">
        <v>1481</v>
      </c>
      <c r="K38" s="811">
        <f>K16</f>
        <v>13.18300911905046</v>
      </c>
      <c r="L38" s="811">
        <f t="shared" ref="L38:U38" si="2">L16</f>
        <v>144.97543792699224</v>
      </c>
      <c r="M38" s="811">
        <f t="shared" si="2"/>
        <v>765.87465541420943</v>
      </c>
      <c r="N38" s="811">
        <f t="shared" si="2"/>
        <v>614.01055766470097</v>
      </c>
      <c r="O38" s="811">
        <f t="shared" si="2"/>
        <v>830.6043190428577</v>
      </c>
      <c r="P38" s="811">
        <f t="shared" si="2"/>
        <v>665.00778856761929</v>
      </c>
      <c r="Q38" s="811">
        <f t="shared" si="2"/>
        <v>532.00623085409552</v>
      </c>
      <c r="R38" s="811">
        <f t="shared" si="2"/>
        <v>425.60498468327637</v>
      </c>
      <c r="S38" s="811">
        <f t="shared" si="2"/>
        <v>340.4839877466211</v>
      </c>
      <c r="T38" s="811">
        <f t="shared" si="2"/>
        <v>272.38719019729677</v>
      </c>
      <c r="U38" s="811">
        <f t="shared" si="2"/>
        <v>217.90975215783749</v>
      </c>
    </row>
    <row r="39" spans="1:22">
      <c r="J39" s="810" t="s">
        <v>1482</v>
      </c>
      <c r="K39" s="811">
        <f>K8</f>
        <v>0</v>
      </c>
      <c r="L39" s="811">
        <f>L8</f>
        <v>116.35480861213513</v>
      </c>
      <c r="M39" s="811">
        <f t="shared" ref="M39:U39" si="3">M8</f>
        <v>318.14536331290083</v>
      </c>
      <c r="N39" s="811">
        <f t="shared" si="3"/>
        <v>3258.1069076877679</v>
      </c>
      <c r="O39" s="811">
        <f t="shared" si="3"/>
        <v>0</v>
      </c>
      <c r="P39" s="811">
        <f t="shared" si="3"/>
        <v>2100.6766698918955</v>
      </c>
      <c r="Q39" s="811">
        <f>Q8</f>
        <v>0</v>
      </c>
      <c r="R39" s="811">
        <f t="shared" si="3"/>
        <v>0</v>
      </c>
      <c r="S39" s="811">
        <f t="shared" si="3"/>
        <v>0</v>
      </c>
      <c r="T39" s="811">
        <f t="shared" si="3"/>
        <v>0</v>
      </c>
      <c r="U39" s="811">
        <f t="shared" si="3"/>
        <v>0</v>
      </c>
    </row>
    <row r="40" spans="1:22">
      <c r="A40" t="s">
        <v>1483</v>
      </c>
      <c r="J40" s="810" t="s">
        <v>1484</v>
      </c>
      <c r="K40" s="812">
        <f>K29</f>
        <v>0</v>
      </c>
      <c r="L40" s="812">
        <f t="shared" ref="L40:U40" si="4">L29</f>
        <v>0</v>
      </c>
      <c r="M40" s="812">
        <f t="shared" si="4"/>
        <v>2.80762749421E-2</v>
      </c>
      <c r="N40" s="812">
        <f t="shared" si="4"/>
        <v>0.12586922220795999</v>
      </c>
      <c r="O40" s="812">
        <f t="shared" si="4"/>
        <v>0.18514297876104802</v>
      </c>
      <c r="P40" s="812">
        <f t="shared" si="4"/>
        <v>0.22884278914105835</v>
      </c>
      <c r="Q40" s="812">
        <f t="shared" si="4"/>
        <v>0.18307423131284675</v>
      </c>
      <c r="R40" s="812">
        <f t="shared" si="4"/>
        <v>0.14645938505027739</v>
      </c>
      <c r="S40" s="812">
        <f t="shared" si="4"/>
        <v>0.11716750804022191</v>
      </c>
      <c r="T40" s="812">
        <f t="shared" si="4"/>
        <v>9.3734006432177538E-2</v>
      </c>
      <c r="U40" s="812">
        <f t="shared" si="4"/>
        <v>7.4987205145742031E-2</v>
      </c>
    </row>
    <row r="41" spans="1:22" ht="38.25">
      <c r="A41" s="813" t="s">
        <v>1394</v>
      </c>
      <c r="B41" s="799" t="s">
        <v>1385</v>
      </c>
      <c r="J41" s="810" t="s">
        <v>965</v>
      </c>
      <c r="K41" s="811">
        <f>SUM(K38:K40)</f>
        <v>13.18300911905046</v>
      </c>
      <c r="L41" s="811">
        <f t="shared" ref="L41:U41" si="5">SUM(L38:L40)</f>
        <v>261.33024653912736</v>
      </c>
      <c r="M41" s="811">
        <f t="shared" si="5"/>
        <v>1084.0480950020524</v>
      </c>
      <c r="N41" s="811">
        <f t="shared" si="5"/>
        <v>3872.2433345746772</v>
      </c>
      <c r="O41" s="811">
        <f t="shared" si="5"/>
        <v>830.78946202161876</v>
      </c>
      <c r="P41" s="811">
        <f t="shared" si="5"/>
        <v>2765.9133012486559</v>
      </c>
      <c r="Q41" s="811">
        <f>SUM(Q38:Q40)</f>
        <v>532.18930508540836</v>
      </c>
      <c r="R41" s="811">
        <f t="shared" si="5"/>
        <v>425.75144406832663</v>
      </c>
      <c r="S41" s="811">
        <f t="shared" si="5"/>
        <v>340.60115525466131</v>
      </c>
      <c r="T41" s="811">
        <f t="shared" si="5"/>
        <v>272.48092420372893</v>
      </c>
      <c r="U41" s="811">
        <f t="shared" si="5"/>
        <v>217.98473936298322</v>
      </c>
    </row>
    <row r="42" spans="1:22">
      <c r="A42" s="695">
        <v>2011</v>
      </c>
      <c r="B42" s="710">
        <f>Compensacion!L39</f>
        <v>0</v>
      </c>
      <c r="K42" s="809"/>
      <c r="L42" s="809"/>
      <c r="M42" s="809"/>
      <c r="N42" s="809"/>
      <c r="O42" s="809"/>
      <c r="P42" s="809"/>
      <c r="Q42" s="809"/>
      <c r="R42" s="809"/>
      <c r="S42" s="809"/>
      <c r="T42" s="809"/>
      <c r="U42" s="809"/>
    </row>
    <row r="43" spans="1:22">
      <c r="A43" s="695">
        <v>2012</v>
      </c>
      <c r="B43" s="710">
        <f>Compensacion!L40</f>
        <v>0</v>
      </c>
    </row>
    <row r="44" spans="1:22">
      <c r="A44" s="695">
        <v>2013</v>
      </c>
      <c r="B44" s="710">
        <f>Compensacion!L41</f>
        <v>2.80762749421E-2</v>
      </c>
    </row>
    <row r="45" spans="1:22">
      <c r="A45" s="695">
        <v>2014</v>
      </c>
      <c r="B45" s="710">
        <f>Compensacion!L42</f>
        <v>0.12586922220795999</v>
      </c>
    </row>
    <row r="46" spans="1:22">
      <c r="A46" s="695">
        <v>2015</v>
      </c>
      <c r="B46" s="710">
        <f>Compensacion!L43</f>
        <v>0.18514297876104802</v>
      </c>
    </row>
    <row r="47" spans="1:22">
      <c r="A47" s="695">
        <v>2016</v>
      </c>
      <c r="B47" s="710">
        <f>Compensacion!L44</f>
        <v>0.22884278914105835</v>
      </c>
    </row>
    <row r="48" spans="1:22">
      <c r="A48" s="695">
        <v>2017</v>
      </c>
      <c r="B48" s="710">
        <f>Compensacion!L45</f>
        <v>0.18307423131284675</v>
      </c>
    </row>
    <row r="49" spans="1:2">
      <c r="A49" s="695">
        <v>2018</v>
      </c>
      <c r="B49" s="710">
        <f>Compensacion!L46</f>
        <v>0.14645938505027739</v>
      </c>
    </row>
    <row r="50" spans="1:2">
      <c r="A50" s="695">
        <v>2019</v>
      </c>
      <c r="B50" s="710">
        <f>Compensacion!L47</f>
        <v>0.11716750804022191</v>
      </c>
    </row>
    <row r="51" spans="1:2">
      <c r="A51" s="695">
        <v>2020</v>
      </c>
      <c r="B51" s="710">
        <f>Compensacion!L48</f>
        <v>9.3734006432177538E-2</v>
      </c>
    </row>
    <row r="52" spans="1:2">
      <c r="A52" s="695">
        <v>2021</v>
      </c>
      <c r="B52" s="710">
        <f>Compensacion!L49</f>
        <v>7.4987205145742031E-2</v>
      </c>
    </row>
  </sheetData>
  <mergeCells count="15">
    <mergeCell ref="J3:J4"/>
    <mergeCell ref="K3:P3"/>
    <mergeCell ref="J11:J13"/>
    <mergeCell ref="K11:U11"/>
    <mergeCell ref="K12:P12"/>
    <mergeCell ref="Q12:U12"/>
    <mergeCell ref="K36:U36"/>
    <mergeCell ref="J19:J21"/>
    <mergeCell ref="K19:U19"/>
    <mergeCell ref="K20:P20"/>
    <mergeCell ref="Q20:U20"/>
    <mergeCell ref="J26:J28"/>
    <mergeCell ref="K26:U26"/>
    <mergeCell ref="K27:P27"/>
    <mergeCell ref="Q27:U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S22"/>
  <sheetViews>
    <sheetView topLeftCell="F1" workbookViewId="0">
      <selection activeCell="K14" sqref="K14"/>
    </sheetView>
  </sheetViews>
  <sheetFormatPr baseColWidth="10" defaultRowHeight="15"/>
  <cols>
    <col min="2" max="2" width="16.140625" customWidth="1"/>
    <col min="3" max="6" width="10.42578125" customWidth="1"/>
  </cols>
  <sheetData>
    <row r="1" spans="1:19">
      <c r="A1" t="s">
        <v>1485</v>
      </c>
      <c r="C1" s="568"/>
      <c r="D1" s="568"/>
      <c r="H1" t="s">
        <v>1486</v>
      </c>
    </row>
    <row r="2" spans="1:19">
      <c r="A2" s="695" t="s">
        <v>469</v>
      </c>
      <c r="B2" s="695" t="s">
        <v>1458</v>
      </c>
      <c r="C2" s="568"/>
      <c r="D2" s="447"/>
      <c r="H2" s="1082" t="s">
        <v>1487</v>
      </c>
      <c r="I2" s="1083" t="s">
        <v>1488</v>
      </c>
      <c r="J2" s="1080"/>
      <c r="K2" s="1080"/>
      <c r="L2" s="1080"/>
      <c r="M2" s="1080"/>
      <c r="N2" s="1080"/>
      <c r="O2" s="1080"/>
      <c r="P2" s="1080"/>
      <c r="Q2" s="1080"/>
      <c r="R2" s="1080"/>
      <c r="S2" s="1080"/>
    </row>
    <row r="3" spans="1:19">
      <c r="A3" s="695">
        <v>2013</v>
      </c>
      <c r="B3" s="710">
        <f>Compensacion!M32</f>
        <v>0.48702499999999993</v>
      </c>
      <c r="C3" s="814"/>
      <c r="D3" s="814"/>
      <c r="H3" s="1082"/>
      <c r="I3" s="1083" t="s">
        <v>1127</v>
      </c>
      <c r="J3" s="1080"/>
      <c r="K3" s="1080"/>
      <c r="L3" s="1080"/>
      <c r="M3" s="1080"/>
      <c r="N3" s="1080"/>
      <c r="O3" s="1080" t="s">
        <v>1128</v>
      </c>
      <c r="P3" s="1080"/>
      <c r="Q3" s="1080"/>
      <c r="R3" s="1080"/>
      <c r="S3" s="1080"/>
    </row>
    <row r="4" spans="1:19">
      <c r="A4" s="695">
        <v>2014</v>
      </c>
      <c r="B4" s="710">
        <f>Compensacion!N32</f>
        <v>0.81972</v>
      </c>
      <c r="C4" s="814"/>
      <c r="D4" s="814"/>
      <c r="H4" s="1082"/>
      <c r="I4" s="815">
        <v>2011</v>
      </c>
      <c r="J4" s="794">
        <v>2012</v>
      </c>
      <c r="K4" s="794">
        <v>2013</v>
      </c>
      <c r="L4" s="794">
        <v>2014</v>
      </c>
      <c r="M4" s="794">
        <v>2015</v>
      </c>
      <c r="N4" s="794">
        <v>2016</v>
      </c>
      <c r="O4" s="794">
        <v>2017</v>
      </c>
      <c r="P4" s="794">
        <v>2018</v>
      </c>
      <c r="Q4" s="794">
        <v>2019</v>
      </c>
      <c r="R4" s="794">
        <v>2020</v>
      </c>
      <c r="S4" s="794">
        <v>2021</v>
      </c>
    </row>
    <row r="5" spans="1:19">
      <c r="A5" s="695">
        <v>2015</v>
      </c>
      <c r="B5" s="710">
        <f>Compensacion!O32</f>
        <v>1.286505</v>
      </c>
      <c r="C5" s="814"/>
      <c r="D5" s="814"/>
      <c r="H5" s="816" t="s">
        <v>1489</v>
      </c>
      <c r="I5" s="817">
        <f t="shared" ref="I5:S5" si="0">B22</f>
        <v>0</v>
      </c>
      <c r="J5" s="818">
        <f t="shared" si="0"/>
        <v>0</v>
      </c>
      <c r="K5" s="818">
        <f t="shared" si="0"/>
        <v>2.3466666666666662</v>
      </c>
      <c r="L5" s="818">
        <f t="shared" si="0"/>
        <v>103.84916666666666</v>
      </c>
      <c r="M5" s="818">
        <f t="shared" si="0"/>
        <v>304.89249999999998</v>
      </c>
      <c r="N5" s="818">
        <f t="shared" si="0"/>
        <v>505.93583333333333</v>
      </c>
      <c r="O5" s="818">
        <f t="shared" si="0"/>
        <v>637.40599999999995</v>
      </c>
      <c r="P5" s="818">
        <f t="shared" si="0"/>
        <v>637.40599999999995</v>
      </c>
      <c r="Q5" s="818">
        <f t="shared" si="0"/>
        <v>637.40599999999995</v>
      </c>
      <c r="R5" s="818">
        <f t="shared" si="0"/>
        <v>637.40599999999995</v>
      </c>
      <c r="S5" s="818">
        <f t="shared" si="0"/>
        <v>637.40599999999995</v>
      </c>
    </row>
    <row r="6" spans="1:19">
      <c r="A6" s="695">
        <v>2016</v>
      </c>
      <c r="B6" s="710">
        <f>Compensacion!P32</f>
        <v>1.286505</v>
      </c>
      <c r="C6" s="814"/>
      <c r="D6" s="814"/>
      <c r="H6" s="816" t="s">
        <v>1490</v>
      </c>
      <c r="I6" s="817">
        <v>0</v>
      </c>
      <c r="J6" s="818">
        <v>0</v>
      </c>
      <c r="K6" s="818">
        <f>B3</f>
        <v>0.48702499999999993</v>
      </c>
      <c r="L6" s="818">
        <f>B4</f>
        <v>0.81972</v>
      </c>
      <c r="M6" s="818">
        <f>B5</f>
        <v>1.286505</v>
      </c>
      <c r="N6" s="818">
        <f>B6</f>
        <v>1.286505</v>
      </c>
      <c r="O6" s="818">
        <f>B7</f>
        <v>1.286505</v>
      </c>
      <c r="P6" s="818">
        <f>B8</f>
        <v>1.286505</v>
      </c>
      <c r="Q6" s="818">
        <f>B9</f>
        <v>1.286505</v>
      </c>
      <c r="R6" s="818">
        <f>B10</f>
        <v>1.286505</v>
      </c>
      <c r="S6" s="818">
        <f>B11</f>
        <v>1.286505</v>
      </c>
    </row>
    <row r="7" spans="1:19">
      <c r="A7" s="695">
        <v>2017</v>
      </c>
      <c r="B7" s="710">
        <f>Compensacion!Q32</f>
        <v>1.286505</v>
      </c>
      <c r="C7" s="814"/>
      <c r="D7" s="814"/>
      <c r="H7" s="819" t="s">
        <v>1491</v>
      </c>
      <c r="I7" s="817">
        <f>SUM(I5:I6)</f>
        <v>0</v>
      </c>
      <c r="J7" s="818">
        <f t="shared" ref="J7:S7" si="1">SUM(J5:J6)</f>
        <v>0</v>
      </c>
      <c r="K7" s="818">
        <f>SUM(K5:K6)</f>
        <v>2.8336916666666663</v>
      </c>
      <c r="L7" s="818">
        <f t="shared" si="1"/>
        <v>104.66888666666667</v>
      </c>
      <c r="M7" s="818">
        <f t="shared" si="1"/>
        <v>306.17900499999996</v>
      </c>
      <c r="N7" s="818">
        <f t="shared" si="1"/>
        <v>507.22233833333331</v>
      </c>
      <c r="O7" s="818">
        <f t="shared" si="1"/>
        <v>638.69250499999998</v>
      </c>
      <c r="P7" s="818">
        <f t="shared" si="1"/>
        <v>638.69250499999998</v>
      </c>
      <c r="Q7" s="818">
        <f t="shared" si="1"/>
        <v>638.69250499999998</v>
      </c>
      <c r="R7" s="818">
        <f t="shared" si="1"/>
        <v>638.69250499999998</v>
      </c>
      <c r="S7" s="818">
        <f t="shared" si="1"/>
        <v>638.69250499999998</v>
      </c>
    </row>
    <row r="8" spans="1:19">
      <c r="A8" s="695">
        <v>2018</v>
      </c>
      <c r="B8" s="710">
        <f>Compensacion!R32</f>
        <v>1.286505</v>
      </c>
      <c r="C8" s="814"/>
      <c r="D8" s="814"/>
    </row>
    <row r="9" spans="1:19">
      <c r="A9" s="695">
        <v>2019</v>
      </c>
      <c r="B9" s="710">
        <f>Compensacion!S32</f>
        <v>1.286505</v>
      </c>
    </row>
    <row r="10" spans="1:19">
      <c r="A10" s="695">
        <v>2020</v>
      </c>
      <c r="B10" s="710">
        <f>Compensacion!T32</f>
        <v>1.286505</v>
      </c>
    </row>
    <row r="11" spans="1:19">
      <c r="A11" s="695">
        <v>2021</v>
      </c>
      <c r="B11" s="710">
        <f>Compensacion!U32</f>
        <v>1.286505</v>
      </c>
    </row>
    <row r="14" spans="1:19">
      <c r="A14" t="s">
        <v>1492</v>
      </c>
    </row>
    <row r="15" spans="1:19">
      <c r="A15" s="1060" t="s">
        <v>1433</v>
      </c>
      <c r="B15" s="1056" t="s">
        <v>1434</v>
      </c>
      <c r="C15" s="1056"/>
      <c r="D15" s="1056"/>
      <c r="E15" s="1056"/>
      <c r="F15" s="1056"/>
      <c r="G15" s="1056"/>
      <c r="H15" s="1056"/>
      <c r="I15" s="1056"/>
      <c r="J15" s="1056"/>
      <c r="K15" s="1056"/>
      <c r="L15" s="1056"/>
    </row>
    <row r="16" spans="1:19">
      <c r="A16" s="1061"/>
      <c r="B16" s="773">
        <v>2011</v>
      </c>
      <c r="C16" s="773">
        <v>2012</v>
      </c>
      <c r="D16" s="773">
        <v>2013</v>
      </c>
      <c r="E16" s="773">
        <v>2014</v>
      </c>
      <c r="F16" s="773">
        <v>2015</v>
      </c>
      <c r="G16" s="773">
        <v>2016</v>
      </c>
      <c r="H16" s="773">
        <v>2017</v>
      </c>
      <c r="I16" s="773">
        <v>2018</v>
      </c>
      <c r="J16" s="773">
        <v>2019</v>
      </c>
      <c r="K16" s="773">
        <v>2020</v>
      </c>
      <c r="L16" s="773">
        <v>2021</v>
      </c>
    </row>
    <row r="17" spans="1:12">
      <c r="A17" s="771">
        <f>A7+1</f>
        <v>2018</v>
      </c>
      <c r="B17" s="774">
        <f>PRV!S13</f>
        <v>0</v>
      </c>
      <c r="C17" s="774">
        <f>PRV!T13</f>
        <v>0</v>
      </c>
      <c r="D17" s="774">
        <f>PRV!U13</f>
        <v>2.3466666666666662</v>
      </c>
      <c r="E17" s="774">
        <f>PRV!V13</f>
        <v>2.3466666666666662</v>
      </c>
      <c r="F17" s="774">
        <f>PRV!W13</f>
        <v>2.3466666666666662</v>
      </c>
      <c r="G17" s="774">
        <f>PRV!X13</f>
        <v>2.3466666666666662</v>
      </c>
      <c r="H17" s="774">
        <f>PRV!Y13</f>
        <v>2.3466666666666662</v>
      </c>
      <c r="I17" s="774">
        <f>PRV!Z13</f>
        <v>2.3466666666666662</v>
      </c>
      <c r="J17" s="774">
        <f>PRV!AA13</f>
        <v>2.3466666666666662</v>
      </c>
      <c r="K17" s="774">
        <f>PRV!AB13</f>
        <v>2.3466666666666662</v>
      </c>
      <c r="L17" s="774">
        <f>PRV!AC13</f>
        <v>2.3466666666666662</v>
      </c>
    </row>
    <row r="18" spans="1:12">
      <c r="A18" s="771">
        <f t="shared" ref="A18:A21" si="2">A8+1</f>
        <v>2019</v>
      </c>
      <c r="B18" s="774">
        <f>PRV!S14</f>
        <v>0</v>
      </c>
      <c r="C18" s="774">
        <f>PRV!T14</f>
        <v>0</v>
      </c>
      <c r="D18" s="774">
        <f>PRV!U14</f>
        <v>0</v>
      </c>
      <c r="E18" s="774">
        <f>PRV!V14</f>
        <v>101.5025</v>
      </c>
      <c r="F18" s="774">
        <f>PRV!W14</f>
        <v>101.5025</v>
      </c>
      <c r="G18" s="774">
        <f>PRV!X14</f>
        <v>101.5025</v>
      </c>
      <c r="H18" s="774">
        <f>PRV!Y14</f>
        <v>101.5025</v>
      </c>
      <c r="I18" s="774">
        <f>PRV!Z14</f>
        <v>101.5025</v>
      </c>
      <c r="J18" s="774">
        <f>PRV!AA14</f>
        <v>101.5025</v>
      </c>
      <c r="K18" s="774">
        <f>PRV!AB14</f>
        <v>101.5025</v>
      </c>
      <c r="L18" s="774">
        <f>PRV!AC14</f>
        <v>101.5025</v>
      </c>
    </row>
    <row r="19" spans="1:12">
      <c r="A19" s="771">
        <f t="shared" si="2"/>
        <v>2020</v>
      </c>
      <c r="B19" s="774">
        <f>PRV!S15</f>
        <v>0</v>
      </c>
      <c r="C19" s="774">
        <f>PRV!T15</f>
        <v>0</v>
      </c>
      <c r="D19" s="774">
        <f>PRV!U15</f>
        <v>0</v>
      </c>
      <c r="E19" s="774">
        <f>PRV!V15</f>
        <v>0</v>
      </c>
      <c r="F19" s="774">
        <f>PRV!W15</f>
        <v>201.04333333333332</v>
      </c>
      <c r="G19" s="774">
        <f>PRV!X15</f>
        <v>201.04333333333332</v>
      </c>
      <c r="H19" s="774">
        <f>PRV!Y15</f>
        <v>201.04333333333332</v>
      </c>
      <c r="I19" s="774">
        <f>PRV!Z15</f>
        <v>201.04333333333332</v>
      </c>
      <c r="J19" s="774">
        <f>PRV!AA15</f>
        <v>201.04333333333332</v>
      </c>
      <c r="K19" s="774">
        <f>PRV!AB15</f>
        <v>201.04333333333332</v>
      </c>
      <c r="L19" s="774">
        <f>PRV!AC15</f>
        <v>201.04333333333332</v>
      </c>
    </row>
    <row r="20" spans="1:12">
      <c r="A20" s="771">
        <f t="shared" si="2"/>
        <v>2021</v>
      </c>
      <c r="B20" s="774">
        <f>PRV!S16</f>
        <v>0</v>
      </c>
      <c r="C20" s="774">
        <f>PRV!T16</f>
        <v>0</v>
      </c>
      <c r="D20" s="774">
        <f>PRV!U16</f>
        <v>0</v>
      </c>
      <c r="E20" s="774">
        <f>PRV!V16</f>
        <v>0</v>
      </c>
      <c r="F20" s="774">
        <f>PRV!W16</f>
        <v>0</v>
      </c>
      <c r="G20" s="774">
        <f>PRV!X16</f>
        <v>201.04333333333332</v>
      </c>
      <c r="H20" s="774">
        <f>PRV!Y16</f>
        <v>201.04333333333332</v>
      </c>
      <c r="I20" s="774">
        <f>PRV!Z16</f>
        <v>201.04333333333332</v>
      </c>
      <c r="J20" s="774">
        <f>PRV!AA16</f>
        <v>201.04333333333332</v>
      </c>
      <c r="K20" s="774">
        <f>PRV!AB16</f>
        <v>201.04333333333332</v>
      </c>
      <c r="L20" s="774">
        <f>PRV!AC16</f>
        <v>201.04333333333332</v>
      </c>
    </row>
    <row r="21" spans="1:12">
      <c r="A21" s="771">
        <f t="shared" si="2"/>
        <v>2022</v>
      </c>
      <c r="B21" s="774">
        <f>PRV!S17</f>
        <v>0</v>
      </c>
      <c r="C21" s="774">
        <f>PRV!T17</f>
        <v>0</v>
      </c>
      <c r="D21" s="774">
        <f>PRV!U17</f>
        <v>0</v>
      </c>
      <c r="E21" s="774">
        <f>PRV!V17</f>
        <v>0</v>
      </c>
      <c r="F21" s="774">
        <f>PRV!W17</f>
        <v>0</v>
      </c>
      <c r="G21" s="774">
        <f>PRV!X17</f>
        <v>0</v>
      </c>
      <c r="H21" s="774">
        <f>PRV!Y17</f>
        <v>131.47016666666664</v>
      </c>
      <c r="I21" s="774">
        <f>PRV!Z17</f>
        <v>131.47016666666664</v>
      </c>
      <c r="J21" s="774">
        <f>PRV!AA17</f>
        <v>131.47016666666664</v>
      </c>
      <c r="K21" s="774">
        <f>PRV!AB17</f>
        <v>131.47016666666664</v>
      </c>
      <c r="L21" s="774">
        <f>PRV!AC17</f>
        <v>131.47016666666664</v>
      </c>
    </row>
    <row r="22" spans="1:12">
      <c r="A22" s="775" t="s">
        <v>32</v>
      </c>
      <c r="B22" s="776">
        <f>PRV!S18</f>
        <v>0</v>
      </c>
      <c r="C22" s="776">
        <f>PRV!T18</f>
        <v>0</v>
      </c>
      <c r="D22" s="776">
        <f>PRV!U18</f>
        <v>2.3466666666666662</v>
      </c>
      <c r="E22" s="776">
        <f>PRV!V18</f>
        <v>103.84916666666666</v>
      </c>
      <c r="F22" s="776">
        <f>PRV!W18</f>
        <v>304.89249999999998</v>
      </c>
      <c r="G22" s="776">
        <f>PRV!X18</f>
        <v>505.93583333333333</v>
      </c>
      <c r="H22" s="776">
        <f>PRV!Y18</f>
        <v>637.40599999999995</v>
      </c>
      <c r="I22" s="776">
        <f>PRV!Z18</f>
        <v>637.40599999999995</v>
      </c>
      <c r="J22" s="776">
        <f>PRV!AA18</f>
        <v>637.40599999999995</v>
      </c>
      <c r="K22" s="776">
        <f>PRV!AB18</f>
        <v>637.40599999999995</v>
      </c>
      <c r="L22" s="776">
        <f>PRV!AC18</f>
        <v>637.40599999999995</v>
      </c>
    </row>
  </sheetData>
  <mergeCells count="6">
    <mergeCell ref="H2:H4"/>
    <mergeCell ref="I2:S2"/>
    <mergeCell ref="I3:N3"/>
    <mergeCell ref="O3:S3"/>
    <mergeCell ref="A15:A16"/>
    <mergeCell ref="B15:L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B1:N27"/>
  <sheetViews>
    <sheetView topLeftCell="A10" workbookViewId="0">
      <selection activeCell="C13" sqref="C13:M13"/>
    </sheetView>
  </sheetViews>
  <sheetFormatPr baseColWidth="10" defaultRowHeight="15"/>
  <cols>
    <col min="2" max="2" width="20.5703125" customWidth="1"/>
  </cols>
  <sheetData>
    <row r="1" spans="2:14">
      <c r="B1" t="s">
        <v>1493</v>
      </c>
    </row>
    <row r="2" spans="2:14">
      <c r="B2" s="1085"/>
      <c r="C2" s="1088" t="s">
        <v>1470</v>
      </c>
      <c r="D2" s="1088"/>
      <c r="E2" s="1088"/>
      <c r="F2" s="1088"/>
      <c r="G2" s="1088"/>
      <c r="H2" s="1088"/>
      <c r="I2" s="1088"/>
      <c r="J2" s="1088"/>
      <c r="K2" s="1088"/>
      <c r="L2" s="1088"/>
      <c r="M2" s="1088"/>
    </row>
    <row r="3" spans="2:14">
      <c r="B3" s="1086"/>
      <c r="C3" s="1088" t="s">
        <v>1127</v>
      </c>
      <c r="D3" s="1088"/>
      <c r="E3" s="1088"/>
      <c r="F3" s="1088"/>
      <c r="G3" s="1088"/>
      <c r="H3" s="1088"/>
      <c r="I3" s="1088" t="s">
        <v>1128</v>
      </c>
      <c r="J3" s="1088"/>
      <c r="K3" s="1088"/>
      <c r="L3" s="1088"/>
      <c r="M3" s="1088"/>
    </row>
    <row r="4" spans="2:14">
      <c r="B4" s="1087"/>
      <c r="C4" s="794">
        <v>2011</v>
      </c>
      <c r="D4" s="794">
        <v>2012</v>
      </c>
      <c r="E4" s="794">
        <v>2013</v>
      </c>
      <c r="F4" s="794">
        <v>2014</v>
      </c>
      <c r="G4" s="794">
        <v>2015</v>
      </c>
      <c r="H4" s="794">
        <v>2016</v>
      </c>
      <c r="I4" s="794">
        <v>2017</v>
      </c>
      <c r="J4" s="794">
        <v>2018</v>
      </c>
      <c r="K4" s="794">
        <v>2019</v>
      </c>
      <c r="L4" s="794">
        <v>2020</v>
      </c>
      <c r="M4" s="794">
        <v>2021</v>
      </c>
    </row>
    <row r="5" spans="2:14" ht="30">
      <c r="B5" s="820" t="s">
        <v>1494</v>
      </c>
      <c r="C5" s="696">
        <f>'Emisiones de GEI'!K29</f>
        <v>0</v>
      </c>
      <c r="D5" s="696">
        <f>'Emisiones de GEI'!L29</f>
        <v>0</v>
      </c>
      <c r="E5" s="696">
        <f>'Emisiones de GEI'!M29</f>
        <v>2.80762749421E-2</v>
      </c>
      <c r="F5" s="696">
        <f>'Emisiones de GEI'!N29</f>
        <v>0.12586922220795999</v>
      </c>
      <c r="G5" s="696">
        <f>'Emisiones de GEI'!O29</f>
        <v>0.18514297876104802</v>
      </c>
      <c r="H5" s="696">
        <f>'Emisiones de GEI'!P29</f>
        <v>0.22884278914105835</v>
      </c>
      <c r="I5" s="696">
        <f>'Emisiones de GEI'!Q29</f>
        <v>0.18307423131284675</v>
      </c>
      <c r="J5" s="696">
        <f>'Emisiones de GEI'!R29</f>
        <v>0.14645938505027739</v>
      </c>
      <c r="K5" s="696">
        <f>'Emisiones de GEI'!S29</f>
        <v>0.11716750804022191</v>
      </c>
      <c r="L5" s="696">
        <f>'Emisiones de GEI'!T29</f>
        <v>9.3734006432177538E-2</v>
      </c>
      <c r="M5" s="795">
        <f>'Emisiones de GEI'!U29</f>
        <v>7.4987205145742031E-2</v>
      </c>
      <c r="N5" s="821"/>
    </row>
    <row r="6" spans="2:14" ht="30">
      <c r="B6" s="820" t="s">
        <v>1495</v>
      </c>
      <c r="C6" s="696">
        <f>'Captura de CO2e'!I7</f>
        <v>0</v>
      </c>
      <c r="D6" s="696">
        <f>'Captura de CO2e'!J7</f>
        <v>0</v>
      </c>
      <c r="E6" s="696">
        <f>'Captura de CO2e'!K7</f>
        <v>2.8336916666666663</v>
      </c>
      <c r="F6" s="696">
        <f>'Captura de CO2e'!L7</f>
        <v>104.66888666666667</v>
      </c>
      <c r="G6" s="696">
        <f>'Captura de CO2e'!M7</f>
        <v>306.17900499999996</v>
      </c>
      <c r="H6" s="696">
        <f>'Captura de CO2e'!N7</f>
        <v>507.22233833333331</v>
      </c>
      <c r="I6" s="696">
        <f>'Captura de CO2e'!O7</f>
        <v>638.69250499999998</v>
      </c>
      <c r="J6" s="696">
        <f>'Captura de CO2e'!P7</f>
        <v>638.69250499999998</v>
      </c>
      <c r="K6" s="696">
        <f>'Captura de CO2e'!Q7</f>
        <v>638.69250499999998</v>
      </c>
      <c r="L6" s="696">
        <f>'Captura de CO2e'!R7</f>
        <v>638.69250499999998</v>
      </c>
      <c r="M6" s="795">
        <f>'Captura de CO2e'!S7</f>
        <v>638.69250499999998</v>
      </c>
      <c r="N6" s="821"/>
    </row>
    <row r="7" spans="2:14" ht="30">
      <c r="B7" s="820" t="s">
        <v>1496</v>
      </c>
      <c r="C7" s="696">
        <f>C5-C6</f>
        <v>0</v>
      </c>
      <c r="D7" s="696">
        <f t="shared" ref="D7:M7" si="0">D5-D6</f>
        <v>0</v>
      </c>
      <c r="E7" s="696">
        <f t="shared" si="0"/>
        <v>-2.8056153917245661</v>
      </c>
      <c r="F7" s="696">
        <f t="shared" si="0"/>
        <v>-104.54301744445871</v>
      </c>
      <c r="G7" s="696">
        <f t="shared" si="0"/>
        <v>-305.9938620212389</v>
      </c>
      <c r="H7" s="696">
        <f t="shared" si="0"/>
        <v>-506.99349554419223</v>
      </c>
      <c r="I7" s="696">
        <f>I5-I6</f>
        <v>-638.50943076868714</v>
      </c>
      <c r="J7" s="696">
        <f t="shared" si="0"/>
        <v>-638.54604561494966</v>
      </c>
      <c r="K7" s="696">
        <f t="shared" si="0"/>
        <v>-638.57533749195977</v>
      </c>
      <c r="L7" s="696">
        <f t="shared" si="0"/>
        <v>-638.59877099356777</v>
      </c>
      <c r="M7" s="795">
        <f t="shared" si="0"/>
        <v>-638.61751779485428</v>
      </c>
      <c r="N7" s="821"/>
    </row>
    <row r="8" spans="2:14">
      <c r="B8" s="822"/>
    </row>
    <row r="9" spans="2:14">
      <c r="B9" s="822" t="s">
        <v>1497</v>
      </c>
    </row>
    <row r="10" spans="2:14">
      <c r="B10" s="1089"/>
      <c r="C10" s="1088" t="s">
        <v>1470</v>
      </c>
      <c r="D10" s="1088"/>
      <c r="E10" s="1088"/>
      <c r="F10" s="1088"/>
      <c r="G10" s="1088"/>
      <c r="H10" s="1088"/>
      <c r="I10" s="1088"/>
      <c r="J10" s="1088"/>
      <c r="K10" s="1088"/>
      <c r="L10" s="1088"/>
      <c r="M10" s="1088"/>
    </row>
    <row r="11" spans="2:14">
      <c r="B11" s="1089"/>
      <c r="C11" s="1088" t="s">
        <v>1127</v>
      </c>
      <c r="D11" s="1088"/>
      <c r="E11" s="1088"/>
      <c r="F11" s="1088"/>
      <c r="G11" s="1088"/>
      <c r="H11" s="1088"/>
      <c r="I11" s="1088" t="s">
        <v>1128</v>
      </c>
      <c r="J11" s="1088"/>
      <c r="K11" s="1088"/>
      <c r="L11" s="1088"/>
      <c r="M11" s="1088"/>
    </row>
    <row r="12" spans="2:14">
      <c r="B12" s="1089"/>
      <c r="C12" s="794">
        <v>2011</v>
      </c>
      <c r="D12" s="794">
        <v>2012</v>
      </c>
      <c r="E12" s="794">
        <v>2013</v>
      </c>
      <c r="F12" s="794">
        <v>2014</v>
      </c>
      <c r="G12" s="794">
        <v>2015</v>
      </c>
      <c r="H12" s="794">
        <v>2016</v>
      </c>
      <c r="I12" s="794">
        <v>2017</v>
      </c>
      <c r="J12" s="794">
        <v>2018</v>
      </c>
      <c r="K12" s="794">
        <v>2019</v>
      </c>
      <c r="L12" s="794">
        <v>2020</v>
      </c>
      <c r="M12" s="794">
        <v>2021</v>
      </c>
      <c r="N12" s="822"/>
    </row>
    <row r="13" spans="2:14" ht="30">
      <c r="B13" s="820" t="s">
        <v>1496</v>
      </c>
      <c r="C13" s="697">
        <f>C27</f>
        <v>13.18300911905046</v>
      </c>
      <c r="D13" s="697">
        <f>D27</f>
        <v>261.33024653912736</v>
      </c>
      <c r="E13" s="697">
        <f t="shared" ref="E13:M13" si="1">E27</f>
        <v>1081.2144033353857</v>
      </c>
      <c r="F13" s="697">
        <f t="shared" si="1"/>
        <v>3767.5744479080104</v>
      </c>
      <c r="G13" s="697">
        <f t="shared" si="1"/>
        <v>524.6104570216188</v>
      </c>
      <c r="H13" s="697">
        <f t="shared" si="1"/>
        <v>2258.6909629153224</v>
      </c>
      <c r="I13" s="697">
        <f t="shared" si="1"/>
        <v>-106.50319991459162</v>
      </c>
      <c r="J13" s="697">
        <f t="shared" si="1"/>
        <v>-212.94106093167335</v>
      </c>
      <c r="K13" s="697">
        <f t="shared" si="1"/>
        <v>-298.09134974533868</v>
      </c>
      <c r="L13" s="697">
        <f t="shared" si="1"/>
        <v>-366.21158079627105</v>
      </c>
      <c r="M13" s="697">
        <f t="shared" si="1"/>
        <v>-420.70776563701679</v>
      </c>
      <c r="N13" s="823"/>
    </row>
    <row r="20" spans="2:14">
      <c r="B20" s="824"/>
      <c r="C20" s="1084" t="s">
        <v>1498</v>
      </c>
      <c r="D20" s="1084"/>
      <c r="E20" s="1084"/>
      <c r="F20" s="1084"/>
      <c r="G20" s="1084"/>
      <c r="H20" s="1084"/>
      <c r="I20" s="1084"/>
      <c r="J20" s="1084"/>
      <c r="K20" s="1084"/>
      <c r="L20" s="1084"/>
      <c r="M20" s="1084"/>
    </row>
    <row r="21" spans="2:14">
      <c r="B21" s="824" t="s">
        <v>1480</v>
      </c>
      <c r="C21" s="744">
        <v>2011</v>
      </c>
      <c r="D21" s="744">
        <v>2012</v>
      </c>
      <c r="E21" s="744">
        <v>2013</v>
      </c>
      <c r="F21" s="744">
        <v>2014</v>
      </c>
      <c r="G21" s="744">
        <v>2015</v>
      </c>
      <c r="H21" s="744">
        <v>2016</v>
      </c>
      <c r="I21" s="744">
        <v>2017</v>
      </c>
      <c r="J21" s="744">
        <v>2018</v>
      </c>
      <c r="K21" s="744">
        <v>2019</v>
      </c>
      <c r="L21" s="744">
        <v>2020</v>
      </c>
      <c r="M21" s="744">
        <v>2021</v>
      </c>
    </row>
    <row r="22" spans="2:14">
      <c r="B22" s="824" t="s">
        <v>1481</v>
      </c>
      <c r="C22" s="825">
        <f>'Emisiones de GEI'!K38</f>
        <v>13.18300911905046</v>
      </c>
      <c r="D22" s="825">
        <f>'Emisiones de GEI'!L38</f>
        <v>144.97543792699224</v>
      </c>
      <c r="E22" s="825">
        <f>'Emisiones de GEI'!M38</f>
        <v>765.87465541420943</v>
      </c>
      <c r="F22" s="825">
        <f>'Emisiones de GEI'!N38</f>
        <v>614.01055766470097</v>
      </c>
      <c r="G22" s="825">
        <f>'Emisiones de GEI'!O38</f>
        <v>830.6043190428577</v>
      </c>
      <c r="H22" s="825">
        <f>'Emisiones de GEI'!P38</f>
        <v>665.00778856761929</v>
      </c>
      <c r="I22" s="825">
        <f>'Emisiones de GEI'!Q38</f>
        <v>532.00623085409552</v>
      </c>
      <c r="J22" s="825">
        <f>'Emisiones de GEI'!R38</f>
        <v>425.60498468327637</v>
      </c>
      <c r="K22" s="825">
        <f>'Emisiones de GEI'!S38</f>
        <v>340.4839877466211</v>
      </c>
      <c r="L22" s="825">
        <f>'Emisiones de GEI'!T38</f>
        <v>272.38719019729677</v>
      </c>
      <c r="M22" s="825">
        <f>'Emisiones de GEI'!U38</f>
        <v>217.90975215783749</v>
      </c>
    </row>
    <row r="23" spans="2:14">
      <c r="B23" s="824" t="s">
        <v>1482</v>
      </c>
      <c r="C23" s="825">
        <f>'Emisiones de GEI'!K39</f>
        <v>0</v>
      </c>
      <c r="D23" s="825">
        <f>'Emisiones de GEI'!L39</f>
        <v>116.35480861213513</v>
      </c>
      <c r="E23" s="825">
        <f>'Emisiones de GEI'!M39</f>
        <v>318.14536331290083</v>
      </c>
      <c r="F23" s="825">
        <f>'Emisiones de GEI'!N39</f>
        <v>3258.1069076877679</v>
      </c>
      <c r="G23" s="825">
        <f>'Emisiones de GEI'!O39</f>
        <v>0</v>
      </c>
      <c r="H23" s="825">
        <f>'Emisiones de GEI'!P39</f>
        <v>2100.6766698918955</v>
      </c>
      <c r="I23" s="825">
        <f>'Emisiones de GEI'!Q39</f>
        <v>0</v>
      </c>
      <c r="J23" s="825">
        <f>'Emisiones de GEI'!R39</f>
        <v>0</v>
      </c>
      <c r="K23" s="825">
        <f>'Emisiones de GEI'!S39</f>
        <v>0</v>
      </c>
      <c r="L23" s="825">
        <f>'Emisiones de GEI'!T39</f>
        <v>0</v>
      </c>
      <c r="M23" s="825">
        <f>'Emisiones de GEI'!U39</f>
        <v>0</v>
      </c>
    </row>
    <row r="24" spans="2:14">
      <c r="B24" s="824" t="s">
        <v>1484</v>
      </c>
      <c r="C24" s="825">
        <f>'Emisiones de GEI'!K40</f>
        <v>0</v>
      </c>
      <c r="D24" s="825">
        <f>'Emisiones de GEI'!L40</f>
        <v>0</v>
      </c>
      <c r="E24" s="825">
        <f>'Emisiones de GEI'!M40</f>
        <v>2.80762749421E-2</v>
      </c>
      <c r="F24" s="825">
        <f>'Emisiones de GEI'!N40</f>
        <v>0.12586922220795999</v>
      </c>
      <c r="G24" s="825">
        <f>'Emisiones de GEI'!O40</f>
        <v>0.18514297876104802</v>
      </c>
      <c r="H24" s="825">
        <f>'Emisiones de GEI'!P40</f>
        <v>0.22884278914105835</v>
      </c>
      <c r="I24" s="825">
        <f>'Emisiones de GEI'!Q40</f>
        <v>0.18307423131284675</v>
      </c>
      <c r="J24" s="825">
        <f>'Emisiones de GEI'!R40</f>
        <v>0.14645938505027739</v>
      </c>
      <c r="K24" s="825">
        <f>'Emisiones de GEI'!S40</f>
        <v>0.11716750804022191</v>
      </c>
      <c r="L24" s="825">
        <f>'Emisiones de GEI'!T40</f>
        <v>9.3734006432177538E-2</v>
      </c>
      <c r="M24" s="825">
        <f>'Emisiones de GEI'!U40</f>
        <v>7.4987205145742031E-2</v>
      </c>
    </row>
    <row r="25" spans="2:14">
      <c r="B25" s="826" t="s">
        <v>965</v>
      </c>
      <c r="C25" s="827">
        <f>'Emisiones de GEI'!K41</f>
        <v>13.18300911905046</v>
      </c>
      <c r="D25" s="827">
        <f>'Emisiones de GEI'!L41</f>
        <v>261.33024653912736</v>
      </c>
      <c r="E25" s="827">
        <f>'Emisiones de GEI'!M41</f>
        <v>1084.0480950020524</v>
      </c>
      <c r="F25" s="827">
        <f>'Emisiones de GEI'!N41</f>
        <v>3872.2433345746772</v>
      </c>
      <c r="G25" s="827">
        <f>'Emisiones de GEI'!O41</f>
        <v>830.78946202161876</v>
      </c>
      <c r="H25" s="827">
        <f>'Emisiones de GEI'!P41</f>
        <v>2765.9133012486559</v>
      </c>
      <c r="I25" s="827">
        <f>'Emisiones de GEI'!Q41</f>
        <v>532.18930508540836</v>
      </c>
      <c r="J25" s="827">
        <f>'Emisiones de GEI'!R41</f>
        <v>425.75144406832663</v>
      </c>
      <c r="K25" s="827">
        <f>'Emisiones de GEI'!S41</f>
        <v>340.60115525466131</v>
      </c>
      <c r="L25" s="827">
        <f>'Emisiones de GEI'!T41</f>
        <v>272.48092420372893</v>
      </c>
      <c r="M25" s="827">
        <f>'Emisiones de GEI'!U41</f>
        <v>217.98473936298322</v>
      </c>
    </row>
    <row r="26" spans="2:14" ht="30">
      <c r="B26" s="828" t="s">
        <v>1499</v>
      </c>
      <c r="C26" s="829">
        <f>C6</f>
        <v>0</v>
      </c>
      <c r="D26" s="829">
        <f t="shared" ref="D26:M26" si="2">D6</f>
        <v>0</v>
      </c>
      <c r="E26" s="829">
        <f t="shared" si="2"/>
        <v>2.8336916666666663</v>
      </c>
      <c r="F26" s="829">
        <f t="shared" si="2"/>
        <v>104.66888666666667</v>
      </c>
      <c r="G26" s="829">
        <f t="shared" si="2"/>
        <v>306.17900499999996</v>
      </c>
      <c r="H26" s="829">
        <f t="shared" si="2"/>
        <v>507.22233833333331</v>
      </c>
      <c r="I26" s="829">
        <f t="shared" si="2"/>
        <v>638.69250499999998</v>
      </c>
      <c r="J26" s="829">
        <f t="shared" si="2"/>
        <v>638.69250499999998</v>
      </c>
      <c r="K26" s="829">
        <f t="shared" si="2"/>
        <v>638.69250499999998</v>
      </c>
      <c r="L26" s="829">
        <f t="shared" si="2"/>
        <v>638.69250499999998</v>
      </c>
      <c r="M26" s="830">
        <f t="shared" si="2"/>
        <v>638.69250499999998</v>
      </c>
    </row>
    <row r="27" spans="2:14" ht="30">
      <c r="B27" s="828" t="s">
        <v>1500</v>
      </c>
      <c r="C27" s="831">
        <f>C25-C26</f>
        <v>13.18300911905046</v>
      </c>
      <c r="D27" s="831">
        <f t="shared" ref="D27:M27" si="3">D25-D26</f>
        <v>261.33024653912736</v>
      </c>
      <c r="E27" s="831">
        <f t="shared" si="3"/>
        <v>1081.2144033353857</v>
      </c>
      <c r="F27" s="831">
        <f t="shared" si="3"/>
        <v>3767.5744479080104</v>
      </c>
      <c r="G27" s="831">
        <f t="shared" si="3"/>
        <v>524.6104570216188</v>
      </c>
      <c r="H27" s="831">
        <f t="shared" si="3"/>
        <v>2258.6909629153224</v>
      </c>
      <c r="I27" s="831">
        <f t="shared" si="3"/>
        <v>-106.50319991459162</v>
      </c>
      <c r="J27" s="831">
        <f t="shared" si="3"/>
        <v>-212.94106093167335</v>
      </c>
      <c r="K27" s="831">
        <f t="shared" si="3"/>
        <v>-298.09134974533868</v>
      </c>
      <c r="L27" s="831">
        <f t="shared" si="3"/>
        <v>-366.21158079627105</v>
      </c>
      <c r="M27" s="831">
        <f t="shared" si="3"/>
        <v>-420.70776563701679</v>
      </c>
      <c r="N27" s="821"/>
    </row>
  </sheetData>
  <mergeCells count="9">
    <mergeCell ref="C20:M20"/>
    <mergeCell ref="B2:B4"/>
    <mergeCell ref="C2:M2"/>
    <mergeCell ref="C3:H3"/>
    <mergeCell ref="I3:M3"/>
    <mergeCell ref="B10:B12"/>
    <mergeCell ref="C10:M10"/>
    <mergeCell ref="C11:H11"/>
    <mergeCell ref="I11:M11"/>
  </mergeCells>
  <pageMargins left="0.7" right="0.7" top="0.75" bottom="0.75" header="0.3" footer="0.3"/>
  <pageSetup paperSize="257"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tabSelected="1" zoomScale="75" zoomScaleNormal="75" workbookViewId="0">
      <selection activeCell="J85" sqref="J85"/>
    </sheetView>
  </sheetViews>
  <sheetFormatPr baseColWidth="10" defaultRowHeight="12"/>
  <cols>
    <col min="1" max="1" width="9.85546875" style="29" customWidth="1"/>
    <col min="2" max="2" width="16.42578125" style="29" customWidth="1"/>
    <col min="3" max="3" width="12.7109375" style="29" customWidth="1"/>
    <col min="4" max="5" width="13.28515625" style="29" customWidth="1"/>
    <col min="6" max="10" width="11.5703125" style="29" customWidth="1"/>
    <col min="11" max="11" width="16.42578125" style="29" customWidth="1"/>
    <col min="12" max="12" width="16.5703125" style="29" customWidth="1"/>
    <col min="13" max="13" width="13.140625" style="29" customWidth="1"/>
    <col min="14" max="14" width="11" style="29" customWidth="1"/>
    <col min="15" max="15" width="13.140625" style="29" customWidth="1"/>
    <col min="16" max="17" width="11.42578125" style="29"/>
    <col min="18" max="18" width="13.42578125" style="29" customWidth="1"/>
    <col min="19" max="20" width="11.42578125" style="29"/>
    <col min="21" max="21" width="16.7109375" style="29" customWidth="1"/>
    <col min="22" max="22" width="11.42578125" style="29"/>
    <col min="23" max="24" width="13.140625" style="29" customWidth="1"/>
    <col min="25" max="25" width="25.140625" style="29" customWidth="1"/>
    <col min="26" max="16384" width="11.42578125" style="29"/>
  </cols>
  <sheetData>
    <row r="1" spans="1:29" s="53" customFormat="1" ht="24" customHeight="1" thickBot="1">
      <c r="A1" s="1124" t="s">
        <v>1130</v>
      </c>
      <c r="B1" s="1125"/>
      <c r="C1" s="1125"/>
      <c r="D1" s="1125"/>
      <c r="E1" s="1126"/>
      <c r="F1" s="1126"/>
      <c r="G1" s="1126"/>
      <c r="H1" s="1126"/>
      <c r="I1" s="1126"/>
      <c r="J1" s="585"/>
      <c r="K1" s="415"/>
      <c r="O1" s="586"/>
      <c r="P1" s="572"/>
    </row>
    <row r="2" spans="1:29" ht="12" customHeight="1">
      <c r="A2" s="625"/>
      <c r="B2" s="1139" t="s">
        <v>1127</v>
      </c>
      <c r="C2" s="1140"/>
      <c r="D2" s="1140"/>
      <c r="E2" s="1140"/>
      <c r="F2" s="1140"/>
      <c r="G2" s="1140"/>
      <c r="H2" s="1140"/>
      <c r="I2" s="1140"/>
      <c r="J2" s="1140"/>
      <c r="K2" s="1140"/>
      <c r="L2" s="1092"/>
      <c r="M2" s="1093"/>
      <c r="N2" s="1093"/>
      <c r="O2" s="1093"/>
      <c r="P2" s="1093"/>
      <c r="Q2" s="1093"/>
      <c r="R2" s="1093"/>
      <c r="S2" s="1093"/>
      <c r="T2" s="1093"/>
      <c r="U2" s="1093"/>
      <c r="V2" s="527"/>
      <c r="W2" s="527"/>
      <c r="X2" s="527"/>
      <c r="Y2" s="527"/>
      <c r="Z2" s="527"/>
      <c r="AA2" s="527"/>
      <c r="AB2" s="527"/>
    </row>
    <row r="3" spans="1:29" ht="51" customHeight="1" thickBot="1">
      <c r="A3" s="626" t="s">
        <v>650</v>
      </c>
      <c r="B3" s="633" t="s">
        <v>651</v>
      </c>
      <c r="C3" s="634"/>
      <c r="D3" s="634"/>
      <c r="E3" s="639">
        <v>2011</v>
      </c>
      <c r="F3" s="639">
        <v>2012</v>
      </c>
      <c r="G3" s="639">
        <v>2013</v>
      </c>
      <c r="H3" s="639">
        <v>2014</v>
      </c>
      <c r="I3" s="639">
        <v>2015</v>
      </c>
      <c r="J3" s="639">
        <v>2016</v>
      </c>
      <c r="K3" s="839" t="s">
        <v>1510</v>
      </c>
      <c r="L3" s="842"/>
      <c r="M3" s="842"/>
      <c r="N3" s="842"/>
      <c r="O3" s="842"/>
      <c r="P3" s="842"/>
      <c r="Q3" s="842"/>
      <c r="R3" s="842"/>
      <c r="S3" s="842"/>
      <c r="T3" s="842"/>
      <c r="U3" s="145"/>
      <c r="V3" s="527"/>
      <c r="W3" s="527"/>
      <c r="X3" s="527"/>
      <c r="Y3" s="527"/>
      <c r="Z3" s="527"/>
      <c r="AA3" s="527"/>
      <c r="AB3" s="527"/>
      <c r="AC3" s="527"/>
    </row>
    <row r="4" spans="1:29" ht="30" customHeight="1">
      <c r="A4" s="1094">
        <v>1</v>
      </c>
      <c r="B4" s="1099" t="s">
        <v>655</v>
      </c>
      <c r="C4" s="629" t="s">
        <v>656</v>
      </c>
      <c r="D4" s="632" t="s">
        <v>657</v>
      </c>
      <c r="E4" s="636">
        <f>'Combust Fija Cálc'!B119</f>
        <v>19.218232865143118</v>
      </c>
      <c r="F4" s="636">
        <f>'Combust Fija Cálc'!C119</f>
        <v>651.79406457293737</v>
      </c>
      <c r="G4" s="636">
        <f>'Combust Fija Cálc'!D119</f>
        <v>3371.008836547584</v>
      </c>
      <c r="H4" s="636">
        <f>'Combust Fija Cálc'!E119</f>
        <v>2655.5781129877046</v>
      </c>
      <c r="I4" s="636">
        <f>'Combust Fija Cálc'!F119</f>
        <v>2718.1519949052572</v>
      </c>
      <c r="J4" s="636">
        <f>'Combust Fija Cálc'!G119</f>
        <v>363.80834243365604</v>
      </c>
      <c r="K4" s="840">
        <f>SUM(E4:J4)</f>
        <v>9779.5595843122828</v>
      </c>
      <c r="L4" s="1102"/>
      <c r="M4" s="1102"/>
      <c r="N4" s="1102"/>
      <c r="O4" s="843"/>
      <c r="P4" s="843"/>
      <c r="Q4" s="843"/>
      <c r="R4" s="843"/>
      <c r="S4" s="843"/>
      <c r="T4" s="843"/>
      <c r="U4" s="53"/>
      <c r="V4" s="527"/>
      <c r="W4" s="527"/>
      <c r="X4" s="527"/>
      <c r="Y4" s="527"/>
      <c r="Z4" s="527"/>
      <c r="AA4" s="527"/>
      <c r="AB4" s="527"/>
    </row>
    <row r="5" spans="1:29" ht="30" customHeight="1">
      <c r="A5" s="1095"/>
      <c r="B5" s="1100"/>
      <c r="C5" s="1103" t="s">
        <v>660</v>
      </c>
      <c r="D5" s="630" t="s">
        <v>661</v>
      </c>
      <c r="E5" s="637">
        <f>'Combust Móvil Cálc'!B53</f>
        <v>5.1388355628611162</v>
      </c>
      <c r="F5" s="637">
        <f>'Combust Móvil Cálc'!C53</f>
        <v>94.704171630492382</v>
      </c>
      <c r="G5" s="637">
        <f>'Combust Móvil Cálc'!D53</f>
        <v>462.52691979172067</v>
      </c>
      <c r="H5" s="637">
        <f>'Combust Móvil Cálc'!E53</f>
        <v>269.82933395191799</v>
      </c>
      <c r="I5" s="637">
        <f>'Combust Móvil Cálc'!F53</f>
        <v>190.99805017756518</v>
      </c>
      <c r="J5" s="637">
        <f>'Combust Móvil Cálc'!G53</f>
        <v>6.0867565174785252</v>
      </c>
      <c r="K5" s="840">
        <f t="shared" ref="K5:K6" si="0">SUM(E5:J5)</f>
        <v>1029.2840676320359</v>
      </c>
      <c r="L5" s="1102"/>
      <c r="M5" s="1142"/>
      <c r="N5" s="1142"/>
      <c r="O5" s="843"/>
      <c r="P5" s="843"/>
      <c r="Q5" s="843"/>
      <c r="R5" s="843"/>
      <c r="S5" s="843"/>
      <c r="T5" s="843"/>
      <c r="U5" s="53"/>
      <c r="V5" s="527"/>
      <c r="W5" s="527"/>
      <c r="X5" s="527"/>
      <c r="Y5" s="527"/>
      <c r="Z5" s="527"/>
      <c r="AA5" s="527"/>
      <c r="AB5" s="527"/>
    </row>
    <row r="6" spans="1:29" ht="30" customHeight="1">
      <c r="A6" s="1095"/>
      <c r="B6" s="1100"/>
      <c r="C6" s="1104"/>
      <c r="D6" s="630" t="s">
        <v>647</v>
      </c>
      <c r="E6" s="637">
        <f>'Combust Móvil Cálc'!B108</f>
        <v>18.465271553063396</v>
      </c>
      <c r="F6" s="637">
        <f>'Combust Móvil Cálc'!C108</f>
        <v>144.20854291791949</v>
      </c>
      <c r="G6" s="637">
        <f>'Combust Móvil Cálc'!D108</f>
        <v>190.99014631728184</v>
      </c>
      <c r="H6" s="637">
        <f>'Combust Móvil Cálc'!E108</f>
        <v>189.49180995429339</v>
      </c>
      <c r="I6" s="637">
        <f>'Combust Móvil Cálc'!F108</f>
        <v>187.92082619156841</v>
      </c>
      <c r="J6" s="637">
        <f>'Combust Móvil Cálc'!G108</f>
        <v>26.129345277597491</v>
      </c>
      <c r="K6" s="840">
        <f t="shared" si="0"/>
        <v>757.20594221172405</v>
      </c>
      <c r="L6" s="1102"/>
      <c r="M6" s="1142"/>
      <c r="N6" s="1142"/>
      <c r="O6" s="843"/>
      <c r="P6" s="843"/>
      <c r="Q6" s="843"/>
      <c r="R6" s="843"/>
      <c r="S6" s="843"/>
      <c r="T6" s="843"/>
      <c r="U6" s="53"/>
      <c r="V6" s="527"/>
      <c r="W6" s="527"/>
      <c r="X6" s="527"/>
      <c r="Y6" s="527"/>
      <c r="Z6" s="527"/>
      <c r="AA6" s="527"/>
      <c r="AB6" s="527"/>
    </row>
    <row r="7" spans="1:29" ht="30" customHeight="1" thickBot="1">
      <c r="A7" s="1096"/>
      <c r="B7" s="1101"/>
      <c r="C7" s="1105"/>
      <c r="D7" s="631" t="s">
        <v>577</v>
      </c>
      <c r="E7" s="638">
        <f>'Combust Móvil Cálc'!B149</f>
        <v>85.52756724631638</v>
      </c>
      <c r="F7" s="638">
        <f>'Combust Móvil Cálc'!C149</f>
        <v>1219.7051673329261</v>
      </c>
      <c r="G7" s="638">
        <f>'Combust Móvil Cálc'!D149</f>
        <v>1723.2561861715626</v>
      </c>
      <c r="H7" s="638">
        <f>'Combust Móvil Cálc'!E149</f>
        <v>1460.289905761322</v>
      </c>
      <c r="I7" s="638">
        <f>'Combust Móvil Cálc'!F149</f>
        <v>370.8701207489417</v>
      </c>
      <c r="J7" s="638">
        <f>'Combust Móvil Cálc'!G149</f>
        <v>2.4727980030264587</v>
      </c>
      <c r="K7" s="841">
        <f>SUM(E7:J7)</f>
        <v>4862.1217452640958</v>
      </c>
      <c r="L7" s="1102"/>
      <c r="M7" s="1142"/>
      <c r="N7" s="1142"/>
      <c r="O7" s="843"/>
      <c r="P7" s="843"/>
      <c r="Q7" s="843"/>
      <c r="R7" s="843"/>
      <c r="S7" s="843"/>
      <c r="T7" s="843"/>
      <c r="U7" s="53"/>
    </row>
    <row r="8" spans="1:29" ht="15">
      <c r="B8" s="1106" t="s">
        <v>965</v>
      </c>
      <c r="C8" s="1107"/>
      <c r="D8" s="1108"/>
      <c r="E8" s="571">
        <f>SUM(E4:E7)</f>
        <v>128.34990722738399</v>
      </c>
      <c r="F8" s="571">
        <f t="shared" ref="F8:J8" si="1">SUM(F4:F7)</f>
        <v>2110.4119464542755</v>
      </c>
      <c r="G8" s="571">
        <f t="shared" si="1"/>
        <v>5747.7820888281494</v>
      </c>
      <c r="H8" s="571">
        <f t="shared" si="1"/>
        <v>4575.1891626552379</v>
      </c>
      <c r="I8" s="571">
        <f t="shared" si="1"/>
        <v>3467.9409920233325</v>
      </c>
      <c r="J8" s="571">
        <f t="shared" si="1"/>
        <v>398.49724223175855</v>
      </c>
      <c r="K8" s="635">
        <f>SUM(K4:K7)</f>
        <v>16428.171339420136</v>
      </c>
      <c r="L8" s="1109"/>
      <c r="M8" s="1093"/>
      <c r="N8" s="1093"/>
      <c r="O8" s="844"/>
      <c r="P8" s="844"/>
      <c r="Q8" s="844"/>
      <c r="R8" s="844"/>
      <c r="S8" s="844"/>
      <c r="T8" s="844"/>
      <c r="U8" s="844"/>
    </row>
    <row r="9" spans="1:29">
      <c r="E9" s="527" t="str">
        <f t="shared" ref="E9:J9" si="2">IF(E8&lt;25000,"CUMPLE IFC","NO CUMPLE")</f>
        <v>CUMPLE IFC</v>
      </c>
      <c r="F9" s="527" t="str">
        <f t="shared" si="2"/>
        <v>CUMPLE IFC</v>
      </c>
      <c r="G9" s="527" t="str">
        <f t="shared" si="2"/>
        <v>CUMPLE IFC</v>
      </c>
      <c r="H9" s="527" t="str">
        <f t="shared" si="2"/>
        <v>CUMPLE IFC</v>
      </c>
      <c r="I9" s="527" t="str">
        <f t="shared" si="2"/>
        <v>CUMPLE IFC</v>
      </c>
      <c r="J9" s="527" t="str">
        <f t="shared" si="2"/>
        <v>CUMPLE IFC</v>
      </c>
      <c r="L9" s="53"/>
      <c r="M9" s="53"/>
      <c r="N9" s="53"/>
      <c r="O9" s="53"/>
      <c r="P9" s="53"/>
      <c r="Q9" s="53"/>
      <c r="R9" s="53"/>
      <c r="S9" s="53"/>
      <c r="T9" s="53"/>
      <c r="U9" s="53"/>
    </row>
    <row r="10" spans="1:29">
      <c r="W10" s="29" t="s">
        <v>1521</v>
      </c>
    </row>
    <row r="11" spans="1:29" ht="29.25" customHeight="1" thickBot="1">
      <c r="A11" s="1124" t="s">
        <v>1131</v>
      </c>
      <c r="B11" s="1125"/>
      <c r="C11" s="1125"/>
      <c r="D11" s="1125"/>
      <c r="E11" s="1126"/>
      <c r="F11" s="1126"/>
      <c r="G11" s="1126"/>
      <c r="H11" s="1126"/>
      <c r="I11" s="1126"/>
      <c r="J11" s="1126"/>
      <c r="K11" s="1126"/>
      <c r="L11" s="53"/>
      <c r="W11" s="1090" t="s">
        <v>1516</v>
      </c>
      <c r="X11" s="1091"/>
      <c r="Y11" s="1091"/>
      <c r="Z11" s="870"/>
    </row>
    <row r="12" spans="1:29" ht="15.75" thickBot="1">
      <c r="A12" s="625"/>
      <c r="B12" s="1139" t="s">
        <v>1127</v>
      </c>
      <c r="C12" s="1140"/>
      <c r="D12" s="1140"/>
      <c r="E12" s="1140"/>
      <c r="F12" s="1140"/>
      <c r="G12" s="1140"/>
      <c r="H12" s="1140"/>
      <c r="I12" s="1140"/>
      <c r="J12" s="1140"/>
      <c r="K12" s="1141"/>
      <c r="L12" s="1132" t="s">
        <v>1128</v>
      </c>
      <c r="M12" s="1126"/>
      <c r="N12" s="1126"/>
      <c r="O12" s="1126"/>
      <c r="P12" s="1126"/>
      <c r="Q12" s="1126"/>
      <c r="R12" s="1126"/>
      <c r="S12" s="1126"/>
      <c r="T12" s="1126"/>
      <c r="U12" s="864"/>
      <c r="V12" s="664"/>
      <c r="W12" s="865" t="s">
        <v>1518</v>
      </c>
      <c r="X12" s="865" t="s">
        <v>1519</v>
      </c>
      <c r="Y12" s="868" t="s">
        <v>1519</v>
      </c>
      <c r="Z12" s="871"/>
    </row>
    <row r="13" spans="1:29" ht="12.75" thickBot="1">
      <c r="A13" s="626" t="s">
        <v>650</v>
      </c>
      <c r="B13" s="1110" t="s">
        <v>651</v>
      </c>
      <c r="C13" s="1111"/>
      <c r="D13" s="1111"/>
      <c r="E13" s="1112"/>
      <c r="F13" s="832">
        <v>2011</v>
      </c>
      <c r="G13" s="832">
        <v>2012</v>
      </c>
      <c r="H13" s="832">
        <v>2013</v>
      </c>
      <c r="I13" s="832">
        <v>2014</v>
      </c>
      <c r="J13" s="832">
        <v>2015</v>
      </c>
      <c r="K13" s="832">
        <v>2016</v>
      </c>
      <c r="L13" s="1110" t="s">
        <v>651</v>
      </c>
      <c r="M13" s="1111"/>
      <c r="N13" s="1111"/>
      <c r="O13" s="1112"/>
      <c r="P13" s="628">
        <v>2017</v>
      </c>
      <c r="Q13" s="627">
        <v>2018</v>
      </c>
      <c r="R13" s="628">
        <v>2019</v>
      </c>
      <c r="S13" s="627">
        <v>2020</v>
      </c>
      <c r="T13" s="628">
        <v>2021</v>
      </c>
      <c r="U13" s="832"/>
      <c r="W13" s="866" t="s">
        <v>1511</v>
      </c>
      <c r="X13" s="866" t="s">
        <v>1512</v>
      </c>
      <c r="Y13" s="869" t="s">
        <v>1517</v>
      </c>
      <c r="Z13" s="53"/>
    </row>
    <row r="14" spans="1:29" ht="36" customHeight="1">
      <c r="A14" s="1094">
        <v>3</v>
      </c>
      <c r="B14" s="1113" t="s">
        <v>1129</v>
      </c>
      <c r="C14" s="1116" t="s">
        <v>1501</v>
      </c>
      <c r="D14" s="1118" t="s">
        <v>1502</v>
      </c>
      <c r="E14" s="1119"/>
      <c r="F14" s="848">
        <f>'Emisiones de GEI'!K8</f>
        <v>0</v>
      </c>
      <c r="G14" s="848">
        <f>'Emisiones de GEI'!L8</f>
        <v>116.35480861213513</v>
      </c>
      <c r="H14" s="848">
        <f>'Emisiones de GEI'!M8</f>
        <v>318.14536331290083</v>
      </c>
      <c r="I14" s="848">
        <f>'Emisiones de GEI'!N8</f>
        <v>3258.1069076877679</v>
      </c>
      <c r="J14" s="848">
        <f>'Emisiones de GEI'!O8</f>
        <v>0</v>
      </c>
      <c r="K14" s="848">
        <f>'Emisiones de GEI'!P8</f>
        <v>2100.6766698918955</v>
      </c>
      <c r="L14" s="1113" t="s">
        <v>1129</v>
      </c>
      <c r="M14" s="1116" t="s">
        <v>1501</v>
      </c>
      <c r="N14" s="1118" t="s">
        <v>34</v>
      </c>
      <c r="O14" s="1119"/>
      <c r="P14" s="846">
        <v>0</v>
      </c>
      <c r="Q14" s="846"/>
      <c r="R14" s="846">
        <v>0</v>
      </c>
      <c r="S14" s="859">
        <v>0</v>
      </c>
      <c r="T14" s="859">
        <v>0</v>
      </c>
      <c r="U14" s="833"/>
      <c r="W14" s="872">
        <f t="shared" ref="W14:W19" si="3">SUM(F14:K14)</f>
        <v>5793.2837495046988</v>
      </c>
      <c r="X14" s="867">
        <f t="shared" ref="X14:X19" si="4">SUM(P14:T14)</f>
        <v>0</v>
      </c>
      <c r="Y14" s="867">
        <v>0</v>
      </c>
      <c r="Z14" s="56"/>
    </row>
    <row r="15" spans="1:29" ht="36" customHeight="1">
      <c r="A15" s="1095"/>
      <c r="B15" s="1114"/>
      <c r="C15" s="1117"/>
      <c r="D15" s="1118" t="s">
        <v>1503</v>
      </c>
      <c r="E15" s="1119"/>
      <c r="F15" s="849">
        <f>'Emisiones de GEI'!K16</f>
        <v>13.18300911905046</v>
      </c>
      <c r="G15" s="849">
        <f>'Emisiones de GEI'!L16</f>
        <v>144.97543792699224</v>
      </c>
      <c r="H15" s="849">
        <f>'Emisiones de GEI'!M16</f>
        <v>765.87465541420943</v>
      </c>
      <c r="I15" s="849">
        <f>'Emisiones de GEI'!N16</f>
        <v>614.01055766470097</v>
      </c>
      <c r="J15" s="849">
        <f>'Emisiones de GEI'!O16</f>
        <v>830.6043190428577</v>
      </c>
      <c r="K15" s="849">
        <f>'Emisiones de GEI'!P16</f>
        <v>665.00778856761929</v>
      </c>
      <c r="L15" s="1114"/>
      <c r="M15" s="1117"/>
      <c r="N15" s="1118" t="s">
        <v>1503</v>
      </c>
      <c r="O15" s="1119"/>
      <c r="P15" s="850">
        <f>'Emisiones de GEI'!Q16</f>
        <v>532.00623085409552</v>
      </c>
      <c r="Q15" s="854">
        <f>'Emisiones de GEI'!R16</f>
        <v>425.60498468327637</v>
      </c>
      <c r="R15" s="858">
        <f>'Emisiones de GEI'!S16</f>
        <v>340.4839877466211</v>
      </c>
      <c r="S15" s="860">
        <f>'Emisiones de GEI'!T16</f>
        <v>272.38719019729677</v>
      </c>
      <c r="T15" s="861">
        <f>'Emisiones de GEI'!U16</f>
        <v>217.90975215783749</v>
      </c>
      <c r="U15" s="835"/>
      <c r="W15" s="872">
        <f t="shared" si="3"/>
        <v>3033.6557677354299</v>
      </c>
      <c r="X15" s="872">
        <f t="shared" si="4"/>
        <v>1788.3921456391272</v>
      </c>
      <c r="Y15" s="872">
        <f>X15</f>
        <v>1788.3921456391272</v>
      </c>
    </row>
    <row r="16" spans="1:29" ht="23.25" customHeight="1">
      <c r="A16" s="1095"/>
      <c r="B16" s="1114"/>
      <c r="C16" s="1116" t="s">
        <v>1504</v>
      </c>
      <c r="D16" s="1116" t="s">
        <v>1505</v>
      </c>
      <c r="E16" s="836" t="s">
        <v>1506</v>
      </c>
      <c r="F16" s="848">
        <f>'Captura de CO2e'!I5</f>
        <v>0</v>
      </c>
      <c r="G16" s="848">
        <f>'Captura de CO2e'!J5</f>
        <v>0</v>
      </c>
      <c r="H16" s="848">
        <f>'Captura de CO2e'!K5</f>
        <v>2.3466666666666662</v>
      </c>
      <c r="I16" s="848">
        <f>'Captura de CO2e'!L5</f>
        <v>103.84916666666666</v>
      </c>
      <c r="J16" s="848">
        <f>'Captura de CO2e'!M5</f>
        <v>304.89249999999998</v>
      </c>
      <c r="K16" s="848">
        <f>'Captura de CO2e'!N5</f>
        <v>505.93583333333333</v>
      </c>
      <c r="L16" s="1114"/>
      <c r="M16" s="1116" t="s">
        <v>1504</v>
      </c>
      <c r="N16" s="1116" t="s">
        <v>1505</v>
      </c>
      <c r="O16" s="836" t="s">
        <v>1506</v>
      </c>
      <c r="P16" s="851">
        <f>'Captura de CO2e'!O5</f>
        <v>637.40599999999995</v>
      </c>
      <c r="Q16" s="854">
        <f>'Captura de CO2e'!P5</f>
        <v>637.40599999999995</v>
      </c>
      <c r="R16" s="858">
        <f>'Captura de CO2e'!Q5</f>
        <v>637.40599999999995</v>
      </c>
      <c r="S16" s="860">
        <f>'Captura de CO2e'!R5</f>
        <v>637.40599999999995</v>
      </c>
      <c r="T16" s="862">
        <f>'Captura de CO2e'!S5</f>
        <v>637.40599999999995</v>
      </c>
      <c r="U16" s="834"/>
      <c r="W16" s="872">
        <f t="shared" si="3"/>
        <v>917.02416666666659</v>
      </c>
      <c r="X16" s="872">
        <f t="shared" si="4"/>
        <v>3187.0299999999997</v>
      </c>
      <c r="Y16" s="872">
        <f>-X16</f>
        <v>-3187.0299999999997</v>
      </c>
    </row>
    <row r="17" spans="1:25" ht="24">
      <c r="A17" s="1095"/>
      <c r="B17" s="1114"/>
      <c r="C17" s="1120"/>
      <c r="D17" s="1117"/>
      <c r="E17" s="836" t="s">
        <v>1507</v>
      </c>
      <c r="F17" s="848">
        <f>'Captura de CO2e'!I6</f>
        <v>0</v>
      </c>
      <c r="G17" s="848">
        <f>'Captura de CO2e'!J6</f>
        <v>0</v>
      </c>
      <c r="H17" s="848">
        <f>'Captura de CO2e'!K6</f>
        <v>0.48702499999999993</v>
      </c>
      <c r="I17" s="848">
        <f>'Captura de CO2e'!L6</f>
        <v>0.81972</v>
      </c>
      <c r="J17" s="848">
        <f>'Captura de CO2e'!M6</f>
        <v>1.286505</v>
      </c>
      <c r="K17" s="848">
        <f>'Captura de CO2e'!N6</f>
        <v>1.286505</v>
      </c>
      <c r="L17" s="1114"/>
      <c r="M17" s="1120"/>
      <c r="N17" s="1117"/>
      <c r="O17" s="836" t="s">
        <v>1507</v>
      </c>
      <c r="P17" s="851">
        <f>'Captura de CO2e'!O6</f>
        <v>1.286505</v>
      </c>
      <c r="Q17" s="854">
        <f>'Captura de CO2e'!P6</f>
        <v>1.286505</v>
      </c>
      <c r="R17" s="858">
        <f>'Captura de CO2e'!Q6</f>
        <v>1.286505</v>
      </c>
      <c r="S17" s="860">
        <f>'Captura de CO2e'!R6</f>
        <v>1.286505</v>
      </c>
      <c r="T17" s="862">
        <f>'Captura de CO2e'!S6</f>
        <v>1.286505</v>
      </c>
      <c r="U17" s="834"/>
      <c r="W17" s="872">
        <f t="shared" si="3"/>
        <v>3.8797549999999998</v>
      </c>
      <c r="X17" s="872">
        <f t="shared" si="4"/>
        <v>6.432525</v>
      </c>
      <c r="Y17" s="872">
        <f>-X17</f>
        <v>-6.432525</v>
      </c>
    </row>
    <row r="18" spans="1:25" ht="24" customHeight="1" thickBot="1">
      <c r="A18" s="1096"/>
      <c r="B18" s="1115"/>
      <c r="C18" s="1121"/>
      <c r="D18" s="1122" t="s">
        <v>1508</v>
      </c>
      <c r="E18" s="1123"/>
      <c r="F18" s="852">
        <f>'Emisiones de GEI'!K29</f>
        <v>0</v>
      </c>
      <c r="G18" s="852">
        <f>'Emisiones de GEI'!L29</f>
        <v>0</v>
      </c>
      <c r="H18" s="852">
        <f>'Emisiones de GEI'!M29</f>
        <v>2.80762749421E-2</v>
      </c>
      <c r="I18" s="852">
        <f>'Emisiones de GEI'!N29</f>
        <v>0.12586922220795999</v>
      </c>
      <c r="J18" s="852">
        <f>'Emisiones de GEI'!O29</f>
        <v>0.18514297876104802</v>
      </c>
      <c r="K18" s="852">
        <f>'Emisiones de GEI'!P29</f>
        <v>0.22884278914105835</v>
      </c>
      <c r="L18" s="1115"/>
      <c r="M18" s="1121"/>
      <c r="N18" s="1122" t="s">
        <v>1508</v>
      </c>
      <c r="O18" s="1123"/>
      <c r="P18" s="857">
        <f>'Emisiones de GEI'!Q29</f>
        <v>0.18307423131284675</v>
      </c>
      <c r="Q18" s="857">
        <f>'Emisiones de GEI'!R29</f>
        <v>0.14645938505027739</v>
      </c>
      <c r="R18" s="857">
        <f>'Emisiones de GEI'!S29</f>
        <v>0.11716750804022191</v>
      </c>
      <c r="S18" s="857">
        <f>'Emisiones de GEI'!T29</f>
        <v>9.3734006432177538E-2</v>
      </c>
      <c r="T18" s="853">
        <f>'Emisiones de GEI'!U29</f>
        <v>7.4987205145742031E-2</v>
      </c>
      <c r="U18" s="837"/>
      <c r="W18" s="872">
        <f t="shared" si="3"/>
        <v>0.5679312650521664</v>
      </c>
      <c r="X18" s="872">
        <f t="shared" si="4"/>
        <v>0.61542233598126561</v>
      </c>
      <c r="Y18" s="872">
        <f>X18</f>
        <v>0.61542233598126561</v>
      </c>
    </row>
    <row r="19" spans="1:25" ht="12" customHeight="1">
      <c r="B19" s="1133" t="s">
        <v>966</v>
      </c>
      <c r="C19" s="1134"/>
      <c r="D19" s="1134"/>
      <c r="E19" s="1135"/>
      <c r="F19" s="849">
        <f>'GEI PTAS Cálc'!I26+'GEI PTAS Cálc'!I54</f>
        <v>0</v>
      </c>
      <c r="G19" s="849">
        <f>'GEI PTAS Cálc'!J26+'GEI PTAS Cálc'!J54</f>
        <v>49.712999999999994</v>
      </c>
      <c r="H19" s="849">
        <f>'GEI PTAS Cálc'!K26+'GEI PTAS Cálc'!K54</f>
        <v>99.425999999999988</v>
      </c>
      <c r="I19" s="849">
        <f>'GEI PTAS Cálc'!L26+'GEI PTAS Cálc'!L54</f>
        <v>99.425999999999988</v>
      </c>
      <c r="J19" s="849">
        <f>'GEI PTAS Cálc'!M26+'GEI PTAS Cálc'!M54</f>
        <v>99.425999999999988</v>
      </c>
      <c r="K19" s="849">
        <f>'GEI PTAS Cálc'!N26+'GEI PTAS Cálc'!N54</f>
        <v>99.425999999999988</v>
      </c>
      <c r="L19" s="1133" t="s">
        <v>966</v>
      </c>
      <c r="M19" s="1134"/>
      <c r="N19" s="1134"/>
      <c r="O19" s="1135"/>
      <c r="P19" s="847">
        <v>0</v>
      </c>
      <c r="Q19" s="847">
        <v>0</v>
      </c>
      <c r="R19" s="847">
        <v>0</v>
      </c>
      <c r="S19" s="847">
        <v>0</v>
      </c>
      <c r="T19" s="847">
        <v>0</v>
      </c>
      <c r="U19" s="835"/>
      <c r="W19" s="872">
        <f t="shared" si="3"/>
        <v>447.41699999999997</v>
      </c>
      <c r="X19" s="867">
        <f t="shared" si="4"/>
        <v>0</v>
      </c>
      <c r="Y19" s="867">
        <v>0</v>
      </c>
    </row>
    <row r="20" spans="1:25" ht="14.25" thickBot="1">
      <c r="B20" s="1136" t="s">
        <v>1509</v>
      </c>
      <c r="C20" s="1137"/>
      <c r="D20" s="1137"/>
      <c r="E20" s="1138"/>
      <c r="F20" s="845">
        <f>F14+F15+F18-(F16+F17)+F19</f>
        <v>13.18300911905046</v>
      </c>
      <c r="G20" s="845">
        <f t="shared" ref="G20:K20" si="5">G14+G15+G18-(G16+G17)+G19</f>
        <v>311.04324653912738</v>
      </c>
      <c r="H20" s="845">
        <f>H14+H15+H18-(H16+H17)+H19</f>
        <v>1180.6404033353856</v>
      </c>
      <c r="I20" s="845">
        <f t="shared" si="5"/>
        <v>3867.0004479080103</v>
      </c>
      <c r="J20" s="845">
        <f t="shared" si="5"/>
        <v>624.03645702161884</v>
      </c>
      <c r="K20" s="845">
        <f t="shared" si="5"/>
        <v>2358.1169629153223</v>
      </c>
      <c r="L20" s="1136" t="s">
        <v>1509</v>
      </c>
      <c r="M20" s="1137"/>
      <c r="N20" s="1137"/>
      <c r="O20" s="1138"/>
      <c r="P20" s="845">
        <f>P14+P15+P18-(P16+P17)+P19</f>
        <v>-106.50319991459162</v>
      </c>
      <c r="Q20" s="845">
        <f t="shared" ref="Q20:U20" si="6">Q14+Q15+Q18-(Q16+Q17)+Q19</f>
        <v>-212.94106093167335</v>
      </c>
      <c r="R20" s="845">
        <f t="shared" si="6"/>
        <v>-298.09134974533868</v>
      </c>
      <c r="S20" s="845">
        <f t="shared" si="6"/>
        <v>-366.21158079627105</v>
      </c>
      <c r="T20" s="845">
        <f t="shared" si="6"/>
        <v>-420.70776563701679</v>
      </c>
      <c r="U20" s="838">
        <f t="shared" si="6"/>
        <v>0</v>
      </c>
      <c r="V20" s="527"/>
      <c r="W20" s="527"/>
      <c r="X20" s="527"/>
      <c r="Y20" s="527"/>
    </row>
    <row r="21" spans="1:25">
      <c r="E21" s="527"/>
      <c r="F21" s="527" t="str">
        <f>IF(F20&lt;25000,"CUMPLE IFC","NO CUMPLE")</f>
        <v>CUMPLE IFC</v>
      </c>
      <c r="G21" s="527" t="str">
        <f t="shared" ref="G21:K21" si="7">IF(G20&lt;25000,"CUMPLE IFC","NO CUMPLE")</f>
        <v>CUMPLE IFC</v>
      </c>
      <c r="H21" s="527" t="str">
        <f t="shared" si="7"/>
        <v>CUMPLE IFC</v>
      </c>
      <c r="I21" s="527" t="str">
        <f t="shared" si="7"/>
        <v>CUMPLE IFC</v>
      </c>
      <c r="J21" s="527" t="str">
        <f t="shared" si="7"/>
        <v>CUMPLE IFC</v>
      </c>
      <c r="K21" s="527" t="str">
        <f t="shared" si="7"/>
        <v>CUMPLE IFC</v>
      </c>
      <c r="O21" s="527"/>
      <c r="P21" s="527" t="str">
        <f>IF(P20&lt;25000,"CUMPLE IFC","NO CUMPLE")</f>
        <v>CUMPLE IFC</v>
      </c>
      <c r="Q21" s="527" t="str">
        <f t="shared" ref="Q21:T21" si="8">IF(Q20&lt;25000,"CUMPLE IFC","NO CUMPLE")</f>
        <v>CUMPLE IFC</v>
      </c>
      <c r="R21" s="527" t="str">
        <f t="shared" si="8"/>
        <v>CUMPLE IFC</v>
      </c>
      <c r="S21" s="527" t="str">
        <f t="shared" si="8"/>
        <v>CUMPLE IFC</v>
      </c>
      <c r="T21" s="527" t="str">
        <f t="shared" si="8"/>
        <v>CUMPLE IFC</v>
      </c>
      <c r="U21" s="527"/>
      <c r="V21" s="527"/>
      <c r="W21" s="527"/>
      <c r="X21" s="527"/>
      <c r="Y21" s="527"/>
    </row>
    <row r="22" spans="1:25">
      <c r="E22" s="527"/>
      <c r="F22" s="527"/>
      <c r="G22" s="527"/>
      <c r="H22" s="527"/>
      <c r="I22" s="527"/>
      <c r="J22" s="527"/>
      <c r="O22" s="527"/>
      <c r="P22" s="527"/>
      <c r="Q22" s="527"/>
      <c r="R22" s="527"/>
      <c r="S22" s="527"/>
      <c r="T22" s="527"/>
      <c r="U22" s="527"/>
      <c r="V22" s="527"/>
      <c r="W22" s="527"/>
      <c r="X22" s="527"/>
      <c r="Y22" s="527"/>
    </row>
    <row r="23" spans="1:25" ht="28.5" customHeight="1">
      <c r="A23" s="1130" t="s">
        <v>1132</v>
      </c>
      <c r="B23" s="1131"/>
      <c r="C23" s="1131"/>
      <c r="D23" s="1131"/>
      <c r="E23" s="1091"/>
      <c r="F23" s="1091"/>
      <c r="G23" s="1091"/>
      <c r="H23" s="1091"/>
      <c r="I23" s="1091"/>
      <c r="J23" s="1091"/>
      <c r="R23" s="29" t="s">
        <v>1520</v>
      </c>
    </row>
    <row r="24" spans="1:25" ht="24" customHeight="1">
      <c r="A24" s="657"/>
      <c r="B24" s="1143" t="s">
        <v>1127</v>
      </c>
      <c r="C24" s="1144"/>
      <c r="D24" s="1144"/>
      <c r="E24" s="1144"/>
      <c r="F24" s="1144"/>
      <c r="G24" s="1144"/>
      <c r="H24" s="1144"/>
      <c r="I24" s="1144"/>
      <c r="J24" s="1144"/>
      <c r="K24" s="1127" t="s">
        <v>1128</v>
      </c>
      <c r="L24" s="1128"/>
      <c r="M24" s="1128"/>
      <c r="N24" s="1128"/>
      <c r="O24" s="1129"/>
      <c r="P24" s="1097" t="s">
        <v>927</v>
      </c>
      <c r="R24" s="865" t="s">
        <v>1518</v>
      </c>
      <c r="S24" s="662"/>
      <c r="T24" s="662"/>
      <c r="U24" s="663"/>
      <c r="W24" s="641"/>
      <c r="X24" s="641"/>
      <c r="Y24" s="641"/>
    </row>
    <row r="25" spans="1:25" ht="24" customHeight="1">
      <c r="A25" s="658" t="s">
        <v>650</v>
      </c>
      <c r="B25" s="658" t="s">
        <v>651</v>
      </c>
      <c r="C25" s="658"/>
      <c r="D25" s="658"/>
      <c r="E25" s="658">
        <v>2011</v>
      </c>
      <c r="F25" s="658">
        <v>2012</v>
      </c>
      <c r="G25" s="658">
        <v>2013</v>
      </c>
      <c r="H25" s="658">
        <v>2014</v>
      </c>
      <c r="I25" s="658">
        <v>2015</v>
      </c>
      <c r="J25" s="658">
        <v>2016</v>
      </c>
      <c r="K25" s="658">
        <v>2017</v>
      </c>
      <c r="L25" s="658">
        <v>2018</v>
      </c>
      <c r="M25" s="658">
        <v>2019</v>
      </c>
      <c r="N25" s="658">
        <v>2020</v>
      </c>
      <c r="O25" s="658">
        <v>2021</v>
      </c>
      <c r="P25" s="1098"/>
      <c r="R25" s="866" t="s">
        <v>1511</v>
      </c>
    </row>
    <row r="26" spans="1:25">
      <c r="A26" s="29">
        <v>1</v>
      </c>
      <c r="B26" s="29" t="s">
        <v>655</v>
      </c>
      <c r="E26" s="640">
        <f t="shared" ref="E26:J26" si="9">E8</f>
        <v>128.34990722738399</v>
      </c>
      <c r="F26" s="640">
        <f t="shared" si="9"/>
        <v>2110.4119464542755</v>
      </c>
      <c r="G26" s="640">
        <f t="shared" si="9"/>
        <v>5747.7820888281494</v>
      </c>
      <c r="H26" s="640">
        <f t="shared" si="9"/>
        <v>4575.1891626552379</v>
      </c>
      <c r="I26" s="640">
        <f t="shared" si="9"/>
        <v>3467.9409920233325</v>
      </c>
      <c r="J26" s="640">
        <f t="shared" si="9"/>
        <v>398.49724223175855</v>
      </c>
      <c r="K26" s="645" t="s">
        <v>34</v>
      </c>
      <c r="L26" s="645" t="s">
        <v>34</v>
      </c>
      <c r="M26" s="645" t="s">
        <v>34</v>
      </c>
      <c r="N26" s="645" t="s">
        <v>34</v>
      </c>
      <c r="O26" s="645" t="s">
        <v>34</v>
      </c>
      <c r="P26" s="640">
        <f>SUM(E26:O26)</f>
        <v>16428.171339420136</v>
      </c>
    </row>
    <row r="27" spans="1:25">
      <c r="A27" s="29">
        <v>3</v>
      </c>
      <c r="B27" s="29" t="s">
        <v>969</v>
      </c>
      <c r="E27" s="640">
        <f t="shared" ref="E27:J27" si="10">F19</f>
        <v>0</v>
      </c>
      <c r="F27" s="640">
        <f t="shared" si="10"/>
        <v>49.712999999999994</v>
      </c>
      <c r="G27" s="640">
        <f t="shared" si="10"/>
        <v>99.425999999999988</v>
      </c>
      <c r="H27" s="640">
        <f t="shared" si="10"/>
        <v>99.425999999999988</v>
      </c>
      <c r="I27" s="640">
        <f t="shared" si="10"/>
        <v>99.425999999999988</v>
      </c>
      <c r="J27" s="640">
        <f t="shared" si="10"/>
        <v>99.425999999999988</v>
      </c>
      <c r="K27" s="644">
        <f>P19</f>
        <v>0</v>
      </c>
      <c r="L27" s="644">
        <f t="shared" ref="L27:O27" si="11">Q19</f>
        <v>0</v>
      </c>
      <c r="M27" s="644">
        <f t="shared" si="11"/>
        <v>0</v>
      </c>
      <c r="N27" s="644">
        <f t="shared" si="11"/>
        <v>0</v>
      </c>
      <c r="O27" s="644">
        <f t="shared" si="11"/>
        <v>0</v>
      </c>
      <c r="P27" s="640">
        <f>SUM(E27:O27)</f>
        <v>447.41699999999997</v>
      </c>
      <c r="R27" s="38">
        <f>SUM(E27:J27)</f>
        <v>447.41699999999997</v>
      </c>
    </row>
    <row r="28" spans="1:25" ht="12.75" thickBot="1">
      <c r="A28" s="29">
        <v>3</v>
      </c>
      <c r="B28" s="29" t="s">
        <v>1129</v>
      </c>
      <c r="E28" s="855">
        <f>F14+F15+F18-(F16+F17)</f>
        <v>13.18300911905046</v>
      </c>
      <c r="F28" s="855">
        <f>G14+G15+G18-(G16+G17)</f>
        <v>261.33024653912736</v>
      </c>
      <c r="G28" s="855">
        <f t="shared" ref="G28:J28" si="12">H14+H15+H18-(H16+H17)</f>
        <v>1081.2144033353857</v>
      </c>
      <c r="H28" s="855">
        <f t="shared" si="12"/>
        <v>3767.5744479080104</v>
      </c>
      <c r="I28" s="855">
        <f t="shared" si="12"/>
        <v>524.6104570216188</v>
      </c>
      <c r="J28" s="855">
        <f t="shared" si="12"/>
        <v>2258.6909629153224</v>
      </c>
      <c r="K28" s="855">
        <f>P14+P15+P18-(P16+P17)</f>
        <v>-106.50319991459162</v>
      </c>
      <c r="L28" s="855">
        <f t="shared" ref="L28:N28" si="13">Q14+Q15+Q18-(Q16+Q17)</f>
        <v>-212.94106093167335</v>
      </c>
      <c r="M28" s="855">
        <f t="shared" si="13"/>
        <v>-298.09134974533868</v>
      </c>
      <c r="N28" s="855">
        <f t="shared" si="13"/>
        <v>-366.21158079627105</v>
      </c>
      <c r="O28" s="855">
        <f>T14+T15+T18-(T16+T17)</f>
        <v>-420.70776563701679</v>
      </c>
      <c r="P28" s="856">
        <f>SUM(E28:O28)</f>
        <v>6502.1485698136239</v>
      </c>
      <c r="R28" s="38">
        <f>SUM(E28:J28)</f>
        <v>7906.6035268385149</v>
      </c>
    </row>
    <row r="29" spans="1:25" ht="15">
      <c r="B29" s="1106" t="s">
        <v>965</v>
      </c>
      <c r="C29" s="1107"/>
      <c r="D29" s="1108"/>
      <c r="E29" s="642">
        <f>SUM(E26:E28)</f>
        <v>141.53291634643446</v>
      </c>
      <c r="F29" s="642">
        <f t="shared" ref="F29:J29" si="14">SUM(F26:F28)</f>
        <v>2421.4551929934032</v>
      </c>
      <c r="G29" s="642">
        <f t="shared" si="14"/>
        <v>6928.4224921635359</v>
      </c>
      <c r="H29" s="642">
        <f t="shared" si="14"/>
        <v>8442.1896105632477</v>
      </c>
      <c r="I29" s="642">
        <f t="shared" si="14"/>
        <v>4091.9774490449513</v>
      </c>
      <c r="J29" s="642">
        <f t="shared" si="14"/>
        <v>2756.6142051470811</v>
      </c>
      <c r="K29" s="642">
        <f>SUM(K26:K28)</f>
        <v>-106.50319991459162</v>
      </c>
      <c r="L29" s="642">
        <f>SUM(L26:L28)</f>
        <v>-212.94106093167335</v>
      </c>
      <c r="M29" s="642">
        <f>SUM(M26:M28)</f>
        <v>-298.09134974533868</v>
      </c>
      <c r="N29" s="642">
        <f>SUM(N26:N28)</f>
        <v>-366.21158079627105</v>
      </c>
      <c r="O29" s="642">
        <f>SUM(O26:O28)</f>
        <v>-420.70776563701679</v>
      </c>
      <c r="P29" s="642">
        <f>SUM(E29:O29)</f>
        <v>23377.736909233765</v>
      </c>
    </row>
    <row r="31" spans="1:25" ht="12.75" thickBot="1"/>
    <row r="32" spans="1:25">
      <c r="A32" s="873"/>
      <c r="B32" s="874"/>
      <c r="C32" s="875" t="s">
        <v>1515</v>
      </c>
      <c r="D32" s="874"/>
      <c r="E32" s="874"/>
      <c r="F32" s="876"/>
      <c r="H32" s="873"/>
      <c r="I32" s="874"/>
      <c r="J32" s="875" t="s">
        <v>1513</v>
      </c>
      <c r="K32" s="874"/>
      <c r="L32" s="874"/>
      <c r="M32" s="876"/>
      <c r="O32" s="873"/>
      <c r="P32" s="874"/>
      <c r="Q32" s="874"/>
      <c r="R32" s="875" t="s">
        <v>1514</v>
      </c>
      <c r="S32" s="874"/>
      <c r="T32" s="874"/>
      <c r="U32" s="874"/>
      <c r="V32" s="876"/>
    </row>
    <row r="33" spans="1:22">
      <c r="A33" s="877"/>
      <c r="B33" s="162"/>
      <c r="C33" s="162"/>
      <c r="D33" s="162"/>
      <c r="E33" s="162"/>
      <c r="F33" s="878"/>
      <c r="H33" s="877"/>
      <c r="I33" s="162"/>
      <c r="J33" s="162"/>
      <c r="K33" s="162"/>
      <c r="L33" s="162"/>
      <c r="M33" s="878"/>
      <c r="O33" s="877"/>
      <c r="P33" s="162"/>
      <c r="Q33" s="162"/>
      <c r="R33" s="162"/>
      <c r="S33" s="162"/>
      <c r="T33" s="162"/>
      <c r="U33" s="162"/>
      <c r="V33" s="878"/>
    </row>
    <row r="34" spans="1:22">
      <c r="A34" s="877"/>
      <c r="B34" s="162"/>
      <c r="C34" s="162"/>
      <c r="D34" s="162"/>
      <c r="E34" s="162"/>
      <c r="F34" s="878"/>
      <c r="H34" s="877"/>
      <c r="I34" s="162"/>
      <c r="J34" s="162"/>
      <c r="K34" s="162"/>
      <c r="L34" s="162"/>
      <c r="M34" s="878"/>
      <c r="O34" s="877"/>
      <c r="P34" s="162"/>
      <c r="Q34" s="162"/>
      <c r="R34" s="162"/>
      <c r="S34" s="162"/>
      <c r="T34" s="162"/>
      <c r="U34" s="162"/>
      <c r="V34" s="878"/>
    </row>
    <row r="35" spans="1:22">
      <c r="A35" s="877"/>
      <c r="B35" s="162"/>
      <c r="C35" s="162"/>
      <c r="D35" s="162"/>
      <c r="E35" s="162"/>
      <c r="F35" s="878"/>
      <c r="H35" s="877"/>
      <c r="I35" s="162"/>
      <c r="J35" s="162"/>
      <c r="K35" s="162"/>
      <c r="L35" s="162"/>
      <c r="M35" s="878"/>
      <c r="O35" s="877"/>
      <c r="P35" s="162"/>
      <c r="Q35" s="162"/>
      <c r="R35" s="162"/>
      <c r="S35" s="162"/>
      <c r="T35" s="162"/>
      <c r="U35" s="162"/>
      <c r="V35" s="878"/>
    </row>
    <row r="36" spans="1:22">
      <c r="A36" s="877"/>
      <c r="B36" s="162"/>
      <c r="C36" s="162"/>
      <c r="D36" s="162"/>
      <c r="E36" s="162"/>
      <c r="F36" s="878"/>
      <c r="H36" s="877"/>
      <c r="I36" s="162"/>
      <c r="J36" s="162"/>
      <c r="K36" s="162"/>
      <c r="L36" s="162"/>
      <c r="M36" s="878"/>
      <c r="O36" s="877"/>
      <c r="P36" s="162"/>
      <c r="Q36" s="162"/>
      <c r="R36" s="162"/>
      <c r="S36" s="162"/>
      <c r="T36" s="162"/>
      <c r="U36" s="162"/>
      <c r="V36" s="878"/>
    </row>
    <row r="37" spans="1:22">
      <c r="A37" s="877"/>
      <c r="B37" s="162"/>
      <c r="C37" s="162"/>
      <c r="D37" s="162"/>
      <c r="E37" s="162"/>
      <c r="F37" s="878"/>
      <c r="H37" s="877"/>
      <c r="I37" s="162"/>
      <c r="J37" s="162"/>
      <c r="K37" s="162"/>
      <c r="L37" s="162"/>
      <c r="M37" s="878"/>
      <c r="O37" s="877"/>
      <c r="P37" s="162"/>
      <c r="Q37" s="162"/>
      <c r="R37" s="162"/>
      <c r="S37" s="162"/>
      <c r="T37" s="162"/>
      <c r="U37" s="162"/>
      <c r="V37" s="878"/>
    </row>
    <row r="38" spans="1:22">
      <c r="A38" s="877"/>
      <c r="B38" s="162"/>
      <c r="C38" s="162"/>
      <c r="D38" s="162"/>
      <c r="E38" s="162"/>
      <c r="F38" s="878"/>
      <c r="H38" s="877"/>
      <c r="I38" s="162"/>
      <c r="J38" s="162"/>
      <c r="K38" s="162"/>
      <c r="L38" s="162"/>
      <c r="M38" s="878"/>
      <c r="O38" s="877"/>
      <c r="P38" s="162"/>
      <c r="Q38" s="162"/>
      <c r="R38" s="162"/>
      <c r="S38" s="162"/>
      <c r="T38" s="162"/>
      <c r="U38" s="162"/>
      <c r="V38" s="878"/>
    </row>
    <row r="39" spans="1:22">
      <c r="A39" s="877"/>
      <c r="B39" s="162"/>
      <c r="C39" s="162"/>
      <c r="D39" s="162"/>
      <c r="E39" s="162"/>
      <c r="F39" s="878"/>
      <c r="H39" s="877"/>
      <c r="I39" s="162"/>
      <c r="J39" s="162"/>
      <c r="K39" s="162"/>
      <c r="L39" s="162"/>
      <c r="M39" s="878"/>
      <c r="O39" s="877"/>
      <c r="P39" s="162"/>
      <c r="Q39" s="162"/>
      <c r="R39" s="162"/>
      <c r="S39" s="162"/>
      <c r="T39" s="162"/>
      <c r="U39" s="162"/>
      <c r="V39" s="878"/>
    </row>
    <row r="40" spans="1:22">
      <c r="A40" s="877"/>
      <c r="B40" s="162"/>
      <c r="C40" s="162"/>
      <c r="D40" s="162"/>
      <c r="E40" s="162"/>
      <c r="F40" s="878"/>
      <c r="H40" s="877"/>
      <c r="I40" s="162"/>
      <c r="J40" s="162"/>
      <c r="K40" s="162"/>
      <c r="L40" s="162"/>
      <c r="M40" s="878"/>
      <c r="O40" s="877"/>
      <c r="P40" s="162"/>
      <c r="Q40" s="162"/>
      <c r="R40" s="162"/>
      <c r="S40" s="162"/>
      <c r="T40" s="162"/>
      <c r="U40" s="162"/>
      <c r="V40" s="878"/>
    </row>
    <row r="41" spans="1:22">
      <c r="A41" s="877"/>
      <c r="B41" s="162"/>
      <c r="C41" s="162"/>
      <c r="D41" s="162"/>
      <c r="E41" s="162"/>
      <c r="F41" s="878"/>
      <c r="H41" s="877"/>
      <c r="I41" s="162"/>
      <c r="J41" s="162"/>
      <c r="K41" s="162"/>
      <c r="L41" s="162"/>
      <c r="M41" s="878"/>
      <c r="O41" s="877"/>
      <c r="P41" s="162"/>
      <c r="Q41" s="162"/>
      <c r="R41" s="162"/>
      <c r="S41" s="162"/>
      <c r="T41" s="162"/>
      <c r="U41" s="162"/>
      <c r="V41" s="878"/>
    </row>
    <row r="42" spans="1:22">
      <c r="A42" s="877"/>
      <c r="B42" s="162"/>
      <c r="C42" s="162"/>
      <c r="D42" s="162"/>
      <c r="E42" s="162"/>
      <c r="F42" s="878"/>
      <c r="H42" s="877"/>
      <c r="I42" s="162"/>
      <c r="J42" s="162"/>
      <c r="K42" s="162"/>
      <c r="L42" s="162"/>
      <c r="M42" s="878"/>
      <c r="O42" s="877"/>
      <c r="P42" s="162"/>
      <c r="Q42" s="162"/>
      <c r="R42" s="162"/>
      <c r="S42" s="162"/>
      <c r="T42" s="162"/>
      <c r="U42" s="162"/>
      <c r="V42" s="878"/>
    </row>
    <row r="43" spans="1:22">
      <c r="A43" s="877"/>
      <c r="B43" s="162"/>
      <c r="C43" s="162"/>
      <c r="D43" s="162"/>
      <c r="E43" s="162"/>
      <c r="F43" s="878"/>
      <c r="H43" s="877"/>
      <c r="I43" s="162"/>
      <c r="J43" s="162"/>
      <c r="K43" s="162"/>
      <c r="L43" s="162"/>
      <c r="M43" s="878"/>
      <c r="O43" s="877"/>
      <c r="P43" s="162"/>
      <c r="Q43" s="162"/>
      <c r="R43" s="162"/>
      <c r="S43" s="162"/>
      <c r="T43" s="162"/>
      <c r="U43" s="162"/>
      <c r="V43" s="878"/>
    </row>
    <row r="44" spans="1:22">
      <c r="A44" s="877"/>
      <c r="B44" s="162"/>
      <c r="C44" s="162"/>
      <c r="D44" s="162"/>
      <c r="E44" s="162"/>
      <c r="F44" s="878"/>
      <c r="H44" s="877"/>
      <c r="I44" s="162"/>
      <c r="J44" s="162"/>
      <c r="K44" s="162"/>
      <c r="L44" s="162"/>
      <c r="M44" s="878"/>
      <c r="O44" s="877"/>
      <c r="P44" s="162"/>
      <c r="Q44" s="162"/>
      <c r="R44" s="162"/>
      <c r="S44" s="162"/>
      <c r="T44" s="162"/>
      <c r="U44" s="162"/>
      <c r="V44" s="878"/>
    </row>
    <row r="45" spans="1:22">
      <c r="A45" s="877"/>
      <c r="B45" s="162"/>
      <c r="C45" s="162"/>
      <c r="D45" s="162"/>
      <c r="E45" s="162"/>
      <c r="F45" s="878"/>
      <c r="H45" s="877"/>
      <c r="I45" s="162"/>
      <c r="J45" s="162"/>
      <c r="K45" s="162"/>
      <c r="L45" s="162"/>
      <c r="M45" s="878"/>
      <c r="O45" s="877"/>
      <c r="P45" s="162"/>
      <c r="Q45" s="162"/>
      <c r="R45" s="162"/>
      <c r="S45" s="162"/>
      <c r="T45" s="162"/>
      <c r="U45" s="162"/>
      <c r="V45" s="878"/>
    </row>
    <row r="46" spans="1:22">
      <c r="A46" s="877"/>
      <c r="B46" s="162"/>
      <c r="C46" s="162"/>
      <c r="D46" s="162"/>
      <c r="E46" s="162"/>
      <c r="F46" s="878"/>
      <c r="H46" s="877"/>
      <c r="I46" s="162"/>
      <c r="J46" s="162"/>
      <c r="K46" s="162"/>
      <c r="L46" s="162"/>
      <c r="M46" s="878"/>
      <c r="O46" s="877"/>
      <c r="P46" s="162"/>
      <c r="Q46" s="162"/>
      <c r="R46" s="162"/>
      <c r="S46" s="162"/>
      <c r="T46" s="162"/>
      <c r="U46" s="162"/>
      <c r="V46" s="878"/>
    </row>
    <row r="47" spans="1:22">
      <c r="A47" s="877"/>
      <c r="B47" s="162"/>
      <c r="C47" s="162"/>
      <c r="D47" s="162"/>
      <c r="E47" s="162"/>
      <c r="F47" s="878"/>
      <c r="H47" s="877"/>
      <c r="I47" s="162"/>
      <c r="J47" s="162"/>
      <c r="K47" s="162"/>
      <c r="L47" s="162"/>
      <c r="M47" s="878"/>
      <c r="O47" s="877"/>
      <c r="P47" s="162"/>
      <c r="Q47" s="162"/>
      <c r="R47" s="162"/>
      <c r="S47" s="162"/>
      <c r="T47" s="162"/>
      <c r="U47" s="162"/>
      <c r="V47" s="878"/>
    </row>
    <row r="48" spans="1:22">
      <c r="A48" s="877"/>
      <c r="B48" s="162"/>
      <c r="C48" s="162"/>
      <c r="D48" s="162"/>
      <c r="E48" s="162"/>
      <c r="F48" s="878"/>
      <c r="H48" s="877"/>
      <c r="I48" s="162"/>
      <c r="J48" s="162"/>
      <c r="K48" s="162"/>
      <c r="L48" s="162"/>
      <c r="M48" s="878"/>
      <c r="O48" s="877"/>
      <c r="P48" s="162"/>
      <c r="Q48" s="162"/>
      <c r="R48" s="162"/>
      <c r="S48" s="162"/>
      <c r="T48" s="162"/>
      <c r="U48" s="162"/>
      <c r="V48" s="878"/>
    </row>
    <row r="49" spans="1:22">
      <c r="A49" s="877"/>
      <c r="B49" s="162"/>
      <c r="C49" s="162"/>
      <c r="D49" s="162"/>
      <c r="E49" s="162"/>
      <c r="F49" s="878"/>
      <c r="H49" s="877"/>
      <c r="I49" s="162"/>
      <c r="J49" s="162"/>
      <c r="K49" s="162"/>
      <c r="L49" s="162"/>
      <c r="M49" s="878"/>
      <c r="O49" s="877"/>
      <c r="P49" s="162"/>
      <c r="Q49" s="162"/>
      <c r="R49" s="162"/>
      <c r="S49" s="162"/>
      <c r="T49" s="162"/>
      <c r="U49" s="162"/>
      <c r="V49" s="878"/>
    </row>
    <row r="50" spans="1:22">
      <c r="A50" s="877"/>
      <c r="B50" s="162"/>
      <c r="C50" s="162"/>
      <c r="D50" s="162"/>
      <c r="E50" s="162"/>
      <c r="F50" s="878"/>
      <c r="H50" s="877"/>
      <c r="I50" s="162"/>
      <c r="J50" s="162"/>
      <c r="K50" s="162"/>
      <c r="L50" s="162"/>
      <c r="M50" s="878"/>
      <c r="O50" s="877"/>
      <c r="P50" s="162"/>
      <c r="Q50" s="162"/>
      <c r="R50" s="162"/>
      <c r="S50" s="162"/>
      <c r="T50" s="162"/>
      <c r="U50" s="162"/>
      <c r="V50" s="878"/>
    </row>
    <row r="51" spans="1:22">
      <c r="A51" s="877"/>
      <c r="B51" s="162"/>
      <c r="C51" s="162"/>
      <c r="D51" s="162"/>
      <c r="E51" s="162"/>
      <c r="F51" s="878"/>
      <c r="H51" s="877"/>
      <c r="I51" s="162"/>
      <c r="J51" s="162"/>
      <c r="K51" s="162"/>
      <c r="L51" s="162"/>
      <c r="M51" s="878"/>
      <c r="O51" s="877"/>
      <c r="P51" s="162"/>
      <c r="Q51" s="162"/>
      <c r="R51" s="162"/>
      <c r="S51" s="162"/>
      <c r="T51" s="162"/>
      <c r="U51" s="162"/>
      <c r="V51" s="878"/>
    </row>
    <row r="52" spans="1:22" ht="12.75" thickBot="1">
      <c r="A52" s="879"/>
      <c r="B52" s="880"/>
      <c r="C52" s="880"/>
      <c r="D52" s="880"/>
      <c r="E52" s="880"/>
      <c r="F52" s="881"/>
      <c r="H52" s="877"/>
      <c r="I52" s="162"/>
      <c r="J52" s="162"/>
      <c r="K52" s="162"/>
      <c r="L52" s="162"/>
      <c r="M52" s="878"/>
      <c r="O52" s="877"/>
      <c r="P52" s="162"/>
      <c r="Q52" s="162"/>
      <c r="R52" s="162"/>
      <c r="S52" s="162"/>
      <c r="T52" s="162"/>
      <c r="U52" s="162"/>
      <c r="V52" s="878"/>
    </row>
    <row r="53" spans="1:22">
      <c r="H53" s="877"/>
      <c r="I53" s="162"/>
      <c r="J53" s="162"/>
      <c r="K53" s="162"/>
      <c r="L53" s="162"/>
      <c r="M53" s="878"/>
      <c r="O53" s="877"/>
      <c r="P53" s="162"/>
      <c r="Q53" s="162"/>
      <c r="R53" s="162"/>
      <c r="S53" s="162"/>
      <c r="T53" s="162"/>
      <c r="U53" s="162"/>
      <c r="V53" s="878"/>
    </row>
    <row r="54" spans="1:22">
      <c r="H54" s="877"/>
      <c r="I54" s="162"/>
      <c r="J54" s="162"/>
      <c r="K54" s="162"/>
      <c r="L54" s="162"/>
      <c r="M54" s="878"/>
      <c r="O54" s="877"/>
      <c r="P54" s="162"/>
      <c r="Q54" s="162"/>
      <c r="R54" s="162"/>
      <c r="S54" s="162"/>
      <c r="T54" s="162"/>
      <c r="U54" s="162"/>
      <c r="V54" s="878"/>
    </row>
    <row r="55" spans="1:22">
      <c r="H55" s="877"/>
      <c r="I55" s="162"/>
      <c r="J55" s="162"/>
      <c r="K55" s="162"/>
      <c r="L55" s="162"/>
      <c r="M55" s="878"/>
      <c r="O55" s="877"/>
      <c r="P55" s="162"/>
      <c r="Q55" s="162"/>
      <c r="R55" s="162"/>
      <c r="S55" s="162"/>
      <c r="T55" s="162"/>
      <c r="U55" s="162"/>
      <c r="V55" s="878"/>
    </row>
    <row r="56" spans="1:22">
      <c r="H56" s="877"/>
      <c r="I56" s="162"/>
      <c r="J56" s="162"/>
      <c r="K56" s="162"/>
      <c r="L56" s="162"/>
      <c r="M56" s="878"/>
      <c r="O56" s="877"/>
      <c r="P56" s="162"/>
      <c r="Q56" s="162"/>
      <c r="R56" s="162"/>
      <c r="S56" s="162"/>
      <c r="T56" s="162"/>
      <c r="U56" s="162"/>
      <c r="V56" s="878"/>
    </row>
    <row r="57" spans="1:22">
      <c r="H57" s="877"/>
      <c r="I57" s="162"/>
      <c r="J57" s="162"/>
      <c r="K57" s="162"/>
      <c r="L57" s="162"/>
      <c r="M57" s="878"/>
      <c r="O57" s="877"/>
      <c r="P57" s="162"/>
      <c r="Q57" s="162"/>
      <c r="R57" s="162"/>
      <c r="S57" s="162"/>
      <c r="T57" s="162"/>
      <c r="U57" s="162"/>
      <c r="V57" s="878"/>
    </row>
    <row r="58" spans="1:22">
      <c r="H58" s="877"/>
      <c r="I58" s="162"/>
      <c r="J58" s="162"/>
      <c r="K58" s="162"/>
      <c r="L58" s="162"/>
      <c r="M58" s="878"/>
      <c r="O58" s="877"/>
      <c r="P58" s="162"/>
      <c r="Q58" s="162"/>
      <c r="R58" s="162"/>
      <c r="S58" s="162"/>
      <c r="T58" s="162"/>
      <c r="U58" s="162"/>
      <c r="V58" s="878"/>
    </row>
    <row r="59" spans="1:22">
      <c r="H59" s="877"/>
      <c r="I59" s="162"/>
      <c r="J59" s="162"/>
      <c r="K59" s="162"/>
      <c r="L59" s="162"/>
      <c r="M59" s="878"/>
      <c r="O59" s="877"/>
      <c r="P59" s="162"/>
      <c r="Q59" s="162"/>
      <c r="R59" s="162"/>
      <c r="S59" s="162"/>
      <c r="T59" s="162"/>
      <c r="U59" s="162"/>
      <c r="V59" s="878"/>
    </row>
    <row r="60" spans="1:22">
      <c r="H60" s="877"/>
      <c r="I60" s="162"/>
      <c r="J60" s="162"/>
      <c r="K60" s="162"/>
      <c r="L60" s="162"/>
      <c r="M60" s="878"/>
      <c r="O60" s="877"/>
      <c r="P60" s="162"/>
      <c r="Q60" s="162"/>
      <c r="R60" s="162"/>
      <c r="S60" s="162"/>
      <c r="T60" s="162"/>
      <c r="U60" s="162"/>
      <c r="V60" s="878"/>
    </row>
    <row r="61" spans="1:22">
      <c r="H61" s="877"/>
      <c r="I61" s="162"/>
      <c r="J61" s="162"/>
      <c r="K61" s="162"/>
      <c r="L61" s="162"/>
      <c r="M61" s="878"/>
      <c r="O61" s="877"/>
      <c r="P61" s="162"/>
      <c r="Q61" s="162"/>
      <c r="R61" s="162"/>
      <c r="S61" s="162"/>
      <c r="T61" s="162"/>
      <c r="U61" s="162"/>
      <c r="V61" s="878"/>
    </row>
    <row r="62" spans="1:22">
      <c r="H62" s="877"/>
      <c r="I62" s="162"/>
      <c r="J62" s="162"/>
      <c r="K62" s="162"/>
      <c r="L62" s="162"/>
      <c r="M62" s="878"/>
      <c r="O62" s="877"/>
      <c r="P62" s="162"/>
      <c r="Q62" s="162"/>
      <c r="R62" s="162"/>
      <c r="S62" s="162"/>
      <c r="T62" s="162"/>
      <c r="U62" s="162"/>
      <c r="V62" s="878"/>
    </row>
    <row r="63" spans="1:22">
      <c r="H63" s="877"/>
      <c r="I63" s="162"/>
      <c r="J63" s="162"/>
      <c r="K63" s="162"/>
      <c r="L63" s="162"/>
      <c r="M63" s="878"/>
      <c r="O63" s="877"/>
      <c r="P63" s="162"/>
      <c r="Q63" s="162"/>
      <c r="R63" s="162"/>
      <c r="S63" s="162"/>
      <c r="T63" s="162"/>
      <c r="U63" s="162"/>
      <c r="V63" s="878"/>
    </row>
    <row r="64" spans="1:22">
      <c r="H64" s="877"/>
      <c r="I64" s="162"/>
      <c r="J64" s="162"/>
      <c r="K64" s="162"/>
      <c r="L64" s="162"/>
      <c r="M64" s="878"/>
      <c r="O64" s="877"/>
      <c r="P64" s="162"/>
      <c r="Q64" s="162"/>
      <c r="R64" s="162"/>
      <c r="S64" s="162"/>
      <c r="T64" s="162"/>
      <c r="U64" s="162"/>
      <c r="V64" s="878"/>
    </row>
    <row r="65" spans="8:22">
      <c r="H65" s="877"/>
      <c r="I65" s="162"/>
      <c r="J65" s="162"/>
      <c r="K65" s="162"/>
      <c r="L65" s="162"/>
      <c r="M65" s="878"/>
      <c r="O65" s="877"/>
      <c r="P65" s="162"/>
      <c r="Q65" s="162"/>
      <c r="R65" s="162"/>
      <c r="S65" s="162"/>
      <c r="T65" s="162"/>
      <c r="U65" s="162"/>
      <c r="V65" s="878"/>
    </row>
    <row r="66" spans="8:22">
      <c r="H66" s="877"/>
      <c r="I66" s="162"/>
      <c r="J66" s="162"/>
      <c r="K66" s="162"/>
      <c r="L66" s="162"/>
      <c r="M66" s="878"/>
      <c r="O66" s="877"/>
      <c r="P66" s="162"/>
      <c r="Q66" s="162"/>
      <c r="R66" s="162"/>
      <c r="S66" s="162"/>
      <c r="T66" s="162"/>
      <c r="U66" s="162"/>
      <c r="V66" s="878"/>
    </row>
    <row r="67" spans="8:22">
      <c r="H67" s="877"/>
      <c r="I67" s="162"/>
      <c r="J67" s="162"/>
      <c r="K67" s="162"/>
      <c r="L67" s="162"/>
      <c r="M67" s="878"/>
      <c r="O67" s="877"/>
      <c r="P67" s="162"/>
      <c r="Q67" s="162"/>
      <c r="R67" s="162"/>
      <c r="S67" s="162"/>
      <c r="T67" s="162"/>
      <c r="U67" s="162"/>
      <c r="V67" s="878"/>
    </row>
    <row r="68" spans="8:22">
      <c r="H68" s="877"/>
      <c r="I68" s="162"/>
      <c r="J68" s="162"/>
      <c r="K68" s="162"/>
      <c r="L68" s="162"/>
      <c r="M68" s="878"/>
      <c r="O68" s="877"/>
      <c r="P68" s="162"/>
      <c r="Q68" s="162"/>
      <c r="R68" s="162"/>
      <c r="S68" s="162"/>
      <c r="T68" s="162"/>
      <c r="U68" s="162"/>
      <c r="V68" s="878"/>
    </row>
    <row r="69" spans="8:22">
      <c r="H69" s="877"/>
      <c r="I69" s="162"/>
      <c r="J69" s="162"/>
      <c r="K69" s="162"/>
      <c r="L69" s="162"/>
      <c r="M69" s="878"/>
      <c r="O69" s="877"/>
      <c r="P69" s="162"/>
      <c r="Q69" s="162"/>
      <c r="R69" s="162"/>
      <c r="S69" s="162"/>
      <c r="T69" s="162"/>
      <c r="U69" s="162"/>
      <c r="V69" s="878"/>
    </row>
    <row r="70" spans="8:22">
      <c r="H70" s="877"/>
      <c r="I70" s="162"/>
      <c r="J70" s="162"/>
      <c r="K70" s="162"/>
      <c r="L70" s="162"/>
      <c r="M70" s="878"/>
      <c r="O70" s="877"/>
      <c r="P70" s="162"/>
      <c r="Q70" s="162"/>
      <c r="R70" s="162"/>
      <c r="S70" s="162"/>
      <c r="T70" s="162"/>
      <c r="U70" s="162"/>
      <c r="V70" s="878"/>
    </row>
    <row r="71" spans="8:22" ht="12.75" thickBot="1">
      <c r="H71" s="879"/>
      <c r="I71" s="880"/>
      <c r="J71" s="880"/>
      <c r="K71" s="880"/>
      <c r="L71" s="880"/>
      <c r="M71" s="881"/>
      <c r="O71" s="877"/>
      <c r="P71" s="162"/>
      <c r="Q71" s="162"/>
      <c r="R71" s="162"/>
      <c r="S71" s="162"/>
      <c r="T71" s="162"/>
      <c r="U71" s="162"/>
      <c r="V71" s="878"/>
    </row>
    <row r="72" spans="8:22">
      <c r="O72" s="877"/>
      <c r="P72" s="162"/>
      <c r="Q72" s="162"/>
      <c r="R72" s="162"/>
      <c r="S72" s="162"/>
      <c r="T72" s="162"/>
      <c r="U72" s="162"/>
      <c r="V72" s="878"/>
    </row>
    <row r="73" spans="8:22">
      <c r="O73" s="877"/>
      <c r="P73" s="162"/>
      <c r="Q73" s="162"/>
      <c r="R73" s="162"/>
      <c r="S73" s="162"/>
      <c r="T73" s="162"/>
      <c r="U73" s="162"/>
      <c r="V73" s="878"/>
    </row>
    <row r="74" spans="8:22">
      <c r="O74" s="877"/>
      <c r="P74" s="162"/>
      <c r="Q74" s="162"/>
      <c r="R74" s="162"/>
      <c r="S74" s="162"/>
      <c r="T74" s="162"/>
      <c r="U74" s="162"/>
      <c r="V74" s="878"/>
    </row>
    <row r="75" spans="8:22">
      <c r="O75" s="877"/>
      <c r="P75" s="162"/>
      <c r="Q75" s="162"/>
      <c r="R75" s="162"/>
      <c r="S75" s="162"/>
      <c r="T75" s="162"/>
      <c r="U75" s="162"/>
      <c r="V75" s="878"/>
    </row>
    <row r="76" spans="8:22">
      <c r="O76" s="877"/>
      <c r="P76" s="162"/>
      <c r="Q76" s="162"/>
      <c r="R76" s="162"/>
      <c r="S76" s="162"/>
      <c r="T76" s="162"/>
      <c r="U76" s="162"/>
      <c r="V76" s="878"/>
    </row>
    <row r="77" spans="8:22">
      <c r="O77" s="877"/>
      <c r="P77" s="162"/>
      <c r="Q77" s="162"/>
      <c r="R77" s="162"/>
      <c r="S77" s="162"/>
      <c r="T77" s="162"/>
      <c r="U77" s="162"/>
      <c r="V77" s="878"/>
    </row>
    <row r="78" spans="8:22">
      <c r="O78" s="877"/>
      <c r="P78" s="162"/>
      <c r="Q78" s="162"/>
      <c r="R78" s="162"/>
      <c r="S78" s="162"/>
      <c r="T78" s="162"/>
      <c r="U78" s="162"/>
      <c r="V78" s="878"/>
    </row>
    <row r="79" spans="8:22">
      <c r="O79" s="877"/>
      <c r="P79" s="162"/>
      <c r="Q79" s="162"/>
      <c r="R79" s="162"/>
      <c r="S79" s="162"/>
      <c r="T79" s="162"/>
      <c r="U79" s="162"/>
      <c r="V79" s="878"/>
    </row>
    <row r="80" spans="8:22">
      <c r="O80" s="877"/>
      <c r="P80" s="162"/>
      <c r="Q80" s="162"/>
      <c r="R80" s="162"/>
      <c r="S80" s="162"/>
      <c r="T80" s="162"/>
      <c r="U80" s="162"/>
      <c r="V80" s="878"/>
    </row>
    <row r="81" spans="15:22">
      <c r="O81" s="877"/>
      <c r="P81" s="162"/>
      <c r="Q81" s="162"/>
      <c r="R81" s="162"/>
      <c r="S81" s="162"/>
      <c r="T81" s="162"/>
      <c r="U81" s="162"/>
      <c r="V81" s="878"/>
    </row>
    <row r="82" spans="15:22">
      <c r="O82" s="877"/>
      <c r="P82" s="162"/>
      <c r="Q82" s="162"/>
      <c r="R82" s="162"/>
      <c r="S82" s="162"/>
      <c r="T82" s="162"/>
      <c r="U82" s="162"/>
      <c r="V82" s="878"/>
    </row>
    <row r="83" spans="15:22">
      <c r="O83" s="877"/>
      <c r="P83" s="162"/>
      <c r="Q83" s="162"/>
      <c r="R83" s="162"/>
      <c r="S83" s="162"/>
      <c r="T83" s="162"/>
      <c r="U83" s="162"/>
      <c r="V83" s="878"/>
    </row>
    <row r="84" spans="15:22">
      <c r="O84" s="877"/>
      <c r="P84" s="162"/>
      <c r="Q84" s="162"/>
      <c r="R84" s="162"/>
      <c r="S84" s="162"/>
      <c r="T84" s="162"/>
      <c r="U84" s="162"/>
      <c r="V84" s="878"/>
    </row>
    <row r="85" spans="15:22" ht="12.75" thickBot="1">
      <c r="O85" s="879"/>
      <c r="P85" s="880"/>
      <c r="Q85" s="880"/>
      <c r="R85" s="880"/>
      <c r="S85" s="880"/>
      <c r="T85" s="880"/>
      <c r="U85" s="880"/>
      <c r="V85" s="881"/>
    </row>
    <row r="87" spans="15:22">
      <c r="O87" s="29" t="s">
        <v>1522</v>
      </c>
    </row>
  </sheetData>
  <mergeCells count="41">
    <mergeCell ref="A14:A18"/>
    <mergeCell ref="B24:J24"/>
    <mergeCell ref="L19:O19"/>
    <mergeCell ref="L20:O20"/>
    <mergeCell ref="N4:N7"/>
    <mergeCell ref="N15:O15"/>
    <mergeCell ref="M16:M18"/>
    <mergeCell ref="N16:N17"/>
    <mergeCell ref="B29:D29"/>
    <mergeCell ref="N18:O18"/>
    <mergeCell ref="A11:K11"/>
    <mergeCell ref="A1:I1"/>
    <mergeCell ref="K24:O24"/>
    <mergeCell ref="A23:J23"/>
    <mergeCell ref="L12:T12"/>
    <mergeCell ref="D18:E18"/>
    <mergeCell ref="B19:E19"/>
    <mergeCell ref="B20:E20"/>
    <mergeCell ref="B12:K12"/>
    <mergeCell ref="L13:O13"/>
    <mergeCell ref="L14:L18"/>
    <mergeCell ref="M14:M15"/>
    <mergeCell ref="N14:O14"/>
    <mergeCell ref="B2:K2"/>
    <mergeCell ref="M4:M7"/>
    <mergeCell ref="W11:Y11"/>
    <mergeCell ref="L2:U2"/>
    <mergeCell ref="A4:A7"/>
    <mergeCell ref="P24:P25"/>
    <mergeCell ref="B4:B7"/>
    <mergeCell ref="L4:L7"/>
    <mergeCell ref="C5:C7"/>
    <mergeCell ref="B8:D8"/>
    <mergeCell ref="L8:N8"/>
    <mergeCell ref="B13:E13"/>
    <mergeCell ref="B14:B18"/>
    <mergeCell ref="C14:C15"/>
    <mergeCell ref="D14:E14"/>
    <mergeCell ref="D15:E15"/>
    <mergeCell ref="C16:C18"/>
    <mergeCell ref="D16:D17"/>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60"/>
  <sheetViews>
    <sheetView zoomScale="60" zoomScaleNormal="60" workbookViewId="0">
      <pane xSplit="2" ySplit="3" topLeftCell="F4" activePane="bottomRight" state="frozen"/>
      <selection pane="topRight" activeCell="C1" sqref="C1"/>
      <selection pane="bottomLeft" activeCell="A4" sqref="A4"/>
      <selection pane="bottomRight" activeCell="I36" sqref="I36"/>
    </sheetView>
  </sheetViews>
  <sheetFormatPr baseColWidth="10" defaultRowHeight="15"/>
  <cols>
    <col min="1" max="1" width="26.140625" bestFit="1" customWidth="1"/>
    <col min="2" max="2" width="84.42578125" style="9" bestFit="1" customWidth="1"/>
    <col min="3" max="3" width="13.7109375" bestFit="1" customWidth="1"/>
    <col min="4" max="4" width="19" bestFit="1" customWidth="1"/>
    <col min="5" max="5" width="18" bestFit="1" customWidth="1"/>
    <col min="6" max="6" width="18.7109375" bestFit="1" customWidth="1"/>
    <col min="7" max="7" width="18.28515625" bestFit="1" customWidth="1"/>
    <col min="8" max="8" width="17.28515625" bestFit="1" customWidth="1"/>
    <col min="9" max="9" width="10.85546875" bestFit="1" customWidth="1"/>
    <col min="10" max="10" width="12.28515625" bestFit="1" customWidth="1"/>
    <col min="11" max="11" width="10.85546875" bestFit="1" customWidth="1"/>
    <col min="12" max="12" width="11.85546875" bestFit="1" customWidth="1"/>
    <col min="13" max="13" width="10.85546875" bestFit="1" customWidth="1"/>
    <col min="14" max="14" width="11.85546875" bestFit="1" customWidth="1"/>
    <col min="15" max="15" width="10.85546875" bestFit="1" customWidth="1"/>
    <col min="16" max="16" width="12.28515625" bestFit="1" customWidth="1"/>
    <col min="17" max="17" width="10.85546875" bestFit="1" customWidth="1"/>
    <col min="18" max="18" width="11.85546875" bestFit="1" customWidth="1"/>
    <col min="19" max="19" width="10.85546875" bestFit="1" customWidth="1"/>
    <col min="20" max="20" width="11.85546875" bestFit="1" customWidth="1"/>
    <col min="21" max="21" width="10.85546875" bestFit="1" customWidth="1"/>
    <col min="22" max="22" width="11.85546875" bestFit="1" customWidth="1"/>
    <col min="23" max="23" width="10.85546875" bestFit="1" customWidth="1"/>
    <col min="24" max="24" width="12.28515625" bestFit="1" customWidth="1"/>
    <col min="25" max="25" width="10.85546875" bestFit="1" customWidth="1"/>
    <col min="26" max="26" width="12.28515625" bestFit="1" customWidth="1"/>
    <col min="27" max="27" width="10.85546875" bestFit="1" customWidth="1"/>
    <col min="28" max="28" width="12.28515625" bestFit="1" customWidth="1"/>
    <col min="29" max="29" width="10.85546875" bestFit="1" customWidth="1"/>
    <col min="30" max="30" width="12.28515625" bestFit="1" customWidth="1"/>
    <col min="31" max="31" width="10.85546875" bestFit="1" customWidth="1"/>
    <col min="32" max="32" width="12.28515625" bestFit="1" customWidth="1"/>
    <col min="33" max="33" width="10.85546875" bestFit="1" customWidth="1"/>
    <col min="34" max="34" width="12.28515625" bestFit="1" customWidth="1"/>
    <col min="35" max="35" width="10.85546875" bestFit="1" customWidth="1"/>
    <col min="36" max="36" width="12.28515625" bestFit="1" customWidth="1"/>
  </cols>
  <sheetData>
    <row r="1" spans="1:36" s="3" customFormat="1">
      <c r="A1" s="5" t="s">
        <v>62</v>
      </c>
    </row>
    <row r="2" spans="1:36" s="8" customFormat="1" ht="45" customHeight="1">
      <c r="A2" s="43"/>
      <c r="B2" s="44"/>
      <c r="C2" s="883" t="s">
        <v>482</v>
      </c>
      <c r="D2" s="883"/>
      <c r="E2" s="883"/>
      <c r="F2" s="883"/>
      <c r="G2" s="45" t="s">
        <v>483</v>
      </c>
      <c r="H2" s="45" t="s">
        <v>484</v>
      </c>
      <c r="I2" s="882" t="s">
        <v>485</v>
      </c>
      <c r="J2" s="882"/>
      <c r="K2" s="882" t="s">
        <v>486</v>
      </c>
      <c r="L2" s="882"/>
      <c r="M2" s="882" t="s">
        <v>487</v>
      </c>
      <c r="N2" s="882"/>
      <c r="O2" s="882" t="s">
        <v>488</v>
      </c>
      <c r="P2" s="882"/>
      <c r="Q2" s="882" t="s">
        <v>489</v>
      </c>
      <c r="R2" s="882"/>
      <c r="S2" s="882" t="s">
        <v>490</v>
      </c>
      <c r="T2" s="882"/>
      <c r="U2" s="882" t="s">
        <v>491</v>
      </c>
      <c r="V2" s="882"/>
      <c r="W2" s="882" t="s">
        <v>492</v>
      </c>
      <c r="X2" s="882"/>
      <c r="Y2" s="882" t="s">
        <v>493</v>
      </c>
      <c r="Z2" s="882"/>
      <c r="AA2" s="882" t="s">
        <v>494</v>
      </c>
      <c r="AB2" s="882"/>
      <c r="AC2" s="882" t="s">
        <v>495</v>
      </c>
      <c r="AD2" s="882"/>
      <c r="AE2" s="882" t="s">
        <v>496</v>
      </c>
      <c r="AF2" s="882"/>
      <c r="AG2" s="882" t="s">
        <v>497</v>
      </c>
      <c r="AH2" s="882"/>
      <c r="AI2" s="882" t="s">
        <v>498</v>
      </c>
      <c r="AJ2" s="882"/>
    </row>
    <row r="3" spans="1:36" s="3" customFormat="1">
      <c r="A3" s="43" t="s">
        <v>60</v>
      </c>
      <c r="B3" s="44" t="s">
        <v>499</v>
      </c>
      <c r="C3" s="46" t="s">
        <v>500</v>
      </c>
      <c r="D3" s="46" t="s">
        <v>501</v>
      </c>
      <c r="E3" s="46" t="s">
        <v>502</v>
      </c>
      <c r="F3" s="46" t="s">
        <v>503</v>
      </c>
      <c r="G3" s="46" t="s">
        <v>504</v>
      </c>
      <c r="H3" s="46" t="s">
        <v>504</v>
      </c>
      <c r="I3" s="46" t="s">
        <v>505</v>
      </c>
      <c r="J3" s="46" t="s">
        <v>506</v>
      </c>
      <c r="K3" s="46" t="s">
        <v>505</v>
      </c>
      <c r="L3" s="46" t="s">
        <v>507</v>
      </c>
      <c r="M3" s="46" t="s">
        <v>505</v>
      </c>
      <c r="N3" s="46" t="s">
        <v>507</v>
      </c>
      <c r="O3" s="46" t="s">
        <v>505</v>
      </c>
      <c r="P3" s="46" t="s">
        <v>506</v>
      </c>
      <c r="Q3" s="46" t="s">
        <v>505</v>
      </c>
      <c r="R3" s="46" t="s">
        <v>508</v>
      </c>
      <c r="S3" s="46" t="s">
        <v>505</v>
      </c>
      <c r="T3" s="46" t="s">
        <v>507</v>
      </c>
      <c r="U3" s="46" t="s">
        <v>505</v>
      </c>
      <c r="V3" s="46" t="s">
        <v>507</v>
      </c>
      <c r="W3" s="46" t="s">
        <v>505</v>
      </c>
      <c r="X3" s="46" t="s">
        <v>509</v>
      </c>
      <c r="Y3" s="46" t="s">
        <v>505</v>
      </c>
      <c r="Z3" s="46" t="s">
        <v>509</v>
      </c>
      <c r="AA3" s="46" t="s">
        <v>505</v>
      </c>
      <c r="AB3" s="46" t="s">
        <v>509</v>
      </c>
      <c r="AC3" s="46" t="s">
        <v>505</v>
      </c>
      <c r="AD3" s="46" t="s">
        <v>509</v>
      </c>
      <c r="AE3" s="46" t="s">
        <v>505</v>
      </c>
      <c r="AF3" s="46" t="s">
        <v>509</v>
      </c>
      <c r="AG3" s="46" t="s">
        <v>505</v>
      </c>
      <c r="AH3" s="46" t="s">
        <v>509</v>
      </c>
      <c r="AI3" s="46" t="s">
        <v>505</v>
      </c>
      <c r="AJ3" s="46" t="s">
        <v>506</v>
      </c>
    </row>
    <row r="4" spans="1:36" s="3" customFormat="1">
      <c r="A4" s="1" t="s">
        <v>82</v>
      </c>
      <c r="B4" s="2" t="s">
        <v>58</v>
      </c>
      <c r="C4" s="4">
        <v>14000</v>
      </c>
      <c r="D4" s="4">
        <v>120000</v>
      </c>
      <c r="E4" s="4">
        <v>-32000</v>
      </c>
      <c r="F4" s="4">
        <v>-10811</v>
      </c>
      <c r="G4" s="4">
        <f>+SUM(C4:F4)</f>
        <v>91189</v>
      </c>
      <c r="H4" s="2" t="s">
        <v>34</v>
      </c>
      <c r="I4" s="4">
        <v>91189</v>
      </c>
      <c r="J4" s="2">
        <v>1.2</v>
      </c>
    </row>
    <row r="5" spans="1:36" s="3" customFormat="1">
      <c r="A5"/>
      <c r="B5" s="2" t="s">
        <v>59</v>
      </c>
      <c r="G5" s="4"/>
      <c r="H5" s="4">
        <v>107765</v>
      </c>
      <c r="I5" s="4">
        <v>107765</v>
      </c>
      <c r="J5" s="2">
        <v>0</v>
      </c>
    </row>
    <row r="6" spans="1:36" s="3" customFormat="1">
      <c r="A6"/>
      <c r="B6" s="2" t="s">
        <v>52</v>
      </c>
      <c r="I6" s="4">
        <v>230000</v>
      </c>
    </row>
    <row r="7" spans="1:36" s="3" customFormat="1">
      <c r="A7"/>
      <c r="B7" s="2" t="s">
        <v>53</v>
      </c>
      <c r="I7" s="4">
        <v>198954</v>
      </c>
    </row>
    <row r="8" spans="1:36" s="3" customFormat="1">
      <c r="A8" s="11" t="s">
        <v>83</v>
      </c>
      <c r="B8" s="2" t="s">
        <v>54</v>
      </c>
      <c r="C8" s="4">
        <v>10000</v>
      </c>
      <c r="D8" s="4">
        <v>90000</v>
      </c>
      <c r="E8" s="4">
        <v>-40000</v>
      </c>
      <c r="F8" s="4">
        <v>-7900</v>
      </c>
      <c r="G8" s="4">
        <f>+SUM(C8:F8)</f>
        <v>52100</v>
      </c>
      <c r="H8" s="2" t="s">
        <v>34</v>
      </c>
      <c r="I8" s="2"/>
      <c r="J8" s="2"/>
      <c r="K8" s="4">
        <v>52100</v>
      </c>
      <c r="L8" s="2">
        <v>1.2</v>
      </c>
      <c r="N8" s="2" t="s">
        <v>34</v>
      </c>
      <c r="P8" s="2" t="s">
        <v>34</v>
      </c>
    </row>
    <row r="9" spans="1:36" s="3" customFormat="1">
      <c r="A9"/>
      <c r="B9" s="2" t="s">
        <v>55</v>
      </c>
      <c r="G9" s="4"/>
      <c r="H9" s="4">
        <v>150577</v>
      </c>
      <c r="I9" s="4"/>
      <c r="J9" s="4"/>
      <c r="K9" s="4">
        <v>150577</v>
      </c>
      <c r="L9" s="2">
        <v>0</v>
      </c>
      <c r="N9" s="2" t="s">
        <v>34</v>
      </c>
      <c r="P9" s="2" t="s">
        <v>34</v>
      </c>
    </row>
    <row r="10" spans="1:36" s="3" customFormat="1">
      <c r="A10"/>
      <c r="B10" s="2" t="s">
        <v>56</v>
      </c>
      <c r="G10" s="4"/>
      <c r="H10" s="4">
        <v>119113</v>
      </c>
      <c r="I10" s="4"/>
      <c r="J10" s="4"/>
      <c r="K10" s="2" t="s">
        <v>34</v>
      </c>
      <c r="L10" s="2" t="s">
        <v>34</v>
      </c>
      <c r="M10" s="4">
        <v>119113</v>
      </c>
      <c r="N10" s="2">
        <v>0</v>
      </c>
      <c r="P10" s="2" t="s">
        <v>34</v>
      </c>
    </row>
    <row r="11" spans="1:36" s="3" customFormat="1">
      <c r="A11"/>
      <c r="B11" s="2" t="s">
        <v>57</v>
      </c>
      <c r="G11" s="4"/>
      <c r="H11" s="4">
        <v>24000</v>
      </c>
      <c r="I11" s="4"/>
      <c r="J11" s="4"/>
      <c r="L11" s="2" t="s">
        <v>34</v>
      </c>
      <c r="N11" s="2" t="s">
        <v>34</v>
      </c>
      <c r="O11" s="4">
        <v>24000</v>
      </c>
      <c r="P11" s="2">
        <v>0.2</v>
      </c>
    </row>
    <row r="12" spans="1:36" s="3" customFormat="1">
      <c r="A12"/>
      <c r="B12" s="2" t="s">
        <v>52</v>
      </c>
      <c r="G12" s="4"/>
      <c r="K12" s="4">
        <v>275000</v>
      </c>
      <c r="M12" s="2">
        <v>240000</v>
      </c>
      <c r="O12" s="2">
        <v>70000</v>
      </c>
    </row>
    <row r="13" spans="1:36" s="3" customFormat="1">
      <c r="A13"/>
      <c r="B13" s="2" t="s">
        <v>53</v>
      </c>
      <c r="G13" s="4"/>
      <c r="K13" s="4">
        <v>202677</v>
      </c>
      <c r="M13" s="4">
        <v>119113</v>
      </c>
      <c r="O13" s="4">
        <v>24000</v>
      </c>
    </row>
    <row r="14" spans="1:36" s="3" customFormat="1">
      <c r="A14" s="11" t="s">
        <v>84</v>
      </c>
      <c r="B14" s="2" t="s">
        <v>61</v>
      </c>
      <c r="C14" s="4">
        <v>15000</v>
      </c>
      <c r="D14" s="4">
        <v>35000</v>
      </c>
      <c r="E14" s="2">
        <v>0</v>
      </c>
      <c r="F14" s="4">
        <v>-1814</v>
      </c>
      <c r="G14" s="4">
        <f>+SUM(C14:F14)</f>
        <v>48186</v>
      </c>
      <c r="H14" s="2"/>
      <c r="I14" s="2"/>
      <c r="J14" s="2"/>
      <c r="K14" s="2"/>
      <c r="L14" s="2"/>
      <c r="M14" s="2"/>
      <c r="N14" s="2"/>
      <c r="O14" s="2"/>
      <c r="P14" s="2"/>
      <c r="Q14" s="4">
        <v>48186</v>
      </c>
      <c r="R14" s="2">
        <v>1.2</v>
      </c>
      <c r="S14" s="2"/>
      <c r="T14" s="2"/>
      <c r="U14" s="2"/>
      <c r="V14" s="2"/>
    </row>
    <row r="15" spans="1:36" s="3" customFormat="1">
      <c r="A15"/>
      <c r="B15" s="2" t="s">
        <v>35</v>
      </c>
      <c r="C15" s="4">
        <v>106000</v>
      </c>
      <c r="D15" s="4">
        <v>155000</v>
      </c>
      <c r="E15" s="4">
        <v>-12000</v>
      </c>
      <c r="F15" s="4">
        <v>-13500</v>
      </c>
      <c r="G15" s="4">
        <f>+SUM(C15:F15)</f>
        <v>235500</v>
      </c>
      <c r="H15" s="2"/>
      <c r="I15" s="2"/>
      <c r="J15" s="2"/>
      <c r="K15" s="2"/>
      <c r="L15" s="2"/>
      <c r="M15" s="2"/>
      <c r="N15" s="2"/>
      <c r="O15" s="2"/>
      <c r="P15" s="2"/>
      <c r="Q15" s="4">
        <v>141119</v>
      </c>
      <c r="R15" s="2">
        <v>2</v>
      </c>
      <c r="S15" s="2"/>
      <c r="T15" s="2"/>
      <c r="U15" s="4">
        <v>94381</v>
      </c>
      <c r="V15" s="2">
        <v>3</v>
      </c>
    </row>
    <row r="16" spans="1:36" s="3" customFormat="1">
      <c r="A16"/>
      <c r="B16" s="2" t="s">
        <v>36</v>
      </c>
      <c r="C16" s="4">
        <v>20000</v>
      </c>
      <c r="D16" s="4">
        <v>145000</v>
      </c>
      <c r="E16" s="4">
        <v>-5000</v>
      </c>
      <c r="F16" s="4">
        <v>-7100</v>
      </c>
      <c r="G16" s="4">
        <f>+SUM(C16:F16)</f>
        <v>152900</v>
      </c>
      <c r="H16" s="2"/>
      <c r="I16" s="2"/>
      <c r="J16" s="2"/>
      <c r="K16" s="2"/>
      <c r="L16" s="2"/>
      <c r="M16" s="2"/>
      <c r="N16" s="2"/>
      <c r="O16" s="2"/>
      <c r="P16" s="2"/>
      <c r="Q16" s="2"/>
      <c r="R16" s="2"/>
      <c r="S16" s="4">
        <v>71281</v>
      </c>
      <c r="T16" s="2">
        <v>1.5</v>
      </c>
      <c r="U16" s="4">
        <v>81619</v>
      </c>
      <c r="V16" s="2">
        <v>1.5</v>
      </c>
    </row>
    <row r="17" spans="1:36" s="3" customFormat="1">
      <c r="A17"/>
      <c r="B17" s="2" t="s">
        <v>37</v>
      </c>
      <c r="C17" s="4">
        <v>25000</v>
      </c>
      <c r="D17" s="4">
        <v>69691</v>
      </c>
      <c r="E17" s="4">
        <v>-20000</v>
      </c>
      <c r="F17" s="4">
        <v>-14000</v>
      </c>
      <c r="G17" s="4">
        <f>+SUM(C17:F17)</f>
        <v>60691</v>
      </c>
      <c r="H17" s="2"/>
      <c r="I17" s="2"/>
      <c r="J17" s="2"/>
      <c r="K17" s="2"/>
      <c r="L17" s="2"/>
      <c r="M17" s="2"/>
      <c r="N17" s="2"/>
      <c r="O17" s="2"/>
      <c r="P17" s="2"/>
      <c r="Q17" s="2"/>
      <c r="R17" s="2"/>
      <c r="S17" s="4">
        <v>60691</v>
      </c>
      <c r="T17" s="2"/>
      <c r="U17" s="2"/>
      <c r="V17" s="2"/>
    </row>
    <row r="18" spans="1:36" s="3" customFormat="1">
      <c r="A18"/>
      <c r="B18" s="2" t="s">
        <v>38</v>
      </c>
      <c r="C18" s="2"/>
      <c r="D18" s="2"/>
      <c r="E18" s="2"/>
      <c r="F18" s="2"/>
      <c r="G18" s="4"/>
      <c r="H18" s="2">
        <v>59360</v>
      </c>
      <c r="I18" s="2"/>
      <c r="J18" s="2"/>
      <c r="K18" s="2"/>
      <c r="L18" s="2"/>
      <c r="M18" s="2"/>
      <c r="N18" s="2"/>
      <c r="O18" s="2"/>
      <c r="P18" s="2"/>
      <c r="Q18" s="2"/>
      <c r="R18" s="2"/>
      <c r="S18" s="4">
        <v>59360</v>
      </c>
      <c r="T18" s="2"/>
      <c r="U18" s="2"/>
      <c r="V18" s="2"/>
    </row>
    <row r="19" spans="1:36" s="3" customFormat="1">
      <c r="A19"/>
      <c r="B19" s="2" t="s">
        <v>39</v>
      </c>
      <c r="D19" s="2"/>
      <c r="E19" s="2"/>
      <c r="F19" s="2"/>
      <c r="G19" s="4"/>
      <c r="H19" s="4">
        <v>14160</v>
      </c>
      <c r="I19" s="4"/>
      <c r="J19" s="4"/>
      <c r="K19" s="4"/>
      <c r="L19" s="4"/>
      <c r="M19" s="4"/>
      <c r="N19" s="4"/>
      <c r="O19" s="4"/>
      <c r="P19" s="4"/>
      <c r="Q19" s="4">
        <v>14160</v>
      </c>
      <c r="R19" s="2"/>
      <c r="S19" s="2"/>
      <c r="T19" s="2">
        <v>1.8</v>
      </c>
      <c r="U19" s="2"/>
      <c r="V19" s="2">
        <v>1.8</v>
      </c>
    </row>
    <row r="20" spans="1:36" s="3" customFormat="1">
      <c r="A20"/>
      <c r="B20" s="2" t="s">
        <v>40</v>
      </c>
      <c r="C20" s="2"/>
      <c r="D20" s="2"/>
      <c r="E20" s="2"/>
      <c r="F20" s="2"/>
      <c r="G20" s="4"/>
      <c r="H20" s="4">
        <v>226752</v>
      </c>
      <c r="I20" s="4"/>
      <c r="J20" s="4"/>
      <c r="K20" s="4"/>
      <c r="L20" s="4">
        <v>667</v>
      </c>
      <c r="M20" s="4"/>
      <c r="N20" s="4"/>
      <c r="O20" s="4"/>
      <c r="P20" s="4"/>
      <c r="Q20" s="4">
        <v>226752</v>
      </c>
      <c r="R20" s="2">
        <v>3</v>
      </c>
      <c r="S20" s="2"/>
      <c r="T20" s="2"/>
      <c r="U20" s="2"/>
      <c r="V20" s="2"/>
    </row>
    <row r="21" spans="1:36" s="3" customFormat="1">
      <c r="A21"/>
      <c r="B21" s="2" t="s">
        <v>41</v>
      </c>
      <c r="E21" s="2"/>
      <c r="F21" s="2"/>
      <c r="G21" s="4"/>
      <c r="H21" s="4">
        <v>175643</v>
      </c>
      <c r="I21" s="4"/>
      <c r="J21" s="4"/>
      <c r="K21" s="4"/>
      <c r="L21" s="4">
        <f>1950-1339.7</f>
        <v>610.29999999999995</v>
      </c>
      <c r="M21" s="4">
        <f>+SQRT(L20^2+L21^2)</f>
        <v>904.07692703663224</v>
      </c>
      <c r="N21" s="4"/>
      <c r="O21" s="4"/>
      <c r="P21" s="4"/>
      <c r="Q21" s="4">
        <v>175643</v>
      </c>
      <c r="R21" s="2">
        <v>1.5</v>
      </c>
      <c r="S21" s="2"/>
      <c r="T21" s="2"/>
      <c r="U21" s="2"/>
      <c r="V21" s="2"/>
    </row>
    <row r="22" spans="1:36" s="3" customFormat="1">
      <c r="A22"/>
      <c r="B22" s="2" t="s">
        <v>42</v>
      </c>
      <c r="D22" s="2"/>
      <c r="E22" s="2"/>
      <c r="F22" s="2"/>
      <c r="G22" s="4"/>
      <c r="H22" s="4">
        <v>273459</v>
      </c>
      <c r="I22" s="2"/>
      <c r="J22" s="2"/>
      <c r="K22" s="2"/>
      <c r="L22" s="2"/>
      <c r="M22" s="2"/>
      <c r="N22" s="2"/>
      <c r="O22" s="2"/>
      <c r="P22" s="2"/>
      <c r="R22" s="2"/>
      <c r="S22" s="4">
        <v>273459</v>
      </c>
      <c r="T22" s="2">
        <v>0</v>
      </c>
      <c r="U22" s="2"/>
      <c r="V22" s="2" t="s">
        <v>33</v>
      </c>
    </row>
    <row r="23" spans="1:36" s="3" customFormat="1">
      <c r="A23"/>
      <c r="B23" s="2" t="s">
        <v>43</v>
      </c>
      <c r="C23" s="2" t="s">
        <v>34</v>
      </c>
      <c r="D23" s="2" t="s">
        <v>34</v>
      </c>
      <c r="E23" s="2" t="s">
        <v>34</v>
      </c>
      <c r="F23" s="2"/>
      <c r="G23" s="4"/>
      <c r="H23" s="2"/>
      <c r="I23" s="2"/>
      <c r="J23" s="2"/>
      <c r="K23" s="2"/>
      <c r="L23" s="2"/>
      <c r="M23" s="2"/>
      <c r="N23" s="2"/>
      <c r="O23" s="2"/>
      <c r="P23" s="2"/>
      <c r="Q23" s="4">
        <v>710000</v>
      </c>
      <c r="R23" s="2"/>
      <c r="S23" s="4">
        <v>620000</v>
      </c>
      <c r="T23" s="2"/>
      <c r="U23" s="4">
        <v>176000</v>
      </c>
      <c r="V23" s="2"/>
    </row>
    <row r="24" spans="1:36" s="3" customFormat="1">
      <c r="A24"/>
      <c r="B24" s="2" t="s">
        <v>302</v>
      </c>
      <c r="C24" s="2"/>
      <c r="D24" s="2"/>
      <c r="E24" s="2"/>
      <c r="F24" s="2"/>
      <c r="G24" s="4"/>
      <c r="H24" s="2"/>
      <c r="I24" s="2"/>
      <c r="J24" s="2"/>
      <c r="K24" s="2"/>
      <c r="L24" s="2"/>
      <c r="M24" s="2"/>
      <c r="N24" s="2"/>
      <c r="O24" s="2"/>
      <c r="P24" s="2"/>
      <c r="Q24" s="4">
        <v>605860</v>
      </c>
      <c r="R24" s="2"/>
      <c r="S24" s="4">
        <v>464791</v>
      </c>
      <c r="T24" s="2"/>
      <c r="U24" s="4">
        <v>176000</v>
      </c>
      <c r="V24" s="2"/>
    </row>
    <row r="25" spans="1:36" s="3" customFormat="1">
      <c r="A25" s="11" t="s">
        <v>85</v>
      </c>
      <c r="B25" s="2" t="s">
        <v>44</v>
      </c>
      <c r="C25" s="2">
        <v>0</v>
      </c>
      <c r="D25" s="4">
        <v>12000</v>
      </c>
      <c r="E25" s="4">
        <v>-3000</v>
      </c>
      <c r="F25" s="2">
        <v>-800</v>
      </c>
      <c r="G25" s="4">
        <f>+SUM(C25:F25)</f>
        <v>8200</v>
      </c>
      <c r="H25" s="2" t="s">
        <v>34</v>
      </c>
      <c r="I25" s="2"/>
      <c r="J25" s="2"/>
      <c r="K25" s="2"/>
      <c r="L25" s="2"/>
      <c r="M25" s="2"/>
      <c r="N25" s="2"/>
      <c r="O25" s="2"/>
      <c r="P25" s="2"/>
      <c r="W25" s="2" t="s">
        <v>34</v>
      </c>
      <c r="X25" s="2" t="s">
        <v>34</v>
      </c>
      <c r="Z25" s="2" t="s">
        <v>34</v>
      </c>
      <c r="AB25" s="2" t="s">
        <v>34</v>
      </c>
      <c r="AD25" s="2" t="s">
        <v>34</v>
      </c>
      <c r="AE25" s="4">
        <v>8200</v>
      </c>
      <c r="AF25" s="2">
        <v>0.3</v>
      </c>
      <c r="AH25" s="2" t="s">
        <v>34</v>
      </c>
      <c r="AJ25" s="2" t="s">
        <v>34</v>
      </c>
    </row>
    <row r="26" spans="1:36" s="3" customFormat="1">
      <c r="A26"/>
      <c r="B26" s="2" t="s">
        <v>45</v>
      </c>
      <c r="C26" s="2">
        <v>140</v>
      </c>
      <c r="D26" s="4">
        <v>13050</v>
      </c>
      <c r="E26" s="4">
        <v>-1000</v>
      </c>
      <c r="F26" s="2">
        <v>-490</v>
      </c>
      <c r="G26" s="4">
        <f>+SUM(C26:F26)</f>
        <v>11700</v>
      </c>
      <c r="H26" s="2" t="s">
        <v>34</v>
      </c>
      <c r="I26" s="2"/>
      <c r="J26" s="2"/>
      <c r="K26" s="2"/>
      <c r="L26" s="2"/>
      <c r="M26" s="2"/>
      <c r="N26" s="2"/>
      <c r="O26" s="2"/>
      <c r="P26" s="2"/>
      <c r="X26" s="2" t="s">
        <v>34</v>
      </c>
      <c r="Z26" s="2" t="s">
        <v>34</v>
      </c>
      <c r="AA26" s="2" t="s">
        <v>34</v>
      </c>
      <c r="AB26" s="2">
        <v>0.1</v>
      </c>
      <c r="AC26" s="4">
        <v>11700</v>
      </c>
      <c r="AD26" s="2" t="s">
        <v>34</v>
      </c>
      <c r="AF26" s="2" t="s">
        <v>34</v>
      </c>
    </row>
    <row r="27" spans="1:36" s="3" customFormat="1">
      <c r="B27" s="2" t="s">
        <v>46</v>
      </c>
      <c r="G27" s="4"/>
      <c r="H27" s="4">
        <v>52000</v>
      </c>
      <c r="I27" s="4"/>
      <c r="J27" s="4"/>
      <c r="K27" s="4"/>
      <c r="L27" s="4"/>
      <c r="M27" s="4"/>
      <c r="N27" s="4"/>
      <c r="O27" s="4"/>
      <c r="P27" s="4"/>
      <c r="W27" s="4">
        <v>52000</v>
      </c>
      <c r="X27" s="2">
        <v>0.1</v>
      </c>
      <c r="Z27" s="2" t="s">
        <v>34</v>
      </c>
      <c r="AB27" s="2" t="s">
        <v>34</v>
      </c>
      <c r="AD27" s="2" t="s">
        <v>34</v>
      </c>
      <c r="AF27" s="2" t="s">
        <v>34</v>
      </c>
      <c r="AH27" s="2" t="s">
        <v>34</v>
      </c>
      <c r="AJ27" s="2" t="s">
        <v>34</v>
      </c>
    </row>
    <row r="28" spans="1:36" s="3" customFormat="1">
      <c r="B28" s="2" t="s">
        <v>47</v>
      </c>
      <c r="G28" s="4"/>
      <c r="H28" s="4">
        <v>121400</v>
      </c>
      <c r="I28" s="4"/>
      <c r="J28" s="4"/>
      <c r="K28" s="4"/>
      <c r="L28" s="4"/>
      <c r="M28" s="4"/>
      <c r="N28" s="4"/>
      <c r="O28" s="4"/>
      <c r="P28" s="4"/>
      <c r="W28" s="2" t="s">
        <v>34</v>
      </c>
      <c r="X28" s="2" t="s">
        <v>34</v>
      </c>
      <c r="Y28" s="4">
        <v>121400</v>
      </c>
      <c r="Z28" s="2">
        <v>0.3</v>
      </c>
      <c r="AB28" s="2" t="s">
        <v>34</v>
      </c>
      <c r="AD28" s="2" t="s">
        <v>34</v>
      </c>
      <c r="AF28" s="2" t="s">
        <v>34</v>
      </c>
      <c r="AH28" s="2" t="s">
        <v>34</v>
      </c>
      <c r="AJ28" s="2" t="s">
        <v>34</v>
      </c>
    </row>
    <row r="29" spans="1:36" s="3" customFormat="1">
      <c r="B29" s="2" t="s">
        <v>48</v>
      </c>
      <c r="G29" s="4"/>
      <c r="H29" s="4">
        <v>96500</v>
      </c>
      <c r="I29" s="4"/>
      <c r="J29" s="4"/>
      <c r="K29" s="4"/>
      <c r="L29" s="4"/>
      <c r="M29" s="4"/>
      <c r="N29" s="4"/>
      <c r="O29" s="4"/>
      <c r="P29" s="4"/>
      <c r="X29" s="2" t="s">
        <v>34</v>
      </c>
      <c r="Z29" s="2" t="s">
        <v>34</v>
      </c>
      <c r="AA29" s="4">
        <v>68000</v>
      </c>
      <c r="AB29" s="2">
        <v>0</v>
      </c>
      <c r="AC29" s="4">
        <v>28500</v>
      </c>
      <c r="AD29" s="2">
        <v>0.3</v>
      </c>
      <c r="AF29" s="2" t="s">
        <v>34</v>
      </c>
      <c r="AH29" s="2" t="s">
        <v>34</v>
      </c>
      <c r="AJ29" s="2" t="s">
        <v>34</v>
      </c>
    </row>
    <row r="30" spans="1:36" s="3" customFormat="1">
      <c r="B30" s="2" t="s">
        <v>49</v>
      </c>
      <c r="G30" s="4"/>
      <c r="H30" s="4">
        <v>307000</v>
      </c>
      <c r="I30" s="4"/>
      <c r="J30" s="4"/>
      <c r="K30" s="4"/>
      <c r="L30" s="4"/>
      <c r="M30" s="4"/>
      <c r="N30" s="4"/>
      <c r="O30" s="4"/>
      <c r="P30" s="4"/>
      <c r="X30" s="2" t="s">
        <v>34</v>
      </c>
      <c r="Z30" s="2" t="s">
        <v>34</v>
      </c>
      <c r="AB30" s="2" t="s">
        <v>34</v>
      </c>
      <c r="AC30" s="4">
        <v>30800</v>
      </c>
      <c r="AD30" s="2">
        <v>1</v>
      </c>
      <c r="AE30" s="4">
        <v>91000</v>
      </c>
      <c r="AF30" s="2">
        <v>0</v>
      </c>
      <c r="AG30" s="4">
        <v>185200</v>
      </c>
      <c r="AH30" s="2">
        <v>2</v>
      </c>
      <c r="AJ30" s="2" t="s">
        <v>34</v>
      </c>
    </row>
    <row r="31" spans="1:36" s="3" customFormat="1">
      <c r="B31" s="2" t="s">
        <v>50</v>
      </c>
      <c r="G31" s="4"/>
      <c r="H31" s="4">
        <v>159800</v>
      </c>
      <c r="I31" s="4"/>
      <c r="J31" s="4"/>
      <c r="K31" s="4"/>
      <c r="L31" s="4"/>
      <c r="M31" s="4"/>
      <c r="N31" s="4"/>
      <c r="O31" s="4"/>
      <c r="P31" s="4"/>
      <c r="AG31" s="4">
        <v>159800</v>
      </c>
    </row>
    <row r="32" spans="1:36" s="3" customFormat="1">
      <c r="B32" s="2" t="s">
        <v>51</v>
      </c>
      <c r="G32" s="4"/>
      <c r="H32" s="4">
        <v>210000</v>
      </c>
      <c r="I32" s="4"/>
      <c r="J32" s="4"/>
      <c r="K32" s="4"/>
      <c r="L32" s="4"/>
      <c r="M32" s="4"/>
      <c r="N32" s="4"/>
      <c r="O32" s="4"/>
      <c r="P32" s="4"/>
      <c r="X32" s="2" t="s">
        <v>34</v>
      </c>
      <c r="Z32" s="2" t="s">
        <v>34</v>
      </c>
      <c r="AB32" s="2" t="s">
        <v>34</v>
      </c>
      <c r="AD32" s="2" t="s">
        <v>34</v>
      </c>
      <c r="AF32" s="2" t="s">
        <v>34</v>
      </c>
      <c r="AH32" s="2">
        <v>14</v>
      </c>
      <c r="AI32" s="4">
        <v>210000</v>
      </c>
      <c r="AJ32" s="2">
        <v>0</v>
      </c>
    </row>
    <row r="33" spans="1:35" s="3" customFormat="1">
      <c r="B33" s="2" t="s">
        <v>52</v>
      </c>
      <c r="G33" s="4"/>
      <c r="W33" s="4">
        <v>212000</v>
      </c>
      <c r="Y33" s="4">
        <v>200000</v>
      </c>
      <c r="AA33" s="4">
        <v>68000</v>
      </c>
      <c r="AC33" s="4">
        <v>71000</v>
      </c>
      <c r="AE33" s="4">
        <v>91000</v>
      </c>
      <c r="AG33" s="4">
        <v>345000</v>
      </c>
      <c r="AI33" s="4">
        <v>210000</v>
      </c>
    </row>
    <row r="34" spans="1:35" s="3" customFormat="1">
      <c r="B34" s="2" t="s">
        <v>53</v>
      </c>
      <c r="G34" s="4"/>
      <c r="W34" s="4">
        <v>52000</v>
      </c>
      <c r="Y34" s="4">
        <v>121400</v>
      </c>
      <c r="AA34" s="4">
        <v>68000</v>
      </c>
      <c r="AC34" s="4">
        <v>71000</v>
      </c>
      <c r="AE34" s="4">
        <v>91000</v>
      </c>
      <c r="AG34" s="4">
        <v>345000</v>
      </c>
      <c r="AI34" s="4">
        <v>210000</v>
      </c>
    </row>
    <row r="35" spans="1:35" s="3" customFormat="1">
      <c r="A35" s="3" t="s">
        <v>9</v>
      </c>
      <c r="C35" s="3">
        <v>190140</v>
      </c>
      <c r="D35" s="3">
        <v>639741</v>
      </c>
      <c r="E35" s="3">
        <v>-113000</v>
      </c>
      <c r="F35" s="3">
        <v>-56415</v>
      </c>
      <c r="G35" s="3">
        <v>660466</v>
      </c>
      <c r="H35" s="3">
        <v>2097529</v>
      </c>
    </row>
    <row r="36" spans="1:35" s="3" customFormat="1">
      <c r="A36" s="5" t="s">
        <v>301</v>
      </c>
      <c r="H36" s="7"/>
    </row>
    <row r="37" spans="1:35">
      <c r="H37" s="16"/>
    </row>
    <row r="38" spans="1:35">
      <c r="A38" s="5" t="s">
        <v>8</v>
      </c>
      <c r="C38" s="3"/>
      <c r="D38" s="3"/>
      <c r="E38" s="3"/>
      <c r="F38" s="3"/>
      <c r="G38" s="3"/>
    </row>
    <row r="39" spans="1:35" ht="45">
      <c r="A39" s="14" t="s">
        <v>6</v>
      </c>
      <c r="B39" s="14" t="s">
        <v>7</v>
      </c>
      <c r="C39" s="47" t="s">
        <v>0</v>
      </c>
      <c r="D39" s="47" t="s">
        <v>1</v>
      </c>
      <c r="E39" s="47" t="s">
        <v>2</v>
      </c>
      <c r="F39" s="47" t="s">
        <v>3</v>
      </c>
      <c r="G39" s="47" t="s">
        <v>4</v>
      </c>
    </row>
    <row r="40" spans="1:35">
      <c r="A40" s="6" t="s">
        <v>10</v>
      </c>
      <c r="B40" s="6" t="s">
        <v>11</v>
      </c>
      <c r="C40" s="3">
        <v>0.1</v>
      </c>
      <c r="D40" s="3">
        <v>40</v>
      </c>
      <c r="E40" s="7">
        <v>1315</v>
      </c>
      <c r="F40" s="3">
        <v>316</v>
      </c>
      <c r="G40" s="7">
        <v>1131</v>
      </c>
      <c r="H40" s="16"/>
      <c r="I40" s="16"/>
    </row>
    <row r="41" spans="1:35">
      <c r="A41" s="3"/>
      <c r="B41" s="6" t="s">
        <v>12</v>
      </c>
      <c r="C41" s="3">
        <v>0.15</v>
      </c>
      <c r="D41" s="3">
        <v>80</v>
      </c>
      <c r="E41" s="7">
        <v>1976</v>
      </c>
      <c r="F41" s="3">
        <v>475</v>
      </c>
      <c r="G41" s="7">
        <v>1699</v>
      </c>
      <c r="H41" s="16"/>
      <c r="I41" s="16"/>
    </row>
    <row r="42" spans="1:35">
      <c r="A42" s="3"/>
      <c r="B42" s="6" t="s">
        <v>13</v>
      </c>
      <c r="C42" s="3">
        <v>0.21</v>
      </c>
      <c r="D42" s="3">
        <v>70</v>
      </c>
      <c r="E42" s="7">
        <v>1215</v>
      </c>
      <c r="F42" s="3">
        <v>292</v>
      </c>
      <c r="G42" s="7">
        <v>1045</v>
      </c>
      <c r="H42" s="16"/>
      <c r="I42" s="16"/>
    </row>
    <row r="43" spans="1:35">
      <c r="A43" s="3"/>
      <c r="B43" s="6" t="s">
        <v>14</v>
      </c>
      <c r="C43" s="3">
        <v>0.05</v>
      </c>
      <c r="D43" s="3">
        <v>30</v>
      </c>
      <c r="E43" s="3">
        <v>540</v>
      </c>
      <c r="F43" s="3">
        <v>130</v>
      </c>
      <c r="G43" s="3">
        <v>464</v>
      </c>
      <c r="H43" s="16"/>
      <c r="I43" s="16"/>
    </row>
    <row r="44" spans="1:35">
      <c r="A44" s="3"/>
      <c r="B44" s="6" t="s">
        <v>15</v>
      </c>
      <c r="C44" s="3">
        <v>0.45</v>
      </c>
      <c r="D44" s="3">
        <v>510</v>
      </c>
      <c r="E44" s="7">
        <v>11000</v>
      </c>
      <c r="F44" s="7">
        <v>3300</v>
      </c>
      <c r="G44" s="7">
        <v>8800</v>
      </c>
      <c r="H44" s="16"/>
      <c r="I44" s="16"/>
    </row>
    <row r="45" spans="1:35">
      <c r="A45" s="3"/>
      <c r="B45" s="6" t="s">
        <v>16</v>
      </c>
      <c r="C45" s="3">
        <v>1.72</v>
      </c>
      <c r="D45" s="7">
        <v>2640</v>
      </c>
      <c r="E45" s="7">
        <v>44500</v>
      </c>
      <c r="F45" s="7">
        <v>17800</v>
      </c>
      <c r="G45" s="7">
        <v>31150</v>
      </c>
      <c r="H45" s="16"/>
      <c r="I45" s="16"/>
    </row>
    <row r="46" spans="1:35">
      <c r="A46" s="6" t="s">
        <v>17</v>
      </c>
      <c r="B46" s="6" t="s">
        <v>18</v>
      </c>
      <c r="C46" s="3">
        <v>0.63</v>
      </c>
      <c r="D46" s="3">
        <v>630</v>
      </c>
      <c r="E46" s="7">
        <v>20000</v>
      </c>
      <c r="F46" s="7">
        <v>8000</v>
      </c>
      <c r="G46" s="7">
        <v>14000</v>
      </c>
      <c r="H46" s="16"/>
      <c r="I46" s="16"/>
    </row>
    <row r="47" spans="1:35">
      <c r="A47" s="3"/>
      <c r="B47" s="6" t="s">
        <v>19</v>
      </c>
      <c r="C47" s="3">
        <v>0.81</v>
      </c>
      <c r="D47" s="3">
        <v>810</v>
      </c>
      <c r="E47" s="7">
        <v>43900</v>
      </c>
      <c r="F47" s="7">
        <v>26340</v>
      </c>
      <c r="G47" s="7">
        <v>21950</v>
      </c>
      <c r="H47" s="16"/>
      <c r="I47" s="16"/>
    </row>
    <row r="48" spans="1:35">
      <c r="A48" s="3"/>
      <c r="B48" s="6" t="s">
        <v>20</v>
      </c>
      <c r="C48" s="3">
        <v>0.83</v>
      </c>
      <c r="D48" s="3">
        <v>200</v>
      </c>
      <c r="E48" s="7">
        <v>3015</v>
      </c>
      <c r="F48" s="7">
        <v>1206</v>
      </c>
      <c r="G48" s="7">
        <v>2111</v>
      </c>
      <c r="H48" s="16"/>
      <c r="I48" s="16"/>
    </row>
    <row r="49" spans="1:10">
      <c r="A49" s="3"/>
      <c r="B49" s="6" t="s">
        <v>21</v>
      </c>
      <c r="C49" s="3">
        <v>3.4</v>
      </c>
      <c r="D49" s="7">
        <v>1980</v>
      </c>
      <c r="E49" s="7">
        <v>95160</v>
      </c>
      <c r="F49" s="7">
        <v>67106</v>
      </c>
      <c r="G49" s="7">
        <v>37570</v>
      </c>
      <c r="H49" s="16"/>
      <c r="I49" s="16"/>
    </row>
    <row r="50" spans="1:10">
      <c r="A50" s="6" t="s">
        <v>22</v>
      </c>
      <c r="B50" s="6" t="s">
        <v>23</v>
      </c>
      <c r="C50" s="3">
        <v>0.26</v>
      </c>
      <c r="D50" s="3">
        <v>300</v>
      </c>
      <c r="E50" s="7">
        <v>16760</v>
      </c>
      <c r="F50" s="7">
        <v>8380</v>
      </c>
      <c r="G50" s="7">
        <v>10056</v>
      </c>
      <c r="H50" s="16"/>
      <c r="I50" s="16"/>
    </row>
    <row r="51" spans="1:10">
      <c r="A51" s="3"/>
      <c r="B51" s="6" t="s">
        <v>24</v>
      </c>
      <c r="C51" s="3">
        <v>17.5</v>
      </c>
      <c r="D51" s="7">
        <v>16000</v>
      </c>
      <c r="E51" s="7">
        <v>376700</v>
      </c>
      <c r="F51" s="7">
        <v>376900</v>
      </c>
      <c r="G51" s="3">
        <v>0</v>
      </c>
      <c r="H51" s="16"/>
      <c r="I51" s="16"/>
    </row>
    <row r="52" spans="1:10">
      <c r="A52" s="3"/>
      <c r="B52" s="6" t="s">
        <v>25</v>
      </c>
      <c r="C52" s="3">
        <v>0.15</v>
      </c>
      <c r="D52" s="3">
        <v>150</v>
      </c>
      <c r="E52" s="7">
        <v>11350</v>
      </c>
      <c r="F52" s="7">
        <v>3405</v>
      </c>
      <c r="G52" s="7">
        <v>9080</v>
      </c>
      <c r="H52" s="16"/>
      <c r="I52" s="16"/>
    </row>
    <row r="53" spans="1:10">
      <c r="A53" s="3"/>
      <c r="B53" s="6" t="s">
        <v>26</v>
      </c>
      <c r="C53" s="3">
        <v>0.25</v>
      </c>
      <c r="D53" s="3">
        <v>100</v>
      </c>
      <c r="E53" s="7">
        <v>5000</v>
      </c>
      <c r="F53" s="7">
        <v>1000</v>
      </c>
      <c r="G53" s="7">
        <v>4500</v>
      </c>
      <c r="H53" s="16"/>
      <c r="I53" s="16"/>
    </row>
    <row r="54" spans="1:10">
      <c r="A54" s="3"/>
      <c r="B54" s="6" t="s">
        <v>27</v>
      </c>
      <c r="C54" s="3">
        <v>0.17</v>
      </c>
      <c r="D54" s="3">
        <v>70</v>
      </c>
      <c r="E54" s="7">
        <v>2300</v>
      </c>
      <c r="F54" s="3">
        <v>920</v>
      </c>
      <c r="G54" s="7">
        <v>1610</v>
      </c>
      <c r="H54" s="16"/>
      <c r="I54" s="16"/>
    </row>
    <row r="55" spans="1:10">
      <c r="A55" s="3"/>
      <c r="B55" s="6" t="s">
        <v>28</v>
      </c>
      <c r="C55" s="3">
        <v>0.11</v>
      </c>
      <c r="D55" s="3"/>
      <c r="E55" s="7">
        <v>45650</v>
      </c>
      <c r="F55" s="7">
        <v>24980</v>
      </c>
      <c r="G55" s="7">
        <v>25235</v>
      </c>
      <c r="H55" s="16"/>
      <c r="I55" s="16"/>
    </row>
    <row r="56" spans="1:10">
      <c r="A56" s="3"/>
      <c r="B56" s="6" t="s">
        <v>29</v>
      </c>
      <c r="C56" s="3">
        <v>1.5</v>
      </c>
      <c r="D56" s="3"/>
      <c r="E56" s="7">
        <v>6000</v>
      </c>
      <c r="F56" s="7">
        <v>10200</v>
      </c>
      <c r="G56" s="3"/>
      <c r="H56" s="16"/>
      <c r="I56" s="16"/>
    </row>
    <row r="57" spans="1:10">
      <c r="A57" s="3"/>
      <c r="B57" s="6" t="s">
        <v>30</v>
      </c>
      <c r="C57" s="3">
        <v>2</v>
      </c>
      <c r="D57" s="3"/>
      <c r="E57" s="3"/>
      <c r="F57" s="7">
        <v>12000</v>
      </c>
      <c r="G57" s="3"/>
      <c r="H57" s="16"/>
      <c r="I57" s="16"/>
    </row>
    <row r="58" spans="1:10">
      <c r="A58" s="3"/>
      <c r="B58" s="6" t="s">
        <v>31</v>
      </c>
      <c r="C58" s="3">
        <v>1</v>
      </c>
      <c r="D58" s="7">
        <v>2000</v>
      </c>
      <c r="E58" s="7">
        <v>30000</v>
      </c>
      <c r="F58" s="7">
        <v>20000</v>
      </c>
      <c r="G58" s="7">
        <v>11000</v>
      </c>
      <c r="H58" s="16"/>
      <c r="I58" s="16"/>
    </row>
    <row r="59" spans="1:10">
      <c r="A59" s="6" t="s">
        <v>32</v>
      </c>
      <c r="B59" s="3"/>
      <c r="C59" s="3">
        <v>31.28</v>
      </c>
      <c r="D59" s="7">
        <v>25610</v>
      </c>
      <c r="E59" s="7">
        <v>716381</v>
      </c>
      <c r="F59" s="7">
        <v>582750</v>
      </c>
      <c r="G59" s="7">
        <v>181399</v>
      </c>
      <c r="H59" s="16"/>
      <c r="I59" s="16"/>
      <c r="J59" s="16"/>
    </row>
    <row r="60" spans="1:10">
      <c r="A60" s="5" t="s">
        <v>86</v>
      </c>
      <c r="H60" s="16"/>
    </row>
  </sheetData>
  <mergeCells count="15">
    <mergeCell ref="AE2:AF2"/>
    <mergeCell ref="AG2:AH2"/>
    <mergeCell ref="AI2:AJ2"/>
    <mergeCell ref="S2:T2"/>
    <mergeCell ref="U2:V2"/>
    <mergeCell ref="W2:X2"/>
    <mergeCell ref="Y2:Z2"/>
    <mergeCell ref="AA2:AB2"/>
    <mergeCell ref="AC2:AD2"/>
    <mergeCell ref="Q2:R2"/>
    <mergeCell ref="C2:F2"/>
    <mergeCell ref="I2:J2"/>
    <mergeCell ref="K2:L2"/>
    <mergeCell ref="M2:N2"/>
    <mergeCell ref="O2: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zoomScale="80" zoomScaleNormal="80" workbookViewId="0">
      <selection activeCell="D3" sqref="D3"/>
    </sheetView>
  </sheetViews>
  <sheetFormatPr baseColWidth="10" defaultRowHeight="15"/>
  <cols>
    <col min="1" max="1" width="24.28515625" bestFit="1" customWidth="1"/>
    <col min="3" max="4" width="11.42578125" style="9"/>
    <col min="5" max="6" width="16.7109375" style="9" customWidth="1"/>
    <col min="7" max="7" width="17.140625" style="9" bestFit="1" customWidth="1"/>
    <col min="8" max="10" width="11.42578125" style="9"/>
  </cols>
  <sheetData>
    <row r="1" spans="1:11">
      <c r="A1" s="12" t="s">
        <v>217</v>
      </c>
    </row>
    <row r="2" spans="1:11">
      <c r="A2" s="48" t="s">
        <v>216</v>
      </c>
      <c r="B2" s="48"/>
      <c r="C2" s="14" t="s">
        <v>201</v>
      </c>
      <c r="D2" s="14" t="s">
        <v>202</v>
      </c>
      <c r="E2" s="14" t="s">
        <v>203</v>
      </c>
      <c r="F2" s="14" t="s">
        <v>204</v>
      </c>
      <c r="G2" s="14" t="s">
        <v>205</v>
      </c>
      <c r="H2" s="14" t="s">
        <v>182</v>
      </c>
      <c r="I2" s="14" t="s">
        <v>206</v>
      </c>
      <c r="J2" s="14" t="s">
        <v>185</v>
      </c>
      <c r="K2" t="s">
        <v>5</v>
      </c>
    </row>
    <row r="3" spans="1:11">
      <c r="A3" t="s">
        <v>207</v>
      </c>
      <c r="B3" t="s">
        <v>208</v>
      </c>
      <c r="C3" s="9">
        <v>300</v>
      </c>
      <c r="D3" s="9">
        <v>600</v>
      </c>
      <c r="E3" s="9">
        <v>600</v>
      </c>
      <c r="F3" s="9">
        <v>300</v>
      </c>
      <c r="G3" s="23">
        <v>1000</v>
      </c>
      <c r="H3" s="23">
        <v>1000</v>
      </c>
      <c r="I3" s="23">
        <v>1000</v>
      </c>
      <c r="J3" s="23">
        <v>4800</v>
      </c>
      <c r="K3" t="s">
        <v>5</v>
      </c>
    </row>
    <row r="4" spans="1:11">
      <c r="A4" t="s">
        <v>209</v>
      </c>
      <c r="B4" t="s">
        <v>208</v>
      </c>
      <c r="C4" s="23">
        <v>12000</v>
      </c>
      <c r="D4" s="23">
        <v>16000</v>
      </c>
      <c r="E4" s="23">
        <v>16000</v>
      </c>
      <c r="F4" s="23">
        <v>10000</v>
      </c>
      <c r="G4" s="23">
        <v>8000</v>
      </c>
      <c r="H4" s="23">
        <v>12000</v>
      </c>
      <c r="I4" s="23">
        <v>12000</v>
      </c>
      <c r="J4" s="23">
        <v>86000</v>
      </c>
      <c r="K4" t="s">
        <v>5</v>
      </c>
    </row>
    <row r="5" spans="1:11">
      <c r="A5" t="s">
        <v>210</v>
      </c>
      <c r="B5" t="s">
        <v>208</v>
      </c>
      <c r="C5" s="23">
        <v>60000</v>
      </c>
      <c r="D5" s="23">
        <v>20000</v>
      </c>
      <c r="E5" s="23">
        <v>20000</v>
      </c>
      <c r="F5" s="23">
        <v>5000</v>
      </c>
      <c r="G5" s="9">
        <v>0</v>
      </c>
      <c r="H5" s="9">
        <v>0</v>
      </c>
      <c r="I5" s="9">
        <v>0</v>
      </c>
      <c r="J5" s="23">
        <v>105000</v>
      </c>
      <c r="K5" t="s">
        <v>5</v>
      </c>
    </row>
    <row r="6" spans="1:11">
      <c r="A6" t="s">
        <v>211</v>
      </c>
      <c r="B6" t="s">
        <v>208</v>
      </c>
      <c r="C6" s="9">
        <v>50</v>
      </c>
      <c r="D6" s="9">
        <v>200</v>
      </c>
      <c r="E6" s="9">
        <v>200</v>
      </c>
      <c r="F6" s="9">
        <v>50</v>
      </c>
      <c r="G6" s="9">
        <v>700</v>
      </c>
      <c r="H6" s="9">
        <v>700</v>
      </c>
      <c r="I6" s="9">
        <v>300</v>
      </c>
      <c r="J6" s="23">
        <v>2200</v>
      </c>
      <c r="K6" t="s">
        <v>5</v>
      </c>
    </row>
    <row r="7" spans="1:11">
      <c r="A7" t="s">
        <v>212</v>
      </c>
      <c r="B7" t="s">
        <v>208</v>
      </c>
      <c r="C7" s="9">
        <v>200</v>
      </c>
      <c r="D7" s="9">
        <v>600</v>
      </c>
      <c r="E7" s="9">
        <v>800</v>
      </c>
      <c r="F7" s="9">
        <v>200</v>
      </c>
      <c r="G7" s="9">
        <v>400</v>
      </c>
      <c r="H7" s="9">
        <v>400</v>
      </c>
      <c r="I7" s="9">
        <v>400</v>
      </c>
      <c r="J7" s="23">
        <v>3000</v>
      </c>
      <c r="K7" t="s">
        <v>5</v>
      </c>
    </row>
    <row r="8" spans="1:11">
      <c r="A8" t="s">
        <v>213</v>
      </c>
      <c r="B8" t="s">
        <v>208</v>
      </c>
      <c r="C8" s="9">
        <v>0</v>
      </c>
      <c r="D8" s="23">
        <v>1200</v>
      </c>
      <c r="E8" s="23">
        <v>3000</v>
      </c>
      <c r="F8" s="9">
        <v>0</v>
      </c>
      <c r="G8" s="9">
        <v>0</v>
      </c>
      <c r="H8" s="23">
        <v>1600</v>
      </c>
      <c r="I8" s="9">
        <v>200</v>
      </c>
      <c r="J8" s="23">
        <v>6000</v>
      </c>
      <c r="K8" t="s">
        <v>5</v>
      </c>
    </row>
    <row r="9" spans="1:11">
      <c r="A9" t="s">
        <v>214</v>
      </c>
      <c r="B9" t="s">
        <v>208</v>
      </c>
      <c r="C9" s="9">
        <v>0</v>
      </c>
      <c r="D9" s="9">
        <v>0</v>
      </c>
      <c r="E9" s="9">
        <v>0</v>
      </c>
      <c r="F9" s="9">
        <v>0</v>
      </c>
      <c r="G9" s="9">
        <v>0</v>
      </c>
      <c r="H9" s="9">
        <v>0</v>
      </c>
      <c r="I9" s="23">
        <v>5000</v>
      </c>
      <c r="J9" s="23">
        <v>5000</v>
      </c>
      <c r="K9" t="s">
        <v>5</v>
      </c>
    </row>
    <row r="10" spans="1:11">
      <c r="A10" t="s">
        <v>215</v>
      </c>
      <c r="B10" t="s">
        <v>208</v>
      </c>
      <c r="C10" s="23">
        <v>1000</v>
      </c>
      <c r="D10" s="23">
        <v>1750</v>
      </c>
      <c r="E10" s="23">
        <v>2000</v>
      </c>
      <c r="F10" s="23">
        <v>1000</v>
      </c>
      <c r="G10" s="23">
        <v>1000</v>
      </c>
      <c r="H10" s="23">
        <v>1500</v>
      </c>
      <c r="I10" s="23">
        <v>1750</v>
      </c>
      <c r="J10" s="23">
        <v>10000</v>
      </c>
      <c r="K10" t="s">
        <v>5</v>
      </c>
    </row>
    <row r="11" spans="1:11">
      <c r="A11" t="s">
        <v>185</v>
      </c>
      <c r="B11" t="s">
        <v>208</v>
      </c>
      <c r="C11" s="23">
        <v>73550</v>
      </c>
      <c r="D11" s="23">
        <v>40350</v>
      </c>
      <c r="E11" s="23">
        <v>42600</v>
      </c>
      <c r="F11" s="23">
        <v>16550</v>
      </c>
      <c r="G11" s="23">
        <v>11100</v>
      </c>
      <c r="H11" s="23">
        <v>17200</v>
      </c>
      <c r="I11" s="23">
        <v>20650</v>
      </c>
      <c r="J11" s="23">
        <v>222000</v>
      </c>
      <c r="K11" t="s">
        <v>5</v>
      </c>
    </row>
    <row r="12" spans="1:11">
      <c r="A12" s="5" t="s">
        <v>218</v>
      </c>
      <c r="H12" s="23"/>
    </row>
    <row r="14" spans="1:11">
      <c r="A14" s="49"/>
      <c r="B14" s="49"/>
      <c r="E14" s="50"/>
      <c r="F14" s="51"/>
    </row>
    <row r="15" spans="1:11">
      <c r="A15" s="49"/>
      <c r="B15" s="49"/>
      <c r="E15" s="50"/>
      <c r="F15" s="51"/>
    </row>
    <row r="16" spans="1:11">
      <c r="A16" s="49"/>
      <c r="B16" s="49"/>
    </row>
    <row r="17" spans="1:2">
      <c r="A17" s="49"/>
      <c r="B17" s="49"/>
    </row>
    <row r="18" spans="1:2">
      <c r="A18" s="49"/>
      <c r="B18" s="4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E93"/>
  <sheetViews>
    <sheetView zoomScale="75" zoomScaleNormal="75" workbookViewId="0">
      <pane xSplit="12" ySplit="1" topLeftCell="AJ47" activePane="bottomRight" state="frozen"/>
      <selection pane="topRight" activeCell="M1" sqref="M1"/>
      <selection pane="bottomLeft" activeCell="A2" sqref="A2"/>
      <selection pane="bottomRight" activeCell="D77" sqref="D77"/>
    </sheetView>
  </sheetViews>
  <sheetFormatPr baseColWidth="10" defaultRowHeight="15"/>
  <cols>
    <col min="1" max="1" width="20.28515625" style="3" customWidth="1"/>
    <col min="2" max="2" width="29" style="3" customWidth="1"/>
    <col min="3" max="3" width="62.85546875" style="3" customWidth="1"/>
    <col min="4" max="4" width="11.42578125" style="52" customWidth="1"/>
    <col min="5" max="5" width="6.28515625" style="3" customWidth="1"/>
    <col min="6" max="12" width="8.140625" style="3" customWidth="1"/>
    <col min="13" max="13" width="13.28515625" style="7" customWidth="1"/>
    <col min="14" max="14" width="18.7109375" style="7" bestFit="1" customWidth="1"/>
    <col min="15" max="15" width="19.5703125" style="7" bestFit="1" customWidth="1"/>
    <col min="16" max="16" width="11.140625" style="7" bestFit="1" customWidth="1"/>
    <col min="17" max="17" width="13.42578125" style="7" bestFit="1" customWidth="1"/>
    <col min="18" max="18" width="10.5703125" style="7" bestFit="1" customWidth="1"/>
    <col min="19" max="19" width="11.7109375" style="25" bestFit="1" customWidth="1"/>
    <col min="20" max="20" width="11" style="7" bestFit="1" customWidth="1"/>
    <col min="21" max="22" width="11.42578125" style="7" bestFit="1" customWidth="1"/>
    <col min="23" max="25" width="11.42578125" style="10" customWidth="1"/>
    <col min="26" max="26" width="11.42578125" style="24"/>
    <col min="27" max="27" width="14.5703125" style="3" bestFit="1" customWidth="1"/>
    <col min="28" max="28" width="14.5703125" style="3" customWidth="1"/>
    <col min="29" max="29" width="12.42578125" style="3" bestFit="1" customWidth="1"/>
    <col min="30" max="30" width="13.5703125" style="3" bestFit="1" customWidth="1"/>
    <col min="31" max="32" width="8.7109375" style="3" customWidth="1"/>
    <col min="33" max="35" width="8.7109375" style="27" customWidth="1"/>
    <col min="36" max="36" width="7.7109375" style="24" bestFit="1" customWidth="1"/>
    <col min="37" max="41" width="8.140625" style="3" bestFit="1" customWidth="1"/>
    <col min="42" max="42" width="8.42578125" style="3" bestFit="1" customWidth="1"/>
    <col min="43" max="47" width="8.7109375" style="3" bestFit="1" customWidth="1"/>
    <col min="48" max="48" width="7.5703125" style="3" bestFit="1" customWidth="1"/>
    <col min="49" max="53" width="7.85546875" style="3" bestFit="1" customWidth="1"/>
    <col min="54" max="54" width="11.42578125" style="3"/>
    <col min="55" max="55" width="9.85546875" style="25" bestFit="1" customWidth="1"/>
    <col min="56" max="56" width="7.5703125" style="7" bestFit="1" customWidth="1"/>
    <col min="57" max="57" width="12.7109375" style="7" bestFit="1" customWidth="1"/>
    <col min="58" max="16384" width="11.42578125" style="3"/>
  </cols>
  <sheetData>
    <row r="1" spans="1:57" s="18" customFormat="1">
      <c r="A1" s="18" t="s">
        <v>60</v>
      </c>
      <c r="B1" s="329" t="s">
        <v>298</v>
      </c>
      <c r="C1" s="18" t="s">
        <v>297</v>
      </c>
      <c r="D1" s="330" t="s">
        <v>296</v>
      </c>
      <c r="E1" s="329" t="s">
        <v>295</v>
      </c>
      <c r="F1" s="18">
        <v>2011</v>
      </c>
      <c r="G1" s="18">
        <v>2012</v>
      </c>
      <c r="H1" s="18">
        <v>2013</v>
      </c>
      <c r="I1" s="18">
        <v>2014</v>
      </c>
      <c r="J1" s="18">
        <v>2015</v>
      </c>
      <c r="K1" s="18">
        <v>2016</v>
      </c>
      <c r="L1" s="329" t="s">
        <v>32</v>
      </c>
      <c r="M1" s="331" t="s">
        <v>303</v>
      </c>
      <c r="N1" s="331" t="s">
        <v>309</v>
      </c>
      <c r="O1" s="331" t="s">
        <v>308</v>
      </c>
      <c r="P1" s="331" t="s">
        <v>304</v>
      </c>
      <c r="Q1" s="331" t="s">
        <v>305</v>
      </c>
      <c r="R1" s="332" t="s">
        <v>365</v>
      </c>
      <c r="S1" s="333" t="s">
        <v>306</v>
      </c>
      <c r="T1" s="331" t="s">
        <v>310</v>
      </c>
      <c r="U1" s="331" t="s">
        <v>311</v>
      </c>
      <c r="V1" s="331" t="s">
        <v>326</v>
      </c>
      <c r="W1" s="334" t="s">
        <v>384</v>
      </c>
      <c r="X1" s="334" t="s">
        <v>385</v>
      </c>
      <c r="Y1" s="334" t="s">
        <v>386</v>
      </c>
      <c r="Z1" s="335" t="s">
        <v>345</v>
      </c>
      <c r="AA1" s="336" t="s">
        <v>361</v>
      </c>
      <c r="AB1" s="336" t="s">
        <v>362</v>
      </c>
      <c r="AC1" s="336" t="s">
        <v>363</v>
      </c>
      <c r="AD1" s="336" t="s">
        <v>364</v>
      </c>
      <c r="AE1" s="336" t="s">
        <v>347</v>
      </c>
      <c r="AF1" s="336" t="s">
        <v>348</v>
      </c>
      <c r="AG1" s="337" t="s">
        <v>346</v>
      </c>
      <c r="AH1" s="338" t="s">
        <v>407</v>
      </c>
      <c r="AI1" s="338" t="s">
        <v>408</v>
      </c>
      <c r="AJ1" s="335" t="s">
        <v>349</v>
      </c>
      <c r="AK1" s="335" t="s">
        <v>350</v>
      </c>
      <c r="AL1" s="335" t="s">
        <v>351</v>
      </c>
      <c r="AM1" s="335" t="s">
        <v>352</v>
      </c>
      <c r="AN1" s="335" t="s">
        <v>353</v>
      </c>
      <c r="AO1" s="335" t="s">
        <v>354</v>
      </c>
      <c r="AP1" s="335" t="s">
        <v>355</v>
      </c>
      <c r="AQ1" s="335" t="s">
        <v>356</v>
      </c>
      <c r="AR1" s="335" t="s">
        <v>357</v>
      </c>
      <c r="AS1" s="335" t="s">
        <v>358</v>
      </c>
      <c r="AT1" s="335" t="s">
        <v>359</v>
      </c>
      <c r="AU1" s="335" t="s">
        <v>360</v>
      </c>
      <c r="AV1" s="335" t="s">
        <v>373</v>
      </c>
      <c r="AW1" s="335" t="s">
        <v>374</v>
      </c>
      <c r="AX1" s="335" t="s">
        <v>375</v>
      </c>
      <c r="AY1" s="335" t="s">
        <v>376</v>
      </c>
      <c r="AZ1" s="335" t="s">
        <v>377</v>
      </c>
      <c r="BA1" s="335" t="s">
        <v>378</v>
      </c>
      <c r="BB1" s="335" t="s">
        <v>379</v>
      </c>
      <c r="BC1" s="333" t="s">
        <v>331</v>
      </c>
      <c r="BD1" s="331" t="s">
        <v>330</v>
      </c>
      <c r="BE1" s="331" t="s">
        <v>332</v>
      </c>
    </row>
    <row r="2" spans="1:57" ht="15" customHeight="1">
      <c r="A2" s="3" t="s">
        <v>338</v>
      </c>
      <c r="B2" s="3" t="s">
        <v>256</v>
      </c>
      <c r="C2" s="13" t="s">
        <v>294</v>
      </c>
      <c r="D2" s="52">
        <v>19100</v>
      </c>
      <c r="E2" s="9" t="s">
        <v>237</v>
      </c>
      <c r="F2" s="3">
        <v>0</v>
      </c>
      <c r="G2" s="3">
        <v>1</v>
      </c>
      <c r="H2" s="3">
        <v>0</v>
      </c>
      <c r="I2" s="3">
        <v>0</v>
      </c>
      <c r="J2" s="3">
        <v>0</v>
      </c>
      <c r="K2" s="3">
        <v>0</v>
      </c>
      <c r="L2" s="3">
        <f t="shared" ref="L2:L5" si="0">SUM(F2:K2)</f>
        <v>1</v>
      </c>
      <c r="M2" s="7">
        <f t="shared" ref="M2" si="1">0.1*D2</f>
        <v>1910</v>
      </c>
      <c r="Q2" s="7">
        <f>+M2</f>
        <v>1910</v>
      </c>
      <c r="S2" s="25" t="s">
        <v>320</v>
      </c>
      <c r="T2" s="7">
        <f>+Q2</f>
        <v>1910</v>
      </c>
      <c r="W2" s="27">
        <v>1.2</v>
      </c>
      <c r="X2" s="27"/>
      <c r="Y2" s="27"/>
      <c r="Z2" s="24">
        <f>+IF(M2&lt;&gt;0,D2/2,0)/1000</f>
        <v>9.5500000000000007</v>
      </c>
      <c r="AA2" s="3">
        <f>+(O2)/100</f>
        <v>0</v>
      </c>
      <c r="AB2" s="3">
        <f>+(N2/100)</f>
        <v>0</v>
      </c>
      <c r="AC2" s="21">
        <f t="shared" ref="AC2:AC9" si="2">+(1.6*SUM($O$2:$O$91)+2.6*SUM($N$2:$N$91))/SUM($N$2:$O$91)*Q2</f>
        <v>3290.8679589875455</v>
      </c>
      <c r="AD2" s="21">
        <f>2.6*R2</f>
        <v>0</v>
      </c>
      <c r="AE2" s="21"/>
      <c r="AF2" s="21"/>
      <c r="AG2" s="3">
        <f>+IF(AND(P2&lt;&gt;0,E2="m2"),+D2/2.5/1000,0)</f>
        <v>0</v>
      </c>
      <c r="AH2" s="21">
        <f>+(T2*W2+U2*X2+V2*Y2)/14</f>
        <v>163.71428571428572</v>
      </c>
      <c r="AI2" s="21"/>
      <c r="AJ2" s="24">
        <f>+IF(F2&lt;&gt;0,1,0)</f>
        <v>0</v>
      </c>
      <c r="AK2" s="3">
        <f>+IF(AJ2&gt;0,0,IF(G2&lt;&gt;0,1,0))</f>
        <v>1</v>
      </c>
      <c r="AL2" s="3">
        <f>+IF(AK2+AJ2&gt;0,0,IF(H2&lt;&gt;0,1,0))</f>
        <v>0</v>
      </c>
      <c r="AM2" s="3">
        <f>+IF(AK2+AJ2+AL2&gt;0,0,IF(I2&lt;&gt;0,1,0))</f>
        <v>0</v>
      </c>
      <c r="AN2" s="3">
        <f>+IF(+AJ2+AL2+AK2+AM2&gt;0,0,IF(J2&lt;&gt;0,1,0))</f>
        <v>0</v>
      </c>
      <c r="AO2" s="3">
        <f>+IF(+AJ2+AK2+AM2+AL2+AN2&gt;0,0,IF(K2&lt;&gt;0,1,0))</f>
        <v>0</v>
      </c>
      <c r="AP2" s="24"/>
    </row>
    <row r="3" spans="1:57" ht="15" customHeight="1">
      <c r="A3" s="3" t="s">
        <v>338</v>
      </c>
      <c r="B3" s="3" t="s">
        <v>256</v>
      </c>
      <c r="C3" s="17" t="s">
        <v>293</v>
      </c>
      <c r="D3" s="2">
        <v>7100</v>
      </c>
      <c r="E3" s="9" t="s">
        <v>260</v>
      </c>
      <c r="F3" s="3">
        <v>0</v>
      </c>
      <c r="G3" s="3">
        <v>5</v>
      </c>
      <c r="H3" s="3">
        <v>0</v>
      </c>
      <c r="I3" s="3">
        <v>0</v>
      </c>
      <c r="J3" s="3">
        <v>0</v>
      </c>
      <c r="K3" s="3">
        <v>0</v>
      </c>
      <c r="L3" s="3">
        <f t="shared" si="0"/>
        <v>5</v>
      </c>
      <c r="N3" s="7">
        <f>+Referencias_M.Tierras!C4</f>
        <v>14000</v>
      </c>
      <c r="O3" s="7">
        <f>+Referencias_M.Tierras!D4</f>
        <v>120000</v>
      </c>
      <c r="P3" s="7">
        <f>+Referencias_M.Tierras!E4+Referencias_M.Tierras!F4</f>
        <v>-42811</v>
      </c>
      <c r="Q3" s="7">
        <f>SUBTOTAL(9,N3:P3)</f>
        <v>91189</v>
      </c>
      <c r="S3" s="26" t="s">
        <v>320</v>
      </c>
      <c r="T3" s="7">
        <f>+Q3</f>
        <v>91189</v>
      </c>
      <c r="W3" s="27">
        <v>1.2</v>
      </c>
      <c r="X3" s="27"/>
      <c r="Y3" s="27"/>
      <c r="AA3" s="3">
        <f t="shared" ref="AA3:AA66" si="3">+(O3)/100</f>
        <v>1200</v>
      </c>
      <c r="AB3" s="3">
        <f t="shared" ref="AB3:AB66" si="4">+(N3/100)</f>
        <v>140</v>
      </c>
      <c r="AC3" s="21">
        <f t="shared" si="2"/>
        <v>157115.68498016507</v>
      </c>
      <c r="AD3" s="21">
        <f t="shared" ref="AD3:AD66" si="5">2.6*R3</f>
        <v>0</v>
      </c>
      <c r="AE3" s="21"/>
      <c r="AF3" s="21"/>
      <c r="AG3" s="3">
        <f>+D3*10/2.5*4/1000</f>
        <v>113.6</v>
      </c>
      <c r="AH3" s="21">
        <f t="shared" ref="AH3:AH65" si="6">+(T3*W3+U3*X3+V3*Y3)/14</f>
        <v>7816.2</v>
      </c>
      <c r="AI3" s="21"/>
      <c r="AJ3" s="24">
        <f t="shared" ref="AJ3:AJ6" si="7">+IF(F3&lt;&gt;0,1,0)</f>
        <v>0</v>
      </c>
      <c r="AK3" s="3">
        <f>+IF(AJ3&gt;0,0,IF(G3&lt;&gt;0,1,0))</f>
        <v>1</v>
      </c>
      <c r="AL3" s="3">
        <f>+IF(AK3+AJ3&gt;0,0,IF(H3&lt;&gt;0,1,0))</f>
        <v>0</v>
      </c>
      <c r="AM3" s="3">
        <f>+IF(AK3+AJ3+AL3&gt;0,0,IF(I3&lt;&gt;0,1,0))</f>
        <v>0</v>
      </c>
      <c r="AN3" s="3">
        <f>+IF(+AJ3+AL3+AK3+AM3&gt;0,0,IF(J3&lt;&gt;0,1,0))</f>
        <v>0</v>
      </c>
      <c r="AO3" s="3">
        <f>+IF(+AJ3+AK3+AM3+AL3+AN3&gt;0,0,IF(K3&lt;&gt;0,1,0))</f>
        <v>0</v>
      </c>
      <c r="AP3" s="3">
        <f t="shared" ref="AP3:AU3" si="8">+F3-AJ3</f>
        <v>0</v>
      </c>
      <c r="AQ3" s="3">
        <f t="shared" si="8"/>
        <v>4</v>
      </c>
      <c r="AR3" s="3">
        <f t="shared" si="8"/>
        <v>0</v>
      </c>
      <c r="AS3" s="3">
        <f t="shared" si="8"/>
        <v>0</v>
      </c>
      <c r="AT3" s="3">
        <f t="shared" si="8"/>
        <v>0</v>
      </c>
      <c r="AU3" s="3">
        <f t="shared" si="8"/>
        <v>0</v>
      </c>
    </row>
    <row r="4" spans="1:57" ht="15" customHeight="1">
      <c r="A4" s="3" t="s">
        <v>338</v>
      </c>
      <c r="B4" s="3" t="s">
        <v>256</v>
      </c>
      <c r="C4" s="13" t="s">
        <v>292</v>
      </c>
      <c r="D4" s="52">
        <v>18400</v>
      </c>
      <c r="E4" s="9" t="s">
        <v>237</v>
      </c>
      <c r="F4" s="3">
        <v>0</v>
      </c>
      <c r="G4" s="3">
        <v>1</v>
      </c>
      <c r="H4" s="3">
        <v>0</v>
      </c>
      <c r="I4" s="3">
        <v>0</v>
      </c>
      <c r="J4" s="3">
        <v>0</v>
      </c>
      <c r="K4" s="3">
        <v>0</v>
      </c>
      <c r="L4" s="3">
        <f t="shared" si="0"/>
        <v>1</v>
      </c>
      <c r="M4" s="7">
        <f>0.2*D4</f>
        <v>3680</v>
      </c>
      <c r="Q4" s="7">
        <f>+M4</f>
        <v>3680</v>
      </c>
      <c r="S4" s="25" t="s">
        <v>320</v>
      </c>
      <c r="T4" s="7">
        <f>+Q4</f>
        <v>3680</v>
      </c>
      <c r="W4" s="27">
        <v>0</v>
      </c>
      <c r="X4" s="27"/>
      <c r="Y4" s="27"/>
      <c r="Z4" s="24">
        <f>+IF(M4&lt;&gt;0,D4/2,0)/1000</f>
        <v>9.1999999999999993</v>
      </c>
      <c r="AA4" s="3">
        <f t="shared" si="3"/>
        <v>0</v>
      </c>
      <c r="AB4" s="3">
        <f t="shared" si="4"/>
        <v>0</v>
      </c>
      <c r="AC4" s="21">
        <f t="shared" si="2"/>
        <v>6340.5204654838572</v>
      </c>
      <c r="AD4" s="21">
        <f t="shared" si="5"/>
        <v>0</v>
      </c>
      <c r="AE4" s="21"/>
      <c r="AF4" s="21"/>
      <c r="AG4" s="3"/>
      <c r="AH4" s="21">
        <f t="shared" si="6"/>
        <v>0</v>
      </c>
      <c r="AI4" s="21"/>
      <c r="AJ4" s="24">
        <f t="shared" si="7"/>
        <v>0</v>
      </c>
      <c r="AK4" s="3">
        <f>+IF(AJ4&gt;0,0,IF(G4&lt;&gt;0,1,0))</f>
        <v>1</v>
      </c>
      <c r="AL4" s="3">
        <f>+IF(AK4+AJ4&gt;0,0,IF(H4&lt;&gt;0,1,0))</f>
        <v>0</v>
      </c>
      <c r="AM4" s="3">
        <f>+IF(AK4+AJ4+AL4&gt;0,0,IF(I4&lt;&gt;0,1,0))</f>
        <v>0</v>
      </c>
      <c r="AN4" s="3">
        <f>+IF(+AJ4+AL4+AK4+AM4&gt;0,0,IF(J4&lt;&gt;0,1,0))</f>
        <v>0</v>
      </c>
      <c r="AO4" s="3">
        <f>+IF(+AJ4+AK4+AM4+AL4+AN4&gt;0,0,IF(K4&lt;&gt;0,1,0))</f>
        <v>0</v>
      </c>
    </row>
    <row r="5" spans="1:57">
      <c r="A5" s="3" t="s">
        <v>338</v>
      </c>
      <c r="B5" s="3" t="s">
        <v>247</v>
      </c>
      <c r="C5" s="13" t="s">
        <v>291</v>
      </c>
      <c r="D5" s="52">
        <v>4654.9114502067187</v>
      </c>
      <c r="E5" s="9" t="s">
        <v>260</v>
      </c>
      <c r="F5" s="3">
        <v>0</v>
      </c>
      <c r="G5" s="3">
        <v>1</v>
      </c>
      <c r="H5" s="3">
        <v>12</v>
      </c>
      <c r="I5" s="3">
        <v>12</v>
      </c>
      <c r="J5" s="3">
        <v>12</v>
      </c>
      <c r="K5" s="3">
        <v>6</v>
      </c>
      <c r="L5" s="3">
        <f t="shared" si="0"/>
        <v>43</v>
      </c>
      <c r="R5" s="7">
        <f>+Referencias_M.Tierras!H5</f>
        <v>107765</v>
      </c>
      <c r="S5" s="25" t="s">
        <v>320</v>
      </c>
      <c r="T5" s="7">
        <f>+R5</f>
        <v>107765</v>
      </c>
      <c r="W5" s="27">
        <v>0</v>
      </c>
      <c r="X5" s="27"/>
      <c r="Y5" s="27"/>
      <c r="AA5" s="3">
        <f t="shared" si="3"/>
        <v>0</v>
      </c>
      <c r="AB5" s="3">
        <f t="shared" si="4"/>
        <v>0</v>
      </c>
      <c r="AC5" s="21">
        <f t="shared" si="2"/>
        <v>0</v>
      </c>
      <c r="AD5" s="21">
        <f t="shared" si="5"/>
        <v>280189</v>
      </c>
      <c r="AE5" s="21">
        <f>+R5/51.2</f>
        <v>2104.78515625</v>
      </c>
      <c r="AF5" s="21"/>
      <c r="AG5" s="3"/>
      <c r="AH5" s="21">
        <f t="shared" si="6"/>
        <v>0</v>
      </c>
      <c r="AI5" s="21"/>
      <c r="AJ5" s="24">
        <f t="shared" si="7"/>
        <v>0</v>
      </c>
      <c r="AK5" s="3">
        <f t="shared" ref="AK5:AK6" si="9">+IF(AJ5&gt;0,0,IF(G5&lt;&gt;0,1,0))</f>
        <v>1</v>
      </c>
      <c r="AL5" s="3">
        <f t="shared" ref="AL5:AL6" si="10">+IF(AK5+AJ5&gt;0,0,IF(H5&lt;&gt;0,1,0))</f>
        <v>0</v>
      </c>
      <c r="AM5" s="3">
        <f t="shared" ref="AM5:AM6" si="11">+IF(AK5+AJ5+AL5&gt;0,0,IF(I5&lt;&gt;0,1,0))</f>
        <v>0</v>
      </c>
      <c r="AN5" s="3">
        <f t="shared" ref="AN5:AN6" si="12">+IF(+AJ5+AL5+AK5+AM5&gt;0,0,IF(J5&lt;&gt;0,1,0))</f>
        <v>0</v>
      </c>
      <c r="AO5" s="3">
        <f t="shared" ref="AO5:AO6" si="13">+IF(+AJ5+AK5+AM5+AL5+AN5&gt;0,0,IF(K5&lt;&gt;0,1,0))</f>
        <v>0</v>
      </c>
      <c r="AP5" s="3">
        <f>+F5-AJ5</f>
        <v>0</v>
      </c>
      <c r="AQ5" s="3">
        <f t="shared" ref="AQ5:AU6" si="14">+G5-AK5</f>
        <v>0</v>
      </c>
      <c r="AR5" s="3">
        <f t="shared" si="14"/>
        <v>12</v>
      </c>
      <c r="AS5" s="3">
        <f t="shared" si="14"/>
        <v>12</v>
      </c>
      <c r="AT5" s="3">
        <f t="shared" si="14"/>
        <v>12</v>
      </c>
      <c r="AU5" s="3">
        <f t="shared" si="14"/>
        <v>6</v>
      </c>
    </row>
    <row r="6" spans="1:57" ht="15" customHeight="1">
      <c r="A6" s="3" t="s">
        <v>338</v>
      </c>
      <c r="B6" s="3" t="s">
        <v>247</v>
      </c>
      <c r="C6" s="13" t="s">
        <v>290</v>
      </c>
      <c r="D6" s="52">
        <v>230000</v>
      </c>
      <c r="E6" s="9" t="s">
        <v>224</v>
      </c>
      <c r="F6" s="3">
        <v>0</v>
      </c>
      <c r="G6" s="3">
        <v>2</v>
      </c>
      <c r="H6" s="3">
        <v>12</v>
      </c>
      <c r="I6" s="3">
        <v>12</v>
      </c>
      <c r="J6" s="3">
        <v>12</v>
      </c>
      <c r="K6" s="3">
        <v>6</v>
      </c>
      <c r="L6" s="3">
        <f>SUM(F6:K6)</f>
        <v>44</v>
      </c>
      <c r="P6" s="7">
        <f>-T2-T3-T4-T5-T7-T8-T9</f>
        <v>-248833</v>
      </c>
      <c r="W6" s="7"/>
      <c r="X6" s="7"/>
      <c r="Y6" s="7"/>
      <c r="AA6" s="3">
        <f t="shared" si="3"/>
        <v>0</v>
      </c>
      <c r="AB6" s="3">
        <f t="shared" si="4"/>
        <v>0</v>
      </c>
      <c r="AC6" s="21">
        <f t="shared" si="2"/>
        <v>0</v>
      </c>
      <c r="AD6" s="21">
        <f t="shared" si="5"/>
        <v>0</v>
      </c>
      <c r="AE6" s="21"/>
      <c r="AF6" s="21"/>
      <c r="AG6" s="27">
        <f>-P6/(Referencias_Dimensiones!C3*10000)/0.5*(Referencias_Dimensiones!C3*10000)*8/2.5/1000</f>
        <v>1592.5311999999999</v>
      </c>
      <c r="AH6" s="21">
        <f t="shared" si="6"/>
        <v>0</v>
      </c>
      <c r="AI6" s="21"/>
      <c r="AJ6" s="24">
        <f t="shared" si="7"/>
        <v>0</v>
      </c>
      <c r="AK6" s="3">
        <f t="shared" si="9"/>
        <v>1</v>
      </c>
      <c r="AL6" s="3">
        <f t="shared" si="10"/>
        <v>0</v>
      </c>
      <c r="AM6" s="3">
        <f t="shared" si="11"/>
        <v>0</v>
      </c>
      <c r="AN6" s="3">
        <f t="shared" si="12"/>
        <v>0</v>
      </c>
      <c r="AO6" s="3">
        <f t="shared" si="13"/>
        <v>0</v>
      </c>
      <c r="AP6" s="3">
        <f>+F6-AJ6</f>
        <v>0</v>
      </c>
      <c r="AQ6" s="3">
        <f t="shared" si="14"/>
        <v>1</v>
      </c>
      <c r="AR6" s="3">
        <f t="shared" si="14"/>
        <v>12</v>
      </c>
      <c r="AS6" s="3">
        <f t="shared" si="14"/>
        <v>12</v>
      </c>
      <c r="AT6" s="3">
        <f t="shared" si="14"/>
        <v>12</v>
      </c>
      <c r="AU6" s="3">
        <f t="shared" si="14"/>
        <v>6</v>
      </c>
    </row>
    <row r="7" spans="1:57" ht="15" customHeight="1">
      <c r="A7" s="3" t="s">
        <v>338</v>
      </c>
      <c r="B7" s="18" t="s">
        <v>223</v>
      </c>
      <c r="C7" s="17" t="s">
        <v>16</v>
      </c>
      <c r="D7" s="52">
        <f>+Referencias_M.Tierras!C45*10000</f>
        <v>17200</v>
      </c>
      <c r="E7" s="9" t="s">
        <v>237</v>
      </c>
      <c r="F7" s="3">
        <v>0</v>
      </c>
      <c r="G7" s="3">
        <v>0</v>
      </c>
      <c r="H7" s="3">
        <v>3</v>
      </c>
      <c r="I7" s="3">
        <v>7</v>
      </c>
      <c r="J7" s="3">
        <v>7</v>
      </c>
      <c r="K7" s="3">
        <v>4</v>
      </c>
      <c r="L7" s="3">
        <f>SUM(F7:K7)</f>
        <v>21</v>
      </c>
      <c r="M7" s="7">
        <f>+Referencias_M.Tierras!D45</f>
        <v>2640</v>
      </c>
      <c r="O7" s="7">
        <f>+Referencias_M.Tierras!E45</f>
        <v>44500</v>
      </c>
      <c r="P7" s="7">
        <f>-Referencias_M.Tierras!F45</f>
        <v>-17800</v>
      </c>
      <c r="Q7" s="7">
        <f>+Referencias_M.Tierras!G45</f>
        <v>31150</v>
      </c>
      <c r="S7" s="25" t="s">
        <v>320</v>
      </c>
      <c r="T7" s="7">
        <f>+Q7</f>
        <v>31150</v>
      </c>
      <c r="W7" s="27">
        <v>2</v>
      </c>
      <c r="X7" s="27"/>
      <c r="Y7" s="27"/>
      <c r="Z7" s="24">
        <f t="shared" ref="Z7:Z9" si="15">+IF(M7&lt;&gt;0,D7/2,0)/1000</f>
        <v>8.6</v>
      </c>
      <c r="AA7" s="3">
        <f t="shared" si="3"/>
        <v>445</v>
      </c>
      <c r="AB7" s="3">
        <f t="shared" si="4"/>
        <v>0</v>
      </c>
      <c r="AC7" s="21">
        <f t="shared" si="2"/>
        <v>53670.438179299497</v>
      </c>
      <c r="AD7" s="21">
        <f t="shared" si="5"/>
        <v>0</v>
      </c>
      <c r="AE7" s="21"/>
      <c r="AF7" s="21"/>
      <c r="AG7" s="3">
        <f>+D7/2.5*3/1000</f>
        <v>20.64</v>
      </c>
      <c r="AH7" s="21">
        <f>+(T7*W7+U7*X7+V7*Y7)/14</f>
        <v>4450</v>
      </c>
      <c r="AI7" s="21"/>
      <c r="AJ7" s="24">
        <f t="shared" ref="AJ7:AJ15" si="16">+IF(F7&lt;&gt;0,1,0)</f>
        <v>0</v>
      </c>
      <c r="AK7" s="3">
        <f>+IF(AJ7&gt;0,0,IF(G7&lt;&gt;0,1,0))</f>
        <v>0</v>
      </c>
      <c r="AL7" s="3">
        <f>+IF(AK7+AJ7&gt;0,0,IF(H7&lt;&gt;0,1,0))</f>
        <v>1</v>
      </c>
      <c r="AM7" s="3">
        <f>+IF(AK7+AJ7+AL7&gt;0,0,IF(I7&lt;&gt;0,1,0))</f>
        <v>0</v>
      </c>
      <c r="AN7" s="3">
        <f>+IF(+AJ7+AL7+AK7+AM7&gt;0,0,IF(J7&lt;&gt;0,1,0))</f>
        <v>0</v>
      </c>
      <c r="AO7" s="3">
        <f>+IF(+AJ7+AK7+AM7+AL7+AN7&gt;0,0,IF(K7&lt;&gt;0,1,0))</f>
        <v>0</v>
      </c>
      <c r="AP7" s="3">
        <f>+F7-AJ7</f>
        <v>0</v>
      </c>
      <c r="AQ7" s="3">
        <f t="shared" ref="AQ7:AU7" si="17">+G7-AK7</f>
        <v>0</v>
      </c>
      <c r="AR7" s="3">
        <f t="shared" si="17"/>
        <v>2</v>
      </c>
      <c r="AS7" s="3">
        <f t="shared" si="17"/>
        <v>7</v>
      </c>
      <c r="AT7" s="3">
        <f t="shared" si="17"/>
        <v>7</v>
      </c>
      <c r="AU7" s="3">
        <f t="shared" si="17"/>
        <v>4</v>
      </c>
      <c r="AV7" s="3">
        <f>+F7-AJ7-AP7</f>
        <v>0</v>
      </c>
      <c r="AW7" s="3">
        <f t="shared" ref="AV7:BA9" si="18">+G7-AK7-AQ7</f>
        <v>0</v>
      </c>
      <c r="AX7" s="3">
        <f t="shared" si="18"/>
        <v>0</v>
      </c>
      <c r="AY7" s="3">
        <f t="shared" si="18"/>
        <v>0</v>
      </c>
      <c r="AZ7" s="3">
        <f t="shared" si="18"/>
        <v>0</v>
      </c>
      <c r="BA7" s="3">
        <f t="shared" si="18"/>
        <v>0</v>
      </c>
      <c r="BB7" s="3">
        <f>SUBTOTAL(9,AV7:BA7)</f>
        <v>0</v>
      </c>
      <c r="BC7" s="25">
        <f>+Referencias_Otros!$I$4*'Base de Datos Obras'!D7/('Base de Datos Obras'!$D$7+'Base de Datos Obras'!$D$8+'Base de Datos Obras'!$D$9)</f>
        <v>8031.1284046692608</v>
      </c>
      <c r="BD7" s="7">
        <f>+Referencias_Otros!$I$5*'Base de Datos Obras'!D7/('Base de Datos Obras'!$D$7+'Base de Datos Obras'!$D$8+'Base de Datos Obras'!$D$9)</f>
        <v>0</v>
      </c>
      <c r="BE7" s="7">
        <f>+(Referencias_Otros!$I$11-Referencias_Otros!$I$4-Referencias_Otros!$I$5)*'Base de Datos Obras'!D7/('Base de Datos Obras'!$D$7+'Base de Datos Obras'!$D$8+'Base de Datos Obras'!$D$9)</f>
        <v>5789.1050583657589</v>
      </c>
    </row>
    <row r="8" spans="1:57" ht="15" customHeight="1">
      <c r="A8" s="3" t="s">
        <v>338</v>
      </c>
      <c r="B8" s="18" t="s">
        <v>223</v>
      </c>
      <c r="C8" s="13" t="s">
        <v>289</v>
      </c>
      <c r="D8" s="52">
        <v>4000</v>
      </c>
      <c r="E8" s="3" t="s">
        <v>237</v>
      </c>
      <c r="F8" s="3">
        <v>0</v>
      </c>
      <c r="G8" s="3">
        <v>0</v>
      </c>
      <c r="H8" s="3">
        <v>3</v>
      </c>
      <c r="I8" s="3">
        <v>7</v>
      </c>
      <c r="J8" s="3">
        <v>7</v>
      </c>
      <c r="K8" s="3">
        <v>4</v>
      </c>
      <c r="L8" s="3">
        <f t="shared" ref="L8:L71" si="19">SUM(F8:K8)</f>
        <v>21</v>
      </c>
      <c r="M8" s="7">
        <f>+Referencias_M.Tierras!D41+Referencias_M.Tierras!D42+Referencias_M.Tierras!D43+Referencias_M.Tierras!D40</f>
        <v>220</v>
      </c>
      <c r="O8" s="7">
        <f>+Referencias_M.Tierras!E41+Referencias_M.Tierras!E42+Referencias_M.Tierras!E43+Referencias_M.Tierras!E40</f>
        <v>5046</v>
      </c>
      <c r="P8" s="7">
        <f>-(+Referencias_M.Tierras!F41+Referencias_M.Tierras!F42+Referencias_M.Tierras!F43+Referencias_M.Tierras!F40)</f>
        <v>-1213</v>
      </c>
      <c r="Q8" s="7">
        <f>(+Referencias_M.Tierras!G41+Referencias_M.Tierras!G42+Referencias_M.Tierras!G43+Referencias_M.Tierras!G40)</f>
        <v>4339</v>
      </c>
      <c r="S8" s="25" t="s">
        <v>320</v>
      </c>
      <c r="T8" s="7">
        <f t="shared" ref="T8:T9" si="20">+Q8</f>
        <v>4339</v>
      </c>
      <c r="W8" s="27">
        <v>2</v>
      </c>
      <c r="X8" s="27"/>
      <c r="Y8" s="27"/>
      <c r="Z8" s="24">
        <f t="shared" si="15"/>
        <v>2</v>
      </c>
      <c r="AA8" s="3">
        <f t="shared" si="3"/>
        <v>50.46</v>
      </c>
      <c r="AB8" s="3">
        <f t="shared" si="4"/>
        <v>0</v>
      </c>
      <c r="AC8" s="21">
        <f t="shared" si="2"/>
        <v>7475.9560597104501</v>
      </c>
      <c r="AD8" s="21">
        <f t="shared" si="5"/>
        <v>0</v>
      </c>
      <c r="AE8" s="21"/>
      <c r="AF8" s="21"/>
      <c r="AG8" s="3">
        <f>+D8/2.5*3/1000</f>
        <v>4.8</v>
      </c>
      <c r="AH8" s="21">
        <f t="shared" si="6"/>
        <v>619.85714285714289</v>
      </c>
      <c r="AI8" s="21"/>
      <c r="AJ8" s="24">
        <f>+IF(F8&lt;&gt;0,1,0)</f>
        <v>0</v>
      </c>
      <c r="AK8" s="3">
        <f>+IF(AJ8&gt;0,0,IF(G8&lt;&gt;0,1,0))</f>
        <v>0</v>
      </c>
      <c r="AL8" s="3">
        <f>+IF(AK8+AJ8&gt;0,0,IF(H8&lt;&gt;0,1,0))</f>
        <v>1</v>
      </c>
      <c r="AM8" s="3">
        <f>+IF(AK8+AJ8+AL8&gt;0,0,IF(I8&lt;&gt;0,1,0))</f>
        <v>0</v>
      </c>
      <c r="AN8" s="3">
        <f>+IF(+AJ8+AL8+AK8+AM8&gt;0,0,IF(J8&lt;&gt;0,1,0))</f>
        <v>0</v>
      </c>
      <c r="AO8" s="3">
        <f>+IF(+AJ8+AK8+AM8+AL8+AN8&gt;0,0,IF(K8&lt;&gt;0,1,0))</f>
        <v>0</v>
      </c>
      <c r="AP8" s="3">
        <f>+AJ8</f>
        <v>0</v>
      </c>
      <c r="AQ8" s="3">
        <f>+AK8</f>
        <v>0</v>
      </c>
      <c r="AR8" s="3">
        <f t="shared" ref="AR8:AU8" si="21">+AL8</f>
        <v>1</v>
      </c>
      <c r="AS8" s="3">
        <f t="shared" si="21"/>
        <v>0</v>
      </c>
      <c r="AT8" s="3">
        <f t="shared" si="21"/>
        <v>0</v>
      </c>
      <c r="AU8" s="3">
        <f t="shared" si="21"/>
        <v>0</v>
      </c>
      <c r="AV8" s="3">
        <f t="shared" si="18"/>
        <v>0</v>
      </c>
      <c r="AW8" s="3">
        <f t="shared" si="18"/>
        <v>0</v>
      </c>
      <c r="AX8" s="3">
        <f t="shared" si="18"/>
        <v>1</v>
      </c>
      <c r="AY8" s="3">
        <f t="shared" si="18"/>
        <v>7</v>
      </c>
      <c r="AZ8" s="3">
        <f t="shared" si="18"/>
        <v>7</v>
      </c>
      <c r="BA8" s="3">
        <f t="shared" si="18"/>
        <v>4</v>
      </c>
      <c r="BB8" s="3">
        <f>SUBTOTAL(9,AV8:BA8)</f>
        <v>19</v>
      </c>
      <c r="BC8" s="25">
        <f>+Referencias_Otros!$I$4*'Base de Datos Obras'!D8/('Base de Datos Obras'!$D$7+'Base de Datos Obras'!$D$8+'Base de Datos Obras'!$D$9)</f>
        <v>1867.704280155642</v>
      </c>
      <c r="BD8" s="7">
        <f>+Referencias_Otros!$I$5*'Base de Datos Obras'!D8/('Base de Datos Obras'!$D$7+'Base de Datos Obras'!$D$8+'Base de Datos Obras'!$D$9)</f>
        <v>0</v>
      </c>
      <c r="BE8" s="7">
        <f>+(Referencias_Otros!$I$11-Referencias_Otros!$I$4-Referencias_Otros!$I$5)*'Base de Datos Obras'!D8/('Base de Datos Obras'!$D$7+'Base de Datos Obras'!$D$8+'Base de Datos Obras'!$D$9)</f>
        <v>1346.3035019455253</v>
      </c>
    </row>
    <row r="9" spans="1:57" ht="15" customHeight="1">
      <c r="A9" s="3" t="s">
        <v>338</v>
      </c>
      <c r="B9" s="18" t="s">
        <v>223</v>
      </c>
      <c r="C9" s="13" t="s">
        <v>15</v>
      </c>
      <c r="D9" s="52">
        <f>+Referencias_M.Tierras!C44*10000</f>
        <v>4500</v>
      </c>
      <c r="E9" s="3" t="s">
        <v>237</v>
      </c>
      <c r="F9" s="3">
        <v>0</v>
      </c>
      <c r="G9" s="3">
        <v>0</v>
      </c>
      <c r="H9" s="3">
        <v>3</v>
      </c>
      <c r="I9" s="3">
        <v>7</v>
      </c>
      <c r="J9" s="3">
        <v>7</v>
      </c>
      <c r="K9" s="3">
        <v>4</v>
      </c>
      <c r="L9" s="3">
        <f t="shared" si="19"/>
        <v>21</v>
      </c>
      <c r="M9" s="7">
        <f>+Referencias_M.Tierras!D44</f>
        <v>510</v>
      </c>
      <c r="O9" s="7">
        <f>+Referencias_M.Tierras!E44</f>
        <v>11000</v>
      </c>
      <c r="P9" s="7">
        <f>-Referencias_M.Tierras!F44</f>
        <v>-3300</v>
      </c>
      <c r="Q9" s="7">
        <f>+Referencias_M.Tierras!G44</f>
        <v>8800</v>
      </c>
      <c r="S9" s="25" t="s">
        <v>320</v>
      </c>
      <c r="T9" s="7">
        <f t="shared" si="20"/>
        <v>8800</v>
      </c>
      <c r="W9" s="27">
        <v>0.75</v>
      </c>
      <c r="X9" s="27"/>
      <c r="Y9" s="27"/>
      <c r="Z9" s="24">
        <f t="shared" si="15"/>
        <v>2.25</v>
      </c>
      <c r="AA9" s="3">
        <f t="shared" si="3"/>
        <v>110</v>
      </c>
      <c r="AB9" s="3">
        <f t="shared" si="4"/>
        <v>0</v>
      </c>
      <c r="AC9" s="21">
        <f t="shared" si="2"/>
        <v>15162.114156591833</v>
      </c>
      <c r="AD9" s="21">
        <f t="shared" si="5"/>
        <v>0</v>
      </c>
      <c r="AE9" s="21"/>
      <c r="AF9" s="21"/>
      <c r="AG9" s="3">
        <f>+D9/2.5*3/1000</f>
        <v>5.4</v>
      </c>
      <c r="AH9" s="21">
        <f t="shared" si="6"/>
        <v>471.42857142857144</v>
      </c>
      <c r="AI9" s="21"/>
      <c r="AJ9" s="24">
        <f t="shared" si="16"/>
        <v>0</v>
      </c>
      <c r="AK9" s="3">
        <f>+IF(AJ9&gt;0,0,IF(G9&lt;&gt;0,1,0))</f>
        <v>0</v>
      </c>
      <c r="AL9" s="3">
        <f>+IF(AK9+AJ9&gt;0,0,IF(H9&lt;&gt;0,1,0))</f>
        <v>1</v>
      </c>
      <c r="AM9" s="3">
        <f>+IF(AK9+AJ9+AL9&gt;0,0,IF(I9&lt;&gt;0,1,0))</f>
        <v>0</v>
      </c>
      <c r="AN9" s="3">
        <f>+IF(+AJ9+AL9+AK9+AM9&gt;0,0,IF(J9&lt;&gt;0,1,0))</f>
        <v>0</v>
      </c>
      <c r="AO9" s="3">
        <f>+IF(+AJ9+AK9+AM9+AL9+AN9&gt;0,0,IF(K9&lt;&gt;0,1,0))</f>
        <v>0</v>
      </c>
      <c r="AP9" s="3">
        <f>+AJ9</f>
        <v>0</v>
      </c>
      <c r="AQ9" s="3">
        <f t="shared" ref="AQ9" si="22">+AK9</f>
        <v>0</v>
      </c>
      <c r="AR9" s="3">
        <f t="shared" ref="AR9" si="23">+AL9</f>
        <v>1</v>
      </c>
      <c r="AS9" s="3">
        <f t="shared" ref="AS9" si="24">+AM9</f>
        <v>0</v>
      </c>
      <c r="AT9" s="3">
        <f t="shared" ref="AT9" si="25">+AN9</f>
        <v>0</v>
      </c>
      <c r="AU9" s="3">
        <f t="shared" ref="AU9" si="26">+AO9</f>
        <v>0</v>
      </c>
      <c r="AV9" s="3">
        <f t="shared" si="18"/>
        <v>0</v>
      </c>
      <c r="AW9" s="3">
        <f t="shared" si="18"/>
        <v>0</v>
      </c>
      <c r="AX9" s="3">
        <f t="shared" si="18"/>
        <v>1</v>
      </c>
      <c r="AY9" s="3">
        <f t="shared" si="18"/>
        <v>7</v>
      </c>
      <c r="AZ9" s="3">
        <f t="shared" si="18"/>
        <v>7</v>
      </c>
      <c r="BA9" s="3">
        <f t="shared" si="18"/>
        <v>4</v>
      </c>
      <c r="BB9" s="3">
        <f>SUBTOTAL(9,AV9:BA9)</f>
        <v>19</v>
      </c>
      <c r="BC9" s="25">
        <f>+Referencias_Otros!$I$4*'Base de Datos Obras'!D9/('Base de Datos Obras'!$D$7+'Base de Datos Obras'!$D$8+'Base de Datos Obras'!$D$9)</f>
        <v>2101.1673151750974</v>
      </c>
      <c r="BD9" s="7">
        <f>+Referencias_Otros!$I$5*'Base de Datos Obras'!D9/('Base de Datos Obras'!$D$7+'Base de Datos Obras'!$D$8+'Base de Datos Obras'!$D$9)</f>
        <v>0</v>
      </c>
      <c r="BE9" s="7">
        <f>+(Referencias_Otros!$I$11-Referencias_Otros!$I$4-Referencias_Otros!$I$5)*'Base de Datos Obras'!D9/('Base de Datos Obras'!$D$7+'Base de Datos Obras'!$D$8+'Base de Datos Obras'!$D$9)</f>
        <v>1514.591439688716</v>
      </c>
    </row>
    <row r="10" spans="1:57" ht="15" customHeight="1">
      <c r="A10" s="3" t="s">
        <v>338</v>
      </c>
      <c r="B10" s="18" t="s">
        <v>223</v>
      </c>
      <c r="C10" s="17" t="s">
        <v>422</v>
      </c>
      <c r="D10" s="52">
        <v>3000</v>
      </c>
      <c r="E10" s="9" t="s">
        <v>237</v>
      </c>
      <c r="F10" s="3">
        <v>0</v>
      </c>
      <c r="G10" s="3">
        <v>0</v>
      </c>
      <c r="H10" s="3">
        <v>3</v>
      </c>
      <c r="I10" s="3">
        <v>7</v>
      </c>
      <c r="J10" s="3">
        <v>7</v>
      </c>
      <c r="K10" s="3">
        <v>4</v>
      </c>
      <c r="L10" s="3">
        <f t="shared" ref="L10" si="27">SUM(F10:K10)</f>
        <v>21</v>
      </c>
      <c r="W10" s="27"/>
      <c r="X10" s="27"/>
      <c r="Y10" s="27"/>
      <c r="AC10" s="21"/>
      <c r="AD10" s="21"/>
      <c r="AE10" s="21"/>
      <c r="AF10" s="21"/>
      <c r="AG10" s="3"/>
      <c r="AH10" s="21"/>
      <c r="AI10" s="21"/>
    </row>
    <row r="11" spans="1:57" ht="15" customHeight="1">
      <c r="A11" s="3" t="s">
        <v>339</v>
      </c>
      <c r="B11" s="3" t="s">
        <v>256</v>
      </c>
      <c r="C11" s="13" t="s">
        <v>288</v>
      </c>
      <c r="D11" s="52">
        <v>21900</v>
      </c>
      <c r="E11" s="9" t="s">
        <v>237</v>
      </c>
      <c r="F11" s="3">
        <v>0</v>
      </c>
      <c r="G11" s="3">
        <v>3</v>
      </c>
      <c r="H11" s="3">
        <v>1</v>
      </c>
      <c r="I11" s="3">
        <v>0</v>
      </c>
      <c r="J11" s="3">
        <v>0</v>
      </c>
      <c r="K11" s="3">
        <v>0</v>
      </c>
      <c r="L11" s="3">
        <f t="shared" si="19"/>
        <v>4</v>
      </c>
      <c r="M11" s="7">
        <f t="shared" ref="M11" si="28">0.1*D11</f>
        <v>2190</v>
      </c>
      <c r="Q11" s="7">
        <f>+M11</f>
        <v>2190</v>
      </c>
      <c r="S11" s="26" t="s">
        <v>333</v>
      </c>
      <c r="T11" s="7">
        <f>+Q11</f>
        <v>2190</v>
      </c>
      <c r="W11" s="10">
        <v>0.5</v>
      </c>
      <c r="Z11" s="24">
        <f>+IF(M11&lt;&gt;0,D11/2,0)/1000</f>
        <v>10.95</v>
      </c>
      <c r="AA11" s="3">
        <f t="shared" si="3"/>
        <v>0</v>
      </c>
      <c r="AB11" s="3">
        <f t="shared" si="4"/>
        <v>0</v>
      </c>
      <c r="AC11" s="21">
        <f t="shared" ref="AC11:AC27" si="29">+(1.6*SUM($O$2:$O$91)+2.6*SUM($N$2:$N$91))/SUM($N$2:$O$91)*Q11</f>
        <v>3773.2988639700129</v>
      </c>
      <c r="AD11" s="21">
        <f t="shared" si="5"/>
        <v>0</v>
      </c>
      <c r="AE11" s="21"/>
      <c r="AF11" s="21"/>
      <c r="AG11" s="3"/>
      <c r="AH11" s="21">
        <f t="shared" si="6"/>
        <v>78.214285714285708</v>
      </c>
      <c r="AI11" s="21"/>
      <c r="AJ11" s="24">
        <f t="shared" si="16"/>
        <v>0</v>
      </c>
      <c r="AK11" s="3">
        <f>+IF(AJ11&gt;0,0,IF(G11&lt;&gt;0,1,0))</f>
        <v>1</v>
      </c>
      <c r="AL11" s="3">
        <f>+IF(AK11+AJ11&gt;0,0,IF(H11&lt;&gt;0,1,0))</f>
        <v>0</v>
      </c>
      <c r="AM11" s="3">
        <f>+IF(AK11+AJ11+AL11&gt;0,0,IF(I11&lt;&gt;0,1,0))</f>
        <v>0</v>
      </c>
      <c r="AN11" s="3">
        <f>+IF(+AJ11+AL11+AK11+AM11&gt;0,0,IF(J11&lt;&gt;0,1,0))</f>
        <v>0</v>
      </c>
      <c r="AO11" s="3">
        <f>+IF(+AJ11+AK11+AM11+AL11+AN11&gt;0,0,IF(K11&lt;&gt;0,1,0))</f>
        <v>0</v>
      </c>
    </row>
    <row r="12" spans="1:57" ht="15" customHeight="1">
      <c r="A12" s="3" t="s">
        <v>339</v>
      </c>
      <c r="B12" s="3" t="s">
        <v>256</v>
      </c>
      <c r="C12" s="19" t="s">
        <v>287</v>
      </c>
      <c r="D12" s="52">
        <v>4200</v>
      </c>
      <c r="E12" s="9" t="s">
        <v>260</v>
      </c>
      <c r="F12" s="3">
        <v>0</v>
      </c>
      <c r="G12" s="3">
        <v>3</v>
      </c>
      <c r="H12" s="3">
        <v>0</v>
      </c>
      <c r="I12" s="3">
        <v>0</v>
      </c>
      <c r="J12" s="3">
        <v>0</v>
      </c>
      <c r="K12" s="3">
        <v>0</v>
      </c>
      <c r="L12" s="3">
        <f t="shared" si="19"/>
        <v>3</v>
      </c>
      <c r="N12" s="7">
        <f>+Referencias_M.Tierras!C8</f>
        <v>10000</v>
      </c>
      <c r="O12" s="7">
        <f>+Referencias_M.Tierras!D8</f>
        <v>90000</v>
      </c>
      <c r="P12" s="7">
        <f>+Referencias_M.Tierras!E8+Referencias_M.Tierras!F8</f>
        <v>-47900</v>
      </c>
      <c r="Q12" s="7">
        <f>SUBTOTAL(9,N12:P12)</f>
        <v>52100</v>
      </c>
      <c r="S12" s="25" t="s">
        <v>307</v>
      </c>
      <c r="T12" s="7">
        <f>+Q12</f>
        <v>52100</v>
      </c>
      <c r="W12" s="7">
        <v>0</v>
      </c>
      <c r="X12" s="7"/>
      <c r="Y12" s="7"/>
      <c r="AA12" s="3">
        <f t="shared" si="3"/>
        <v>900</v>
      </c>
      <c r="AB12" s="3">
        <f t="shared" si="4"/>
        <v>100</v>
      </c>
      <c r="AC12" s="21">
        <f t="shared" si="29"/>
        <v>89766.607677094828</v>
      </c>
      <c r="AD12" s="21">
        <f t="shared" si="5"/>
        <v>0</v>
      </c>
      <c r="AE12" s="21"/>
      <c r="AF12" s="21"/>
      <c r="AG12" s="3">
        <f>+D12*10/2.5*4/1000</f>
        <v>67.2</v>
      </c>
      <c r="AH12" s="21">
        <f t="shared" si="6"/>
        <v>0</v>
      </c>
      <c r="AI12" s="21"/>
      <c r="AJ12" s="24">
        <f t="shared" si="16"/>
        <v>0</v>
      </c>
      <c r="AK12" s="3">
        <f>+IF(AJ12&gt;0,0,IF(G12&lt;&gt;0,1,0))</f>
        <v>1</v>
      </c>
      <c r="AL12" s="3">
        <f>+IF(AK12+AJ12&gt;0,0,IF(H12&lt;&gt;0,1,0))</f>
        <v>0</v>
      </c>
      <c r="AM12" s="3">
        <f>+IF(AK12+AJ12+AL12&gt;0,0,IF(I12&lt;&gt;0,1,0))</f>
        <v>0</v>
      </c>
      <c r="AN12" s="3">
        <f>+IF(+AJ12+AL12+AK12+AM12&gt;0,0,IF(J12&lt;&gt;0,1,0))</f>
        <v>0</v>
      </c>
      <c r="AO12" s="3">
        <f>+IF(+AJ12+AK12+AM12+AL12+AN12&gt;0,0,IF(K12&lt;&gt;0,1,0))</f>
        <v>0</v>
      </c>
      <c r="AP12" s="3">
        <f t="shared" ref="AP12:AU12" si="30">+F12-AJ12</f>
        <v>0</v>
      </c>
      <c r="AQ12" s="3">
        <f t="shared" si="30"/>
        <v>2</v>
      </c>
      <c r="AR12" s="3">
        <f t="shared" si="30"/>
        <v>0</v>
      </c>
      <c r="AS12" s="3">
        <f t="shared" si="30"/>
        <v>0</v>
      </c>
      <c r="AT12" s="3">
        <f t="shared" si="30"/>
        <v>0</v>
      </c>
      <c r="AU12" s="3">
        <f t="shared" si="30"/>
        <v>0</v>
      </c>
    </row>
    <row r="13" spans="1:57" ht="15" customHeight="1">
      <c r="A13" s="3" t="s">
        <v>339</v>
      </c>
      <c r="B13" s="3" t="s">
        <v>256</v>
      </c>
      <c r="C13" s="13" t="s">
        <v>286</v>
      </c>
      <c r="D13" s="52">
        <f>+Referencias_Dimensiones!C4*10000</f>
        <v>29800</v>
      </c>
      <c r="E13" s="9" t="s">
        <v>237</v>
      </c>
      <c r="F13" s="3">
        <v>0</v>
      </c>
      <c r="G13" s="3">
        <v>1</v>
      </c>
      <c r="H13" s="3">
        <v>0</v>
      </c>
      <c r="I13" s="3">
        <v>0</v>
      </c>
      <c r="J13" s="3">
        <v>0</v>
      </c>
      <c r="K13" s="3">
        <v>0</v>
      </c>
      <c r="L13" s="3">
        <f t="shared" si="19"/>
        <v>1</v>
      </c>
      <c r="M13" s="7">
        <f t="shared" ref="M13:M15" si="31">0.2*D13</f>
        <v>5960</v>
      </c>
      <c r="Q13" s="7">
        <f t="shared" ref="Q13:Q15" si="32">+M13</f>
        <v>5960</v>
      </c>
      <c r="S13" s="26" t="s">
        <v>333</v>
      </c>
      <c r="T13" s="7">
        <f t="shared" ref="T13:T15" si="33">+Q13</f>
        <v>5960</v>
      </c>
      <c r="W13" s="10">
        <v>0</v>
      </c>
      <c r="Z13" s="24">
        <f t="shared" ref="Z13:Z15" si="34">+IF(M13&lt;&gt;0,D13/2,0)/1000</f>
        <v>14.9</v>
      </c>
      <c r="AA13" s="3">
        <f t="shared" si="3"/>
        <v>0</v>
      </c>
      <c r="AB13" s="3">
        <f t="shared" si="4"/>
        <v>0</v>
      </c>
      <c r="AC13" s="21">
        <f t="shared" si="29"/>
        <v>10268.886406055379</v>
      </c>
      <c r="AD13" s="21">
        <f t="shared" si="5"/>
        <v>0</v>
      </c>
      <c r="AE13" s="21"/>
      <c r="AF13" s="21"/>
      <c r="AG13" s="3"/>
      <c r="AH13" s="21">
        <f t="shared" si="6"/>
        <v>0</v>
      </c>
      <c r="AI13" s="21"/>
      <c r="AJ13" s="24">
        <f t="shared" si="16"/>
        <v>0</v>
      </c>
      <c r="AK13" s="3">
        <f>+IF(AJ13&gt;0,0,IF(G13&lt;&gt;0,1,0))</f>
        <v>1</v>
      </c>
      <c r="AL13" s="3">
        <f>+IF(AK13+AJ13&gt;0,0,IF(H13&lt;&gt;0,1,0))</f>
        <v>0</v>
      </c>
      <c r="AM13" s="3">
        <f>+IF(AK13+AJ13+AL13&gt;0,0,IF(I13&lt;&gt;0,1,0))</f>
        <v>0</v>
      </c>
      <c r="AN13" s="3">
        <f>+IF(+AJ13+AL13+AK13+AM13&gt;0,0,IF(J13&lt;&gt;0,1,0))</f>
        <v>0</v>
      </c>
      <c r="AO13" s="3">
        <f>+IF(+AJ13+AK13+AM13+AL13+AN13&gt;0,0,IF(K13&lt;&gt;0,1,0))</f>
        <v>0</v>
      </c>
    </row>
    <row r="14" spans="1:57" ht="15" customHeight="1">
      <c r="A14" s="3" t="s">
        <v>339</v>
      </c>
      <c r="B14" s="3" t="s">
        <v>256</v>
      </c>
      <c r="C14" s="13" t="s">
        <v>285</v>
      </c>
      <c r="D14" s="52">
        <f>+Referencias_Dimensiones!C5*10000</f>
        <v>18100</v>
      </c>
      <c r="E14" s="9" t="s">
        <v>237</v>
      </c>
      <c r="F14" s="3">
        <v>0</v>
      </c>
      <c r="G14" s="3">
        <v>0</v>
      </c>
      <c r="H14" s="3">
        <v>1</v>
      </c>
      <c r="I14" s="3">
        <v>0</v>
      </c>
      <c r="J14" s="3">
        <v>0</v>
      </c>
      <c r="K14" s="3">
        <v>0</v>
      </c>
      <c r="L14" s="3">
        <f t="shared" si="19"/>
        <v>1</v>
      </c>
      <c r="M14" s="7">
        <f t="shared" si="31"/>
        <v>3620</v>
      </c>
      <c r="Q14" s="7">
        <f t="shared" si="32"/>
        <v>3620</v>
      </c>
      <c r="S14" s="26" t="s">
        <v>329</v>
      </c>
      <c r="T14" s="7">
        <f t="shared" si="33"/>
        <v>3620</v>
      </c>
      <c r="W14" s="10">
        <v>0</v>
      </c>
      <c r="Z14" s="24">
        <f t="shared" si="34"/>
        <v>9.0500000000000007</v>
      </c>
      <c r="AA14" s="3">
        <f t="shared" si="3"/>
        <v>0</v>
      </c>
      <c r="AB14" s="3">
        <f t="shared" si="4"/>
        <v>0</v>
      </c>
      <c r="AC14" s="21">
        <f t="shared" si="29"/>
        <v>6237.1424144161856</v>
      </c>
      <c r="AD14" s="21">
        <f t="shared" si="5"/>
        <v>0</v>
      </c>
      <c r="AE14" s="21"/>
      <c r="AF14" s="21"/>
      <c r="AG14" s="3"/>
      <c r="AH14" s="21">
        <f t="shared" si="6"/>
        <v>0</v>
      </c>
      <c r="AI14" s="21"/>
      <c r="AJ14" s="24">
        <f t="shared" si="16"/>
        <v>0</v>
      </c>
      <c r="AK14" s="3">
        <f>+IF(AJ14&gt;0,0,IF(G14&lt;&gt;0,1,0))</f>
        <v>0</v>
      </c>
      <c r="AL14" s="3">
        <f>+IF(AK14+AJ14&gt;0,0,IF(H14&lt;&gt;0,1,0))</f>
        <v>1</v>
      </c>
      <c r="AM14" s="3">
        <f>+IF(AK14+AJ14+AL14&gt;0,0,IF(I14&lt;&gt;0,1,0))</f>
        <v>0</v>
      </c>
      <c r="AN14" s="3">
        <f>+IF(+AJ14+AL14+AK14+AM14&gt;0,0,IF(J14&lt;&gt;0,1,0))</f>
        <v>0</v>
      </c>
      <c r="AO14" s="3">
        <f>+IF(+AJ14+AK14+AM14+AL14+AN14&gt;0,0,IF(K14&lt;&gt;0,1,0))</f>
        <v>0</v>
      </c>
    </row>
    <row r="15" spans="1:57" ht="15" customHeight="1">
      <c r="A15" s="3" t="s">
        <v>339</v>
      </c>
      <c r="B15" s="3" t="s">
        <v>256</v>
      </c>
      <c r="C15" s="13" t="s">
        <v>284</v>
      </c>
      <c r="D15" s="52">
        <f>+Referencias_Dimensiones!C6*10000</f>
        <v>22900</v>
      </c>
      <c r="E15" s="9" t="s">
        <v>237</v>
      </c>
      <c r="F15" s="3">
        <v>0</v>
      </c>
      <c r="G15" s="3">
        <v>1</v>
      </c>
      <c r="H15" s="3">
        <v>0</v>
      </c>
      <c r="I15" s="3">
        <v>0</v>
      </c>
      <c r="J15" s="3">
        <v>0</v>
      </c>
      <c r="K15" s="3">
        <v>0</v>
      </c>
      <c r="L15" s="3">
        <f t="shared" si="19"/>
        <v>1</v>
      </c>
      <c r="M15" s="7">
        <f t="shared" si="31"/>
        <v>4580</v>
      </c>
      <c r="Q15" s="7">
        <f t="shared" si="32"/>
        <v>4580</v>
      </c>
      <c r="S15" s="26" t="s">
        <v>307</v>
      </c>
      <c r="T15" s="7">
        <f t="shared" si="33"/>
        <v>4580</v>
      </c>
      <c r="W15" s="7">
        <v>0</v>
      </c>
      <c r="X15" s="7"/>
      <c r="Y15" s="7"/>
      <c r="Z15" s="24">
        <f t="shared" si="34"/>
        <v>11.45</v>
      </c>
      <c r="AA15" s="3">
        <f t="shared" si="3"/>
        <v>0</v>
      </c>
      <c r="AB15" s="3">
        <f t="shared" si="4"/>
        <v>0</v>
      </c>
      <c r="AC15" s="21">
        <f t="shared" si="29"/>
        <v>7891.1912314989313</v>
      </c>
      <c r="AD15" s="21">
        <f t="shared" si="5"/>
        <v>0</v>
      </c>
      <c r="AE15" s="21"/>
      <c r="AF15" s="21"/>
      <c r="AG15" s="3"/>
      <c r="AH15" s="21">
        <f t="shared" si="6"/>
        <v>0</v>
      </c>
      <c r="AI15" s="21"/>
      <c r="AJ15" s="24">
        <f t="shared" si="16"/>
        <v>0</v>
      </c>
      <c r="AK15" s="3">
        <f>+IF(AJ15&gt;0,0,IF(G15&lt;&gt;0,1,0))</f>
        <v>1</v>
      </c>
      <c r="AL15" s="3">
        <f>+IF(AK15+AJ15&gt;0,0,IF(H15&lt;&gt;0,1,0))</f>
        <v>0</v>
      </c>
      <c r="AM15" s="3">
        <f>+IF(AK15+AJ15+AL15&gt;0,0,IF(I15&lt;&gt;0,1,0))</f>
        <v>0</v>
      </c>
      <c r="AN15" s="3">
        <f>+IF(+AJ15+AL15+AK15+AM15&gt;0,0,IF(J15&lt;&gt;0,1,0))</f>
        <v>0</v>
      </c>
      <c r="AO15" s="3">
        <f>+IF(+AJ15+AK15+AM15+AL15+AN15&gt;0,0,IF(K15&lt;&gt;0,1,0))</f>
        <v>0</v>
      </c>
    </row>
    <row r="16" spans="1:57">
      <c r="A16" s="3" t="s">
        <v>339</v>
      </c>
      <c r="B16" s="3" t="s">
        <v>247</v>
      </c>
      <c r="C16" s="13" t="s">
        <v>283</v>
      </c>
      <c r="D16" s="52">
        <v>4200</v>
      </c>
      <c r="E16" s="9" t="s">
        <v>260</v>
      </c>
      <c r="F16" s="3">
        <v>0</v>
      </c>
      <c r="G16" s="3">
        <v>0</v>
      </c>
      <c r="H16" s="3">
        <v>0</v>
      </c>
      <c r="I16" s="3">
        <v>0</v>
      </c>
      <c r="J16" s="3">
        <v>10</v>
      </c>
      <c r="K16" s="3">
        <v>3</v>
      </c>
      <c r="L16" s="3">
        <f t="shared" si="19"/>
        <v>13</v>
      </c>
      <c r="R16" s="7">
        <f>+Referencias_M.Tierras!H10*D16/($D$16+$D$17)</f>
        <v>53533.425321161507</v>
      </c>
      <c r="S16" s="26" t="s">
        <v>333</v>
      </c>
      <c r="T16" s="7">
        <f t="shared" ref="T16:T18" si="35">+R16</f>
        <v>53533.425321161507</v>
      </c>
      <c r="W16" s="10">
        <v>0</v>
      </c>
      <c r="AA16" s="3">
        <f t="shared" si="3"/>
        <v>0</v>
      </c>
      <c r="AB16" s="3">
        <f t="shared" si="4"/>
        <v>0</v>
      </c>
      <c r="AC16" s="21">
        <f t="shared" si="29"/>
        <v>0</v>
      </c>
      <c r="AD16" s="21">
        <f t="shared" si="5"/>
        <v>139186.90583501992</v>
      </c>
      <c r="AE16" s="21">
        <f>+R16/51.2</f>
        <v>1045.5747133039356</v>
      </c>
      <c r="AF16" s="21"/>
      <c r="AG16" s="3"/>
      <c r="AH16" s="21">
        <f t="shared" si="6"/>
        <v>0</v>
      </c>
      <c r="AI16" s="21"/>
      <c r="AP16" s="3">
        <f t="shared" ref="AP16:AU19" si="36">+F16-AJ16</f>
        <v>0</v>
      </c>
      <c r="AQ16" s="3">
        <f t="shared" si="36"/>
        <v>0</v>
      </c>
      <c r="AR16" s="3">
        <f t="shared" si="36"/>
        <v>0</v>
      </c>
      <c r="AS16" s="3">
        <f t="shared" si="36"/>
        <v>0</v>
      </c>
      <c r="AT16" s="3">
        <f t="shared" si="36"/>
        <v>10</v>
      </c>
      <c r="AU16" s="3">
        <f t="shared" si="36"/>
        <v>3</v>
      </c>
    </row>
    <row r="17" spans="1:57">
      <c r="A17" s="3" t="s">
        <v>339</v>
      </c>
      <c r="B17" s="3" t="s">
        <v>247</v>
      </c>
      <c r="C17" s="13" t="s">
        <v>282</v>
      </c>
      <c r="D17" s="52">
        <v>5145.0885497932804</v>
      </c>
      <c r="E17" s="9" t="s">
        <v>260</v>
      </c>
      <c r="F17" s="3">
        <v>0</v>
      </c>
      <c r="G17" s="3">
        <v>0</v>
      </c>
      <c r="H17" s="3">
        <v>7</v>
      </c>
      <c r="I17" s="3">
        <v>12</v>
      </c>
      <c r="J17" s="3">
        <v>2</v>
      </c>
      <c r="K17" s="3">
        <v>0</v>
      </c>
      <c r="L17" s="3">
        <f t="shared" si="19"/>
        <v>21</v>
      </c>
      <c r="R17" s="7">
        <f>+Referencias_M.Tierras!H10*D17/($D$16+$D$17)</f>
        <v>65579.5746788385</v>
      </c>
      <c r="S17" s="26" t="s">
        <v>333</v>
      </c>
      <c r="T17" s="7">
        <f t="shared" si="35"/>
        <v>65579.5746788385</v>
      </c>
      <c r="W17" s="10">
        <v>6.8</v>
      </c>
      <c r="AA17" s="3">
        <f t="shared" si="3"/>
        <v>0</v>
      </c>
      <c r="AB17" s="3">
        <f t="shared" si="4"/>
        <v>0</v>
      </c>
      <c r="AC17" s="21">
        <f t="shared" si="29"/>
        <v>0</v>
      </c>
      <c r="AD17" s="21">
        <f t="shared" si="5"/>
        <v>170506.8941649801</v>
      </c>
      <c r="AE17" s="21"/>
      <c r="AF17" s="21">
        <f>+R17*2.6</f>
        <v>170506.8941649801</v>
      </c>
      <c r="AG17" s="3"/>
      <c r="AH17" s="21">
        <f>+(T17*W17+U17*X17+V17*Y17)/14</f>
        <v>31852.9362725787</v>
      </c>
      <c r="AI17" s="21"/>
      <c r="AP17" s="3">
        <f t="shared" si="36"/>
        <v>0</v>
      </c>
      <c r="AQ17" s="3">
        <f t="shared" si="36"/>
        <v>0</v>
      </c>
      <c r="AR17" s="3">
        <f t="shared" si="36"/>
        <v>7</v>
      </c>
      <c r="AS17" s="3">
        <f t="shared" si="36"/>
        <v>12</v>
      </c>
      <c r="AT17" s="3">
        <f t="shared" si="36"/>
        <v>2</v>
      </c>
      <c r="AU17" s="3">
        <f t="shared" si="36"/>
        <v>0</v>
      </c>
    </row>
    <row r="18" spans="1:57">
      <c r="A18" s="3" t="s">
        <v>339</v>
      </c>
      <c r="B18" s="3" t="s">
        <v>247</v>
      </c>
      <c r="C18" s="13" t="s">
        <v>281</v>
      </c>
      <c r="D18" s="52">
        <v>8400</v>
      </c>
      <c r="E18" s="9" t="s">
        <v>260</v>
      </c>
      <c r="F18" s="3">
        <v>0</v>
      </c>
      <c r="G18" s="3">
        <v>2</v>
      </c>
      <c r="H18" s="3">
        <v>12</v>
      </c>
      <c r="I18" s="3">
        <v>12</v>
      </c>
      <c r="J18" s="3">
        <v>12</v>
      </c>
      <c r="K18" s="3">
        <v>4</v>
      </c>
      <c r="L18" s="3">
        <f t="shared" si="19"/>
        <v>42</v>
      </c>
      <c r="R18" s="7">
        <f>+Referencias_M.Tierras!H9</f>
        <v>150577</v>
      </c>
      <c r="S18" s="25" t="s">
        <v>307</v>
      </c>
      <c r="T18" s="7">
        <f t="shared" si="35"/>
        <v>150577</v>
      </c>
      <c r="W18" s="7">
        <v>0</v>
      </c>
      <c r="X18" s="7"/>
      <c r="Y18" s="7"/>
      <c r="AA18" s="3">
        <f t="shared" si="3"/>
        <v>0</v>
      </c>
      <c r="AB18" s="3">
        <f t="shared" si="4"/>
        <v>0</v>
      </c>
      <c r="AC18" s="21">
        <f t="shared" si="29"/>
        <v>0</v>
      </c>
      <c r="AD18" s="21">
        <f t="shared" si="5"/>
        <v>391500.2</v>
      </c>
      <c r="AE18" s="21"/>
      <c r="AF18" s="21">
        <f>+R18*2.6</f>
        <v>391500.2</v>
      </c>
      <c r="AG18" s="3"/>
      <c r="AH18" s="21">
        <f t="shared" si="6"/>
        <v>0</v>
      </c>
      <c r="AI18" s="21"/>
      <c r="AP18" s="3">
        <f t="shared" si="36"/>
        <v>0</v>
      </c>
      <c r="AQ18" s="3">
        <f t="shared" si="36"/>
        <v>2</v>
      </c>
      <c r="AR18" s="3">
        <f t="shared" si="36"/>
        <v>12</v>
      </c>
      <c r="AS18" s="3">
        <f t="shared" si="36"/>
        <v>12</v>
      </c>
      <c r="AT18" s="3">
        <f t="shared" si="36"/>
        <v>12</v>
      </c>
      <c r="AU18" s="3">
        <f t="shared" si="36"/>
        <v>4</v>
      </c>
    </row>
    <row r="19" spans="1:57" ht="15" customHeight="1">
      <c r="A19" s="3" t="s">
        <v>339</v>
      </c>
      <c r="B19" s="3" t="s">
        <v>247</v>
      </c>
      <c r="C19" s="13" t="s">
        <v>277</v>
      </c>
      <c r="D19" s="52">
        <f>+Referencias_M.Tierras!C49*10000</f>
        <v>34000</v>
      </c>
      <c r="E19" s="9" t="s">
        <v>237</v>
      </c>
      <c r="F19" s="3">
        <v>0</v>
      </c>
      <c r="G19" s="3">
        <v>0</v>
      </c>
      <c r="H19" s="3">
        <v>3</v>
      </c>
      <c r="I19" s="3">
        <v>7</v>
      </c>
      <c r="J19" s="3">
        <v>7</v>
      </c>
      <c r="K19" s="3">
        <v>2</v>
      </c>
      <c r="L19" s="3">
        <f t="shared" si="19"/>
        <v>19</v>
      </c>
      <c r="M19" s="7">
        <f>+Referencias_M.Tierras!D49</f>
        <v>1980</v>
      </c>
      <c r="O19" s="7">
        <f>+Referencias_M.Tierras!E49</f>
        <v>95160</v>
      </c>
      <c r="P19" s="7">
        <f>-Referencias_M.Tierras!F49</f>
        <v>-67106</v>
      </c>
      <c r="Q19" s="7">
        <f>+Referencias_M.Tierras!G49</f>
        <v>37570</v>
      </c>
      <c r="R19" s="7">
        <f>+Referencias_M.Tierras!H11</f>
        <v>24000</v>
      </c>
      <c r="S19" s="25" t="s">
        <v>329</v>
      </c>
      <c r="T19" s="7">
        <f>+R19+Q19</f>
        <v>61570</v>
      </c>
      <c r="W19" s="10">
        <v>1.3</v>
      </c>
      <c r="Z19" s="24">
        <f>+IF(M19&lt;&gt;0,D19/2,0)/1000</f>
        <v>17</v>
      </c>
      <c r="AA19" s="3">
        <f t="shared" si="3"/>
        <v>951.6</v>
      </c>
      <c r="AB19" s="3">
        <f t="shared" si="4"/>
        <v>0</v>
      </c>
      <c r="AC19" s="21">
        <f t="shared" si="29"/>
        <v>64731.889643540359</v>
      </c>
      <c r="AD19" s="21">
        <f t="shared" si="5"/>
        <v>62400</v>
      </c>
      <c r="AE19" s="21">
        <f>+R19/51.2</f>
        <v>468.75</v>
      </c>
      <c r="AF19" s="21"/>
      <c r="AG19" s="3">
        <f>+D19/2.5*3/1000</f>
        <v>40.799999999999997</v>
      </c>
      <c r="AH19" s="21">
        <f>+(T19*W19+U19*X19+V19*Y19)/14</f>
        <v>5717.2142857142853</v>
      </c>
      <c r="AI19" s="21"/>
      <c r="AJ19" s="24">
        <f>+IF(F19&lt;&gt;0,1,0)</f>
        <v>0</v>
      </c>
      <c r="AK19" s="3">
        <f>+IF(AJ19&gt;0,0,IF(G19&lt;&gt;0,1,0))</f>
        <v>0</v>
      </c>
      <c r="AL19" s="3">
        <f>+IF(AK19+AJ19&gt;0,0,IF(H19&lt;&gt;0,1,0))</f>
        <v>1</v>
      </c>
      <c r="AM19" s="3">
        <f>+IF(AK19+AJ19+AL19&gt;0,0,IF(I19&lt;&gt;0,1,0))</f>
        <v>0</v>
      </c>
      <c r="AN19" s="3">
        <f>+IF(+AJ19+AL19+AK19+AM19&gt;0,0,IF(J19&lt;&gt;0,1,0))</f>
        <v>0</v>
      </c>
      <c r="AO19" s="3">
        <f>+IF(+AJ19+AK19+AM19+AL19+AN19&gt;0,0,IF(K19&lt;&gt;0,1,0))</f>
        <v>0</v>
      </c>
      <c r="AP19" s="3">
        <f t="shared" si="36"/>
        <v>0</v>
      </c>
      <c r="AQ19" s="3">
        <f t="shared" si="36"/>
        <v>0</v>
      </c>
      <c r="AR19" s="3">
        <f t="shared" si="36"/>
        <v>2</v>
      </c>
      <c r="AS19" s="3">
        <f t="shared" si="36"/>
        <v>7</v>
      </c>
      <c r="AT19" s="3">
        <f t="shared" si="36"/>
        <v>7</v>
      </c>
      <c r="AU19" s="3">
        <f t="shared" si="36"/>
        <v>2</v>
      </c>
      <c r="BC19" s="25">
        <f>+D19/($D$19+$D$23+$D$24+$D$26+$D$27)*Referencias_Otros!$H$4</f>
        <v>8282.5822168087707</v>
      </c>
      <c r="BD19" s="7">
        <f>+D19/($D$19+$D$23+$D$24+$D$26+$D$27)*Referencias_Otros!$H$5</f>
        <v>0</v>
      </c>
      <c r="BE19" s="7">
        <f>+D19/($D$19+$D$23+$D$24+$D$26+$D$27)*Referencias_Otros!$H$11-BD19-BC19</f>
        <v>3589.1189606171338</v>
      </c>
    </row>
    <row r="20" spans="1:57" ht="15" customHeight="1">
      <c r="A20" s="3" t="s">
        <v>339</v>
      </c>
      <c r="B20" s="3" t="s">
        <v>247</v>
      </c>
      <c r="C20" s="13" t="s">
        <v>280</v>
      </c>
      <c r="D20" s="52">
        <v>240000</v>
      </c>
      <c r="E20" s="9" t="s">
        <v>224</v>
      </c>
      <c r="F20" s="3">
        <v>0</v>
      </c>
      <c r="G20" s="3">
        <v>0</v>
      </c>
      <c r="H20" s="3">
        <v>7</v>
      </c>
      <c r="I20" s="3">
        <v>12</v>
      </c>
      <c r="J20" s="3">
        <v>12</v>
      </c>
      <c r="K20" s="3">
        <v>3</v>
      </c>
      <c r="L20" s="3">
        <f t="shared" si="19"/>
        <v>34</v>
      </c>
      <c r="P20" s="7">
        <f>-T11-T13-T16-T17-T23-T25-T26</f>
        <v>-165324</v>
      </c>
      <c r="W20" s="7"/>
      <c r="X20" s="7"/>
      <c r="Y20" s="7"/>
      <c r="AA20" s="3">
        <f t="shared" si="3"/>
        <v>0</v>
      </c>
      <c r="AB20" s="3">
        <f t="shared" si="4"/>
        <v>0</v>
      </c>
      <c r="AC20" s="21">
        <f t="shared" si="29"/>
        <v>0</v>
      </c>
      <c r="AD20" s="21">
        <f t="shared" si="5"/>
        <v>0</v>
      </c>
      <c r="AE20" s="21"/>
      <c r="AF20" s="21"/>
      <c r="AG20" s="27">
        <f>-P20/(Referencias_Dimensiones!C4*10000)/0.5*(Referencias_Dimensiones!C4*10000)*8/2.5/1000</f>
        <v>1058.0736000000002</v>
      </c>
      <c r="AH20" s="21">
        <f t="shared" si="6"/>
        <v>0</v>
      </c>
      <c r="AI20" s="21"/>
      <c r="AP20" s="3">
        <f t="shared" ref="AP20:AU22" si="37">+F20-AJ13</f>
        <v>0</v>
      </c>
      <c r="AQ20" s="3">
        <f t="shared" si="37"/>
        <v>-1</v>
      </c>
      <c r="AR20" s="3">
        <f t="shared" si="37"/>
        <v>7</v>
      </c>
      <c r="AS20" s="3">
        <f t="shared" si="37"/>
        <v>12</v>
      </c>
      <c r="AT20" s="3">
        <f t="shared" si="37"/>
        <v>12</v>
      </c>
      <c r="AU20" s="3">
        <f t="shared" si="37"/>
        <v>3</v>
      </c>
    </row>
    <row r="21" spans="1:57" ht="15" customHeight="1">
      <c r="A21" s="3" t="s">
        <v>339</v>
      </c>
      <c r="B21" s="3" t="s">
        <v>247</v>
      </c>
      <c r="C21" s="13" t="s">
        <v>279</v>
      </c>
      <c r="D21" s="52">
        <v>70000</v>
      </c>
      <c r="E21" s="9" t="s">
        <v>224</v>
      </c>
      <c r="F21" s="3">
        <v>0</v>
      </c>
      <c r="G21" s="3">
        <v>0</v>
      </c>
      <c r="H21" s="3">
        <v>3</v>
      </c>
      <c r="I21" s="3">
        <v>7</v>
      </c>
      <c r="J21" s="3">
        <v>7</v>
      </c>
      <c r="K21" s="3">
        <v>2</v>
      </c>
      <c r="L21" s="3">
        <f t="shared" si="19"/>
        <v>19</v>
      </c>
      <c r="P21" s="7">
        <f>-T14-T19</f>
        <v>-65190</v>
      </c>
      <c r="W21" s="7"/>
      <c r="X21" s="7"/>
      <c r="Y21" s="7"/>
      <c r="AA21" s="3">
        <f t="shared" si="3"/>
        <v>0</v>
      </c>
      <c r="AB21" s="3">
        <f t="shared" si="4"/>
        <v>0</v>
      </c>
      <c r="AC21" s="21">
        <f t="shared" si="29"/>
        <v>0</v>
      </c>
      <c r="AD21" s="21">
        <f t="shared" si="5"/>
        <v>0</v>
      </c>
      <c r="AE21" s="21"/>
      <c r="AF21" s="21"/>
      <c r="AG21" s="27">
        <f>-P21/(Referencias_Dimensiones!C5*10000)/0.5*(Referencias_Dimensiones!C5*10000)*8/2.5/1000</f>
        <v>417.21600000000001</v>
      </c>
      <c r="AH21" s="21">
        <f t="shared" si="6"/>
        <v>0</v>
      </c>
      <c r="AI21" s="21"/>
      <c r="AP21" s="3">
        <f t="shared" si="37"/>
        <v>0</v>
      </c>
      <c r="AQ21" s="3">
        <f t="shared" si="37"/>
        <v>0</v>
      </c>
      <c r="AR21" s="3">
        <f t="shared" si="37"/>
        <v>2</v>
      </c>
      <c r="AS21" s="3">
        <f t="shared" si="37"/>
        <v>7</v>
      </c>
      <c r="AT21" s="3">
        <f t="shared" si="37"/>
        <v>7</v>
      </c>
      <c r="AU21" s="3">
        <f t="shared" si="37"/>
        <v>2</v>
      </c>
    </row>
    <row r="22" spans="1:57" ht="15" customHeight="1">
      <c r="A22" s="3" t="s">
        <v>339</v>
      </c>
      <c r="B22" s="3" t="s">
        <v>247</v>
      </c>
      <c r="C22" s="13" t="s">
        <v>278</v>
      </c>
      <c r="D22" s="52">
        <v>275000</v>
      </c>
      <c r="E22" s="9" t="s">
        <v>224</v>
      </c>
      <c r="F22" s="3">
        <v>0</v>
      </c>
      <c r="G22" s="3">
        <v>2</v>
      </c>
      <c r="H22" s="3">
        <v>12</v>
      </c>
      <c r="I22" s="3">
        <v>12</v>
      </c>
      <c r="J22" s="3">
        <v>12</v>
      </c>
      <c r="K22" s="3">
        <v>4</v>
      </c>
      <c r="L22" s="3">
        <f t="shared" si="19"/>
        <v>42</v>
      </c>
      <c r="P22" s="7">
        <f>-T12-T15-T18</f>
        <v>-207257</v>
      </c>
      <c r="W22" s="7"/>
      <c r="X22" s="7"/>
      <c r="Y22" s="7"/>
      <c r="AA22" s="3">
        <f t="shared" si="3"/>
        <v>0</v>
      </c>
      <c r="AB22" s="3">
        <f t="shared" si="4"/>
        <v>0</v>
      </c>
      <c r="AC22" s="21">
        <f t="shared" si="29"/>
        <v>0</v>
      </c>
      <c r="AD22" s="21">
        <f t="shared" si="5"/>
        <v>0</v>
      </c>
      <c r="AE22" s="21"/>
      <c r="AF22" s="21"/>
      <c r="AG22" s="27">
        <f>-P22/(Referencias_Dimensiones!C6*10000)/0.5*(Referencias_Dimensiones!C6*10000)*8/2.5/1000</f>
        <v>1326.4448</v>
      </c>
      <c r="AH22" s="21">
        <f t="shared" si="6"/>
        <v>0</v>
      </c>
      <c r="AI22" s="21"/>
      <c r="AP22" s="3">
        <f t="shared" si="37"/>
        <v>0</v>
      </c>
      <c r="AQ22" s="3">
        <f t="shared" si="37"/>
        <v>1</v>
      </c>
      <c r="AR22" s="3">
        <f t="shared" si="37"/>
        <v>12</v>
      </c>
      <c r="AS22" s="3">
        <f t="shared" si="37"/>
        <v>12</v>
      </c>
      <c r="AT22" s="3">
        <f t="shared" si="37"/>
        <v>12</v>
      </c>
      <c r="AU22" s="3">
        <f t="shared" si="37"/>
        <v>4</v>
      </c>
    </row>
    <row r="23" spans="1:57" ht="15" customHeight="1">
      <c r="A23" s="3" t="s">
        <v>339</v>
      </c>
      <c r="B23" s="18" t="s">
        <v>223</v>
      </c>
      <c r="C23" s="13" t="s">
        <v>276</v>
      </c>
      <c r="D23" s="52">
        <f>+Referencias_M.Tierras!C46*10000</f>
        <v>6300</v>
      </c>
      <c r="E23" s="9" t="s">
        <v>237</v>
      </c>
      <c r="F23" s="3">
        <v>0</v>
      </c>
      <c r="G23" s="3">
        <v>0</v>
      </c>
      <c r="H23" s="3">
        <v>3</v>
      </c>
      <c r="I23" s="3">
        <v>7</v>
      </c>
      <c r="J23" s="3">
        <v>7</v>
      </c>
      <c r="K23" s="3">
        <v>0</v>
      </c>
      <c r="L23" s="3">
        <f t="shared" si="19"/>
        <v>17</v>
      </c>
      <c r="M23" s="7">
        <v>630</v>
      </c>
      <c r="O23" s="7">
        <v>20000</v>
      </c>
      <c r="P23" s="7">
        <v>-8000</v>
      </c>
      <c r="Q23" s="7">
        <v>14000</v>
      </c>
      <c r="S23" s="26" t="s">
        <v>333</v>
      </c>
      <c r="T23" s="7">
        <f>+Q23</f>
        <v>14000</v>
      </c>
      <c r="W23" s="10">
        <v>2</v>
      </c>
      <c r="Z23" s="24">
        <f>+IF(M23&lt;&gt;0,D23/2,0)/1000</f>
        <v>3.15</v>
      </c>
      <c r="AA23" s="3">
        <f t="shared" si="3"/>
        <v>200</v>
      </c>
      <c r="AB23" s="3">
        <f t="shared" si="4"/>
        <v>0</v>
      </c>
      <c r="AC23" s="21">
        <f t="shared" si="29"/>
        <v>24121.54524912337</v>
      </c>
      <c r="AD23" s="21">
        <f t="shared" si="5"/>
        <v>0</v>
      </c>
      <c r="AE23" s="21"/>
      <c r="AF23" s="21"/>
      <c r="AG23" s="3">
        <f>+D23/2.5*3/1000</f>
        <v>7.56</v>
      </c>
      <c r="AH23" s="21">
        <f>+(T23*W23+U23*X23+V23*Y23)/14</f>
        <v>2000</v>
      </c>
      <c r="AI23" s="21"/>
      <c r="AJ23" s="24">
        <f>+IF(F23&lt;&gt;0,1,0)</f>
        <v>0</v>
      </c>
      <c r="AK23" s="3">
        <f>+IF(AJ23&gt;0,0,IF(G23&lt;&gt;0,1,0))</f>
        <v>0</v>
      </c>
      <c r="AL23" s="3">
        <f>+IF(AK23+AJ23&gt;0,0,IF(H23&lt;&gt;0,1,0))</f>
        <v>1</v>
      </c>
      <c r="AM23" s="3">
        <f>+IF(AK23+AJ23+AL23&gt;0,0,IF(I23&lt;&gt;0,1,0))</f>
        <v>0</v>
      </c>
      <c r="AN23" s="3">
        <f>+IF(+AJ23+AL23+AK23+AM23&gt;0,0,IF(J23&lt;&gt;0,1,0))</f>
        <v>0</v>
      </c>
      <c r="AO23" s="3">
        <f>+IF(+AJ23+AK23+AM23+AL23+AN23&gt;0,0,IF(K23&lt;&gt;0,1,0))</f>
        <v>0</v>
      </c>
      <c r="AP23" s="3">
        <f>+AJ23</f>
        <v>0</v>
      </c>
      <c r="AQ23" s="3">
        <f t="shared" ref="AQ23" si="38">+AK23</f>
        <v>0</v>
      </c>
      <c r="AR23" s="3">
        <f t="shared" ref="AR23" si="39">+AL23</f>
        <v>1</v>
      </c>
      <c r="AS23" s="3">
        <f t="shared" ref="AS23" si="40">+AM23</f>
        <v>0</v>
      </c>
      <c r="AT23" s="3">
        <f t="shared" ref="AT23" si="41">+AN23</f>
        <v>0</v>
      </c>
      <c r="AU23" s="3">
        <f t="shared" ref="AU23" si="42">+AO23</f>
        <v>0</v>
      </c>
      <c r="AV23" s="3">
        <f>+F23-AJ23-AP23</f>
        <v>0</v>
      </c>
      <c r="AW23" s="3">
        <f t="shared" ref="AV23:BA27" si="43">+G23-AK23-AQ23</f>
        <v>0</v>
      </c>
      <c r="AX23" s="3">
        <f t="shared" si="43"/>
        <v>1</v>
      </c>
      <c r="AY23" s="3">
        <f t="shared" si="43"/>
        <v>7</v>
      </c>
      <c r="AZ23" s="3">
        <f t="shared" si="43"/>
        <v>7</v>
      </c>
      <c r="BA23" s="3">
        <f t="shared" si="43"/>
        <v>0</v>
      </c>
      <c r="BB23" s="3">
        <f>SUBTOTAL(9,AV23:BA23)</f>
        <v>15</v>
      </c>
      <c r="BC23" s="25">
        <f>+D23/($D$19+$D$23+$D$24+$D$26+$D$27)*Referencias_Otros!$H$4</f>
        <v>1534.7137637028013</v>
      </c>
      <c r="BD23" s="7">
        <f>+D23/($D$19+$D$23+$D$24+$D$26+$D$27)*Referencias_Otros!$H$5</f>
        <v>0</v>
      </c>
      <c r="BE23" s="7">
        <f>+D23/($D$19+$D$23+$D$24+$D$26+$D$27)*Referencias_Otros!$H$11-BD23-BC23</f>
        <v>665.0426309378804</v>
      </c>
    </row>
    <row r="24" spans="1:57" ht="15" customHeight="1">
      <c r="A24" s="3" t="s">
        <v>339</v>
      </c>
      <c r="B24" s="18" t="s">
        <v>223</v>
      </c>
      <c r="C24" s="13" t="s">
        <v>275</v>
      </c>
      <c r="D24" s="52">
        <f>30*10*1.2</f>
        <v>360</v>
      </c>
      <c r="E24" s="9" t="s">
        <v>237</v>
      </c>
      <c r="F24" s="3">
        <v>0</v>
      </c>
      <c r="G24" s="3">
        <v>5</v>
      </c>
      <c r="H24" s="3">
        <v>0</v>
      </c>
      <c r="I24" s="3">
        <v>0</v>
      </c>
      <c r="J24" s="3">
        <v>0</v>
      </c>
      <c r="K24" s="3">
        <v>0</v>
      </c>
      <c r="L24" s="3">
        <f t="shared" si="19"/>
        <v>5</v>
      </c>
      <c r="W24" s="7"/>
      <c r="X24" s="7"/>
      <c r="Y24" s="7"/>
      <c r="AA24" s="3">
        <f t="shared" si="3"/>
        <v>0</v>
      </c>
      <c r="AB24" s="3">
        <f t="shared" si="4"/>
        <v>0</v>
      </c>
      <c r="AC24" s="21">
        <f t="shared" si="29"/>
        <v>0</v>
      </c>
      <c r="AD24" s="21">
        <f t="shared" si="5"/>
        <v>0</v>
      </c>
      <c r="AE24" s="21"/>
      <c r="AF24" s="21"/>
      <c r="AG24" s="3"/>
      <c r="AH24" s="21">
        <f t="shared" si="6"/>
        <v>0</v>
      </c>
      <c r="AI24" s="21"/>
      <c r="AV24" s="3">
        <f t="shared" si="43"/>
        <v>0</v>
      </c>
      <c r="AW24" s="3">
        <f t="shared" si="43"/>
        <v>5</v>
      </c>
      <c r="AX24" s="3">
        <f t="shared" si="43"/>
        <v>0</v>
      </c>
      <c r="AY24" s="3">
        <f t="shared" si="43"/>
        <v>0</v>
      </c>
      <c r="AZ24" s="3">
        <f t="shared" si="43"/>
        <v>0</v>
      </c>
      <c r="BA24" s="3">
        <f t="shared" si="43"/>
        <v>0</v>
      </c>
      <c r="BB24" s="3">
        <f t="shared" ref="BB24:BB27" si="44">SUBTOTAL(9,AV24:BA24)</f>
        <v>5</v>
      </c>
      <c r="BC24" s="25">
        <f>+D24/($D$19+$D$23+$D$24+$D$26+$D$27)*Referencias_Otros!$H$4</f>
        <v>87.69792935444579</v>
      </c>
      <c r="BD24" s="7">
        <f>+D24/($D$19+$D$23+$D$24+$D$26+$D$27)*Referencias_Otros!$H$5</f>
        <v>0</v>
      </c>
      <c r="BE24" s="7">
        <f>+D24/($D$19+$D$23+$D$24+$D$26+$D$27)*Referencias_Otros!$H$11-BD24-BC24</f>
        <v>38.002436053593186</v>
      </c>
    </row>
    <row r="25" spans="1:57" ht="15" customHeight="1">
      <c r="A25" s="3" t="s">
        <v>339</v>
      </c>
      <c r="B25" s="18" t="s">
        <v>223</v>
      </c>
      <c r="C25" s="13" t="s">
        <v>19</v>
      </c>
      <c r="D25" s="52">
        <f>+Referencias_M.Tierras!C47*10000</f>
        <v>8100.0000000000009</v>
      </c>
      <c r="E25" s="9" t="s">
        <v>237</v>
      </c>
      <c r="F25" s="3">
        <v>0</v>
      </c>
      <c r="G25" s="3">
        <v>0</v>
      </c>
      <c r="H25" s="3">
        <v>3</v>
      </c>
      <c r="I25" s="3">
        <v>7</v>
      </c>
      <c r="J25" s="3">
        <v>7</v>
      </c>
      <c r="K25" s="3">
        <v>0</v>
      </c>
      <c r="L25" s="3">
        <f t="shared" si="19"/>
        <v>17</v>
      </c>
      <c r="M25" s="7">
        <f>+Referencias_M.Tierras!D47</f>
        <v>810</v>
      </c>
      <c r="O25" s="7">
        <f>+Referencias_M.Tierras!E47</f>
        <v>43900</v>
      </c>
      <c r="P25" s="7">
        <f>-Referencias_M.Tierras!F47</f>
        <v>-26340</v>
      </c>
      <c r="Q25" s="7">
        <f>+Referencias_M.Tierras!G47</f>
        <v>21950</v>
      </c>
      <c r="S25" s="26" t="s">
        <v>333</v>
      </c>
      <c r="T25" s="7">
        <f t="shared" ref="T25:T26" si="45">+Q25</f>
        <v>21950</v>
      </c>
      <c r="W25" s="10">
        <v>1.2</v>
      </c>
      <c r="Z25" s="24">
        <f t="shared" ref="Z25:Z26" si="46">+IF(M25&lt;&gt;0,D25/2,0)/1000</f>
        <v>4.0500000000000007</v>
      </c>
      <c r="AA25" s="3">
        <f t="shared" si="3"/>
        <v>439</v>
      </c>
      <c r="AB25" s="3">
        <f t="shared" si="4"/>
        <v>0</v>
      </c>
      <c r="AC25" s="21">
        <f t="shared" si="29"/>
        <v>37819.137015589855</v>
      </c>
      <c r="AD25" s="21">
        <f t="shared" si="5"/>
        <v>0</v>
      </c>
      <c r="AE25" s="21"/>
      <c r="AF25" s="21"/>
      <c r="AG25" s="3">
        <f>+D25/2.5*3/1000</f>
        <v>9.7200000000000024</v>
      </c>
      <c r="AH25" s="21">
        <f t="shared" si="6"/>
        <v>1881.4285714285713</v>
      </c>
      <c r="AI25" s="21"/>
      <c r="AJ25" s="24">
        <f t="shared" ref="AJ25:AJ26" si="47">+IF(F25&lt;&gt;0,1,0)</f>
        <v>0</v>
      </c>
      <c r="AK25" s="3">
        <f>+IF(AJ25&gt;0,0,IF(G25&lt;&gt;0,1,0))</f>
        <v>0</v>
      </c>
      <c r="AL25" s="3">
        <f>+IF(AK25+AJ25&gt;0,0,IF(H25&lt;&gt;0,1,0))</f>
        <v>1</v>
      </c>
      <c r="AM25" s="3">
        <f>+IF(AK25+AJ25+AL25&gt;0,0,IF(I25&lt;&gt;0,1,0))</f>
        <v>0</v>
      </c>
      <c r="AN25" s="3">
        <f>+IF(+AJ25+AL25+AK25+AM25&gt;0,0,IF(J25&lt;&gt;0,1,0))</f>
        <v>0</v>
      </c>
      <c r="AO25" s="3">
        <f>+IF(+AJ25+AK25+AM25+AL25+AN25&gt;0,0,IF(K25&lt;&gt;0,1,0))</f>
        <v>0</v>
      </c>
      <c r="AP25" s="3">
        <f t="shared" ref="AP25:AU25" si="48">+F25-AJ25</f>
        <v>0</v>
      </c>
      <c r="AQ25" s="3">
        <f t="shared" si="48"/>
        <v>0</v>
      </c>
      <c r="AR25" s="3">
        <f t="shared" si="48"/>
        <v>2</v>
      </c>
      <c r="AS25" s="3">
        <f t="shared" si="48"/>
        <v>7</v>
      </c>
      <c r="AT25" s="3">
        <f t="shared" si="48"/>
        <v>7</v>
      </c>
      <c r="AU25" s="3">
        <f t="shared" si="48"/>
        <v>0</v>
      </c>
      <c r="AV25" s="3">
        <f t="shared" si="43"/>
        <v>0</v>
      </c>
      <c r="AW25" s="3">
        <f t="shared" si="43"/>
        <v>0</v>
      </c>
      <c r="AX25" s="3">
        <f t="shared" si="43"/>
        <v>0</v>
      </c>
      <c r="AY25" s="3">
        <f t="shared" si="43"/>
        <v>0</v>
      </c>
      <c r="AZ25" s="3">
        <f t="shared" si="43"/>
        <v>0</v>
      </c>
      <c r="BA25" s="3">
        <f t="shared" si="43"/>
        <v>0</v>
      </c>
      <c r="BB25" s="3">
        <f t="shared" si="44"/>
        <v>0</v>
      </c>
    </row>
    <row r="26" spans="1:57" ht="15" customHeight="1">
      <c r="A26" s="3" t="s">
        <v>339</v>
      </c>
      <c r="B26" s="18" t="s">
        <v>223</v>
      </c>
      <c r="C26" s="17" t="s">
        <v>319</v>
      </c>
      <c r="D26" s="52">
        <f>+Referencias_M.Tierras!C48*10000</f>
        <v>8300</v>
      </c>
      <c r="E26" s="9" t="s">
        <v>237</v>
      </c>
      <c r="F26" s="3">
        <v>0</v>
      </c>
      <c r="G26" s="3">
        <v>0</v>
      </c>
      <c r="H26" s="3">
        <v>3</v>
      </c>
      <c r="I26" s="3">
        <v>7</v>
      </c>
      <c r="J26" s="3">
        <v>7</v>
      </c>
      <c r="K26" s="3">
        <v>0</v>
      </c>
      <c r="L26" s="3">
        <f t="shared" si="19"/>
        <v>17</v>
      </c>
      <c r="M26" s="7">
        <f>+Referencias_M.Tierras!D48</f>
        <v>200</v>
      </c>
      <c r="O26" s="7">
        <f>+Referencias_M.Tierras!E48</f>
        <v>3015</v>
      </c>
      <c r="P26" s="7">
        <f>-Referencias_M.Tierras!F48</f>
        <v>-1206</v>
      </c>
      <c r="Q26" s="7">
        <f>+Referencias_M.Tierras!G48</f>
        <v>2111</v>
      </c>
      <c r="S26" s="26" t="s">
        <v>333</v>
      </c>
      <c r="T26" s="7">
        <f t="shared" si="45"/>
        <v>2111</v>
      </c>
      <c r="W26" s="10">
        <v>1.8</v>
      </c>
      <c r="Z26" s="24">
        <f t="shared" si="46"/>
        <v>4.1500000000000004</v>
      </c>
      <c r="AA26" s="3">
        <f t="shared" si="3"/>
        <v>30.15</v>
      </c>
      <c r="AB26" s="3">
        <f t="shared" si="4"/>
        <v>0</v>
      </c>
      <c r="AC26" s="21">
        <f t="shared" si="29"/>
        <v>3637.1844300642456</v>
      </c>
      <c r="AD26" s="21">
        <f t="shared" si="5"/>
        <v>0</v>
      </c>
      <c r="AE26" s="21"/>
      <c r="AF26" s="21"/>
      <c r="AG26" s="3">
        <f>+D26/2.5*3/1000</f>
        <v>9.9600000000000009</v>
      </c>
      <c r="AH26" s="21">
        <f t="shared" si="6"/>
        <v>271.41428571428571</v>
      </c>
      <c r="AI26" s="21"/>
      <c r="AJ26" s="24">
        <f t="shared" si="47"/>
        <v>0</v>
      </c>
      <c r="AK26" s="3">
        <f>+IF(AJ26&gt;0,0,IF(G26&lt;&gt;0,1,0))</f>
        <v>0</v>
      </c>
      <c r="AL26" s="3">
        <f>+IF(AK26+AJ26&gt;0,0,IF(H26&lt;&gt;0,1,0))</f>
        <v>1</v>
      </c>
      <c r="AM26" s="3">
        <f>+IF(AK26+AJ26+AL26&gt;0,0,IF(I26&lt;&gt;0,1,0))</f>
        <v>0</v>
      </c>
      <c r="AN26" s="3">
        <f>+IF(+AJ26+AL26+AK26+AM26&gt;0,0,IF(J26&lt;&gt;0,1,0))</f>
        <v>0</v>
      </c>
      <c r="AO26" s="3">
        <f>+IF(+AJ26+AK26+AM26+AL26+AN26&gt;0,0,IF(K26&lt;&gt;0,1,0))</f>
        <v>0</v>
      </c>
      <c r="AP26" s="3">
        <f>+AJ26</f>
        <v>0</v>
      </c>
      <c r="AQ26" s="3">
        <f t="shared" ref="AQ26" si="49">+AK26</f>
        <v>0</v>
      </c>
      <c r="AR26" s="3">
        <f t="shared" ref="AR26" si="50">+AL26</f>
        <v>1</v>
      </c>
      <c r="AS26" s="3">
        <f t="shared" ref="AS26" si="51">+AM26</f>
        <v>0</v>
      </c>
      <c r="AT26" s="3">
        <f t="shared" ref="AT26" si="52">+AN26</f>
        <v>0</v>
      </c>
      <c r="AU26" s="3">
        <f t="shared" ref="AU26" si="53">+AO26</f>
        <v>0</v>
      </c>
      <c r="AV26" s="3">
        <f t="shared" si="43"/>
        <v>0</v>
      </c>
      <c r="AW26" s="3">
        <f t="shared" si="43"/>
        <v>0</v>
      </c>
      <c r="AX26" s="3">
        <f t="shared" si="43"/>
        <v>1</v>
      </c>
      <c r="AY26" s="3">
        <f t="shared" si="43"/>
        <v>7</v>
      </c>
      <c r="AZ26" s="3">
        <f t="shared" si="43"/>
        <v>7</v>
      </c>
      <c r="BA26" s="3">
        <f t="shared" si="43"/>
        <v>0</v>
      </c>
      <c r="BB26" s="3">
        <f t="shared" si="44"/>
        <v>15</v>
      </c>
      <c r="BC26" s="25">
        <f>+D26/($D$19+$D$23+$D$24+$D$26+$D$27)*Referencias_Otros!$H$4</f>
        <v>2021.9244823386116</v>
      </c>
      <c r="BD26" s="7">
        <f>+D26/($D$19+$D$23+$D$24+$D$26+$D$27)*Referencias_Otros!$H$5</f>
        <v>0</v>
      </c>
      <c r="BE26" s="7">
        <f>+D26/($D$19+$D$23+$D$24+$D$26+$D$27)*Referencias_Otros!$H$11-BD26-BC26</f>
        <v>876.1672756800649</v>
      </c>
    </row>
    <row r="27" spans="1:57" ht="15" customHeight="1">
      <c r="A27" s="3" t="s">
        <v>339</v>
      </c>
      <c r="B27" s="18" t="s">
        <v>223</v>
      </c>
      <c r="C27" s="19" t="s">
        <v>299</v>
      </c>
      <c r="D27" s="52">
        <f>25*10*1.2</f>
        <v>300</v>
      </c>
      <c r="E27" s="9" t="s">
        <v>237</v>
      </c>
      <c r="F27" s="3">
        <v>0</v>
      </c>
      <c r="G27" s="3">
        <v>3</v>
      </c>
      <c r="H27" s="3">
        <v>0</v>
      </c>
      <c r="I27" s="3">
        <v>0</v>
      </c>
      <c r="J27" s="3">
        <v>0</v>
      </c>
      <c r="K27" s="3">
        <v>0</v>
      </c>
      <c r="L27" s="3">
        <f t="shared" si="19"/>
        <v>3</v>
      </c>
      <c r="W27" s="7"/>
      <c r="X27" s="7"/>
      <c r="Y27" s="7"/>
      <c r="AA27" s="3">
        <f t="shared" si="3"/>
        <v>0</v>
      </c>
      <c r="AB27" s="3">
        <f t="shared" si="4"/>
        <v>0</v>
      </c>
      <c r="AC27" s="21">
        <f t="shared" si="29"/>
        <v>0</v>
      </c>
      <c r="AD27" s="21">
        <f t="shared" si="5"/>
        <v>0</v>
      </c>
      <c r="AE27" s="21"/>
      <c r="AF27" s="21"/>
      <c r="AG27" s="3"/>
      <c r="AH27" s="21">
        <f t="shared" si="6"/>
        <v>0</v>
      </c>
      <c r="AI27" s="21"/>
      <c r="AV27" s="3">
        <f t="shared" si="43"/>
        <v>0</v>
      </c>
      <c r="AW27" s="3">
        <f t="shared" si="43"/>
        <v>3</v>
      </c>
      <c r="AX27" s="3">
        <f t="shared" si="43"/>
        <v>0</v>
      </c>
      <c r="AY27" s="3">
        <f t="shared" si="43"/>
        <v>0</v>
      </c>
      <c r="AZ27" s="3">
        <f t="shared" si="43"/>
        <v>0</v>
      </c>
      <c r="BA27" s="3">
        <f t="shared" si="43"/>
        <v>0</v>
      </c>
      <c r="BB27" s="3">
        <f t="shared" si="44"/>
        <v>3</v>
      </c>
      <c r="BC27" s="25">
        <f>+D27/($D$19+$D$23+$D$24+$D$26+$D$27)*Referencias_Otros!$H$4</f>
        <v>73.081607795371497</v>
      </c>
      <c r="BD27" s="7">
        <f>+D27/($D$19+$D$23+$D$24+$D$26+$D$27)*Referencias_Otros!$H$5</f>
        <v>0</v>
      </c>
      <c r="BE27" s="7">
        <f>+D27/($D$19+$D$23+$D$24+$D$26+$D$27)*Referencias_Otros!$H$11-BD27-BC27</f>
        <v>31.668696711327641</v>
      </c>
    </row>
    <row r="28" spans="1:57" ht="15" customHeight="1">
      <c r="A28" s="3" t="s">
        <v>339</v>
      </c>
      <c r="B28" s="18" t="s">
        <v>223</v>
      </c>
      <c r="C28" s="17" t="s">
        <v>422</v>
      </c>
      <c r="D28" s="52">
        <v>3000</v>
      </c>
      <c r="E28" s="9" t="s">
        <v>237</v>
      </c>
      <c r="F28" s="3">
        <v>0</v>
      </c>
      <c r="G28" s="3">
        <v>0</v>
      </c>
      <c r="H28" s="3">
        <v>3</v>
      </c>
      <c r="I28" s="3">
        <v>7</v>
      </c>
      <c r="J28" s="3">
        <v>7</v>
      </c>
      <c r="K28" s="3">
        <v>2</v>
      </c>
      <c r="L28" s="3">
        <f t="shared" ref="L28" si="54">SUM(F28:K28)</f>
        <v>19</v>
      </c>
      <c r="W28" s="27"/>
      <c r="X28" s="27"/>
      <c r="Y28" s="27"/>
      <c r="AC28" s="21"/>
      <c r="AD28" s="21"/>
      <c r="AE28" s="21"/>
      <c r="AF28" s="21"/>
      <c r="AG28" s="3"/>
      <c r="AH28" s="21"/>
      <c r="AI28" s="21"/>
    </row>
    <row r="29" spans="1:57" ht="15" customHeight="1">
      <c r="A29" s="3" t="s">
        <v>340</v>
      </c>
      <c r="B29" s="3" t="s">
        <v>256</v>
      </c>
      <c r="C29" s="19" t="s">
        <v>274</v>
      </c>
      <c r="D29" s="52">
        <v>6600</v>
      </c>
      <c r="E29" s="9" t="s">
        <v>260</v>
      </c>
      <c r="F29" s="3">
        <v>0</v>
      </c>
      <c r="G29" s="3">
        <v>0</v>
      </c>
      <c r="H29" s="3">
        <v>4</v>
      </c>
      <c r="I29" s="3">
        <v>0</v>
      </c>
      <c r="J29" s="3">
        <v>0</v>
      </c>
      <c r="K29" s="3">
        <v>0</v>
      </c>
      <c r="L29" s="3">
        <f t="shared" si="19"/>
        <v>4</v>
      </c>
      <c r="N29" s="7">
        <f>+Referencias_M.Tierras!C16</f>
        <v>20000</v>
      </c>
      <c r="O29" s="7">
        <f>+Referencias_M.Tierras!D16</f>
        <v>145000</v>
      </c>
      <c r="P29" s="7">
        <f>+Referencias_M.Tierras!E16+Referencias_M.Tierras!F16</f>
        <v>-12100</v>
      </c>
      <c r="Q29" s="7">
        <f>SUBTOTAL(9,N29:P29)</f>
        <v>152900</v>
      </c>
      <c r="S29" s="25" t="s">
        <v>313</v>
      </c>
      <c r="T29" s="7">
        <f>+Referencias_M.Tierras!S16+T31</f>
        <v>75761</v>
      </c>
      <c r="U29" s="7">
        <f>+Referencias_M.Tierras!U16-T31</f>
        <v>77139</v>
      </c>
      <c r="W29" s="10">
        <f>6.6</f>
        <v>6.6</v>
      </c>
      <c r="X29" s="10">
        <f>+W29-1.5</f>
        <v>5.0999999999999996</v>
      </c>
      <c r="AA29" s="3">
        <f t="shared" si="3"/>
        <v>1450</v>
      </c>
      <c r="AB29" s="3">
        <f t="shared" si="4"/>
        <v>200</v>
      </c>
      <c r="AC29" s="21">
        <f t="shared" ref="AC29:AC35" si="55">+(1.6*SUM($O$2:$O$91)+2.6*SUM($N$2:$N$91))/SUM($N$2:$O$91)*Q29</f>
        <v>263441.7334707831</v>
      </c>
      <c r="AD29" s="21">
        <f t="shared" si="5"/>
        <v>0</v>
      </c>
      <c r="AE29" s="21"/>
      <c r="AF29" s="21"/>
      <c r="AG29" s="3">
        <f>+D29*10/2.5*4/1000</f>
        <v>105.6</v>
      </c>
      <c r="AH29" s="21">
        <f t="shared" si="6"/>
        <v>63816.535714285717</v>
      </c>
      <c r="AI29" s="21"/>
      <c r="AJ29" s="24">
        <f t="shared" ref="AJ29:AJ31" si="56">+IF(F29&lt;&gt;0,1,0)</f>
        <v>0</v>
      </c>
      <c r="AK29" s="3">
        <f>+IF(AJ29&gt;0,0,IF(G29&lt;&gt;0,1,0))</f>
        <v>0</v>
      </c>
      <c r="AL29" s="3">
        <f>+IF(AK29+AJ29&gt;0,0,IF(H29&lt;&gt;0,1,0))</f>
        <v>1</v>
      </c>
      <c r="AM29" s="3">
        <f>+IF(AK29+AJ29+AL29&gt;0,0,IF(I29&lt;&gt;0,1,0))</f>
        <v>0</v>
      </c>
      <c r="AN29" s="3">
        <f>+IF(+AJ29+AL29+AK29+AM29&gt;0,0,IF(J29&lt;&gt;0,1,0))</f>
        <v>0</v>
      </c>
      <c r="AO29" s="3">
        <f>+IF(+AJ29+AK29+AM29+AL29+AN29&gt;0,0,IF(K29&lt;&gt;0,1,0))</f>
        <v>0</v>
      </c>
      <c r="AP29" s="3">
        <f t="shared" ref="AP29:AU29" si="57">+F29-AJ29</f>
        <v>0</v>
      </c>
      <c r="AQ29" s="3">
        <f t="shared" si="57"/>
        <v>0</v>
      </c>
      <c r="AR29" s="3">
        <f t="shared" si="57"/>
        <v>3</v>
      </c>
      <c r="AS29" s="3">
        <f t="shared" si="57"/>
        <v>0</v>
      </c>
      <c r="AT29" s="3">
        <f t="shared" si="57"/>
        <v>0</v>
      </c>
      <c r="AU29" s="3">
        <f t="shared" si="57"/>
        <v>0</v>
      </c>
    </row>
    <row r="30" spans="1:57" ht="15" customHeight="1">
      <c r="A30" s="3" t="s">
        <v>340</v>
      </c>
      <c r="B30" s="3" t="s">
        <v>256</v>
      </c>
      <c r="C30" s="13" t="s">
        <v>273</v>
      </c>
      <c r="D30" s="52">
        <f>+Referencias_Dimensiones!C7*10000</f>
        <v>24400</v>
      </c>
      <c r="E30" s="9" t="s">
        <v>237</v>
      </c>
      <c r="F30" s="3">
        <v>0</v>
      </c>
      <c r="G30" s="3">
        <v>0</v>
      </c>
      <c r="H30" s="3">
        <v>1</v>
      </c>
      <c r="I30" s="3">
        <v>0</v>
      </c>
      <c r="J30" s="3">
        <v>0</v>
      </c>
      <c r="K30" s="3">
        <v>0</v>
      </c>
      <c r="L30" s="3">
        <f t="shared" si="19"/>
        <v>1</v>
      </c>
      <c r="M30" s="7">
        <f t="shared" ref="M30:M31" si="58">0.2*D30</f>
        <v>4880</v>
      </c>
      <c r="Q30" s="7">
        <f t="shared" ref="Q30:Q31" si="59">+M30</f>
        <v>4880</v>
      </c>
      <c r="S30" s="26" t="s">
        <v>315</v>
      </c>
      <c r="T30" s="7">
        <f>+Q30</f>
        <v>4880</v>
      </c>
      <c r="W30" s="10">
        <v>0</v>
      </c>
      <c r="Z30" s="24">
        <f t="shared" ref="Z30:Z31" si="60">+IF(M30&lt;&gt;0,D30/2,0)/1000</f>
        <v>12.2</v>
      </c>
      <c r="AA30" s="3">
        <f t="shared" si="3"/>
        <v>0</v>
      </c>
      <c r="AB30" s="3">
        <f t="shared" si="4"/>
        <v>0</v>
      </c>
      <c r="AC30" s="21">
        <f t="shared" si="55"/>
        <v>8408.081486837289</v>
      </c>
      <c r="AD30" s="21">
        <f t="shared" si="5"/>
        <v>0</v>
      </c>
      <c r="AE30" s="21"/>
      <c r="AF30" s="21"/>
      <c r="AG30" s="3"/>
      <c r="AH30" s="21">
        <f t="shared" si="6"/>
        <v>0</v>
      </c>
      <c r="AI30" s="21"/>
      <c r="AJ30" s="24">
        <f t="shared" si="56"/>
        <v>0</v>
      </c>
      <c r="AK30" s="3">
        <f>+IF(AJ30&gt;0,0,IF(G30&lt;&gt;0,1,0))</f>
        <v>0</v>
      </c>
      <c r="AL30" s="3">
        <f>+IF(AK30+AJ30&gt;0,0,IF(H30&lt;&gt;0,1,0))</f>
        <v>1</v>
      </c>
      <c r="AM30" s="3">
        <f>+IF(AK30+AJ30+AL30&gt;0,0,IF(I30&lt;&gt;0,1,0))</f>
        <v>0</v>
      </c>
      <c r="AN30" s="3">
        <f>+IF(+AJ30+AL30+AK30+AM30&gt;0,0,IF(J30&lt;&gt;0,1,0))</f>
        <v>0</v>
      </c>
      <c r="AO30" s="3">
        <f>+IF(+AJ30+AK30+AM30+AL30+AN30&gt;0,0,IF(K30&lt;&gt;0,1,0))</f>
        <v>0</v>
      </c>
    </row>
    <row r="31" spans="1:57" ht="15" customHeight="1">
      <c r="A31" s="3" t="s">
        <v>340</v>
      </c>
      <c r="B31" s="3" t="s">
        <v>256</v>
      </c>
      <c r="C31" s="13" t="s">
        <v>272</v>
      </c>
      <c r="D31" s="52">
        <f>+Referencias_Dimensiones!C8*10000</f>
        <v>22400.000000000004</v>
      </c>
      <c r="E31" s="9" t="s">
        <v>237</v>
      </c>
      <c r="F31" s="3">
        <v>0</v>
      </c>
      <c r="G31" s="3">
        <v>1</v>
      </c>
      <c r="H31" s="3">
        <v>0</v>
      </c>
      <c r="I31" s="3">
        <v>0</v>
      </c>
      <c r="J31" s="3">
        <v>0</v>
      </c>
      <c r="K31" s="3">
        <v>0</v>
      </c>
      <c r="L31" s="3">
        <f t="shared" si="19"/>
        <v>1</v>
      </c>
      <c r="M31" s="7">
        <f t="shared" si="58"/>
        <v>4480.0000000000009</v>
      </c>
      <c r="Q31" s="7">
        <f t="shared" si="59"/>
        <v>4480.0000000000009</v>
      </c>
      <c r="S31" s="26" t="s">
        <v>321</v>
      </c>
      <c r="T31" s="7">
        <f>+Q31</f>
        <v>4480.0000000000009</v>
      </c>
      <c r="W31" s="10">
        <v>0</v>
      </c>
      <c r="Y31" s="7"/>
      <c r="Z31" s="24">
        <f t="shared" si="60"/>
        <v>11.200000000000001</v>
      </c>
      <c r="AA31" s="3">
        <f t="shared" si="3"/>
        <v>0</v>
      </c>
      <c r="AB31" s="3">
        <f t="shared" si="4"/>
        <v>0</v>
      </c>
      <c r="AC31" s="21">
        <f t="shared" si="55"/>
        <v>7718.8944797194799</v>
      </c>
      <c r="AD31" s="21">
        <f t="shared" si="5"/>
        <v>0</v>
      </c>
      <c r="AE31" s="21"/>
      <c r="AF31" s="21"/>
      <c r="AG31" s="3"/>
      <c r="AH31" s="21">
        <f t="shared" si="6"/>
        <v>0</v>
      </c>
      <c r="AI31" s="21"/>
      <c r="AJ31" s="24">
        <f t="shared" si="56"/>
        <v>0</v>
      </c>
      <c r="AK31" s="3">
        <f>+IF(AJ31&gt;0,0,IF(G31&lt;&gt;0,1,0))</f>
        <v>1</v>
      </c>
      <c r="AL31" s="3">
        <f>+IF(AK31+AJ31&gt;0,0,IF(H31&lt;&gt;0,1,0))</f>
        <v>0</v>
      </c>
      <c r="AM31" s="3">
        <f>+IF(AK31+AJ31+AL31&gt;0,0,IF(I31&lt;&gt;0,1,0))</f>
        <v>0</v>
      </c>
      <c r="AN31" s="3">
        <f>+IF(+AJ31+AL31+AK31+AM31&gt;0,0,IF(J31&lt;&gt;0,1,0))</f>
        <v>0</v>
      </c>
      <c r="AO31" s="3">
        <f>+IF(+AJ31+AK31+AM31+AL31+AN31&gt;0,0,IF(K31&lt;&gt;0,1,0))</f>
        <v>0</v>
      </c>
    </row>
    <row r="32" spans="1:57">
      <c r="A32" s="3" t="s">
        <v>340</v>
      </c>
      <c r="B32" s="3" t="s">
        <v>247</v>
      </c>
      <c r="C32" s="17" t="s">
        <v>271</v>
      </c>
      <c r="D32" s="52">
        <v>6600</v>
      </c>
      <c r="E32" s="9" t="s">
        <v>260</v>
      </c>
      <c r="F32" s="3">
        <v>0</v>
      </c>
      <c r="G32" s="3">
        <v>0</v>
      </c>
      <c r="H32" s="3">
        <v>7</v>
      </c>
      <c r="I32" s="3">
        <v>12</v>
      </c>
      <c r="J32" s="3">
        <v>10</v>
      </c>
      <c r="K32" s="3">
        <v>0</v>
      </c>
      <c r="L32" s="3">
        <f t="shared" si="19"/>
        <v>29</v>
      </c>
      <c r="R32" s="7">
        <f>+Referencias_M.Tierras!H22</f>
        <v>273459</v>
      </c>
      <c r="S32" s="25" t="s">
        <v>315</v>
      </c>
      <c r="T32" s="7">
        <f t="shared" ref="T32" si="61">+R32</f>
        <v>273459</v>
      </c>
      <c r="W32" s="10">
        <v>0</v>
      </c>
      <c r="AA32" s="3">
        <f t="shared" si="3"/>
        <v>0</v>
      </c>
      <c r="AB32" s="3">
        <f t="shared" si="4"/>
        <v>0</v>
      </c>
      <c r="AC32" s="21">
        <f t="shared" si="55"/>
        <v>0</v>
      </c>
      <c r="AD32" s="21">
        <f t="shared" si="5"/>
        <v>710993.4</v>
      </c>
      <c r="AE32" s="21"/>
      <c r="AF32" s="21">
        <f>+R32*2.6</f>
        <v>710993.4</v>
      </c>
      <c r="AG32" s="3"/>
      <c r="AH32" s="21">
        <f t="shared" si="6"/>
        <v>0</v>
      </c>
      <c r="AI32" s="21"/>
      <c r="AP32" s="3">
        <f t="shared" ref="AP32:AU32" si="62">+F32-AJ32</f>
        <v>0</v>
      </c>
      <c r="AQ32" s="3">
        <f t="shared" si="62"/>
        <v>0</v>
      </c>
      <c r="AR32" s="3">
        <f t="shared" si="62"/>
        <v>7</v>
      </c>
      <c r="AS32" s="3">
        <f t="shared" si="62"/>
        <v>12</v>
      </c>
      <c r="AT32" s="3">
        <f t="shared" si="62"/>
        <v>10</v>
      </c>
      <c r="AU32" s="3">
        <f t="shared" si="62"/>
        <v>0</v>
      </c>
    </row>
    <row r="33" spans="1:57">
      <c r="A33" s="3" t="s">
        <v>340</v>
      </c>
      <c r="B33" s="3" t="s">
        <v>247</v>
      </c>
      <c r="C33" s="13" t="s">
        <v>334</v>
      </c>
      <c r="D33" s="52">
        <f>+Referencias_M.Tierras!S23</f>
        <v>620000</v>
      </c>
      <c r="E33" s="9" t="s">
        <v>224</v>
      </c>
      <c r="F33" s="3">
        <v>0</v>
      </c>
      <c r="G33" s="3">
        <v>0</v>
      </c>
      <c r="H33" s="3">
        <v>7</v>
      </c>
      <c r="I33" s="3">
        <v>12</v>
      </c>
      <c r="J33" s="3">
        <v>10</v>
      </c>
      <c r="K33" s="3">
        <v>0</v>
      </c>
      <c r="L33" s="3">
        <f t="shared" si="19"/>
        <v>29</v>
      </c>
      <c r="P33" s="7">
        <f>-T28-T29-T30-T32-T45-T39</f>
        <v>-474151</v>
      </c>
      <c r="W33" s="7"/>
      <c r="X33" s="7"/>
      <c r="Y33" s="7"/>
      <c r="AA33" s="3">
        <f t="shared" si="3"/>
        <v>0</v>
      </c>
      <c r="AB33" s="3">
        <f t="shared" si="4"/>
        <v>0</v>
      </c>
      <c r="AC33" s="21">
        <f t="shared" si="55"/>
        <v>0</v>
      </c>
      <c r="AD33" s="21">
        <f t="shared" si="5"/>
        <v>0</v>
      </c>
      <c r="AE33" s="21"/>
      <c r="AF33" s="21"/>
      <c r="AG33" s="27">
        <f>-P33/(Referencias_Dimensiones!C7*10000)/0.5*(Referencias_Dimensiones!C7*10000)*8/2.5/1000</f>
        <v>3034.5663999999997</v>
      </c>
      <c r="AH33" s="21">
        <f t="shared" si="6"/>
        <v>0</v>
      </c>
      <c r="AI33" s="21"/>
      <c r="AP33" s="3">
        <f t="shared" ref="AP33:AU34" si="63">+F33-AJ30</f>
        <v>0</v>
      </c>
      <c r="AQ33" s="3">
        <f t="shared" si="63"/>
        <v>0</v>
      </c>
      <c r="AR33" s="3">
        <f t="shared" si="63"/>
        <v>6</v>
      </c>
      <c r="AS33" s="3">
        <f t="shared" si="63"/>
        <v>12</v>
      </c>
      <c r="AT33" s="3">
        <f t="shared" si="63"/>
        <v>10</v>
      </c>
      <c r="AU33" s="3">
        <f t="shared" si="63"/>
        <v>0</v>
      </c>
    </row>
    <row r="34" spans="1:57" ht="15" customHeight="1">
      <c r="A34" s="3" t="s">
        <v>340</v>
      </c>
      <c r="B34" s="3" t="s">
        <v>247</v>
      </c>
      <c r="C34" s="13" t="s">
        <v>270</v>
      </c>
      <c r="D34" s="52">
        <f>+Referencias_M.Tierras!U23</f>
        <v>176000</v>
      </c>
      <c r="E34" s="9" t="s">
        <v>224</v>
      </c>
      <c r="F34" s="3">
        <v>0</v>
      </c>
      <c r="G34" s="3">
        <v>0</v>
      </c>
      <c r="H34" s="3">
        <v>4</v>
      </c>
      <c r="I34" s="3">
        <v>0</v>
      </c>
      <c r="J34" s="3">
        <v>0</v>
      </c>
      <c r="K34" s="3">
        <v>0</v>
      </c>
      <c r="L34" s="3">
        <f t="shared" si="19"/>
        <v>4</v>
      </c>
      <c r="P34" s="7">
        <f>-U29-T31-T38</f>
        <v>-176000</v>
      </c>
      <c r="W34" s="7"/>
      <c r="X34" s="7"/>
      <c r="Y34" s="7"/>
      <c r="AA34" s="3">
        <f t="shared" si="3"/>
        <v>0</v>
      </c>
      <c r="AB34" s="3">
        <f t="shared" si="4"/>
        <v>0</v>
      </c>
      <c r="AC34" s="21">
        <f t="shared" si="55"/>
        <v>0</v>
      </c>
      <c r="AD34" s="21">
        <f t="shared" si="5"/>
        <v>0</v>
      </c>
      <c r="AE34" s="21"/>
      <c r="AF34" s="21"/>
      <c r="AG34" s="27">
        <f>-P34/(Referencias_Dimensiones!C8*10000)/0.5*(Referencias_Dimensiones!C8*10000)*8/2.5/1000</f>
        <v>1126.4000000000001</v>
      </c>
      <c r="AH34" s="21">
        <f t="shared" si="6"/>
        <v>0</v>
      </c>
      <c r="AI34" s="21"/>
      <c r="AP34" s="3">
        <f t="shared" si="63"/>
        <v>0</v>
      </c>
      <c r="AQ34" s="3">
        <f t="shared" si="63"/>
        <v>-1</v>
      </c>
      <c r="AR34" s="3">
        <f t="shared" si="63"/>
        <v>4</v>
      </c>
      <c r="AS34" s="3">
        <f t="shared" si="63"/>
        <v>0</v>
      </c>
      <c r="AT34" s="3">
        <f t="shared" si="63"/>
        <v>0</v>
      </c>
      <c r="AU34" s="3">
        <f t="shared" si="63"/>
        <v>0</v>
      </c>
    </row>
    <row r="35" spans="1:57" ht="15" customHeight="1">
      <c r="A35" s="3" t="s">
        <v>340</v>
      </c>
      <c r="B35" s="9" t="s">
        <v>223</v>
      </c>
      <c r="C35" s="13" t="s">
        <v>269</v>
      </c>
      <c r="D35" s="52">
        <f>35*10*1.2</f>
        <v>420</v>
      </c>
      <c r="E35" s="9" t="s">
        <v>237</v>
      </c>
      <c r="F35" s="3">
        <v>0</v>
      </c>
      <c r="G35" s="3">
        <v>3</v>
      </c>
      <c r="H35" s="3">
        <v>0</v>
      </c>
      <c r="I35" s="3">
        <v>0</v>
      </c>
      <c r="J35" s="3">
        <v>0</v>
      </c>
      <c r="K35" s="3">
        <v>0</v>
      </c>
      <c r="L35" s="3">
        <f t="shared" si="19"/>
        <v>3</v>
      </c>
      <c r="W35" s="7"/>
      <c r="X35" s="7"/>
      <c r="Y35" s="7"/>
      <c r="AA35" s="3">
        <f t="shared" si="3"/>
        <v>0</v>
      </c>
      <c r="AB35" s="3">
        <f t="shared" si="4"/>
        <v>0</v>
      </c>
      <c r="AC35" s="21">
        <f t="shared" si="55"/>
        <v>0</v>
      </c>
      <c r="AD35" s="21">
        <f t="shared" si="5"/>
        <v>0</v>
      </c>
      <c r="AE35" s="21"/>
      <c r="AF35" s="21"/>
      <c r="AG35" s="3"/>
      <c r="AH35" s="21">
        <f t="shared" si="6"/>
        <v>0</v>
      </c>
      <c r="AI35" s="21"/>
      <c r="AV35" s="3">
        <f t="shared" ref="AV35:BA35" si="64">+F35-AJ35-AP35</f>
        <v>0</v>
      </c>
      <c r="AW35" s="3">
        <f t="shared" si="64"/>
        <v>3</v>
      </c>
      <c r="AX35" s="3">
        <f t="shared" si="64"/>
        <v>0</v>
      </c>
      <c r="AY35" s="3">
        <f t="shared" si="64"/>
        <v>0</v>
      </c>
      <c r="AZ35" s="3">
        <f t="shared" si="64"/>
        <v>0</v>
      </c>
      <c r="BA35" s="3">
        <f t="shared" si="64"/>
        <v>0</v>
      </c>
      <c r="BB35" s="3">
        <f>SUBTOTAL(9,AV35:BA35)</f>
        <v>3</v>
      </c>
      <c r="BC35" s="25">
        <f>+D35/($D$35+$D$45+$D$47)*Referencias_Otros!$F$4</f>
        <v>56.05979711692472</v>
      </c>
      <c r="BD35" s="7">
        <f>+D35/($D$35+$D$45+$D$47)*Referencias_Otros!$F$5</f>
        <v>28.02989855846236</v>
      </c>
      <c r="BE35" s="7">
        <f>+D35/($D$35+$D$45+$D$47)*Referencias_Otros!$F$11-BC35-BD35</f>
        <v>8.6892685531233376</v>
      </c>
    </row>
    <row r="36" spans="1:57" ht="15" customHeight="1">
      <c r="A36" s="3" t="s">
        <v>340</v>
      </c>
      <c r="B36" s="18" t="s">
        <v>223</v>
      </c>
      <c r="C36" s="17" t="s">
        <v>422</v>
      </c>
      <c r="D36" s="52">
        <v>3000</v>
      </c>
      <c r="E36" s="9" t="s">
        <v>237</v>
      </c>
      <c r="F36" s="3">
        <v>0</v>
      </c>
      <c r="G36" s="3">
        <v>0</v>
      </c>
      <c r="H36" s="3">
        <v>7</v>
      </c>
      <c r="I36" s="3">
        <v>12</v>
      </c>
      <c r="J36" s="3">
        <v>10</v>
      </c>
      <c r="K36" s="3">
        <v>0</v>
      </c>
      <c r="L36" s="3">
        <f t="shared" si="19"/>
        <v>29</v>
      </c>
      <c r="W36" s="27"/>
      <c r="X36" s="27"/>
      <c r="Y36" s="27"/>
      <c r="AC36" s="21"/>
      <c r="AD36" s="21"/>
      <c r="AE36" s="21"/>
      <c r="AF36" s="21"/>
      <c r="AG36" s="3"/>
      <c r="AH36" s="21"/>
      <c r="AI36" s="21"/>
    </row>
    <row r="37" spans="1:57" ht="15" customHeight="1">
      <c r="A37" s="9" t="s">
        <v>342</v>
      </c>
      <c r="B37" s="3" t="s">
        <v>256</v>
      </c>
      <c r="C37" s="13" t="s">
        <v>268</v>
      </c>
      <c r="D37" s="52">
        <f>+Referencias_M.Tierras!V15*1000</f>
        <v>3000</v>
      </c>
      <c r="E37" s="9" t="s">
        <v>260</v>
      </c>
      <c r="F37" s="3">
        <v>0</v>
      </c>
      <c r="G37" s="3">
        <v>3</v>
      </c>
      <c r="H37" s="3">
        <v>0</v>
      </c>
      <c r="I37" s="3">
        <v>0</v>
      </c>
      <c r="J37" s="3">
        <v>0</v>
      </c>
      <c r="K37" s="3">
        <v>0</v>
      </c>
      <c r="L37" s="3">
        <f t="shared" si="19"/>
        <v>3</v>
      </c>
      <c r="N37" s="7">
        <f>+Referencias_M.Tierras!C14</f>
        <v>15000</v>
      </c>
      <c r="O37" s="7">
        <f>+Referencias_M.Tierras!D14</f>
        <v>35000</v>
      </c>
      <c r="P37" s="7">
        <f>+Referencias_M.Tierras!E14+Referencias_M.Tierras!F14</f>
        <v>-1814</v>
      </c>
      <c r="Q37" s="7">
        <f>SUBTOTAL(9,N37:P37)</f>
        <v>48186</v>
      </c>
      <c r="S37" s="25" t="s">
        <v>314</v>
      </c>
      <c r="T37" s="7">
        <f>+Q37</f>
        <v>48186</v>
      </c>
      <c r="W37" s="27">
        <v>3</v>
      </c>
      <c r="X37" s="27"/>
      <c r="Y37" s="27"/>
      <c r="AA37" s="3">
        <f t="shared" si="3"/>
        <v>350</v>
      </c>
      <c r="AB37" s="3">
        <f t="shared" si="4"/>
        <v>150</v>
      </c>
      <c r="AC37" s="21">
        <f t="shared" ref="AC37:AC78" si="65">+(1.6*SUM($O$2:$O$91)+2.6*SUM($N$2:$N$91))/SUM($N$2:$O$91)*Q37</f>
        <v>83022.912812447059</v>
      </c>
      <c r="AD37" s="21">
        <f t="shared" si="5"/>
        <v>0</v>
      </c>
      <c r="AE37" s="21"/>
      <c r="AF37" s="21"/>
      <c r="AG37" s="3">
        <f>+D37*10/2.5*4/1000</f>
        <v>48</v>
      </c>
      <c r="AH37" s="21">
        <f t="shared" si="6"/>
        <v>10325.571428571429</v>
      </c>
      <c r="AI37" s="21"/>
      <c r="AJ37" s="24">
        <f t="shared" ref="AJ37:AJ40" si="66">+IF(F37&lt;&gt;0,1,0)</f>
        <v>0</v>
      </c>
      <c r="AK37" s="3">
        <f>+IF(AJ37&gt;0,0,IF(G37&lt;&gt;0,1,0))</f>
        <v>1</v>
      </c>
      <c r="AL37" s="3">
        <f>+IF(AK37+AJ37&gt;0,0,IF(H37&lt;&gt;0,1,0))</f>
        <v>0</v>
      </c>
      <c r="AM37" s="3">
        <f>+IF(AK37+AJ37+AL37&gt;0,0,IF(I37&lt;&gt;0,1,0))</f>
        <v>0</v>
      </c>
      <c r="AN37" s="3">
        <f>+IF(+AJ37+AL37+AK37+AM37&gt;0,0,IF(J37&lt;&gt;0,1,0))</f>
        <v>0</v>
      </c>
      <c r="AO37" s="3">
        <f>+IF(+AJ37+AK37+AM37+AL37+AN37&gt;0,0,IF(K37&lt;&gt;0,1,0))</f>
        <v>0</v>
      </c>
      <c r="AP37" s="3">
        <f t="shared" ref="AP37:AU39" si="67">+F37-AJ37</f>
        <v>0</v>
      </c>
      <c r="AQ37" s="3">
        <f t="shared" si="67"/>
        <v>2</v>
      </c>
      <c r="AR37" s="3">
        <f t="shared" si="67"/>
        <v>0</v>
      </c>
      <c r="AS37" s="3">
        <f t="shared" si="67"/>
        <v>0</v>
      </c>
      <c r="AT37" s="3">
        <f t="shared" si="67"/>
        <v>0</v>
      </c>
      <c r="AU37" s="3">
        <f t="shared" si="67"/>
        <v>0</v>
      </c>
    </row>
    <row r="38" spans="1:57" ht="15" customHeight="1">
      <c r="A38" s="9" t="s">
        <v>342</v>
      </c>
      <c r="B38" s="3" t="s">
        <v>256</v>
      </c>
      <c r="C38" s="13" t="s">
        <v>267</v>
      </c>
      <c r="D38" s="52">
        <f>+Referencias_M.Tierras!V16*1000</f>
        <v>1500</v>
      </c>
      <c r="E38" s="9" t="s">
        <v>260</v>
      </c>
      <c r="F38" s="3">
        <v>0</v>
      </c>
      <c r="G38" s="3">
        <v>5</v>
      </c>
      <c r="H38" s="3">
        <v>0</v>
      </c>
      <c r="I38" s="3">
        <v>0</v>
      </c>
      <c r="J38" s="3">
        <v>0</v>
      </c>
      <c r="K38" s="3">
        <v>0</v>
      </c>
      <c r="L38" s="3">
        <f t="shared" si="19"/>
        <v>5</v>
      </c>
      <c r="N38" s="7">
        <f>+Referencias_M.Tierras!C15</f>
        <v>106000</v>
      </c>
      <c r="O38" s="7">
        <f>+Referencias_M.Tierras!D15</f>
        <v>155000</v>
      </c>
      <c r="P38" s="7">
        <f>+Referencias_M.Tierras!E15+Referencias_M.Tierras!F15</f>
        <v>-25500</v>
      </c>
      <c r="Q38" s="7">
        <f>SUBTOTAL(9,N38:P38)</f>
        <v>235500</v>
      </c>
      <c r="S38" s="25" t="s">
        <v>312</v>
      </c>
      <c r="T38" s="7">
        <f>+Referencias_M.Tierras!U15</f>
        <v>94381</v>
      </c>
      <c r="U38" s="7">
        <f>+Referencias_M.Tierras!Q15</f>
        <v>141119</v>
      </c>
      <c r="W38" s="27">
        <v>1.5</v>
      </c>
      <c r="X38" s="27">
        <v>1.5</v>
      </c>
      <c r="Y38" s="27"/>
      <c r="AA38" s="3">
        <f t="shared" si="3"/>
        <v>1550</v>
      </c>
      <c r="AB38" s="3">
        <f t="shared" si="4"/>
        <v>1060</v>
      </c>
      <c r="AC38" s="21">
        <f t="shared" si="65"/>
        <v>405758.85044061102</v>
      </c>
      <c r="AD38" s="21">
        <f t="shared" si="5"/>
        <v>0</v>
      </c>
      <c r="AE38" s="21"/>
      <c r="AF38" s="21"/>
      <c r="AG38" s="3">
        <f>+D38*10/2.5*4/1000</f>
        <v>24</v>
      </c>
      <c r="AH38" s="21">
        <f t="shared" si="6"/>
        <v>25232.142857142859</v>
      </c>
      <c r="AI38" s="21"/>
      <c r="AJ38" s="24">
        <f t="shared" si="66"/>
        <v>0</v>
      </c>
      <c r="AK38" s="3">
        <f>+IF(AJ38&gt;0,0,IF(G38&lt;&gt;0,1,0))</f>
        <v>1</v>
      </c>
      <c r="AL38" s="3">
        <f>+IF(AK38+AJ38&gt;0,0,IF(H38&lt;&gt;0,1,0))</f>
        <v>0</v>
      </c>
      <c r="AM38" s="3">
        <f>+IF(AK38+AJ38+AL38&gt;0,0,IF(I38&lt;&gt;0,1,0))</f>
        <v>0</v>
      </c>
      <c r="AN38" s="3">
        <f>+IF(+AJ38+AL38+AK38+AM38&gt;0,0,IF(J38&lt;&gt;0,1,0))</f>
        <v>0</v>
      </c>
      <c r="AO38" s="3">
        <f>+IF(+AJ38+AK38+AM38+AL38+AN38&gt;0,0,IF(K38&lt;&gt;0,1,0))</f>
        <v>0</v>
      </c>
      <c r="AP38" s="3">
        <f t="shared" si="67"/>
        <v>0</v>
      </c>
      <c r="AQ38" s="3">
        <f t="shared" si="67"/>
        <v>4</v>
      </c>
      <c r="AR38" s="3">
        <f t="shared" si="67"/>
        <v>0</v>
      </c>
      <c r="AS38" s="3">
        <f t="shared" si="67"/>
        <v>0</v>
      </c>
      <c r="AT38" s="3">
        <f t="shared" si="67"/>
        <v>0</v>
      </c>
      <c r="AU38" s="3">
        <f t="shared" si="67"/>
        <v>0</v>
      </c>
    </row>
    <row r="39" spans="1:57" ht="15" customHeight="1">
      <c r="A39" s="9" t="s">
        <v>342</v>
      </c>
      <c r="B39" s="3" t="s">
        <v>256</v>
      </c>
      <c r="C39" s="13" t="s">
        <v>266</v>
      </c>
      <c r="D39" s="52">
        <f>+Referencias_Dimensiones!C84*1000-'Base de Datos Obras'!D29-'Base de Datos Obras'!D37-'Base de Datos Obras'!D38</f>
        <v>7600</v>
      </c>
      <c r="E39" s="9" t="s">
        <v>260</v>
      </c>
      <c r="F39" s="3">
        <v>0</v>
      </c>
      <c r="G39" s="3">
        <v>0</v>
      </c>
      <c r="H39" s="3">
        <v>7</v>
      </c>
      <c r="I39" s="3">
        <v>0</v>
      </c>
      <c r="J39" s="3">
        <v>0</v>
      </c>
      <c r="K39" s="3">
        <v>0</v>
      </c>
      <c r="L39" s="3">
        <f t="shared" si="19"/>
        <v>7</v>
      </c>
      <c r="N39" s="7">
        <f>+Referencias_M.Tierras!C17</f>
        <v>25000</v>
      </c>
      <c r="O39" s="7">
        <f>+Referencias_M.Tierras!D17</f>
        <v>69691</v>
      </c>
      <c r="P39" s="7">
        <f>+Referencias_M.Tierras!E17+Referencias_M.Tierras!F17</f>
        <v>-34000</v>
      </c>
      <c r="Q39" s="7">
        <f>SUBTOTAL(9,N39:P39)</f>
        <v>60691</v>
      </c>
      <c r="S39" s="25" t="s">
        <v>315</v>
      </c>
      <c r="T39" s="7">
        <f>+Q39</f>
        <v>60691</v>
      </c>
      <c r="W39" s="10">
        <v>7.6</v>
      </c>
      <c r="AA39" s="3">
        <f t="shared" si="3"/>
        <v>696.91</v>
      </c>
      <c r="AB39" s="3">
        <f t="shared" si="4"/>
        <v>250</v>
      </c>
      <c r="AC39" s="21">
        <f t="shared" si="65"/>
        <v>104568.6216224676</v>
      </c>
      <c r="AD39" s="21">
        <f t="shared" si="5"/>
        <v>0</v>
      </c>
      <c r="AE39" s="21"/>
      <c r="AF39" s="21"/>
      <c r="AG39" s="3">
        <f>+D39*10/2.5*4/1000</f>
        <v>121.6</v>
      </c>
      <c r="AH39" s="21">
        <f t="shared" si="6"/>
        <v>32946.542857142857</v>
      </c>
      <c r="AI39" s="21"/>
      <c r="AJ39" s="24">
        <f t="shared" si="66"/>
        <v>0</v>
      </c>
      <c r="AK39" s="3">
        <f>+IF(AJ39&gt;0,0,IF(G39&lt;&gt;0,1,0))</f>
        <v>0</v>
      </c>
      <c r="AL39" s="3">
        <f>+IF(AK39+AJ39&gt;0,0,IF(H39&lt;&gt;0,1,0))</f>
        <v>1</v>
      </c>
      <c r="AM39" s="3">
        <f>+IF(AK39+AJ39+AL39&gt;0,0,IF(I39&lt;&gt;0,1,0))</f>
        <v>0</v>
      </c>
      <c r="AN39" s="3">
        <f>+IF(+AJ39+AL39+AK39+AM39&gt;0,0,IF(J39&lt;&gt;0,1,0))</f>
        <v>0</v>
      </c>
      <c r="AO39" s="3">
        <f>+IF(+AJ39+AK39+AM39+AL39+AN39&gt;0,0,IF(K39&lt;&gt;0,1,0))</f>
        <v>0</v>
      </c>
      <c r="AP39" s="3">
        <f t="shared" si="67"/>
        <v>0</v>
      </c>
      <c r="AQ39" s="3">
        <f t="shared" si="67"/>
        <v>0</v>
      </c>
      <c r="AR39" s="3">
        <f t="shared" si="67"/>
        <v>6</v>
      </c>
      <c r="AS39" s="3">
        <f t="shared" si="67"/>
        <v>0</v>
      </c>
      <c r="AT39" s="3">
        <f t="shared" si="67"/>
        <v>0</v>
      </c>
      <c r="AU39" s="3">
        <f t="shared" si="67"/>
        <v>0</v>
      </c>
    </row>
    <row r="40" spans="1:57" ht="15" customHeight="1">
      <c r="A40" s="9" t="s">
        <v>342</v>
      </c>
      <c r="B40" s="3" t="s">
        <v>256</v>
      </c>
      <c r="C40" s="13" t="s">
        <v>265</v>
      </c>
      <c r="D40" s="52">
        <f>+Referencias_Dimensiones!C11*10000</f>
        <v>55500</v>
      </c>
      <c r="E40" s="9" t="s">
        <v>237</v>
      </c>
      <c r="F40" s="3">
        <v>0</v>
      </c>
      <c r="G40" s="3">
        <v>1</v>
      </c>
      <c r="H40" s="3">
        <v>0</v>
      </c>
      <c r="I40" s="3">
        <v>0</v>
      </c>
      <c r="J40" s="3">
        <v>0</v>
      </c>
      <c r="K40" s="3">
        <v>0</v>
      </c>
      <c r="L40" s="3">
        <f t="shared" si="19"/>
        <v>1</v>
      </c>
      <c r="M40" s="7">
        <f>0.2*D40</f>
        <v>11100</v>
      </c>
      <c r="Q40" s="7">
        <f>+M40</f>
        <v>11100</v>
      </c>
      <c r="S40" s="26" t="s">
        <v>314</v>
      </c>
      <c r="T40" s="7">
        <f>+Q40</f>
        <v>11100</v>
      </c>
      <c r="W40" s="27">
        <v>0</v>
      </c>
      <c r="X40" s="27"/>
      <c r="Y40" s="27"/>
      <c r="Z40" s="24">
        <f>+IF(M40&lt;&gt;0,D40/2,0)/1000</f>
        <v>27.75</v>
      </c>
      <c r="AA40" s="3">
        <f t="shared" si="3"/>
        <v>0</v>
      </c>
      <c r="AB40" s="3">
        <f t="shared" si="4"/>
        <v>0</v>
      </c>
      <c r="AC40" s="21">
        <f t="shared" si="65"/>
        <v>19124.939447519246</v>
      </c>
      <c r="AD40" s="21">
        <f t="shared" si="5"/>
        <v>0</v>
      </c>
      <c r="AE40" s="21"/>
      <c r="AF40" s="21"/>
      <c r="AG40" s="3"/>
      <c r="AH40" s="21">
        <f t="shared" si="6"/>
        <v>0</v>
      </c>
      <c r="AI40" s="21"/>
      <c r="AJ40" s="24">
        <f t="shared" si="66"/>
        <v>0</v>
      </c>
      <c r="AK40" s="3">
        <f>+IF(AJ40&gt;0,0,IF(G40&lt;&gt;0,1,0))</f>
        <v>1</v>
      </c>
      <c r="AL40" s="3">
        <f>+IF(AK40+AJ40&gt;0,0,IF(H40&lt;&gt;0,1,0))</f>
        <v>0</v>
      </c>
      <c r="AM40" s="3">
        <f>+IF(AK40+AJ40+AL40&gt;0,0,IF(I40&lt;&gt;0,1,0))</f>
        <v>0</v>
      </c>
      <c r="AN40" s="3">
        <f>+IF(+AJ40+AL40+AK40+AM40&gt;0,0,IF(J40&lt;&gt;0,1,0))</f>
        <v>0</v>
      </c>
      <c r="AO40" s="3">
        <f>+IF(+AJ40+AK40+AM40+AL40+AN40&gt;0,0,IF(K40&lt;&gt;0,1,0))</f>
        <v>0</v>
      </c>
    </row>
    <row r="41" spans="1:57">
      <c r="A41" s="9" t="s">
        <v>342</v>
      </c>
      <c r="B41" s="3" t="s">
        <v>247</v>
      </c>
      <c r="C41" s="13" t="s">
        <v>264</v>
      </c>
      <c r="D41" s="52">
        <v>2400</v>
      </c>
      <c r="E41" s="9" t="s">
        <v>260</v>
      </c>
      <c r="F41" s="3">
        <v>0</v>
      </c>
      <c r="G41" s="3">
        <v>2</v>
      </c>
      <c r="H41" s="21">
        <v>12</v>
      </c>
      <c r="I41" s="3">
        <v>6</v>
      </c>
      <c r="J41" s="3">
        <v>0</v>
      </c>
      <c r="K41" s="3">
        <v>0</v>
      </c>
      <c r="L41" s="3">
        <f t="shared" si="19"/>
        <v>20</v>
      </c>
      <c r="R41" s="7">
        <f>+Referencias_M.Tierras!$H$20*D41/($D$41+$D$43+$D$44)</f>
        <v>80030.117647058825</v>
      </c>
      <c r="S41" s="25" t="s">
        <v>314</v>
      </c>
      <c r="T41" s="7">
        <f t="shared" ref="T41:T42" si="68">+R41</f>
        <v>80030.117647058825</v>
      </c>
      <c r="W41" s="27">
        <v>3</v>
      </c>
      <c r="X41" s="27"/>
      <c r="Y41" s="27"/>
      <c r="AA41" s="3">
        <f t="shared" si="3"/>
        <v>0</v>
      </c>
      <c r="AB41" s="3">
        <f t="shared" si="4"/>
        <v>0</v>
      </c>
      <c r="AC41" s="21">
        <f t="shared" si="65"/>
        <v>0</v>
      </c>
      <c r="AD41" s="21">
        <f t="shared" si="5"/>
        <v>208078.30588235296</v>
      </c>
      <c r="AE41" s="21">
        <f t="shared" ref="AE41:AE45" si="69">+R41/51.2</f>
        <v>1563.0882352941176</v>
      </c>
      <c r="AF41" s="21"/>
      <c r="AG41" s="3"/>
      <c r="AH41" s="21">
        <f t="shared" si="6"/>
        <v>17149.310924369747</v>
      </c>
      <c r="AI41" s="21"/>
      <c r="AP41" s="3">
        <f t="shared" ref="AP41:AU45" si="70">+F41-AJ41</f>
        <v>0</v>
      </c>
      <c r="AQ41" s="3">
        <f t="shared" si="70"/>
        <v>2</v>
      </c>
      <c r="AR41" s="3">
        <f t="shared" si="70"/>
        <v>12</v>
      </c>
      <c r="AS41" s="3">
        <f t="shared" si="70"/>
        <v>6</v>
      </c>
      <c r="AT41" s="3">
        <f t="shared" si="70"/>
        <v>0</v>
      </c>
      <c r="AU41" s="3">
        <f t="shared" si="70"/>
        <v>0</v>
      </c>
    </row>
    <row r="42" spans="1:57">
      <c r="A42" s="9" t="s">
        <v>342</v>
      </c>
      <c r="B42" s="3" t="s">
        <v>247</v>
      </c>
      <c r="C42" s="13" t="s">
        <v>263</v>
      </c>
      <c r="D42" s="52">
        <v>1500</v>
      </c>
      <c r="E42" s="9" t="s">
        <v>237</v>
      </c>
      <c r="F42" s="3">
        <v>0</v>
      </c>
      <c r="G42" s="3">
        <v>0</v>
      </c>
      <c r="H42" s="3">
        <v>0</v>
      </c>
      <c r="I42" s="3">
        <v>6</v>
      </c>
      <c r="J42" s="3">
        <v>3</v>
      </c>
      <c r="K42" s="3">
        <v>0</v>
      </c>
      <c r="L42" s="3">
        <f t="shared" si="19"/>
        <v>9</v>
      </c>
      <c r="R42" s="7">
        <f>+Referencias_M.Tierras!H19</f>
        <v>14160</v>
      </c>
      <c r="S42" s="25" t="s">
        <v>314</v>
      </c>
      <c r="T42" s="7">
        <f t="shared" si="68"/>
        <v>14160</v>
      </c>
      <c r="W42" s="27">
        <v>14.2</v>
      </c>
      <c r="X42" s="27"/>
      <c r="Y42" s="27"/>
      <c r="AA42" s="3">
        <f t="shared" si="3"/>
        <v>0</v>
      </c>
      <c r="AB42" s="3">
        <f t="shared" si="4"/>
        <v>0</v>
      </c>
      <c r="AC42" s="21">
        <f t="shared" si="65"/>
        <v>0</v>
      </c>
      <c r="AD42" s="21">
        <f t="shared" si="5"/>
        <v>36816</v>
      </c>
      <c r="AE42" s="21">
        <f t="shared" si="69"/>
        <v>276.5625</v>
      </c>
      <c r="AF42" s="21"/>
      <c r="AG42" s="3"/>
      <c r="AH42" s="21">
        <f t="shared" si="6"/>
        <v>14362.285714285714</v>
      </c>
      <c r="AI42" s="21"/>
      <c r="AP42" s="3">
        <f t="shared" si="70"/>
        <v>0</v>
      </c>
      <c r="AQ42" s="3">
        <f t="shared" si="70"/>
        <v>0</v>
      </c>
      <c r="AR42" s="3">
        <f t="shared" si="70"/>
        <v>0</v>
      </c>
      <c r="AS42" s="3">
        <f t="shared" si="70"/>
        <v>6</v>
      </c>
      <c r="AT42" s="3">
        <f t="shared" si="70"/>
        <v>3</v>
      </c>
      <c r="AU42" s="3">
        <f t="shared" si="70"/>
        <v>0</v>
      </c>
    </row>
    <row r="43" spans="1:57">
      <c r="A43" s="9" t="s">
        <v>342</v>
      </c>
      <c r="B43" s="3" t="s">
        <v>247</v>
      </c>
      <c r="C43" s="13" t="s">
        <v>262</v>
      </c>
      <c r="D43" s="52">
        <v>1000</v>
      </c>
      <c r="E43" s="9" t="s">
        <v>260</v>
      </c>
      <c r="F43" s="3">
        <v>0</v>
      </c>
      <c r="G43" s="3">
        <v>0</v>
      </c>
      <c r="H43" s="3">
        <v>0</v>
      </c>
      <c r="I43" s="3">
        <v>5</v>
      </c>
      <c r="J43" s="3">
        <v>10</v>
      </c>
      <c r="K43" s="3">
        <v>0</v>
      </c>
      <c r="L43" s="3">
        <f t="shared" si="19"/>
        <v>15</v>
      </c>
      <c r="R43" s="7">
        <f>+Referencias_M.Tierras!$H$20*D43/($D$41+$D$43+$D$44)</f>
        <v>33345.882352941175</v>
      </c>
      <c r="S43" s="25" t="s">
        <v>314</v>
      </c>
      <c r="T43" s="7">
        <f t="shared" ref="T43:T44" si="71">+R43</f>
        <v>33345.882352941175</v>
      </c>
      <c r="W43" s="27">
        <v>0</v>
      </c>
      <c r="X43" s="27"/>
      <c r="Y43" s="27"/>
      <c r="AA43" s="3">
        <f t="shared" si="3"/>
        <v>0</v>
      </c>
      <c r="AB43" s="3">
        <f t="shared" si="4"/>
        <v>0</v>
      </c>
      <c r="AC43" s="21">
        <f t="shared" si="65"/>
        <v>0</v>
      </c>
      <c r="AD43" s="21">
        <f t="shared" si="5"/>
        <v>86699.294117647063</v>
      </c>
      <c r="AE43" s="21">
        <f t="shared" si="69"/>
        <v>651.28676470588232</v>
      </c>
      <c r="AF43" s="21"/>
      <c r="AG43" s="3"/>
      <c r="AH43" s="21">
        <f t="shared" si="6"/>
        <v>0</v>
      </c>
      <c r="AI43" s="21"/>
      <c r="AP43" s="3">
        <f t="shared" si="70"/>
        <v>0</v>
      </c>
      <c r="AQ43" s="3">
        <f t="shared" si="70"/>
        <v>0</v>
      </c>
      <c r="AR43" s="3">
        <f t="shared" si="70"/>
        <v>0</v>
      </c>
      <c r="AS43" s="3">
        <f t="shared" si="70"/>
        <v>5</v>
      </c>
      <c r="AT43" s="3">
        <f t="shared" si="70"/>
        <v>10</v>
      </c>
      <c r="AU43" s="3">
        <f t="shared" si="70"/>
        <v>0</v>
      </c>
    </row>
    <row r="44" spans="1:57">
      <c r="A44" s="9" t="s">
        <v>342</v>
      </c>
      <c r="B44" s="3" t="s">
        <v>247</v>
      </c>
      <c r="C44" s="13" t="s">
        <v>261</v>
      </c>
      <c r="D44" s="52">
        <v>3400</v>
      </c>
      <c r="E44" s="9" t="s">
        <v>260</v>
      </c>
      <c r="F44" s="3">
        <v>0</v>
      </c>
      <c r="G44" s="3">
        <v>0</v>
      </c>
      <c r="H44" s="3">
        <v>0</v>
      </c>
      <c r="I44" s="3">
        <v>7</v>
      </c>
      <c r="J44" s="3">
        <v>3</v>
      </c>
      <c r="K44" s="3">
        <v>0</v>
      </c>
      <c r="L44" s="3">
        <f t="shared" si="19"/>
        <v>10</v>
      </c>
      <c r="R44" s="7">
        <f>+Referencias_M.Tierras!$H$20*D44/($D$41+$D$43+$D$44)</f>
        <v>113376</v>
      </c>
      <c r="S44" s="25" t="s">
        <v>314</v>
      </c>
      <c r="T44" s="7">
        <f t="shared" si="71"/>
        <v>113376</v>
      </c>
      <c r="W44" s="27">
        <v>10.5</v>
      </c>
      <c r="X44" s="27"/>
      <c r="Y44" s="27"/>
      <c r="AA44" s="3">
        <f t="shared" si="3"/>
        <v>0</v>
      </c>
      <c r="AB44" s="3">
        <f t="shared" si="4"/>
        <v>0</v>
      </c>
      <c r="AC44" s="21">
        <f t="shared" si="65"/>
        <v>0</v>
      </c>
      <c r="AD44" s="21">
        <f t="shared" si="5"/>
        <v>294777.60000000003</v>
      </c>
      <c r="AE44" s="21">
        <f t="shared" si="69"/>
        <v>2214.375</v>
      </c>
      <c r="AF44" s="21"/>
      <c r="AG44" s="3"/>
      <c r="AH44" s="21">
        <f t="shared" si="6"/>
        <v>85032</v>
      </c>
      <c r="AI44" s="21"/>
      <c r="AP44" s="3">
        <f t="shared" si="70"/>
        <v>0</v>
      </c>
      <c r="AQ44" s="3">
        <f t="shared" si="70"/>
        <v>0</v>
      </c>
      <c r="AR44" s="3">
        <f t="shared" si="70"/>
        <v>0</v>
      </c>
      <c r="AS44" s="3">
        <f t="shared" si="70"/>
        <v>7</v>
      </c>
      <c r="AT44" s="3">
        <f t="shared" si="70"/>
        <v>3</v>
      </c>
      <c r="AU44" s="3">
        <f t="shared" si="70"/>
        <v>0</v>
      </c>
    </row>
    <row r="45" spans="1:57">
      <c r="A45" s="9" t="s">
        <v>342</v>
      </c>
      <c r="B45" s="3" t="s">
        <v>247</v>
      </c>
      <c r="C45" s="13" t="s">
        <v>259</v>
      </c>
      <c r="D45" s="52">
        <v>73000</v>
      </c>
      <c r="E45" s="9" t="s">
        <v>237</v>
      </c>
      <c r="F45" s="3">
        <v>0</v>
      </c>
      <c r="G45" s="3">
        <v>0</v>
      </c>
      <c r="H45" s="3">
        <v>0</v>
      </c>
      <c r="I45" s="3">
        <v>3</v>
      </c>
      <c r="J45" s="3">
        <v>2</v>
      </c>
      <c r="K45" s="3">
        <v>0</v>
      </c>
      <c r="L45" s="3">
        <f t="shared" si="19"/>
        <v>5</v>
      </c>
      <c r="R45" s="7">
        <f>+Referencias_M.Tierras!H18</f>
        <v>59360</v>
      </c>
      <c r="S45" s="25" t="s">
        <v>315</v>
      </c>
      <c r="T45" s="7">
        <f t="shared" ref="T45" si="72">+R45</f>
        <v>59360</v>
      </c>
      <c r="W45" s="10">
        <v>7.6</v>
      </c>
      <c r="AA45" s="3">
        <f t="shared" si="3"/>
        <v>0</v>
      </c>
      <c r="AB45" s="3">
        <f t="shared" si="4"/>
        <v>0</v>
      </c>
      <c r="AC45" s="21">
        <f t="shared" si="65"/>
        <v>0</v>
      </c>
      <c r="AD45" s="21">
        <f t="shared" si="5"/>
        <v>154336</v>
      </c>
      <c r="AE45" s="21">
        <f t="shared" si="69"/>
        <v>1159.375</v>
      </c>
      <c r="AF45" s="21"/>
      <c r="AG45" s="3"/>
      <c r="AH45" s="21">
        <f t="shared" si="6"/>
        <v>32224</v>
      </c>
      <c r="AI45" s="21"/>
      <c r="AP45" s="3">
        <f t="shared" si="70"/>
        <v>0</v>
      </c>
      <c r="AQ45" s="3">
        <f t="shared" si="70"/>
        <v>0</v>
      </c>
      <c r="AR45" s="3">
        <f t="shared" si="70"/>
        <v>0</v>
      </c>
      <c r="AS45" s="3">
        <f t="shared" si="70"/>
        <v>3</v>
      </c>
      <c r="AT45" s="3">
        <f t="shared" si="70"/>
        <v>2</v>
      </c>
      <c r="AU45" s="3">
        <f t="shared" si="70"/>
        <v>0</v>
      </c>
      <c r="BC45" s="25">
        <f>+D45/($D$35+$D$45+$D$47)*Referencias_Otros!$F$4</f>
        <v>9743.7266417512019</v>
      </c>
      <c r="BD45" s="7">
        <f>+D45/($D$35+$D$45+$D$47)*Referencias_Otros!$F$5</f>
        <v>4871.8633208756009</v>
      </c>
      <c r="BE45" s="7">
        <f>+D45/($D$35+$D$45+$D$47)*Referencias_Otros!$F$11-BC45-BD45</f>
        <v>1510.2776294714358</v>
      </c>
    </row>
    <row r="46" spans="1:57" ht="15" customHeight="1">
      <c r="A46" s="9" t="s">
        <v>342</v>
      </c>
      <c r="B46" s="3" t="s">
        <v>247</v>
      </c>
      <c r="C46" s="17" t="s">
        <v>258</v>
      </c>
      <c r="D46" s="52">
        <f>+Referencias_M.Tierras!S23</f>
        <v>620000</v>
      </c>
      <c r="E46" s="9" t="s">
        <v>224</v>
      </c>
      <c r="F46" s="3">
        <v>0</v>
      </c>
      <c r="G46" s="3">
        <v>5</v>
      </c>
      <c r="H46" s="3">
        <v>0</v>
      </c>
      <c r="I46" s="3">
        <v>0</v>
      </c>
      <c r="J46" s="3">
        <v>0</v>
      </c>
      <c r="K46" s="3">
        <v>0</v>
      </c>
      <c r="L46" s="3">
        <f t="shared" si="19"/>
        <v>5</v>
      </c>
      <c r="P46" s="7">
        <f>-T37-U38-T40-T41-T42-T43-T44-U49-T61</f>
        <v>-620000</v>
      </c>
      <c r="W46" s="7"/>
      <c r="X46" s="7"/>
      <c r="Y46" s="7"/>
      <c r="AA46" s="3">
        <f t="shared" si="3"/>
        <v>0</v>
      </c>
      <c r="AB46" s="3">
        <f t="shared" si="4"/>
        <v>0</v>
      </c>
      <c r="AC46" s="21">
        <f t="shared" si="65"/>
        <v>0</v>
      </c>
      <c r="AD46" s="21">
        <f t="shared" si="5"/>
        <v>0</v>
      </c>
      <c r="AE46" s="21"/>
      <c r="AF46" s="21"/>
      <c r="AG46" s="27">
        <f>-P46/(Referencias_Dimensiones!C11*10000)/0.5*(Referencias_Dimensiones!C11*10000)*8/2.5/1000</f>
        <v>3968</v>
      </c>
      <c r="AH46" s="21">
        <f t="shared" si="6"/>
        <v>0</v>
      </c>
      <c r="AI46" s="21"/>
      <c r="AP46" s="3">
        <f t="shared" ref="AP46:AU46" si="73">+F46-AJ40</f>
        <v>0</v>
      </c>
      <c r="AQ46" s="3">
        <f t="shared" si="73"/>
        <v>4</v>
      </c>
      <c r="AR46" s="3">
        <f t="shared" si="73"/>
        <v>0</v>
      </c>
      <c r="AS46" s="3">
        <f t="shared" si="73"/>
        <v>0</v>
      </c>
      <c r="AT46" s="3">
        <f t="shared" si="73"/>
        <v>0</v>
      </c>
      <c r="AU46" s="3">
        <f t="shared" si="73"/>
        <v>0</v>
      </c>
    </row>
    <row r="47" spans="1:57" ht="15" customHeight="1">
      <c r="A47" s="9" t="s">
        <v>342</v>
      </c>
      <c r="B47" s="3" t="s">
        <v>247</v>
      </c>
      <c r="C47" s="17" t="s">
        <v>257</v>
      </c>
      <c r="D47" s="52">
        <v>1500</v>
      </c>
      <c r="E47" s="9" t="s">
        <v>237</v>
      </c>
      <c r="F47" s="3">
        <v>0</v>
      </c>
      <c r="G47" s="3">
        <v>0</v>
      </c>
      <c r="H47" s="3">
        <v>9</v>
      </c>
      <c r="I47" s="3">
        <v>11</v>
      </c>
      <c r="J47" s="3">
        <v>0</v>
      </c>
      <c r="K47" s="3">
        <v>0</v>
      </c>
      <c r="L47" s="3">
        <f t="shared" si="19"/>
        <v>20</v>
      </c>
      <c r="W47" s="7"/>
      <c r="X47" s="7"/>
      <c r="Y47" s="7"/>
      <c r="AA47" s="3">
        <f t="shared" si="3"/>
        <v>0</v>
      </c>
      <c r="AB47" s="3">
        <f t="shared" si="4"/>
        <v>0</v>
      </c>
      <c r="AC47" s="21">
        <f t="shared" si="65"/>
        <v>0</v>
      </c>
      <c r="AD47" s="21">
        <f t="shared" si="5"/>
        <v>0</v>
      </c>
      <c r="AE47" s="21"/>
      <c r="AF47" s="21"/>
      <c r="AG47" s="3"/>
      <c r="AH47" s="21">
        <f t="shared" si="6"/>
        <v>0</v>
      </c>
      <c r="AI47" s="21"/>
      <c r="BC47" s="25">
        <f>+D47/($D$35+$D$45+$D$47)*Referencias_Otros!$F$4</f>
        <v>200.213561131874</v>
      </c>
      <c r="BD47" s="7">
        <f>+D47/($D$35+$D$45+$D$47)*Referencias_Otros!$F$5</f>
        <v>100.106780565937</v>
      </c>
      <c r="BE47" s="7">
        <f>+D47/($D$35+$D$45+$D$47)*Referencias_Otros!$F$11-BC47-BD47</f>
        <v>31.033101975440488</v>
      </c>
    </row>
    <row r="48" spans="1:57" ht="15" customHeight="1">
      <c r="A48" s="9" t="s">
        <v>343</v>
      </c>
      <c r="B48" s="3" t="s">
        <v>256</v>
      </c>
      <c r="C48" s="17" t="s">
        <v>335</v>
      </c>
      <c r="D48" s="52" t="e">
        <f>-#REF!</f>
        <v>#REF!</v>
      </c>
      <c r="E48" s="9" t="s">
        <v>237</v>
      </c>
      <c r="F48" s="3">
        <v>0</v>
      </c>
      <c r="G48" s="3">
        <v>0</v>
      </c>
      <c r="H48" s="3">
        <v>1</v>
      </c>
      <c r="I48" s="3">
        <v>0</v>
      </c>
      <c r="J48" s="3">
        <v>0</v>
      </c>
      <c r="K48" s="3">
        <v>0</v>
      </c>
      <c r="L48" s="3">
        <f t="shared" si="19"/>
        <v>1</v>
      </c>
      <c r="M48" s="7" t="e">
        <f t="shared" ref="M48" si="74">0.1*D48</f>
        <v>#REF!</v>
      </c>
      <c r="Q48" s="7" t="e">
        <f>+M48</f>
        <v>#REF!</v>
      </c>
      <c r="S48" s="26" t="s">
        <v>328</v>
      </c>
      <c r="T48" s="7" t="e">
        <f t="shared" ref="T48" si="75">+Q48</f>
        <v>#REF!</v>
      </c>
      <c r="W48" s="7"/>
      <c r="X48" s="7"/>
      <c r="Y48" s="7"/>
      <c r="Z48" s="24" t="e">
        <f t="shared" ref="Z48" si="76">+IF(M48&lt;&gt;0,D48/2,0)/1000</f>
        <v>#REF!</v>
      </c>
      <c r="AA48" s="3">
        <f t="shared" si="3"/>
        <v>0</v>
      </c>
      <c r="AB48" s="3">
        <f t="shared" si="4"/>
        <v>0</v>
      </c>
      <c r="AC48" s="21" t="e">
        <f t="shared" si="65"/>
        <v>#REF!</v>
      </c>
      <c r="AD48" s="21">
        <f t="shared" si="5"/>
        <v>0</v>
      </c>
      <c r="AE48" s="21"/>
      <c r="AF48" s="21"/>
      <c r="AG48" s="3"/>
      <c r="AH48" s="21" t="e">
        <f>+(T48*W48+U48*X48+V48*Y48)/14</f>
        <v>#REF!</v>
      </c>
      <c r="AI48" s="21"/>
      <c r="AJ48" s="24">
        <f t="shared" ref="AJ48:AJ56" si="77">+IF(F48&lt;&gt;0,1,0)</f>
        <v>0</v>
      </c>
      <c r="AK48" s="3">
        <f t="shared" ref="AK48:AK56" si="78">+IF(AJ48&gt;0,0,IF(G48&lt;&gt;0,1,0))</f>
        <v>0</v>
      </c>
      <c r="AL48" s="3">
        <f t="shared" ref="AL48:AL57" si="79">+IF(AK48+AJ48&gt;0,0,IF(H48&lt;&gt;0,1,0))</f>
        <v>1</v>
      </c>
      <c r="AM48" s="3">
        <f t="shared" ref="AM48:AM57" si="80">+IF(AK48+AJ48+AL48&gt;0,0,IF(I48&lt;&gt;0,1,0))</f>
        <v>0</v>
      </c>
      <c r="AN48" s="3">
        <f t="shared" ref="AN48:AN57" si="81">+IF(+AJ48+AL48+AK48+AM48&gt;0,0,IF(J48&lt;&gt;0,1,0))</f>
        <v>0</v>
      </c>
      <c r="AO48" s="3">
        <f t="shared" ref="AO48:AO57" si="82">+IF(+AJ48+AK48+AM48+AL48+AN48&gt;0,0,IF(K48&lt;&gt;0,1,0))</f>
        <v>0</v>
      </c>
    </row>
    <row r="49" spans="1:47" ht="15" customHeight="1">
      <c r="A49" s="9" t="s">
        <v>343</v>
      </c>
      <c r="B49" s="3" t="s">
        <v>256</v>
      </c>
      <c r="C49" s="20" t="s">
        <v>44</v>
      </c>
      <c r="D49" s="52">
        <v>500</v>
      </c>
      <c r="E49" s="9" t="s">
        <v>260</v>
      </c>
      <c r="F49" s="3">
        <v>2</v>
      </c>
      <c r="G49" s="3">
        <v>1</v>
      </c>
      <c r="H49" s="3">
        <v>0</v>
      </c>
      <c r="I49" s="3">
        <v>0</v>
      </c>
      <c r="J49" s="3">
        <v>0</v>
      </c>
      <c r="K49" s="3">
        <v>0</v>
      </c>
      <c r="L49" s="3">
        <f t="shared" si="19"/>
        <v>3</v>
      </c>
      <c r="N49" s="7">
        <f>+Referencias_M.Tierras!C25</f>
        <v>0</v>
      </c>
      <c r="O49" s="7">
        <f>+Referencias_M.Tierras!D25</f>
        <v>12000</v>
      </c>
      <c r="P49" s="7">
        <f>+Referencias_M.Tierras!E25+Referencias_M.Tierras!F25</f>
        <v>-3800</v>
      </c>
      <c r="Q49" s="7">
        <f>SUBTOTAL(9,N49:P49)</f>
        <v>8200</v>
      </c>
      <c r="S49" s="26" t="s">
        <v>337</v>
      </c>
      <c r="T49" s="7">
        <v>5160</v>
      </c>
      <c r="U49" s="7">
        <f>8200-T49</f>
        <v>3040</v>
      </c>
      <c r="W49" s="27">
        <v>8.9</v>
      </c>
      <c r="X49" s="27">
        <v>6.7</v>
      </c>
      <c r="Y49" s="27"/>
      <c r="AA49" s="3">
        <f t="shared" si="3"/>
        <v>120</v>
      </c>
      <c r="AB49" s="3">
        <f t="shared" si="4"/>
        <v>0</v>
      </c>
      <c r="AC49" s="21">
        <f t="shared" si="65"/>
        <v>14128.333645915118</v>
      </c>
      <c r="AD49" s="21">
        <f t="shared" si="5"/>
        <v>0</v>
      </c>
      <c r="AE49" s="21"/>
      <c r="AF49" s="21"/>
      <c r="AG49" s="3">
        <f>+D49*10/2.5*4/1000</f>
        <v>8</v>
      </c>
      <c r="AI49" s="21">
        <f>+(T49*W49+U49*X49+V49*Y49)/14</f>
        <v>4735.1428571428569</v>
      </c>
      <c r="AJ49" s="24">
        <f t="shared" si="77"/>
        <v>1</v>
      </c>
      <c r="AK49" s="3">
        <f t="shared" si="78"/>
        <v>0</v>
      </c>
      <c r="AL49" s="3">
        <f t="shared" si="79"/>
        <v>0</v>
      </c>
      <c r="AM49" s="3">
        <f t="shared" si="80"/>
        <v>0</v>
      </c>
      <c r="AN49" s="3">
        <f t="shared" si="81"/>
        <v>0</v>
      </c>
      <c r="AO49" s="3">
        <f t="shared" si="82"/>
        <v>0</v>
      </c>
      <c r="AP49" s="3">
        <f t="shared" ref="AP49:AU50" si="83">+F49-AJ49</f>
        <v>1</v>
      </c>
      <c r="AQ49" s="3">
        <f t="shared" si="83"/>
        <v>1</v>
      </c>
      <c r="AR49" s="3">
        <f t="shared" si="83"/>
        <v>0</v>
      </c>
      <c r="AS49" s="3">
        <f t="shared" si="83"/>
        <v>0</v>
      </c>
      <c r="AT49" s="3">
        <f t="shared" si="83"/>
        <v>0</v>
      </c>
      <c r="AU49" s="3">
        <f t="shared" si="83"/>
        <v>0</v>
      </c>
    </row>
    <row r="50" spans="1:47" ht="15" customHeight="1">
      <c r="A50" s="9" t="s">
        <v>343</v>
      </c>
      <c r="B50" s="3" t="s">
        <v>256</v>
      </c>
      <c r="C50" s="19" t="s">
        <v>255</v>
      </c>
      <c r="D50" s="52">
        <f>+Referencias_M.Tierras!AF25*1000</f>
        <v>300</v>
      </c>
      <c r="E50" s="9" t="s">
        <v>260</v>
      </c>
      <c r="F50" s="3">
        <v>0</v>
      </c>
      <c r="G50" s="3">
        <v>0</v>
      </c>
      <c r="H50" s="3">
        <v>1</v>
      </c>
      <c r="I50" s="3">
        <v>0</v>
      </c>
      <c r="J50" s="3">
        <v>0</v>
      </c>
      <c r="K50" s="3">
        <v>0</v>
      </c>
      <c r="L50" s="3">
        <f t="shared" si="19"/>
        <v>1</v>
      </c>
      <c r="N50" s="7">
        <f>+Referencias_M.Tierras!C26</f>
        <v>140</v>
      </c>
      <c r="O50" s="7">
        <f>+Referencias_M.Tierras!D26</f>
        <v>13050</v>
      </c>
      <c r="P50" s="7">
        <f>+Referencias_M.Tierras!E26+Referencias_M.Tierras!F26</f>
        <v>-1490</v>
      </c>
      <c r="Q50" s="7">
        <f>SUBTOTAL(9,N50:P50)</f>
        <v>11700</v>
      </c>
      <c r="S50" s="25" t="s">
        <v>317</v>
      </c>
      <c r="T50" s="7">
        <f>+Q50</f>
        <v>11700</v>
      </c>
      <c r="W50" s="7">
        <v>0.5</v>
      </c>
      <c r="X50" s="7"/>
      <c r="Y50" s="7"/>
      <c r="AA50" s="3">
        <f t="shared" si="3"/>
        <v>130.5</v>
      </c>
      <c r="AB50" s="3">
        <f t="shared" si="4"/>
        <v>1.4</v>
      </c>
      <c r="AC50" s="21">
        <f t="shared" si="65"/>
        <v>20158.719958195961</v>
      </c>
      <c r="AD50" s="21">
        <f t="shared" si="5"/>
        <v>0</v>
      </c>
      <c r="AE50" s="21"/>
      <c r="AF50" s="21"/>
      <c r="AG50" s="3">
        <f>+D50*10/2.5*4/1000</f>
        <v>4.8</v>
      </c>
      <c r="AH50" s="21">
        <f t="shared" si="6"/>
        <v>417.85714285714283</v>
      </c>
      <c r="AI50" s="21"/>
      <c r="AJ50" s="24">
        <f t="shared" si="77"/>
        <v>0</v>
      </c>
      <c r="AK50" s="3">
        <f t="shared" si="78"/>
        <v>0</v>
      </c>
      <c r="AL50" s="3">
        <f t="shared" si="79"/>
        <v>1</v>
      </c>
      <c r="AM50" s="3">
        <f t="shared" si="80"/>
        <v>0</v>
      </c>
      <c r="AN50" s="3">
        <f t="shared" si="81"/>
        <v>0</v>
      </c>
      <c r="AO50" s="3">
        <f t="shared" si="82"/>
        <v>0</v>
      </c>
      <c r="AP50" s="3">
        <f t="shared" si="83"/>
        <v>0</v>
      </c>
      <c r="AQ50" s="3">
        <f t="shared" si="83"/>
        <v>0</v>
      </c>
      <c r="AR50" s="3">
        <f t="shared" si="83"/>
        <v>0</v>
      </c>
      <c r="AS50" s="3">
        <f t="shared" si="83"/>
        <v>0</v>
      </c>
      <c r="AT50" s="3">
        <f t="shared" si="83"/>
        <v>0</v>
      </c>
      <c r="AU50" s="3">
        <f t="shared" si="83"/>
        <v>0</v>
      </c>
    </row>
    <row r="51" spans="1:47" ht="15" customHeight="1">
      <c r="A51" s="9" t="s">
        <v>343</v>
      </c>
      <c r="B51" s="3" t="s">
        <v>256</v>
      </c>
      <c r="C51" s="13" t="s">
        <v>254</v>
      </c>
      <c r="D51" s="52">
        <v>21200</v>
      </c>
      <c r="E51" s="9" t="s">
        <v>237</v>
      </c>
      <c r="F51" s="3">
        <v>0</v>
      </c>
      <c r="G51" s="3">
        <v>0</v>
      </c>
      <c r="H51" s="3">
        <v>1</v>
      </c>
      <c r="I51" s="3">
        <v>0</v>
      </c>
      <c r="J51" s="3">
        <v>0</v>
      </c>
      <c r="K51" s="3">
        <v>0</v>
      </c>
      <c r="L51" s="3">
        <f t="shared" si="19"/>
        <v>1</v>
      </c>
      <c r="M51" s="7">
        <f t="shared" ref="M51:M57" si="84">0.2*D51</f>
        <v>4240</v>
      </c>
      <c r="Q51" s="7">
        <f t="shared" ref="Q51:Q57" si="85">+M51</f>
        <v>4240</v>
      </c>
      <c r="S51" s="26" t="s">
        <v>322</v>
      </c>
      <c r="T51" s="7">
        <f t="shared" ref="T51:T57" si="86">+Q51</f>
        <v>4240</v>
      </c>
      <c r="W51" s="10">
        <v>0</v>
      </c>
      <c r="Z51" s="24">
        <f t="shared" ref="Z51:Z57" si="87">+IF(M51&lt;&gt;0,D51/2,0)/1000</f>
        <v>10.6</v>
      </c>
      <c r="AA51" s="3">
        <f t="shared" si="3"/>
        <v>0</v>
      </c>
      <c r="AB51" s="3">
        <f t="shared" si="4"/>
        <v>0</v>
      </c>
      <c r="AC51" s="21">
        <f t="shared" si="65"/>
        <v>7305.3822754487928</v>
      </c>
      <c r="AD51" s="21">
        <f t="shared" si="5"/>
        <v>0</v>
      </c>
      <c r="AE51" s="21"/>
      <c r="AF51" s="21"/>
      <c r="AG51" s="3"/>
      <c r="AH51" s="21">
        <f t="shared" si="6"/>
        <v>0</v>
      </c>
      <c r="AI51" s="21"/>
      <c r="AJ51" s="24">
        <f t="shared" si="77"/>
        <v>0</v>
      </c>
      <c r="AK51" s="3">
        <f t="shared" si="78"/>
        <v>0</v>
      </c>
      <c r="AL51" s="3">
        <f t="shared" si="79"/>
        <v>1</v>
      </c>
      <c r="AM51" s="3">
        <f t="shared" si="80"/>
        <v>0</v>
      </c>
      <c r="AN51" s="3">
        <f t="shared" si="81"/>
        <v>0</v>
      </c>
      <c r="AO51" s="3">
        <f t="shared" si="82"/>
        <v>0</v>
      </c>
    </row>
    <row r="52" spans="1:47" ht="15" customHeight="1">
      <c r="A52" s="9" t="s">
        <v>343</v>
      </c>
      <c r="B52" s="3" t="s">
        <v>256</v>
      </c>
      <c r="C52" s="13" t="s">
        <v>253</v>
      </c>
      <c r="D52" s="52">
        <v>30900</v>
      </c>
      <c r="E52" s="9" t="s">
        <v>237</v>
      </c>
      <c r="F52" s="3">
        <v>0</v>
      </c>
      <c r="G52" s="3">
        <v>1</v>
      </c>
      <c r="H52" s="3">
        <v>0</v>
      </c>
      <c r="I52" s="3">
        <v>0</v>
      </c>
      <c r="J52" s="3">
        <v>0</v>
      </c>
      <c r="K52" s="3">
        <v>0</v>
      </c>
      <c r="L52" s="3">
        <f t="shared" si="19"/>
        <v>1</v>
      </c>
      <c r="M52" s="7">
        <f t="shared" si="84"/>
        <v>6180</v>
      </c>
      <c r="Q52" s="7">
        <f t="shared" si="85"/>
        <v>6180</v>
      </c>
      <c r="S52" s="26" t="s">
        <v>324</v>
      </c>
      <c r="T52" s="7">
        <f t="shared" si="86"/>
        <v>6180</v>
      </c>
      <c r="W52" s="27">
        <v>0</v>
      </c>
      <c r="X52" s="27"/>
      <c r="Y52" s="27"/>
      <c r="Z52" s="24">
        <f t="shared" si="87"/>
        <v>15.45</v>
      </c>
      <c r="AA52" s="3">
        <f t="shared" si="3"/>
        <v>0</v>
      </c>
      <c r="AB52" s="3">
        <f t="shared" si="4"/>
        <v>0</v>
      </c>
      <c r="AC52" s="21">
        <f t="shared" si="65"/>
        <v>10647.939259970173</v>
      </c>
      <c r="AD52" s="21">
        <f t="shared" si="5"/>
        <v>0</v>
      </c>
      <c r="AE52" s="21"/>
      <c r="AF52" s="21"/>
      <c r="AG52" s="3"/>
      <c r="AH52" s="21">
        <f t="shared" si="6"/>
        <v>0</v>
      </c>
      <c r="AI52" s="21"/>
      <c r="AJ52" s="24">
        <f t="shared" si="77"/>
        <v>0</v>
      </c>
      <c r="AK52" s="3">
        <f t="shared" si="78"/>
        <v>1</v>
      </c>
      <c r="AL52" s="3">
        <f t="shared" si="79"/>
        <v>0</v>
      </c>
      <c r="AM52" s="3">
        <f t="shared" si="80"/>
        <v>0</v>
      </c>
      <c r="AN52" s="3">
        <f t="shared" si="81"/>
        <v>0</v>
      </c>
      <c r="AO52" s="3">
        <f t="shared" si="82"/>
        <v>0</v>
      </c>
    </row>
    <row r="53" spans="1:47" ht="15" customHeight="1">
      <c r="A53" s="9" t="s">
        <v>343</v>
      </c>
      <c r="B53" s="3" t="s">
        <v>256</v>
      </c>
      <c r="C53" s="13" t="s">
        <v>252</v>
      </c>
      <c r="D53" s="52">
        <f>+Referencias_Dimensiones!C12*10000</f>
        <v>11700</v>
      </c>
      <c r="E53" s="9" t="s">
        <v>237</v>
      </c>
      <c r="F53" s="3">
        <v>0</v>
      </c>
      <c r="G53" s="3">
        <v>0</v>
      </c>
      <c r="H53" s="3">
        <v>1</v>
      </c>
      <c r="I53" s="3">
        <v>0</v>
      </c>
      <c r="J53" s="3">
        <v>0</v>
      </c>
      <c r="K53" s="3">
        <v>0</v>
      </c>
      <c r="L53" s="3">
        <f t="shared" si="19"/>
        <v>1</v>
      </c>
      <c r="M53" s="7">
        <f t="shared" si="84"/>
        <v>2340</v>
      </c>
      <c r="Q53" s="7">
        <f t="shared" si="85"/>
        <v>2340</v>
      </c>
      <c r="S53" s="26" t="s">
        <v>336</v>
      </c>
      <c r="T53" s="7">
        <f t="shared" si="86"/>
        <v>2340</v>
      </c>
      <c r="W53" s="7">
        <v>0</v>
      </c>
      <c r="X53" s="7"/>
      <c r="Y53" s="7"/>
      <c r="Z53" s="24">
        <f t="shared" si="87"/>
        <v>5.85</v>
      </c>
      <c r="AA53" s="3">
        <f t="shared" si="3"/>
        <v>0</v>
      </c>
      <c r="AB53" s="3">
        <f t="shared" si="4"/>
        <v>0</v>
      </c>
      <c r="AC53" s="21">
        <f t="shared" si="65"/>
        <v>4031.7439916391922</v>
      </c>
      <c r="AD53" s="21">
        <f t="shared" si="5"/>
        <v>0</v>
      </c>
      <c r="AE53" s="21"/>
      <c r="AF53" s="21"/>
      <c r="AG53" s="3"/>
      <c r="AH53" s="21">
        <f t="shared" si="6"/>
        <v>0</v>
      </c>
      <c r="AI53" s="21"/>
      <c r="AJ53" s="24">
        <f t="shared" si="77"/>
        <v>0</v>
      </c>
      <c r="AK53" s="3">
        <f t="shared" si="78"/>
        <v>0</v>
      </c>
      <c r="AL53" s="3">
        <f t="shared" si="79"/>
        <v>1</v>
      </c>
      <c r="AM53" s="3">
        <f t="shared" si="80"/>
        <v>0</v>
      </c>
      <c r="AN53" s="3">
        <f t="shared" si="81"/>
        <v>0</v>
      </c>
      <c r="AO53" s="3">
        <f t="shared" si="82"/>
        <v>0</v>
      </c>
    </row>
    <row r="54" spans="1:47" ht="15" customHeight="1">
      <c r="A54" s="9" t="s">
        <v>343</v>
      </c>
      <c r="B54" s="3" t="s">
        <v>256</v>
      </c>
      <c r="C54" s="13" t="s">
        <v>251</v>
      </c>
      <c r="D54" s="52">
        <v>16300</v>
      </c>
      <c r="E54" s="9" t="s">
        <v>237</v>
      </c>
      <c r="F54" s="3">
        <v>1</v>
      </c>
      <c r="G54" s="3">
        <v>0</v>
      </c>
      <c r="H54" s="3">
        <v>0</v>
      </c>
      <c r="I54" s="3">
        <v>0</v>
      </c>
      <c r="J54" s="3">
        <v>0</v>
      </c>
      <c r="K54" s="3">
        <v>0</v>
      </c>
      <c r="L54" s="3">
        <f t="shared" si="19"/>
        <v>1</v>
      </c>
      <c r="M54" s="7">
        <f t="shared" si="84"/>
        <v>3260</v>
      </c>
      <c r="Q54" s="7">
        <f t="shared" si="85"/>
        <v>3260</v>
      </c>
      <c r="S54" s="26" t="s">
        <v>317</v>
      </c>
      <c r="T54" s="7">
        <f t="shared" si="86"/>
        <v>3260</v>
      </c>
      <c r="W54" s="27">
        <v>0</v>
      </c>
      <c r="X54" s="27"/>
      <c r="Y54" s="7"/>
      <c r="Z54" s="24">
        <f t="shared" si="87"/>
        <v>8.15</v>
      </c>
      <c r="AA54" s="3">
        <f t="shared" si="3"/>
        <v>0</v>
      </c>
      <c r="AB54" s="3">
        <f t="shared" si="4"/>
        <v>0</v>
      </c>
      <c r="AC54" s="21">
        <f t="shared" si="65"/>
        <v>5616.8741080101563</v>
      </c>
      <c r="AD54" s="21">
        <f t="shared" si="5"/>
        <v>0</v>
      </c>
      <c r="AE54" s="21"/>
      <c r="AF54" s="21"/>
      <c r="AG54" s="3"/>
      <c r="AH54" s="21">
        <f t="shared" si="6"/>
        <v>0</v>
      </c>
      <c r="AI54" s="21"/>
      <c r="AJ54" s="24">
        <f t="shared" si="77"/>
        <v>1</v>
      </c>
      <c r="AK54" s="3">
        <f t="shared" si="78"/>
        <v>0</v>
      </c>
      <c r="AL54" s="3">
        <f t="shared" si="79"/>
        <v>0</v>
      </c>
      <c r="AM54" s="3">
        <f t="shared" si="80"/>
        <v>0</v>
      </c>
      <c r="AN54" s="3">
        <f t="shared" si="81"/>
        <v>0</v>
      </c>
      <c r="AO54" s="3">
        <f t="shared" si="82"/>
        <v>0</v>
      </c>
    </row>
    <row r="55" spans="1:47" ht="15" customHeight="1">
      <c r="A55" s="9" t="s">
        <v>343</v>
      </c>
      <c r="B55" s="3" t="s">
        <v>256</v>
      </c>
      <c r="C55" s="13" t="s">
        <v>250</v>
      </c>
      <c r="D55" s="52">
        <v>11200</v>
      </c>
      <c r="E55" s="9" t="s">
        <v>237</v>
      </c>
      <c r="F55" s="3">
        <v>0</v>
      </c>
      <c r="G55" s="3">
        <v>0</v>
      </c>
      <c r="H55" s="3">
        <v>1</v>
      </c>
      <c r="I55" s="3">
        <v>0</v>
      </c>
      <c r="J55" s="3">
        <v>0</v>
      </c>
      <c r="K55" s="3">
        <v>0</v>
      </c>
      <c r="L55" s="3">
        <f t="shared" si="19"/>
        <v>1</v>
      </c>
      <c r="M55" s="7">
        <f t="shared" si="84"/>
        <v>2240</v>
      </c>
      <c r="Q55" s="7">
        <f t="shared" si="85"/>
        <v>2240</v>
      </c>
      <c r="S55" s="26" t="s">
        <v>316</v>
      </c>
      <c r="T55" s="7">
        <f t="shared" si="86"/>
        <v>2240</v>
      </c>
      <c r="W55" s="7">
        <v>0</v>
      </c>
      <c r="X55" s="7"/>
      <c r="Y55" s="7"/>
      <c r="Z55" s="24">
        <f t="shared" si="87"/>
        <v>5.6</v>
      </c>
      <c r="AA55" s="3">
        <f t="shared" si="3"/>
        <v>0</v>
      </c>
      <c r="AB55" s="3">
        <f t="shared" si="4"/>
        <v>0</v>
      </c>
      <c r="AC55" s="21">
        <f t="shared" si="65"/>
        <v>3859.4472398597395</v>
      </c>
      <c r="AD55" s="21">
        <f t="shared" si="5"/>
        <v>0</v>
      </c>
      <c r="AE55" s="21"/>
      <c r="AF55" s="21"/>
      <c r="AG55" s="3"/>
      <c r="AH55" s="21">
        <f t="shared" si="6"/>
        <v>0</v>
      </c>
      <c r="AI55" s="21"/>
      <c r="AJ55" s="24">
        <f t="shared" si="77"/>
        <v>0</v>
      </c>
      <c r="AK55" s="3">
        <f t="shared" si="78"/>
        <v>0</v>
      </c>
      <c r="AL55" s="3">
        <f t="shared" si="79"/>
        <v>1</v>
      </c>
      <c r="AM55" s="3">
        <f t="shared" si="80"/>
        <v>0</v>
      </c>
      <c r="AN55" s="3">
        <f t="shared" si="81"/>
        <v>0</v>
      </c>
      <c r="AO55" s="3">
        <f t="shared" si="82"/>
        <v>0</v>
      </c>
    </row>
    <row r="56" spans="1:47" ht="15" customHeight="1">
      <c r="A56" s="9" t="s">
        <v>343</v>
      </c>
      <c r="B56" s="3" t="s">
        <v>256</v>
      </c>
      <c r="C56" s="13" t="s">
        <v>249</v>
      </c>
      <c r="D56" s="52">
        <v>29700</v>
      </c>
      <c r="E56" s="9" t="s">
        <v>237</v>
      </c>
      <c r="F56" s="3">
        <v>1</v>
      </c>
      <c r="G56" s="3">
        <v>0</v>
      </c>
      <c r="H56" s="3">
        <v>1</v>
      </c>
      <c r="I56" s="3">
        <v>0</v>
      </c>
      <c r="J56" s="3">
        <v>0</v>
      </c>
      <c r="K56" s="3">
        <v>0</v>
      </c>
      <c r="L56" s="3">
        <f t="shared" si="19"/>
        <v>2</v>
      </c>
      <c r="M56" s="7">
        <f t="shared" si="84"/>
        <v>5940</v>
      </c>
      <c r="Q56" s="7">
        <f t="shared" si="85"/>
        <v>5940</v>
      </c>
      <c r="S56" s="26" t="s">
        <v>327</v>
      </c>
      <c r="T56" s="7">
        <f t="shared" si="86"/>
        <v>5940</v>
      </c>
      <c r="W56" s="7">
        <v>0</v>
      </c>
      <c r="X56" s="7"/>
      <c r="Y56" s="7"/>
      <c r="Z56" s="24">
        <f t="shared" si="87"/>
        <v>14.85</v>
      </c>
      <c r="AA56" s="3">
        <f t="shared" si="3"/>
        <v>0</v>
      </c>
      <c r="AB56" s="3">
        <f t="shared" si="4"/>
        <v>0</v>
      </c>
      <c r="AC56" s="21">
        <f t="shared" si="65"/>
        <v>10234.427055699487</v>
      </c>
      <c r="AD56" s="21">
        <f t="shared" si="5"/>
        <v>0</v>
      </c>
      <c r="AE56" s="21"/>
      <c r="AF56" s="21"/>
      <c r="AG56" s="3"/>
      <c r="AH56" s="21">
        <f t="shared" si="6"/>
        <v>0</v>
      </c>
      <c r="AI56" s="21"/>
      <c r="AJ56" s="24">
        <f t="shared" si="77"/>
        <v>1</v>
      </c>
      <c r="AK56" s="3">
        <f t="shared" si="78"/>
        <v>0</v>
      </c>
      <c r="AL56" s="3">
        <f t="shared" si="79"/>
        <v>0</v>
      </c>
      <c r="AM56" s="3">
        <f t="shared" si="80"/>
        <v>0</v>
      </c>
      <c r="AN56" s="3">
        <f t="shared" si="81"/>
        <v>0</v>
      </c>
      <c r="AO56" s="3">
        <f t="shared" si="82"/>
        <v>0</v>
      </c>
    </row>
    <row r="57" spans="1:47" ht="15" customHeight="1">
      <c r="A57" s="9" t="s">
        <v>343</v>
      </c>
      <c r="B57" s="3" t="s">
        <v>256</v>
      </c>
      <c r="C57" s="13" t="s">
        <v>248</v>
      </c>
      <c r="D57" s="52">
        <v>23600</v>
      </c>
      <c r="E57" s="9" t="s">
        <v>237</v>
      </c>
      <c r="F57" s="3">
        <v>0</v>
      </c>
      <c r="G57" s="3">
        <v>0</v>
      </c>
      <c r="H57" s="3">
        <v>1</v>
      </c>
      <c r="I57" s="3">
        <v>0</v>
      </c>
      <c r="J57" s="3">
        <v>0</v>
      </c>
      <c r="K57" s="3">
        <v>0</v>
      </c>
      <c r="L57" s="3">
        <f t="shared" si="19"/>
        <v>1</v>
      </c>
      <c r="M57" s="7">
        <f t="shared" si="84"/>
        <v>4720</v>
      </c>
      <c r="Q57" s="7">
        <f t="shared" si="85"/>
        <v>4720</v>
      </c>
      <c r="S57" s="26" t="s">
        <v>328</v>
      </c>
      <c r="T57" s="7">
        <f t="shared" si="86"/>
        <v>4720</v>
      </c>
      <c r="W57" s="27">
        <v>0</v>
      </c>
      <c r="X57" s="7"/>
      <c r="Y57" s="7"/>
      <c r="Z57" s="24">
        <f t="shared" si="87"/>
        <v>11.8</v>
      </c>
      <c r="AA57" s="3">
        <f t="shared" si="3"/>
        <v>0</v>
      </c>
      <c r="AB57" s="3">
        <f t="shared" si="4"/>
        <v>0</v>
      </c>
      <c r="AC57" s="21">
        <f t="shared" si="65"/>
        <v>8132.4066839901652</v>
      </c>
      <c r="AD57" s="21">
        <f t="shared" si="5"/>
        <v>0</v>
      </c>
      <c r="AE57" s="21"/>
      <c r="AF57" s="21"/>
      <c r="AG57" s="3"/>
      <c r="AH57" s="21">
        <f t="shared" si="6"/>
        <v>0</v>
      </c>
      <c r="AI57" s="21"/>
      <c r="AJ57" s="24">
        <f>+IF(F57&lt;&gt;0,1,0)</f>
        <v>0</v>
      </c>
      <c r="AK57" s="3">
        <f>+IF(AJ57&gt;0,0,IF(G57&lt;&gt;0,1,0))</f>
        <v>0</v>
      </c>
      <c r="AL57" s="3">
        <f t="shared" si="79"/>
        <v>1</v>
      </c>
      <c r="AM57" s="3">
        <f t="shared" si="80"/>
        <v>0</v>
      </c>
      <c r="AN57" s="3">
        <f t="shared" si="81"/>
        <v>0</v>
      </c>
      <c r="AO57" s="3">
        <f t="shared" si="82"/>
        <v>0</v>
      </c>
    </row>
    <row r="58" spans="1:47">
      <c r="A58" s="9" t="s">
        <v>343</v>
      </c>
      <c r="B58" s="3" t="s">
        <v>247</v>
      </c>
      <c r="C58" s="13" t="s">
        <v>246</v>
      </c>
      <c r="D58" s="52">
        <v>300</v>
      </c>
      <c r="E58" s="9" t="s">
        <v>260</v>
      </c>
      <c r="F58" s="3">
        <v>0</v>
      </c>
      <c r="G58" s="3">
        <v>1</v>
      </c>
      <c r="H58" s="3">
        <v>1</v>
      </c>
      <c r="I58" s="3">
        <v>0</v>
      </c>
      <c r="J58" s="3">
        <v>0</v>
      </c>
      <c r="K58" s="3">
        <v>0</v>
      </c>
      <c r="L58" s="3">
        <f t="shared" si="19"/>
        <v>2</v>
      </c>
      <c r="R58" s="7">
        <f>+D58/($D$59+$D$58+$D$60)*Referencias_M.Tierras!$H$28</f>
        <v>5298.0633410966493</v>
      </c>
      <c r="S58" s="25" t="s">
        <v>322</v>
      </c>
      <c r="T58" s="7">
        <f>+R58</f>
        <v>5298.0633410966493</v>
      </c>
      <c r="W58" s="10">
        <v>0</v>
      </c>
      <c r="AA58" s="3">
        <f t="shared" si="3"/>
        <v>0</v>
      </c>
      <c r="AB58" s="3">
        <f t="shared" si="4"/>
        <v>0</v>
      </c>
      <c r="AC58" s="21">
        <f t="shared" si="65"/>
        <v>0</v>
      </c>
      <c r="AD58" s="21">
        <f t="shared" si="5"/>
        <v>13774.964686851288</v>
      </c>
      <c r="AE58" s="21">
        <f t="shared" ref="AE58:AE71" si="88">+R58/51.2</f>
        <v>103.47779963079392</v>
      </c>
      <c r="AF58" s="21"/>
      <c r="AG58" s="3"/>
      <c r="AH58" s="21">
        <f t="shared" si="6"/>
        <v>0</v>
      </c>
      <c r="AI58" s="21"/>
      <c r="AP58" s="3">
        <f t="shared" ref="AP58:AP71" si="89">+F58-AJ58</f>
        <v>0</v>
      </c>
      <c r="AQ58" s="3">
        <f t="shared" ref="AQ58:AQ71" si="90">+G58-AK58</f>
        <v>1</v>
      </c>
      <c r="AR58" s="3">
        <f t="shared" ref="AR58:AR71" si="91">+H58-AL58</f>
        <v>1</v>
      </c>
      <c r="AS58" s="3">
        <f t="shared" ref="AS58:AS71" si="92">+I58-AM58</f>
        <v>0</v>
      </c>
      <c r="AT58" s="3">
        <f t="shared" ref="AT58:AT71" si="93">+J58-AN58</f>
        <v>0</v>
      </c>
      <c r="AU58" s="3">
        <f t="shared" ref="AU58:AU71" si="94">+K58-AO58</f>
        <v>0</v>
      </c>
    </row>
    <row r="59" spans="1:47">
      <c r="A59" s="9" t="s">
        <v>343</v>
      </c>
      <c r="B59" s="3" t="s">
        <v>247</v>
      </c>
      <c r="C59" s="13" t="s">
        <v>245</v>
      </c>
      <c r="D59" s="52">
        <v>1710</v>
      </c>
      <c r="E59" s="9" t="s">
        <v>260</v>
      </c>
      <c r="F59" s="3">
        <v>0</v>
      </c>
      <c r="G59" s="3">
        <v>0</v>
      </c>
      <c r="H59" s="3">
        <v>10</v>
      </c>
      <c r="I59" s="3">
        <v>1</v>
      </c>
      <c r="J59" s="3">
        <v>0</v>
      </c>
      <c r="K59" s="3">
        <v>0</v>
      </c>
      <c r="L59" s="3">
        <f t="shared" si="19"/>
        <v>11</v>
      </c>
      <c r="R59" s="7">
        <f>+D59/($D$59+$D$58+$D$60)*Referencias_M.Tierras!$H$28</f>
        <v>30198.961044250904</v>
      </c>
      <c r="S59" s="25" t="s">
        <v>322</v>
      </c>
      <c r="T59" s="7">
        <f t="shared" ref="T59:T61" si="95">+R59</f>
        <v>30198.961044250904</v>
      </c>
      <c r="W59" s="10">
        <v>8.9</v>
      </c>
      <c r="AA59" s="3">
        <f t="shared" si="3"/>
        <v>0</v>
      </c>
      <c r="AB59" s="3">
        <f t="shared" si="4"/>
        <v>0</v>
      </c>
      <c r="AC59" s="21">
        <f t="shared" si="65"/>
        <v>0</v>
      </c>
      <c r="AD59" s="21">
        <f t="shared" si="5"/>
        <v>78517.298715052355</v>
      </c>
      <c r="AE59" s="21">
        <f t="shared" si="88"/>
        <v>589.82345789552539</v>
      </c>
      <c r="AF59" s="21"/>
      <c r="AG59" s="3"/>
      <c r="AI59" s="21">
        <f>+(T59*W59+U59*X59+V59*Y59)/14</f>
        <v>19197.910949559504</v>
      </c>
      <c r="AP59" s="3">
        <f t="shared" si="89"/>
        <v>0</v>
      </c>
      <c r="AQ59" s="3">
        <f t="shared" si="90"/>
        <v>0</v>
      </c>
      <c r="AR59" s="3">
        <f t="shared" si="91"/>
        <v>10</v>
      </c>
      <c r="AS59" s="3">
        <f t="shared" si="92"/>
        <v>1</v>
      </c>
      <c r="AT59" s="3">
        <f t="shared" si="93"/>
        <v>0</v>
      </c>
      <c r="AU59" s="3">
        <f t="shared" si="94"/>
        <v>0</v>
      </c>
    </row>
    <row r="60" spans="1:47">
      <c r="A60" s="9" t="s">
        <v>343</v>
      </c>
      <c r="B60" s="3" t="s">
        <v>247</v>
      </c>
      <c r="C60" s="13" t="s">
        <v>244</v>
      </c>
      <c r="D60" s="52">
        <f>4263.21+601</f>
        <v>4864.21</v>
      </c>
      <c r="E60" s="9" t="s">
        <v>260</v>
      </c>
      <c r="F60" s="3">
        <v>0</v>
      </c>
      <c r="G60" s="3">
        <v>0</v>
      </c>
      <c r="H60" s="3">
        <v>11</v>
      </c>
      <c r="I60" s="3">
        <v>12</v>
      </c>
      <c r="J60" s="3">
        <v>1</v>
      </c>
      <c r="K60" s="3">
        <v>0</v>
      </c>
      <c r="L60" s="3">
        <f t="shared" si="19"/>
        <v>24</v>
      </c>
      <c r="R60" s="7">
        <f>+D60/($D$59+$D$58+$D$60)*Referencias_M.Tierras!$H$28</f>
        <v>85902.975614652445</v>
      </c>
      <c r="S60" s="25" t="s">
        <v>322</v>
      </c>
      <c r="T60" s="7">
        <f>+R60</f>
        <v>85902.975614652445</v>
      </c>
      <c r="W60" s="10">
        <v>8.9</v>
      </c>
      <c r="AA60" s="3">
        <f t="shared" si="3"/>
        <v>0</v>
      </c>
      <c r="AB60" s="3">
        <f t="shared" si="4"/>
        <v>0</v>
      </c>
      <c r="AC60" s="21">
        <f t="shared" si="65"/>
        <v>0</v>
      </c>
      <c r="AD60" s="21">
        <f t="shared" si="5"/>
        <v>223347.73659809635</v>
      </c>
      <c r="AE60" s="21">
        <f t="shared" si="88"/>
        <v>1677.7924924736806</v>
      </c>
      <c r="AF60" s="21"/>
      <c r="AG60" s="3"/>
      <c r="AI60" s="21">
        <f>+(T60*W60+U60*X60+V60*Y60)/14</f>
        <v>54609.74878360048</v>
      </c>
      <c r="AP60" s="3">
        <f t="shared" si="89"/>
        <v>0</v>
      </c>
      <c r="AQ60" s="3">
        <f t="shared" si="90"/>
        <v>0</v>
      </c>
      <c r="AR60" s="3">
        <f t="shared" si="91"/>
        <v>11</v>
      </c>
      <c r="AS60" s="3">
        <f t="shared" si="92"/>
        <v>12</v>
      </c>
      <c r="AT60" s="3">
        <f t="shared" si="93"/>
        <v>1</v>
      </c>
      <c r="AU60" s="3">
        <f t="shared" si="94"/>
        <v>0</v>
      </c>
    </row>
    <row r="61" spans="1:47">
      <c r="A61" s="9" t="s">
        <v>343</v>
      </c>
      <c r="B61" s="3" t="s">
        <v>247</v>
      </c>
      <c r="C61" s="17" t="s">
        <v>243</v>
      </c>
      <c r="D61" s="52">
        <v>3391.817</v>
      </c>
      <c r="E61" s="9" t="s">
        <v>260</v>
      </c>
      <c r="F61" s="3">
        <v>0</v>
      </c>
      <c r="G61" s="3">
        <v>0</v>
      </c>
      <c r="H61" s="3">
        <v>9</v>
      </c>
      <c r="I61" s="3">
        <v>10</v>
      </c>
      <c r="J61" s="3">
        <v>0</v>
      </c>
      <c r="K61" s="3">
        <v>0</v>
      </c>
      <c r="L61" s="3">
        <f t="shared" si="19"/>
        <v>19</v>
      </c>
      <c r="R61" s="7">
        <f>+Referencias_M.Tierras!H21</f>
        <v>175643</v>
      </c>
      <c r="S61" s="25" t="s">
        <v>314</v>
      </c>
      <c r="T61" s="7">
        <f t="shared" si="95"/>
        <v>175643</v>
      </c>
      <c r="W61" s="27">
        <v>10.5</v>
      </c>
      <c r="X61" s="7"/>
      <c r="Y61" s="7"/>
      <c r="AA61" s="3">
        <f t="shared" si="3"/>
        <v>0</v>
      </c>
      <c r="AB61" s="3">
        <f t="shared" si="4"/>
        <v>0</v>
      </c>
      <c r="AC61" s="21">
        <f t="shared" si="65"/>
        <v>0</v>
      </c>
      <c r="AD61" s="21">
        <f t="shared" si="5"/>
        <v>456671.8</v>
      </c>
      <c r="AE61" s="21">
        <f t="shared" si="88"/>
        <v>3430.52734375</v>
      </c>
      <c r="AF61" s="21"/>
      <c r="AG61" s="3"/>
      <c r="AH61" s="21">
        <f t="shared" si="6"/>
        <v>131732.25</v>
      </c>
      <c r="AI61" s="21"/>
      <c r="AP61" s="3">
        <f t="shared" si="89"/>
        <v>0</v>
      </c>
      <c r="AQ61" s="3">
        <f t="shared" si="90"/>
        <v>0</v>
      </c>
      <c r="AR61" s="3">
        <f t="shared" si="91"/>
        <v>9</v>
      </c>
      <c r="AS61" s="3">
        <f t="shared" si="92"/>
        <v>10</v>
      </c>
      <c r="AT61" s="3">
        <f t="shared" si="93"/>
        <v>0</v>
      </c>
      <c r="AU61" s="3">
        <f t="shared" si="94"/>
        <v>0</v>
      </c>
    </row>
    <row r="62" spans="1:47">
      <c r="A62" s="9" t="s">
        <v>343</v>
      </c>
      <c r="B62" s="3" t="s">
        <v>247</v>
      </c>
      <c r="C62" s="13" t="s">
        <v>242</v>
      </c>
      <c r="D62" s="52">
        <v>600</v>
      </c>
      <c r="E62" s="9" t="s">
        <v>260</v>
      </c>
      <c r="F62" s="3">
        <v>0</v>
      </c>
      <c r="G62" s="3">
        <v>2</v>
      </c>
      <c r="H62" s="3">
        <v>8</v>
      </c>
      <c r="I62" s="3">
        <v>0</v>
      </c>
      <c r="J62" s="3">
        <v>0</v>
      </c>
      <c r="K62" s="3">
        <v>0</v>
      </c>
      <c r="L62" s="3">
        <f t="shared" si="19"/>
        <v>10</v>
      </c>
      <c r="R62" s="7">
        <f>+D62/($D$63+$D$62)*Referencias_M.Tierras!$H$29</f>
        <v>12684.933847741362</v>
      </c>
      <c r="S62" s="25" t="s">
        <v>323</v>
      </c>
      <c r="T62" s="7">
        <f>68000*(R62/($R$62+$R$63))</f>
        <v>8938.6062346778508</v>
      </c>
      <c r="U62" s="7">
        <f t="shared" ref="U62" si="96">+R62-T62</f>
        <v>3746.3276130635113</v>
      </c>
      <c r="W62" s="27">
        <v>0</v>
      </c>
      <c r="X62" s="27">
        <v>0.5</v>
      </c>
      <c r="Y62" s="7"/>
      <c r="AA62" s="3">
        <f t="shared" si="3"/>
        <v>0</v>
      </c>
      <c r="AB62" s="3">
        <f t="shared" si="4"/>
        <v>0</v>
      </c>
      <c r="AC62" s="21">
        <f t="shared" si="65"/>
        <v>0</v>
      </c>
      <c r="AD62" s="21">
        <f t="shared" si="5"/>
        <v>32980.828004127543</v>
      </c>
      <c r="AE62" s="21">
        <f t="shared" si="88"/>
        <v>247.75261421369848</v>
      </c>
      <c r="AF62" s="21"/>
      <c r="AG62" s="3"/>
      <c r="AH62" s="21">
        <f t="shared" si="6"/>
        <v>133.79741475226825</v>
      </c>
      <c r="AI62" s="21"/>
      <c r="AP62" s="3">
        <f t="shared" si="89"/>
        <v>0</v>
      </c>
      <c r="AQ62" s="3">
        <f t="shared" si="90"/>
        <v>2</v>
      </c>
      <c r="AR62" s="3">
        <f t="shared" si="91"/>
        <v>8</v>
      </c>
      <c r="AS62" s="3">
        <f t="shared" si="92"/>
        <v>0</v>
      </c>
      <c r="AT62" s="3">
        <f t="shared" si="93"/>
        <v>0</v>
      </c>
      <c r="AU62" s="3">
        <f t="shared" si="94"/>
        <v>0</v>
      </c>
    </row>
    <row r="63" spans="1:47">
      <c r="A63" s="9" t="s">
        <v>343</v>
      </c>
      <c r="B63" s="3" t="s">
        <v>247</v>
      </c>
      <c r="C63" s="13" t="s">
        <v>241</v>
      </c>
      <c r="D63" s="52">
        <f>3363.47+601</f>
        <v>3964.47</v>
      </c>
      <c r="E63" s="9" t="s">
        <v>260</v>
      </c>
      <c r="F63" s="3">
        <v>0</v>
      </c>
      <c r="G63" s="3">
        <v>0</v>
      </c>
      <c r="H63" s="3">
        <v>5</v>
      </c>
      <c r="I63" s="3">
        <v>12</v>
      </c>
      <c r="J63" s="3">
        <v>10</v>
      </c>
      <c r="K63" s="3">
        <v>0</v>
      </c>
      <c r="L63" s="3">
        <f t="shared" si="19"/>
        <v>27</v>
      </c>
      <c r="R63" s="7">
        <f>+D63/($D$63+$D$62)*Referencias_M.Tierras!$H$29</f>
        <v>83815.066152258645</v>
      </c>
      <c r="S63" s="25" t="s">
        <v>323</v>
      </c>
      <c r="T63" s="7">
        <f>68000*(R63/($R$62+$R$63))</f>
        <v>59061.393765322151</v>
      </c>
      <c r="U63" s="7">
        <f>+R63-T63</f>
        <v>24753.672386936494</v>
      </c>
      <c r="W63" s="27">
        <v>0</v>
      </c>
      <c r="X63" s="27">
        <v>0.5</v>
      </c>
      <c r="Y63" s="7"/>
      <c r="AA63" s="3">
        <f t="shared" si="3"/>
        <v>0</v>
      </c>
      <c r="AB63" s="3">
        <f t="shared" si="4"/>
        <v>0</v>
      </c>
      <c r="AC63" s="21">
        <f t="shared" si="65"/>
        <v>0</v>
      </c>
      <c r="AD63" s="21">
        <f t="shared" si="5"/>
        <v>217919.17199587249</v>
      </c>
      <c r="AE63" s="21">
        <f t="shared" si="88"/>
        <v>1637.0130107863015</v>
      </c>
      <c r="AF63" s="21"/>
      <c r="AG63" s="3"/>
      <c r="AH63" s="21">
        <f t="shared" si="6"/>
        <v>884.05972810487481</v>
      </c>
      <c r="AI63" s="21"/>
      <c r="AP63" s="3">
        <f t="shared" si="89"/>
        <v>0</v>
      </c>
      <c r="AQ63" s="3">
        <f t="shared" si="90"/>
        <v>0</v>
      </c>
      <c r="AR63" s="3">
        <f t="shared" si="91"/>
        <v>5</v>
      </c>
      <c r="AS63" s="3">
        <f t="shared" si="92"/>
        <v>12</v>
      </c>
      <c r="AT63" s="3">
        <f t="shared" si="93"/>
        <v>10</v>
      </c>
      <c r="AU63" s="3">
        <f t="shared" si="94"/>
        <v>0</v>
      </c>
    </row>
    <row r="64" spans="1:47">
      <c r="A64" s="9" t="s">
        <v>343</v>
      </c>
      <c r="B64" s="3" t="s">
        <v>247</v>
      </c>
      <c r="C64" s="13" t="s">
        <v>240</v>
      </c>
      <c r="D64" s="52">
        <f>464+162.25</f>
        <v>626.25</v>
      </c>
      <c r="E64" s="9" t="s">
        <v>260</v>
      </c>
      <c r="F64" s="3">
        <v>0</v>
      </c>
      <c r="G64" s="3">
        <v>0</v>
      </c>
      <c r="H64" s="3">
        <v>1</v>
      </c>
      <c r="I64" s="3">
        <v>8</v>
      </c>
      <c r="J64" s="3">
        <v>0</v>
      </c>
      <c r="K64" s="3">
        <v>0</v>
      </c>
      <c r="L64" s="3">
        <f t="shared" si="19"/>
        <v>9</v>
      </c>
      <c r="R64" s="7">
        <f>+Referencias_M.Tierras!$H$30*D64/($D$64+$D$65+$D$67+$D$68+$D$69)</f>
        <v>20771.391128291674</v>
      </c>
      <c r="S64" s="25" t="s">
        <v>325</v>
      </c>
      <c r="T64" s="7">
        <f>30800*R64/($R$64+$R$65+$R$67+$R$68+$R$69)</f>
        <v>2083.9050382781224</v>
      </c>
      <c r="U64" s="7">
        <f>91000*R64/($R$64+$R$65+$R$67+$R$68+$R$69)</f>
        <v>6156.9921585489983</v>
      </c>
      <c r="V64" s="7">
        <f>+R64-U64-T64</f>
        <v>12530.493931464554</v>
      </c>
      <c r="W64" s="27">
        <v>0.5</v>
      </c>
      <c r="X64" s="10">
        <v>1.4</v>
      </c>
      <c r="Y64" s="7">
        <v>0</v>
      </c>
      <c r="AA64" s="3">
        <f t="shared" si="3"/>
        <v>0</v>
      </c>
      <c r="AB64" s="3">
        <f t="shared" si="4"/>
        <v>0</v>
      </c>
      <c r="AC64" s="21">
        <f t="shared" si="65"/>
        <v>0</v>
      </c>
      <c r="AD64" s="21">
        <f t="shared" si="5"/>
        <v>54005.616933558355</v>
      </c>
      <c r="AE64" s="21">
        <f t="shared" si="88"/>
        <v>405.69123297444673</v>
      </c>
      <c r="AF64" s="21"/>
      <c r="AG64" s="3"/>
      <c r="AH64" s="21">
        <f t="shared" si="6"/>
        <v>690.12439579340412</v>
      </c>
      <c r="AI64" s="21"/>
      <c r="AP64" s="3">
        <f t="shared" si="89"/>
        <v>0</v>
      </c>
      <c r="AQ64" s="3">
        <f t="shared" si="90"/>
        <v>0</v>
      </c>
      <c r="AR64" s="3">
        <f t="shared" si="91"/>
        <v>1</v>
      </c>
      <c r="AS64" s="3">
        <f t="shared" si="92"/>
        <v>8</v>
      </c>
      <c r="AT64" s="3">
        <f t="shared" si="93"/>
        <v>0</v>
      </c>
      <c r="AU64" s="3">
        <f t="shared" si="94"/>
        <v>0</v>
      </c>
    </row>
    <row r="65" spans="1:47">
      <c r="A65" s="9" t="s">
        <v>343</v>
      </c>
      <c r="B65" s="3" t="s">
        <v>247</v>
      </c>
      <c r="C65" s="13" t="s">
        <v>239</v>
      </c>
      <c r="D65" s="52">
        <f>+Referencias_Dimensiones!D79*1000</f>
        <v>1900</v>
      </c>
      <c r="E65" s="9" t="s">
        <v>260</v>
      </c>
      <c r="F65" s="3">
        <v>0</v>
      </c>
      <c r="G65" s="3">
        <v>2</v>
      </c>
      <c r="H65" s="3">
        <v>12</v>
      </c>
      <c r="I65" s="3">
        <v>2</v>
      </c>
      <c r="J65" s="3">
        <v>0</v>
      </c>
      <c r="K65" s="3">
        <v>0</v>
      </c>
      <c r="L65" s="3">
        <f t="shared" si="19"/>
        <v>16</v>
      </c>
      <c r="R65" s="7">
        <f>+Referencias_M.Tierras!$H$30*D65/($D$64+$D$65+$D$67+$D$68+$D$69)</f>
        <v>63018.991047910866</v>
      </c>
      <c r="S65" s="25" t="s">
        <v>325</v>
      </c>
      <c r="T65" s="7">
        <f>30800*R65/($R$64+$R$65+$R$67+$R$68+$R$69)</f>
        <v>6322.4264634386145</v>
      </c>
      <c r="U65" s="7">
        <f>91000*R65/($R$64+$R$65+$R$67+$R$68+$R$69)</f>
        <v>18679.896369250451</v>
      </c>
      <c r="V65" s="7">
        <f>+R65-U65-T65</f>
        <v>38016.668215221805</v>
      </c>
      <c r="W65" s="27">
        <v>0.5</v>
      </c>
      <c r="X65" s="10">
        <v>2.6</v>
      </c>
      <c r="Y65" s="7">
        <v>0</v>
      </c>
      <c r="AA65" s="3">
        <f t="shared" si="3"/>
        <v>0</v>
      </c>
      <c r="AB65" s="3">
        <f t="shared" si="4"/>
        <v>0</v>
      </c>
      <c r="AC65" s="21">
        <f t="shared" si="65"/>
        <v>0</v>
      </c>
      <c r="AD65" s="21">
        <f t="shared" si="5"/>
        <v>163849.37672456825</v>
      </c>
      <c r="AE65" s="21">
        <f t="shared" si="88"/>
        <v>1230.8396689045089</v>
      </c>
      <c r="AF65" s="21"/>
      <c r="AG65" s="3"/>
      <c r="AH65" s="21">
        <f t="shared" si="6"/>
        <v>3694.9245565550345</v>
      </c>
      <c r="AI65" s="21"/>
      <c r="AP65" s="3">
        <f t="shared" si="89"/>
        <v>0</v>
      </c>
      <c r="AQ65" s="3">
        <f t="shared" si="90"/>
        <v>2</v>
      </c>
      <c r="AR65" s="3">
        <f t="shared" si="91"/>
        <v>12</v>
      </c>
      <c r="AS65" s="3">
        <f t="shared" si="92"/>
        <v>2</v>
      </c>
      <c r="AT65" s="3">
        <f t="shared" si="93"/>
        <v>0</v>
      </c>
      <c r="AU65" s="3">
        <f t="shared" si="94"/>
        <v>0</v>
      </c>
    </row>
    <row r="66" spans="1:47">
      <c r="A66" s="9" t="s">
        <v>343</v>
      </c>
      <c r="B66" s="3" t="s">
        <v>247</v>
      </c>
      <c r="C66" s="13" t="s">
        <v>238</v>
      </c>
      <c r="D66" s="52">
        <v>1700</v>
      </c>
      <c r="E66" s="9" t="s">
        <v>237</v>
      </c>
      <c r="F66" s="3">
        <v>0</v>
      </c>
      <c r="G66" s="3">
        <v>0</v>
      </c>
      <c r="H66" s="3">
        <v>0</v>
      </c>
      <c r="I66" s="3">
        <v>0</v>
      </c>
      <c r="J66" s="3">
        <v>10</v>
      </c>
      <c r="K66" s="3">
        <v>0</v>
      </c>
      <c r="L66" s="3">
        <f t="shared" si="19"/>
        <v>10</v>
      </c>
      <c r="R66" s="7">
        <f>+Referencias_M.Tierras!$H$27</f>
        <v>52000</v>
      </c>
      <c r="S66" s="25" t="s">
        <v>324</v>
      </c>
      <c r="T66" s="7">
        <f>+R66</f>
        <v>52000</v>
      </c>
      <c r="W66" s="27">
        <v>10</v>
      </c>
      <c r="X66" s="27"/>
      <c r="Y66" s="27"/>
      <c r="AA66" s="3">
        <f t="shared" si="3"/>
        <v>0</v>
      </c>
      <c r="AB66" s="3">
        <f t="shared" si="4"/>
        <v>0</v>
      </c>
      <c r="AC66" s="21">
        <f t="shared" si="65"/>
        <v>0</v>
      </c>
      <c r="AD66" s="21">
        <f t="shared" si="5"/>
        <v>135200</v>
      </c>
      <c r="AE66" s="21">
        <f t="shared" si="88"/>
        <v>1015.625</v>
      </c>
      <c r="AF66" s="21"/>
      <c r="AG66" s="3"/>
      <c r="AI66" s="21">
        <f>+(T66*W66+U66*X66+V66*Y66)/14</f>
        <v>37142.857142857145</v>
      </c>
      <c r="AP66" s="3">
        <f t="shared" si="89"/>
        <v>0</v>
      </c>
      <c r="AQ66" s="3">
        <f t="shared" si="90"/>
        <v>0</v>
      </c>
      <c r="AR66" s="3">
        <f t="shared" si="91"/>
        <v>0</v>
      </c>
      <c r="AS66" s="3">
        <f t="shared" si="92"/>
        <v>0</v>
      </c>
      <c r="AT66" s="3">
        <f t="shared" si="93"/>
        <v>10</v>
      </c>
      <c r="AU66" s="3">
        <f t="shared" si="94"/>
        <v>0</v>
      </c>
    </row>
    <row r="67" spans="1:47">
      <c r="A67" s="9" t="s">
        <v>343</v>
      </c>
      <c r="B67" s="3" t="s">
        <v>247</v>
      </c>
      <c r="C67" s="13" t="s">
        <v>236</v>
      </c>
      <c r="D67" s="52">
        <f>5229.69/2</f>
        <v>2614.8449999999998</v>
      </c>
      <c r="E67" s="9" t="s">
        <v>260</v>
      </c>
      <c r="F67" s="3">
        <v>0</v>
      </c>
      <c r="G67" s="3">
        <v>0</v>
      </c>
      <c r="H67" s="3">
        <v>7</v>
      </c>
      <c r="I67" s="3">
        <v>12</v>
      </c>
      <c r="J67" s="3">
        <v>6</v>
      </c>
      <c r="K67" s="3">
        <v>0</v>
      </c>
      <c r="L67" s="3">
        <f t="shared" si="19"/>
        <v>25</v>
      </c>
      <c r="R67" s="7">
        <f>+Referencias_M.Tierras!$H$30*D67/($D$64+$D$65+$D$67+$D$68+$D$69)</f>
        <v>86728.891392986552</v>
      </c>
      <c r="S67" s="25" t="s">
        <v>325</v>
      </c>
      <c r="T67" s="7">
        <f>30800*R67/($R$64+$R$65+$R$67+$R$68+$R$69)</f>
        <v>8701.1395925211273</v>
      </c>
      <c r="U67" s="7">
        <f>91000*R67/($R$64+$R$65+$R$67+$R$68+$R$69)</f>
        <v>25707.912432448782</v>
      </c>
      <c r="V67" s="7">
        <f>+R67-U67-T67</f>
        <v>52319.839368016648</v>
      </c>
      <c r="W67" s="27">
        <v>4.9000000000000004</v>
      </c>
      <c r="X67" s="10">
        <v>2.6</v>
      </c>
      <c r="Y67" s="7">
        <v>0</v>
      </c>
      <c r="AA67" s="3">
        <f t="shared" ref="AA67:AA90" si="97">+(O67)/100</f>
        <v>0</v>
      </c>
      <c r="AB67" s="3">
        <f t="shared" ref="AB67:AB90" si="98">+(N67/100)</f>
        <v>0</v>
      </c>
      <c r="AC67" s="21">
        <f t="shared" si="65"/>
        <v>0</v>
      </c>
      <c r="AD67" s="21">
        <f t="shared" ref="AD67:AD90" si="99">2.6*R67</f>
        <v>225495.11762176504</v>
      </c>
      <c r="AE67" s="21">
        <f t="shared" si="88"/>
        <v>1693.9236600192685</v>
      </c>
      <c r="AF67" s="21"/>
      <c r="AG67" s="3"/>
      <c r="AI67" s="21">
        <f>+(T67*W67+U67*X67+V67*Y67)/14</f>
        <v>7819.7254519800254</v>
      </c>
      <c r="AP67" s="3">
        <f t="shared" si="89"/>
        <v>0</v>
      </c>
      <c r="AQ67" s="3">
        <f t="shared" si="90"/>
        <v>0</v>
      </c>
      <c r="AR67" s="3">
        <f t="shared" si="91"/>
        <v>7</v>
      </c>
      <c r="AS67" s="3">
        <f t="shared" si="92"/>
        <v>12</v>
      </c>
      <c r="AT67" s="3">
        <f t="shared" si="93"/>
        <v>6</v>
      </c>
      <c r="AU67" s="3">
        <f t="shared" si="94"/>
        <v>0</v>
      </c>
    </row>
    <row r="68" spans="1:47">
      <c r="A68" s="9" t="s">
        <v>343</v>
      </c>
      <c r="B68" s="3" t="s">
        <v>247</v>
      </c>
      <c r="C68" s="13" t="s">
        <v>235</v>
      </c>
      <c r="D68" s="52">
        <v>1500</v>
      </c>
      <c r="E68" s="9" t="s">
        <v>260</v>
      </c>
      <c r="F68" s="3">
        <v>0</v>
      </c>
      <c r="G68" s="3">
        <v>0</v>
      </c>
      <c r="H68" s="3">
        <v>8</v>
      </c>
      <c r="I68" s="3">
        <v>5</v>
      </c>
      <c r="J68" s="3">
        <v>0</v>
      </c>
      <c r="K68" s="3">
        <v>0</v>
      </c>
      <c r="L68" s="3">
        <f t="shared" si="19"/>
        <v>13</v>
      </c>
      <c r="R68" s="7">
        <f>+Referencias_M.Tierras!$H$30*D68/($D$64+$D$65+$D$67+$D$68+$D$69)</f>
        <v>49751.835037824363</v>
      </c>
      <c r="S68" s="25" t="s">
        <v>325</v>
      </c>
      <c r="T68" s="7">
        <f>30800*R68/($R$64+$R$65+$R$67+$R$68+$R$69)</f>
        <v>4991.3893132410112</v>
      </c>
      <c r="U68" s="7">
        <f>91000*R68/($R$64+$R$65+$R$67+$R$68+$R$69)</f>
        <v>14747.286607302985</v>
      </c>
      <c r="V68" s="7">
        <f>+R68-U68-T68</f>
        <v>30013.159117280364</v>
      </c>
      <c r="W68" s="27">
        <v>4.9000000000000004</v>
      </c>
      <c r="X68" s="10">
        <v>2.6</v>
      </c>
      <c r="Y68" s="7">
        <v>0</v>
      </c>
      <c r="AA68" s="3">
        <f t="shared" si="97"/>
        <v>0</v>
      </c>
      <c r="AB68" s="3">
        <f t="shared" si="98"/>
        <v>0</v>
      </c>
      <c r="AC68" s="21">
        <f t="shared" si="65"/>
        <v>0</v>
      </c>
      <c r="AD68" s="21">
        <f t="shared" si="99"/>
        <v>129354.77109834335</v>
      </c>
      <c r="AE68" s="21">
        <f t="shared" si="88"/>
        <v>971.71552808250703</v>
      </c>
      <c r="AF68" s="21"/>
      <c r="AG68" s="3"/>
      <c r="AI68" s="21">
        <f>+(T68*W68+U68*X68+V68*Y68)/14</f>
        <v>4485.7680581334798</v>
      </c>
      <c r="AP68" s="3">
        <f t="shared" si="89"/>
        <v>0</v>
      </c>
      <c r="AQ68" s="3">
        <f t="shared" si="90"/>
        <v>0</v>
      </c>
      <c r="AR68" s="3">
        <f t="shared" si="91"/>
        <v>8</v>
      </c>
      <c r="AS68" s="3">
        <f t="shared" si="92"/>
        <v>5</v>
      </c>
      <c r="AT68" s="3">
        <f t="shared" si="93"/>
        <v>0</v>
      </c>
      <c r="AU68" s="3">
        <f t="shared" si="94"/>
        <v>0</v>
      </c>
    </row>
    <row r="69" spans="1:47">
      <c r="A69" s="9" t="s">
        <v>343</v>
      </c>
      <c r="B69" s="3" t="s">
        <v>247</v>
      </c>
      <c r="C69" s="13" t="s">
        <v>234</v>
      </c>
      <c r="D69" s="52">
        <f>5229.69/2</f>
        <v>2614.8449999999998</v>
      </c>
      <c r="E69" s="9" t="s">
        <v>260</v>
      </c>
      <c r="F69" s="3">
        <v>0</v>
      </c>
      <c r="G69" s="3">
        <v>0</v>
      </c>
      <c r="H69" s="3">
        <v>7</v>
      </c>
      <c r="I69" s="3">
        <v>12</v>
      </c>
      <c r="J69" s="3">
        <v>6</v>
      </c>
      <c r="K69" s="3">
        <v>0</v>
      </c>
      <c r="L69" s="3">
        <f t="shared" si="19"/>
        <v>25</v>
      </c>
      <c r="R69" s="7">
        <f>+Referencias_M.Tierras!$H$30*D69/($D$64+$D$65+$D$67+$D$68+$D$69)</f>
        <v>86728.891392986552</v>
      </c>
      <c r="S69" s="25" t="s">
        <v>325</v>
      </c>
      <c r="T69" s="7">
        <f>30800*R69/($R$64+$R$65+$R$67+$R$68+$R$69)</f>
        <v>8701.1395925211273</v>
      </c>
      <c r="U69" s="7">
        <f>91000*R69/($R$64+$R$65+$R$67+$R$68+$R$69)</f>
        <v>25707.912432448782</v>
      </c>
      <c r="V69" s="7">
        <f>+R69-U69-T69</f>
        <v>52319.839368016648</v>
      </c>
      <c r="W69" s="27">
        <v>4.9000000000000004</v>
      </c>
      <c r="X69" s="10">
        <v>2.6</v>
      </c>
      <c r="Y69" s="7">
        <v>0</v>
      </c>
      <c r="AA69" s="3">
        <f t="shared" si="97"/>
        <v>0</v>
      </c>
      <c r="AB69" s="3">
        <f t="shared" si="98"/>
        <v>0</v>
      </c>
      <c r="AC69" s="21">
        <f t="shared" si="65"/>
        <v>0</v>
      </c>
      <c r="AD69" s="21">
        <f t="shared" si="99"/>
        <v>225495.11762176504</v>
      </c>
      <c r="AE69" s="21">
        <f t="shared" si="88"/>
        <v>1693.9236600192685</v>
      </c>
      <c r="AF69" s="21"/>
      <c r="AG69" s="3"/>
      <c r="AI69" s="21">
        <f>+(T69*W69+U69*X69+V69*Y69)/14</f>
        <v>7819.7254519800254</v>
      </c>
      <c r="AP69" s="3">
        <f t="shared" si="89"/>
        <v>0</v>
      </c>
      <c r="AQ69" s="3">
        <f t="shared" si="90"/>
        <v>0</v>
      </c>
      <c r="AR69" s="3">
        <f t="shared" si="91"/>
        <v>7</v>
      </c>
      <c r="AS69" s="3">
        <f t="shared" si="92"/>
        <v>12</v>
      </c>
      <c r="AT69" s="3">
        <f t="shared" si="93"/>
        <v>6</v>
      </c>
      <c r="AU69" s="3">
        <f t="shared" si="94"/>
        <v>0</v>
      </c>
    </row>
    <row r="70" spans="1:47">
      <c r="A70" s="9" t="s">
        <v>343</v>
      </c>
      <c r="B70" s="3" t="s">
        <v>247</v>
      </c>
      <c r="C70" s="13" t="s">
        <v>233</v>
      </c>
      <c r="D70" s="52">
        <f>7744.75/2</f>
        <v>3872.375</v>
      </c>
      <c r="E70" s="9" t="s">
        <v>260</v>
      </c>
      <c r="F70" s="3">
        <v>0</v>
      </c>
      <c r="G70" s="3">
        <v>0</v>
      </c>
      <c r="H70" s="3">
        <v>6</v>
      </c>
      <c r="I70" s="3">
        <v>12</v>
      </c>
      <c r="J70" s="3">
        <v>12</v>
      </c>
      <c r="K70" s="3">
        <v>0</v>
      </c>
      <c r="L70" s="3">
        <f t="shared" si="19"/>
        <v>30</v>
      </c>
      <c r="R70" s="7">
        <f>+Referencias_M.Tierras!H31</f>
        <v>159800</v>
      </c>
      <c r="S70" s="25" t="s">
        <v>327</v>
      </c>
      <c r="T70" s="7">
        <f>+R70</f>
        <v>159800</v>
      </c>
      <c r="W70" s="7">
        <v>0</v>
      </c>
      <c r="X70" s="7"/>
      <c r="Y70" s="7"/>
      <c r="AA70" s="3">
        <f t="shared" si="97"/>
        <v>0</v>
      </c>
      <c r="AB70" s="3">
        <f t="shared" si="98"/>
        <v>0</v>
      </c>
      <c r="AC70" s="21">
        <f t="shared" si="65"/>
        <v>0</v>
      </c>
      <c r="AD70" s="21">
        <f t="shared" si="99"/>
        <v>415480</v>
      </c>
      <c r="AE70" s="21">
        <f t="shared" si="88"/>
        <v>3121.09375</v>
      </c>
      <c r="AF70" s="21"/>
      <c r="AG70" s="3"/>
      <c r="AH70" s="21">
        <f t="shared" ref="AH70:AH90" si="100">+(T70*W70+U70*X70+V70*Y70)/14</f>
        <v>0</v>
      </c>
      <c r="AI70" s="21"/>
      <c r="AP70" s="3">
        <f t="shared" si="89"/>
        <v>0</v>
      </c>
      <c r="AQ70" s="3">
        <f t="shared" si="90"/>
        <v>0</v>
      </c>
      <c r="AR70" s="3">
        <f t="shared" si="91"/>
        <v>6</v>
      </c>
      <c r="AS70" s="3">
        <f t="shared" si="92"/>
        <v>12</v>
      </c>
      <c r="AT70" s="3">
        <f t="shared" si="93"/>
        <v>12</v>
      </c>
      <c r="AU70" s="3">
        <f t="shared" si="94"/>
        <v>0</v>
      </c>
    </row>
    <row r="71" spans="1:47">
      <c r="A71" s="9" t="s">
        <v>343</v>
      </c>
      <c r="B71" s="3" t="s">
        <v>247</v>
      </c>
      <c r="C71" s="13" t="s">
        <v>232</v>
      </c>
      <c r="D71" s="52">
        <f>7744.75/2</f>
        <v>3872.375</v>
      </c>
      <c r="E71" s="9" t="s">
        <v>260</v>
      </c>
      <c r="F71" s="3">
        <v>0</v>
      </c>
      <c r="G71" s="3">
        <v>0</v>
      </c>
      <c r="H71" s="3">
        <v>6</v>
      </c>
      <c r="I71" s="3">
        <v>12</v>
      </c>
      <c r="J71" s="3">
        <v>12</v>
      </c>
      <c r="K71" s="3">
        <v>0</v>
      </c>
      <c r="L71" s="3">
        <f t="shared" si="19"/>
        <v>30</v>
      </c>
      <c r="R71" s="7">
        <f>+Referencias_M.Tierras!H32</f>
        <v>210000</v>
      </c>
      <c r="S71" s="25" t="s">
        <v>328</v>
      </c>
      <c r="T71" s="7">
        <f>+R71</f>
        <v>210000</v>
      </c>
      <c r="W71" s="27">
        <v>0</v>
      </c>
      <c r="X71" s="7"/>
      <c r="Y71" s="7"/>
      <c r="AA71" s="3">
        <f t="shared" si="97"/>
        <v>0</v>
      </c>
      <c r="AB71" s="3">
        <f t="shared" si="98"/>
        <v>0</v>
      </c>
      <c r="AC71" s="21">
        <f t="shared" si="65"/>
        <v>0</v>
      </c>
      <c r="AD71" s="21">
        <f t="shared" si="99"/>
        <v>546000</v>
      </c>
      <c r="AE71" s="21">
        <f t="shared" si="88"/>
        <v>4101.5625</v>
      </c>
      <c r="AF71" s="21"/>
      <c r="AG71" s="3"/>
      <c r="AH71" s="21">
        <f t="shared" si="100"/>
        <v>0</v>
      </c>
      <c r="AI71" s="21"/>
      <c r="AP71" s="3">
        <f t="shared" si="89"/>
        <v>0</v>
      </c>
      <c r="AQ71" s="3">
        <f t="shared" si="90"/>
        <v>0</v>
      </c>
      <c r="AR71" s="3">
        <f t="shared" si="91"/>
        <v>6</v>
      </c>
      <c r="AS71" s="3">
        <f t="shared" si="92"/>
        <v>12</v>
      </c>
      <c r="AT71" s="3">
        <f t="shared" si="93"/>
        <v>12</v>
      </c>
      <c r="AU71" s="3">
        <f t="shared" si="94"/>
        <v>0</v>
      </c>
    </row>
    <row r="72" spans="1:47" ht="15" customHeight="1">
      <c r="A72" s="9" t="s">
        <v>343</v>
      </c>
      <c r="B72" s="3" t="s">
        <v>247</v>
      </c>
      <c r="C72" s="13" t="s">
        <v>231</v>
      </c>
      <c r="D72" s="4">
        <f>+Referencias_M.Tierras!Y33</f>
        <v>200000</v>
      </c>
      <c r="E72" s="9" t="s">
        <v>224</v>
      </c>
      <c r="F72" s="3">
        <v>0</v>
      </c>
      <c r="G72" s="3">
        <v>0</v>
      </c>
      <c r="H72" s="3">
        <v>4</v>
      </c>
      <c r="I72" s="3">
        <v>0</v>
      </c>
      <c r="J72" s="3">
        <v>0</v>
      </c>
      <c r="K72" s="3">
        <v>0</v>
      </c>
      <c r="L72" s="3">
        <f t="shared" ref="L72:L91" si="101">SUM(F72:K72)</f>
        <v>4</v>
      </c>
      <c r="P72" s="7">
        <f>-T51-T58-T59-T60-T36-T49-T88</f>
        <v>-162145</v>
      </c>
      <c r="W72" s="7"/>
      <c r="X72" s="7"/>
      <c r="Y72" s="7"/>
      <c r="AA72" s="3">
        <f t="shared" si="97"/>
        <v>0</v>
      </c>
      <c r="AB72" s="3">
        <f t="shared" si="98"/>
        <v>0</v>
      </c>
      <c r="AC72" s="21">
        <f t="shared" si="65"/>
        <v>0</v>
      </c>
      <c r="AD72" s="21">
        <f t="shared" si="99"/>
        <v>0</v>
      </c>
      <c r="AE72" s="21"/>
      <c r="AF72" s="21"/>
      <c r="AG72" s="27">
        <f>-P72/(Referencias_Dimensiones!C9*10000)/0.5*(Referencias_Dimensiones!C9*10000)*8/2.5/1000</f>
        <v>1037.7280000000001</v>
      </c>
      <c r="AH72" s="21">
        <f t="shared" si="100"/>
        <v>0</v>
      </c>
      <c r="AI72" s="21"/>
      <c r="AP72" s="3">
        <f t="shared" ref="AP72:AU78" si="102">+F72-AJ51</f>
        <v>0</v>
      </c>
      <c r="AQ72" s="3">
        <f t="shared" si="102"/>
        <v>0</v>
      </c>
      <c r="AR72" s="3">
        <f t="shared" si="102"/>
        <v>3</v>
      </c>
      <c r="AS72" s="3">
        <f t="shared" si="102"/>
        <v>0</v>
      </c>
      <c r="AT72" s="3">
        <f t="shared" si="102"/>
        <v>0</v>
      </c>
      <c r="AU72" s="3">
        <f t="shared" si="102"/>
        <v>0</v>
      </c>
    </row>
    <row r="73" spans="1:47" ht="15" customHeight="1">
      <c r="A73" s="9" t="s">
        <v>343</v>
      </c>
      <c r="B73" s="3" t="s">
        <v>247</v>
      </c>
      <c r="C73" s="13" t="s">
        <v>230</v>
      </c>
      <c r="D73" s="4">
        <v>200000</v>
      </c>
      <c r="E73" s="9" t="s">
        <v>224</v>
      </c>
      <c r="F73" s="3">
        <v>0</v>
      </c>
      <c r="G73" s="3">
        <v>11</v>
      </c>
      <c r="H73" s="3">
        <v>12</v>
      </c>
      <c r="I73" s="3">
        <v>7</v>
      </c>
      <c r="J73" s="3">
        <v>0</v>
      </c>
      <c r="K73" s="3">
        <v>0</v>
      </c>
      <c r="L73" s="3">
        <f t="shared" si="101"/>
        <v>30</v>
      </c>
      <c r="P73" s="7" t="e">
        <f>-#REF!-T52-T66-T85</f>
        <v>#REF!</v>
      </c>
      <c r="W73" s="7"/>
      <c r="X73" s="7"/>
      <c r="Y73" s="7"/>
      <c r="AA73" s="3">
        <f t="shared" si="97"/>
        <v>0</v>
      </c>
      <c r="AB73" s="3">
        <f t="shared" si="98"/>
        <v>0</v>
      </c>
      <c r="AC73" s="21">
        <f t="shared" si="65"/>
        <v>0</v>
      </c>
      <c r="AD73" s="21">
        <f t="shared" si="99"/>
        <v>0</v>
      </c>
      <c r="AE73" s="21"/>
      <c r="AF73" s="21"/>
      <c r="AG73" s="27" t="e">
        <f>-P73/(Referencias_Dimensiones!C10*10000)/0.5*(Referencias_Dimensiones!C10*10000)*8/2.5/1000</f>
        <v>#REF!</v>
      </c>
      <c r="AH73" s="21">
        <f t="shared" si="100"/>
        <v>0</v>
      </c>
      <c r="AI73" s="21"/>
      <c r="AP73" s="3">
        <f t="shared" si="102"/>
        <v>0</v>
      </c>
      <c r="AQ73" s="3">
        <f t="shared" si="102"/>
        <v>10</v>
      </c>
      <c r="AR73" s="3">
        <f t="shared" si="102"/>
        <v>12</v>
      </c>
      <c r="AS73" s="3">
        <f t="shared" si="102"/>
        <v>7</v>
      </c>
      <c r="AT73" s="3">
        <f t="shared" si="102"/>
        <v>0</v>
      </c>
      <c r="AU73" s="3">
        <f t="shared" si="102"/>
        <v>0</v>
      </c>
    </row>
    <row r="74" spans="1:47" ht="15" customHeight="1">
      <c r="A74" s="9" t="s">
        <v>343</v>
      </c>
      <c r="B74" s="3" t="s">
        <v>247</v>
      </c>
      <c r="C74" s="13" t="s">
        <v>229</v>
      </c>
      <c r="D74" s="4">
        <v>68000</v>
      </c>
      <c r="E74" s="9" t="s">
        <v>224</v>
      </c>
      <c r="F74" s="3">
        <v>0</v>
      </c>
      <c r="G74" s="3">
        <v>0</v>
      </c>
      <c r="H74" s="3">
        <v>12</v>
      </c>
      <c r="I74" s="3">
        <v>12</v>
      </c>
      <c r="J74" s="3">
        <v>9</v>
      </c>
      <c r="K74" s="3">
        <v>0</v>
      </c>
      <c r="L74" s="3">
        <f t="shared" si="101"/>
        <v>33</v>
      </c>
      <c r="P74" s="7">
        <f>-T53-T62-T63</f>
        <v>-70340</v>
      </c>
      <c r="W74" s="7"/>
      <c r="X74" s="7"/>
      <c r="Y74" s="7"/>
      <c r="AA74" s="3">
        <f t="shared" si="97"/>
        <v>0</v>
      </c>
      <c r="AB74" s="3">
        <f t="shared" si="98"/>
        <v>0</v>
      </c>
      <c r="AC74" s="21">
        <f t="shared" si="65"/>
        <v>0</v>
      </c>
      <c r="AD74" s="21">
        <f t="shared" si="99"/>
        <v>0</v>
      </c>
      <c r="AE74" s="21"/>
      <c r="AF74" s="21"/>
      <c r="AG74" s="27">
        <f>-P74/(Referencias_Dimensiones!C12*10000)/0.5*(Referencias_Dimensiones!C12*10000)*8/2.5/1000</f>
        <v>450.17599999999999</v>
      </c>
      <c r="AH74" s="21">
        <f t="shared" si="100"/>
        <v>0</v>
      </c>
      <c r="AI74" s="21"/>
      <c r="AP74" s="3">
        <f t="shared" si="102"/>
        <v>0</v>
      </c>
      <c r="AQ74" s="3">
        <f t="shared" si="102"/>
        <v>0</v>
      </c>
      <c r="AR74" s="3">
        <f t="shared" si="102"/>
        <v>11</v>
      </c>
      <c r="AS74" s="3">
        <f t="shared" si="102"/>
        <v>12</v>
      </c>
      <c r="AT74" s="3">
        <f t="shared" si="102"/>
        <v>9</v>
      </c>
      <c r="AU74" s="3">
        <f t="shared" si="102"/>
        <v>0</v>
      </c>
    </row>
    <row r="75" spans="1:47" ht="15" customHeight="1">
      <c r="A75" s="9" t="s">
        <v>343</v>
      </c>
      <c r="B75" s="3" t="s">
        <v>247</v>
      </c>
      <c r="C75" s="13" t="s">
        <v>228</v>
      </c>
      <c r="D75" s="4">
        <v>71000</v>
      </c>
      <c r="E75" s="9" t="s">
        <v>224</v>
      </c>
      <c r="F75" s="3">
        <v>0</v>
      </c>
      <c r="G75" s="3">
        <v>8</v>
      </c>
      <c r="H75" s="3">
        <v>7</v>
      </c>
      <c r="I75" s="3">
        <v>0</v>
      </c>
      <c r="J75" s="3">
        <v>0</v>
      </c>
      <c r="K75" s="3">
        <v>0</v>
      </c>
      <c r="L75" s="3">
        <f t="shared" si="101"/>
        <v>15</v>
      </c>
      <c r="P75" s="7">
        <f>-T50-T54-U62-U63-T64-T65-T67-T68-T69</f>
        <v>-74260</v>
      </c>
      <c r="W75" s="7"/>
      <c r="X75" s="7"/>
      <c r="Y75" s="7"/>
      <c r="AA75" s="3">
        <f t="shared" si="97"/>
        <v>0</v>
      </c>
      <c r="AB75" s="3">
        <f t="shared" si="98"/>
        <v>0</v>
      </c>
      <c r="AC75" s="21">
        <f t="shared" si="65"/>
        <v>0</v>
      </c>
      <c r="AD75" s="21">
        <f t="shared" si="99"/>
        <v>0</v>
      </c>
      <c r="AE75" s="21"/>
      <c r="AF75" s="21"/>
      <c r="AG75" s="27">
        <f>-P75/(Referencias_Dimensiones!C13*10000)/0.5*(Referencias_Dimensiones!C13*10000)*8/2.5/1000</f>
        <v>475.26400000000001</v>
      </c>
      <c r="AH75" s="21">
        <f t="shared" si="100"/>
        <v>0</v>
      </c>
      <c r="AI75" s="21"/>
      <c r="AP75" s="3">
        <f t="shared" si="102"/>
        <v>-1</v>
      </c>
      <c r="AQ75" s="3">
        <f t="shared" si="102"/>
        <v>8</v>
      </c>
      <c r="AR75" s="3">
        <f t="shared" si="102"/>
        <v>7</v>
      </c>
      <c r="AS75" s="3">
        <f t="shared" si="102"/>
        <v>0</v>
      </c>
      <c r="AT75" s="3">
        <f t="shared" si="102"/>
        <v>0</v>
      </c>
      <c r="AU75" s="3">
        <f t="shared" si="102"/>
        <v>0</v>
      </c>
    </row>
    <row r="76" spans="1:47" ht="15" customHeight="1">
      <c r="A76" s="9" t="s">
        <v>343</v>
      </c>
      <c r="B76" s="3" t="s">
        <v>247</v>
      </c>
      <c r="C76" s="13" t="s">
        <v>227</v>
      </c>
      <c r="D76" s="4">
        <v>91000</v>
      </c>
      <c r="E76" s="9" t="s">
        <v>224</v>
      </c>
      <c r="F76" s="3">
        <v>0</v>
      </c>
      <c r="G76" s="3">
        <v>0</v>
      </c>
      <c r="H76" s="3">
        <v>11</v>
      </c>
      <c r="I76" s="3">
        <v>7</v>
      </c>
      <c r="J76" s="3">
        <v>0</v>
      </c>
      <c r="K76" s="3">
        <v>0</v>
      </c>
      <c r="L76" s="3">
        <f t="shared" si="101"/>
        <v>18</v>
      </c>
      <c r="P76" s="7">
        <f>-T55-U64-U65-U67-U68-U69</f>
        <v>-93240</v>
      </c>
      <c r="W76" s="7"/>
      <c r="X76" s="7"/>
      <c r="Y76" s="7"/>
      <c r="AA76" s="3">
        <f t="shared" si="97"/>
        <v>0</v>
      </c>
      <c r="AB76" s="3">
        <f t="shared" si="98"/>
        <v>0</v>
      </c>
      <c r="AC76" s="21">
        <f t="shared" si="65"/>
        <v>0</v>
      </c>
      <c r="AD76" s="21">
        <f t="shared" si="99"/>
        <v>0</v>
      </c>
      <c r="AE76" s="21"/>
      <c r="AF76" s="21"/>
      <c r="AG76" s="27">
        <f>-P76/(Referencias_Dimensiones!C15*10000)/0.5*(Referencias_Dimensiones!C15*10000)*8/2.5/1000</f>
        <v>596.73599999999999</v>
      </c>
      <c r="AH76" s="21">
        <f t="shared" si="100"/>
        <v>0</v>
      </c>
      <c r="AI76" s="21"/>
      <c r="AP76" s="3">
        <f t="shared" si="102"/>
        <v>0</v>
      </c>
      <c r="AQ76" s="3">
        <f t="shared" si="102"/>
        <v>0</v>
      </c>
      <c r="AR76" s="3">
        <f t="shared" si="102"/>
        <v>10</v>
      </c>
      <c r="AS76" s="3">
        <f t="shared" si="102"/>
        <v>7</v>
      </c>
      <c r="AT76" s="3">
        <f t="shared" si="102"/>
        <v>0</v>
      </c>
      <c r="AU76" s="3">
        <f t="shared" si="102"/>
        <v>0</v>
      </c>
    </row>
    <row r="77" spans="1:47" ht="15" customHeight="1">
      <c r="A77" s="9" t="s">
        <v>343</v>
      </c>
      <c r="B77" s="3" t="s">
        <v>247</v>
      </c>
      <c r="C77" s="13" t="s">
        <v>226</v>
      </c>
      <c r="D77" s="4">
        <v>345000</v>
      </c>
      <c r="E77" s="9" t="s">
        <v>224</v>
      </c>
      <c r="F77" s="3">
        <v>0</v>
      </c>
      <c r="G77" s="3">
        <v>1</v>
      </c>
      <c r="H77" s="3">
        <v>12</v>
      </c>
      <c r="I77" s="3">
        <v>2</v>
      </c>
      <c r="J77" s="3">
        <v>0</v>
      </c>
      <c r="K77" s="3">
        <v>0</v>
      </c>
      <c r="L77" s="3">
        <f t="shared" si="101"/>
        <v>15</v>
      </c>
      <c r="P77" s="7">
        <f>-T56-V64-V65-V67-V68-V69-T70</f>
        <v>-350940</v>
      </c>
      <c r="W77" s="7"/>
      <c r="X77" s="7"/>
      <c r="Y77" s="7"/>
      <c r="AA77" s="3">
        <f t="shared" si="97"/>
        <v>0</v>
      </c>
      <c r="AB77" s="3">
        <f t="shared" si="98"/>
        <v>0</v>
      </c>
      <c r="AC77" s="21">
        <f t="shared" si="65"/>
        <v>0</v>
      </c>
      <c r="AD77" s="21">
        <f t="shared" si="99"/>
        <v>0</v>
      </c>
      <c r="AE77" s="21"/>
      <c r="AF77" s="21"/>
      <c r="AG77" s="27">
        <f>-P77/(Referencias_Dimensiones!C16*10000)/0.5*(Referencias_Dimensiones!C16*10000)*8/2.5/1000</f>
        <v>2246.0160000000001</v>
      </c>
      <c r="AH77" s="21">
        <f t="shared" si="100"/>
        <v>0</v>
      </c>
      <c r="AI77" s="21"/>
      <c r="AP77" s="3">
        <f t="shared" si="102"/>
        <v>-1</v>
      </c>
      <c r="AQ77" s="3">
        <f t="shared" si="102"/>
        <v>1</v>
      </c>
      <c r="AR77" s="3">
        <f t="shared" si="102"/>
        <v>12</v>
      </c>
      <c r="AS77" s="3">
        <f t="shared" si="102"/>
        <v>2</v>
      </c>
      <c r="AT77" s="3">
        <f t="shared" si="102"/>
        <v>0</v>
      </c>
      <c r="AU77" s="3">
        <f t="shared" si="102"/>
        <v>0</v>
      </c>
    </row>
    <row r="78" spans="1:47" ht="15" customHeight="1">
      <c r="A78" s="9" t="s">
        <v>343</v>
      </c>
      <c r="B78" s="3" t="s">
        <v>247</v>
      </c>
      <c r="C78" s="13" t="s">
        <v>225</v>
      </c>
      <c r="D78" s="4">
        <v>210000</v>
      </c>
      <c r="E78" s="9" t="s">
        <v>224</v>
      </c>
      <c r="F78" s="3">
        <v>0</v>
      </c>
      <c r="G78" s="3">
        <v>0</v>
      </c>
      <c r="H78" s="3">
        <v>6</v>
      </c>
      <c r="I78" s="3">
        <v>12</v>
      </c>
      <c r="J78" s="3">
        <v>12</v>
      </c>
      <c r="K78" s="3">
        <v>0</v>
      </c>
      <c r="L78" s="3">
        <f t="shared" si="101"/>
        <v>30</v>
      </c>
      <c r="P78" s="7" t="e">
        <f>-T57-T71-T48</f>
        <v>#REF!</v>
      </c>
      <c r="W78" s="7"/>
      <c r="X78" s="7"/>
      <c r="Y78" s="7"/>
      <c r="AA78" s="3">
        <f t="shared" si="97"/>
        <v>0</v>
      </c>
      <c r="AB78" s="3">
        <f t="shared" si="98"/>
        <v>0</v>
      </c>
      <c r="AC78" s="21">
        <f t="shared" si="65"/>
        <v>0</v>
      </c>
      <c r="AD78" s="21">
        <f t="shared" si="99"/>
        <v>0</v>
      </c>
      <c r="AE78" s="21"/>
      <c r="AF78" s="21"/>
      <c r="AG78" s="27" t="e">
        <f>-P78/(Referencias_Dimensiones!C14*10000)/0.5*(Referencias_Dimensiones!C14*10000)*8/2.5/1000</f>
        <v>#REF!</v>
      </c>
      <c r="AH78" s="21">
        <f t="shared" si="100"/>
        <v>0</v>
      </c>
      <c r="AI78" s="21"/>
      <c r="AP78" s="3">
        <f t="shared" si="102"/>
        <v>0</v>
      </c>
      <c r="AQ78" s="3">
        <f t="shared" si="102"/>
        <v>0</v>
      </c>
      <c r="AR78" s="3">
        <f t="shared" si="102"/>
        <v>5</v>
      </c>
      <c r="AS78" s="3">
        <f t="shared" si="102"/>
        <v>12</v>
      </c>
      <c r="AT78" s="3">
        <f t="shared" si="102"/>
        <v>12</v>
      </c>
      <c r="AU78" s="3">
        <f t="shared" si="102"/>
        <v>0</v>
      </c>
    </row>
    <row r="79" spans="1:47" ht="15" customHeight="1">
      <c r="A79" s="9" t="s">
        <v>343</v>
      </c>
      <c r="B79" s="18" t="s">
        <v>223</v>
      </c>
      <c r="C79" s="17" t="s">
        <v>423</v>
      </c>
      <c r="D79" s="52">
        <v>3000</v>
      </c>
      <c r="E79" s="9" t="s">
        <v>237</v>
      </c>
      <c r="F79" s="3">
        <v>0</v>
      </c>
      <c r="G79" s="3">
        <v>0</v>
      </c>
      <c r="H79" s="3">
        <v>12</v>
      </c>
      <c r="I79" s="3">
        <v>12</v>
      </c>
      <c r="J79" s="3">
        <v>12</v>
      </c>
      <c r="K79" s="3">
        <v>0</v>
      </c>
      <c r="L79" s="3">
        <f t="shared" ref="L79:L81" si="103">SUM(F79:K79)</f>
        <v>36</v>
      </c>
      <c r="W79" s="27"/>
      <c r="X79" s="27"/>
      <c r="Y79" s="27"/>
      <c r="AC79" s="21"/>
      <c r="AD79" s="21"/>
      <c r="AE79" s="21"/>
      <c r="AF79" s="21"/>
      <c r="AG79" s="3"/>
      <c r="AH79" s="21"/>
      <c r="AI79" s="21"/>
    </row>
    <row r="80" spans="1:47" ht="15" customHeight="1">
      <c r="A80" s="9" t="s">
        <v>343</v>
      </c>
      <c r="B80" s="18" t="s">
        <v>223</v>
      </c>
      <c r="C80" s="17" t="s">
        <v>424</v>
      </c>
      <c r="D80" s="52">
        <v>3000</v>
      </c>
      <c r="E80" s="9" t="s">
        <v>237</v>
      </c>
      <c r="F80" s="3">
        <v>0</v>
      </c>
      <c r="G80" s="3">
        <v>0</v>
      </c>
      <c r="H80" s="3">
        <v>12</v>
      </c>
      <c r="I80" s="3">
        <v>12</v>
      </c>
      <c r="J80" s="3">
        <v>12</v>
      </c>
      <c r="K80" s="3">
        <v>0</v>
      </c>
      <c r="L80" s="3">
        <f t="shared" si="103"/>
        <v>36</v>
      </c>
      <c r="W80" s="27"/>
      <c r="X80" s="27"/>
      <c r="Y80" s="27"/>
      <c r="AC80" s="21"/>
      <c r="AD80" s="21"/>
      <c r="AE80" s="21"/>
      <c r="AF80" s="21"/>
      <c r="AG80" s="3"/>
      <c r="AH80" s="21"/>
      <c r="AI80" s="21"/>
    </row>
    <row r="81" spans="1:57" ht="15" customHeight="1">
      <c r="A81" s="9" t="s">
        <v>343</v>
      </c>
      <c r="B81" s="18" t="s">
        <v>223</v>
      </c>
      <c r="C81" s="17" t="s">
        <v>425</v>
      </c>
      <c r="D81" s="52">
        <v>3000</v>
      </c>
      <c r="E81" s="9" t="s">
        <v>237</v>
      </c>
      <c r="F81" s="3">
        <v>0</v>
      </c>
      <c r="G81" s="3">
        <v>0</v>
      </c>
      <c r="H81" s="3">
        <v>12</v>
      </c>
      <c r="I81" s="3">
        <v>12</v>
      </c>
      <c r="J81" s="3">
        <v>12</v>
      </c>
      <c r="K81" s="3">
        <v>0</v>
      </c>
      <c r="L81" s="3">
        <f t="shared" si="103"/>
        <v>36</v>
      </c>
      <c r="W81" s="27"/>
      <c r="X81" s="27"/>
      <c r="Y81" s="27"/>
      <c r="AC81" s="21"/>
      <c r="AD81" s="21"/>
      <c r="AE81" s="21"/>
      <c r="AF81" s="21"/>
      <c r="AG81" s="3"/>
      <c r="AH81" s="21"/>
      <c r="AI81" s="21"/>
    </row>
    <row r="82" spans="1:57" ht="15" customHeight="1">
      <c r="A82" s="9" t="s">
        <v>343</v>
      </c>
      <c r="B82" s="18" t="s">
        <v>223</v>
      </c>
      <c r="C82" s="17" t="s">
        <v>426</v>
      </c>
      <c r="D82" s="52">
        <v>3000</v>
      </c>
      <c r="E82" s="9" t="s">
        <v>237</v>
      </c>
      <c r="F82" s="3">
        <v>0</v>
      </c>
      <c r="G82" s="3">
        <v>0</v>
      </c>
      <c r="H82" s="3">
        <v>12</v>
      </c>
      <c r="I82" s="3">
        <v>12</v>
      </c>
      <c r="J82" s="3">
        <v>6</v>
      </c>
      <c r="K82" s="3">
        <v>0</v>
      </c>
      <c r="L82" s="3">
        <f t="shared" ref="L82:L84" si="104">SUM(F82:K82)</f>
        <v>30</v>
      </c>
      <c r="W82" s="27"/>
      <c r="X82" s="27"/>
      <c r="Y82" s="27"/>
      <c r="AC82" s="21"/>
      <c r="AD82" s="21"/>
      <c r="AE82" s="21"/>
      <c r="AF82" s="21"/>
      <c r="AG82" s="3"/>
      <c r="AH82" s="21"/>
      <c r="AI82" s="21"/>
    </row>
    <row r="83" spans="1:57" ht="15" customHeight="1">
      <c r="A83" s="9" t="s">
        <v>343</v>
      </c>
      <c r="B83" s="18" t="s">
        <v>223</v>
      </c>
      <c r="C83" s="17" t="s">
        <v>427</v>
      </c>
      <c r="D83" s="52">
        <v>3000</v>
      </c>
      <c r="E83" s="9" t="s">
        <v>237</v>
      </c>
      <c r="F83" s="3">
        <v>0</v>
      </c>
      <c r="G83" s="3">
        <v>0</v>
      </c>
      <c r="H83" s="3">
        <v>12</v>
      </c>
      <c r="I83" s="3">
        <v>12</v>
      </c>
      <c r="J83" s="3">
        <v>12</v>
      </c>
      <c r="K83" s="3">
        <v>0</v>
      </c>
      <c r="L83" s="3">
        <f t="shared" si="104"/>
        <v>36</v>
      </c>
      <c r="W83" s="27"/>
      <c r="X83" s="27"/>
      <c r="Y83" s="27"/>
      <c r="AC83" s="21"/>
      <c r="AD83" s="21"/>
      <c r="AE83" s="21"/>
      <c r="AF83" s="21"/>
      <c r="AG83" s="3"/>
      <c r="AH83" s="21"/>
      <c r="AI83" s="21"/>
    </row>
    <row r="84" spans="1:57" ht="15" customHeight="1">
      <c r="A84" s="9" t="s">
        <v>343</v>
      </c>
      <c r="B84" s="18" t="s">
        <v>223</v>
      </c>
      <c r="C84" s="17" t="s">
        <v>428</v>
      </c>
      <c r="D84" s="52">
        <v>3000</v>
      </c>
      <c r="E84" s="9" t="s">
        <v>237</v>
      </c>
      <c r="F84" s="3">
        <v>0</v>
      </c>
      <c r="G84" s="3">
        <v>0</v>
      </c>
      <c r="H84" s="3">
        <v>6</v>
      </c>
      <c r="I84" s="3">
        <v>12</v>
      </c>
      <c r="J84" s="3">
        <v>12</v>
      </c>
      <c r="K84" s="3">
        <v>0</v>
      </c>
      <c r="L84" s="3">
        <f t="shared" si="104"/>
        <v>30</v>
      </c>
      <c r="W84" s="27"/>
      <c r="X84" s="27"/>
      <c r="Y84" s="27"/>
      <c r="AC84" s="21"/>
      <c r="AD84" s="21"/>
      <c r="AE84" s="21"/>
      <c r="AF84" s="21"/>
      <c r="AG84" s="3"/>
      <c r="AH84" s="21"/>
      <c r="AI84" s="21"/>
    </row>
    <row r="85" spans="1:57" ht="15" customHeight="1">
      <c r="A85" s="9" t="s">
        <v>343</v>
      </c>
      <c r="B85" s="18" t="s">
        <v>223</v>
      </c>
      <c r="C85" s="17" t="s">
        <v>222</v>
      </c>
      <c r="D85" s="52">
        <f>+(SUM(Referencias_M.Tierras!C50:C52)+Referencias_M.Tierras!C58)*10000</f>
        <v>189100</v>
      </c>
      <c r="E85" s="9" t="s">
        <v>237</v>
      </c>
      <c r="F85" s="3">
        <v>0</v>
      </c>
      <c r="G85" s="3">
        <v>0</v>
      </c>
      <c r="H85" s="3">
        <v>9</v>
      </c>
      <c r="I85" s="3">
        <v>10</v>
      </c>
      <c r="J85" s="3">
        <v>0</v>
      </c>
      <c r="K85" s="3">
        <v>0</v>
      </c>
      <c r="L85" s="3">
        <f t="shared" si="101"/>
        <v>19</v>
      </c>
      <c r="M85" s="7">
        <f>+SUM(Referencias_M.Tierras!D50:D52)+Referencias_M.Tierras!D58</f>
        <v>18450</v>
      </c>
      <c r="O85" s="7">
        <f>+SUM(Referencias_M.Tierras!E50:E52)+Referencias_M.Tierras!E58</f>
        <v>434810</v>
      </c>
      <c r="P85" s="7">
        <f>-SUM(Referencias_M.Tierras!F50:F52)+Referencias_M.Tierras!F58</f>
        <v>-368685</v>
      </c>
      <c r="Q85" s="7">
        <f>+SUM(Referencias_M.Tierras!G50:G52)+Referencias_M.Tierras!G58</f>
        <v>30136</v>
      </c>
      <c r="S85" s="25" t="s">
        <v>324</v>
      </c>
      <c r="T85" s="7">
        <f>+Q85</f>
        <v>30136</v>
      </c>
      <c r="W85" s="27">
        <v>1.2</v>
      </c>
      <c r="X85" s="27"/>
      <c r="Y85" s="27"/>
      <c r="Z85" s="24">
        <f>+IF(M85&lt;&gt;0,D85/2,0)/1000</f>
        <v>94.55</v>
      </c>
      <c r="AA85" s="3">
        <f t="shared" si="97"/>
        <v>4348.1000000000004</v>
      </c>
      <c r="AB85" s="3">
        <f t="shared" si="98"/>
        <v>0</v>
      </c>
      <c r="AC85" s="21">
        <f t="shared" ref="AC85:AC90" si="105">+(1.6*SUM($O$2:$O$91)+2.6*SUM($N$2:$N$91))/SUM($N$2:$O$91)*Q85</f>
        <v>51923.349116255849</v>
      </c>
      <c r="AD85" s="21">
        <f t="shared" si="99"/>
        <v>0</v>
      </c>
      <c r="AE85" s="21"/>
      <c r="AF85" s="21"/>
      <c r="AG85" s="3">
        <f>+D85/2.5*3/1000</f>
        <v>226.92</v>
      </c>
      <c r="AH85" s="21">
        <f t="shared" si="100"/>
        <v>2583.0857142857139</v>
      </c>
      <c r="AI85" s="21"/>
      <c r="AJ85" s="24">
        <f>+IF(F85&lt;&gt;0,1,0)</f>
        <v>0</v>
      </c>
      <c r="AK85" s="3">
        <f>+IF(AJ85&gt;0,0,IF(G85&lt;&gt;0,1,0))</f>
        <v>0</v>
      </c>
      <c r="AL85" s="3">
        <f>+IF(AK85+AJ85&gt;0,0,IF(H85&lt;&gt;0,1,0))</f>
        <v>1</v>
      </c>
      <c r="AM85" s="3">
        <f>+IF(AK85+AJ85+AL85&gt;0,0,IF(I85&lt;&gt;0,1,0))</f>
        <v>0</v>
      </c>
      <c r="AN85" s="3">
        <f>+IF(+AJ85+AL85+AK85+AM85&gt;0,0,IF(J85&lt;&gt;0,1,0))</f>
        <v>0</v>
      </c>
      <c r="AO85" s="3">
        <f>+IF(+AJ85+AK85+AM85+AL85+AN85&gt;0,0,IF(K85&lt;&gt;0,1,0))</f>
        <v>0</v>
      </c>
      <c r="AP85" s="3">
        <f t="shared" ref="AP85:AU85" si="106">+F85-AJ85</f>
        <v>0</v>
      </c>
      <c r="AQ85" s="3">
        <f t="shared" si="106"/>
        <v>0</v>
      </c>
      <c r="AR85" s="3">
        <f t="shared" si="106"/>
        <v>8</v>
      </c>
      <c r="AS85" s="3">
        <f t="shared" si="106"/>
        <v>10</v>
      </c>
      <c r="AT85" s="3">
        <f t="shared" si="106"/>
        <v>0</v>
      </c>
      <c r="AU85" s="3">
        <f t="shared" si="106"/>
        <v>0</v>
      </c>
      <c r="AV85" s="3">
        <f t="shared" ref="AV85:BA90" si="107">+F85-AJ85-AP85</f>
        <v>0</v>
      </c>
      <c r="AW85" s="3">
        <f t="shared" si="107"/>
        <v>0</v>
      </c>
      <c r="AX85" s="3">
        <f t="shared" si="107"/>
        <v>0</v>
      </c>
      <c r="AY85" s="3">
        <f t="shared" si="107"/>
        <v>0</v>
      </c>
      <c r="AZ85" s="3">
        <f t="shared" si="107"/>
        <v>0</v>
      </c>
      <c r="BA85" s="3">
        <f t="shared" si="107"/>
        <v>0</v>
      </c>
      <c r="BB85" s="3">
        <f t="shared" ref="BB85:BB90" si="108">SUBTOTAL(9,AV85:BA85)</f>
        <v>0</v>
      </c>
      <c r="BC85" s="25">
        <f>+Referencias_Otros!G4</f>
        <v>8000</v>
      </c>
      <c r="BD85" s="7">
        <f>+Referencias_Otros!G5</f>
        <v>0</v>
      </c>
      <c r="BE85" s="7">
        <f>+Referencias_Otros!G11-BC85-BD85</f>
        <v>3100</v>
      </c>
    </row>
    <row r="86" spans="1:57" ht="15" customHeight="1">
      <c r="A86" s="9" t="s">
        <v>343</v>
      </c>
      <c r="B86" s="18" t="s">
        <v>223</v>
      </c>
      <c r="C86" s="17" t="s">
        <v>221</v>
      </c>
      <c r="D86" s="52">
        <v>1700</v>
      </c>
      <c r="E86" s="9" t="s">
        <v>237</v>
      </c>
      <c r="F86" s="3">
        <v>0</v>
      </c>
      <c r="G86" s="3">
        <v>0</v>
      </c>
      <c r="H86" s="3">
        <v>0</v>
      </c>
      <c r="I86" s="3">
        <v>0</v>
      </c>
      <c r="J86" s="3">
        <v>11</v>
      </c>
      <c r="K86" s="3">
        <v>0</v>
      </c>
      <c r="L86" s="3">
        <f t="shared" si="101"/>
        <v>11</v>
      </c>
      <c r="W86" s="7"/>
      <c r="X86" s="7"/>
      <c r="Y86" s="7"/>
      <c r="AA86" s="3">
        <f t="shared" si="97"/>
        <v>0</v>
      </c>
      <c r="AB86" s="3">
        <f t="shared" si="98"/>
        <v>0</v>
      </c>
      <c r="AC86" s="21">
        <f t="shared" si="105"/>
        <v>0</v>
      </c>
      <c r="AD86" s="21">
        <f t="shared" si="99"/>
        <v>0</v>
      </c>
      <c r="AE86" s="21"/>
      <c r="AF86" s="21"/>
      <c r="AG86" s="3"/>
      <c r="AH86" s="21">
        <f t="shared" si="100"/>
        <v>0</v>
      </c>
      <c r="AI86" s="21"/>
      <c r="AV86" s="3">
        <f t="shared" si="107"/>
        <v>0</v>
      </c>
      <c r="AW86" s="3">
        <f t="shared" si="107"/>
        <v>0</v>
      </c>
      <c r="AX86" s="3">
        <f t="shared" si="107"/>
        <v>0</v>
      </c>
      <c r="AY86" s="3">
        <f t="shared" si="107"/>
        <v>0</v>
      </c>
      <c r="AZ86" s="3">
        <f t="shared" si="107"/>
        <v>11</v>
      </c>
      <c r="BA86" s="3">
        <f t="shared" si="107"/>
        <v>0</v>
      </c>
      <c r="BB86" s="3">
        <f t="shared" si="108"/>
        <v>11</v>
      </c>
      <c r="BC86" s="25">
        <f>+D86/($D$86+$D$87)*Referencias_Otros!$E$4</f>
        <v>13203.88349514563</v>
      </c>
      <c r="BD86" s="7">
        <f>+D86/($D$86+$D$87)*Referencias_Otros!$E$5</f>
        <v>16504.85436893204</v>
      </c>
      <c r="BE86" s="7">
        <f>+D86/($D$86+$D$87)*Referencias_Otros!$E$11-BC86-BD86</f>
        <v>5446.6019417475727</v>
      </c>
    </row>
    <row r="87" spans="1:57" ht="15" customHeight="1">
      <c r="A87" s="9" t="s">
        <v>343</v>
      </c>
      <c r="B87" s="18" t="s">
        <v>223</v>
      </c>
      <c r="C87" s="17" t="s">
        <v>300</v>
      </c>
      <c r="D87" s="52">
        <f>30*10*1.2</f>
        <v>360</v>
      </c>
      <c r="E87" s="9" t="s">
        <v>237</v>
      </c>
      <c r="F87" s="3">
        <v>0</v>
      </c>
      <c r="G87" s="3">
        <v>0</v>
      </c>
      <c r="H87" s="3">
        <v>3</v>
      </c>
      <c r="I87" s="3">
        <v>0</v>
      </c>
      <c r="J87" s="3">
        <v>0</v>
      </c>
      <c r="K87" s="3">
        <v>0</v>
      </c>
      <c r="L87" s="3">
        <f t="shared" si="101"/>
        <v>3</v>
      </c>
      <c r="W87" s="7"/>
      <c r="X87" s="7"/>
      <c r="Y87" s="7"/>
      <c r="AA87" s="3">
        <f t="shared" si="97"/>
        <v>0</v>
      </c>
      <c r="AB87" s="3">
        <f t="shared" si="98"/>
        <v>0</v>
      </c>
      <c r="AC87" s="21">
        <f t="shared" si="105"/>
        <v>0</v>
      </c>
      <c r="AD87" s="21">
        <f t="shared" si="99"/>
        <v>0</v>
      </c>
      <c r="AE87" s="21"/>
      <c r="AF87" s="21"/>
      <c r="AG87" s="3"/>
      <c r="AH87" s="21">
        <f t="shared" si="100"/>
        <v>0</v>
      </c>
      <c r="AI87" s="21"/>
      <c r="AV87" s="3">
        <f t="shared" si="107"/>
        <v>0</v>
      </c>
      <c r="AW87" s="3">
        <f t="shared" si="107"/>
        <v>0</v>
      </c>
      <c r="AX87" s="3">
        <f t="shared" si="107"/>
        <v>3</v>
      </c>
      <c r="AY87" s="3">
        <f t="shared" si="107"/>
        <v>0</v>
      </c>
      <c r="AZ87" s="3">
        <f t="shared" si="107"/>
        <v>0</v>
      </c>
      <c r="BA87" s="3">
        <f t="shared" si="107"/>
        <v>0</v>
      </c>
      <c r="BB87" s="3">
        <f t="shared" si="108"/>
        <v>3</v>
      </c>
      <c r="BC87" s="25">
        <f>+D87/($D$86+$D$87)*Referencias_Otros!$E$4</f>
        <v>2796.1165048543689</v>
      </c>
      <c r="BD87" s="7">
        <f>+D87/($D$86+$D$87)*Referencias_Otros!$E$5</f>
        <v>3495.1456310679614</v>
      </c>
      <c r="BE87" s="7">
        <f>+D87/($D$86+$D$87)*Referencias_Otros!$E$11-BC87-BD87</f>
        <v>1153.3980582524273</v>
      </c>
    </row>
    <row r="88" spans="1:57" ht="15" customHeight="1">
      <c r="A88" s="9" t="s">
        <v>343</v>
      </c>
      <c r="B88" s="18" t="s">
        <v>223</v>
      </c>
      <c r="C88" s="17" t="s">
        <v>318</v>
      </c>
      <c r="D88" s="52">
        <f>+SUM(Referencias_M.Tierras!C53:C56)*10000</f>
        <v>20300.000000000004</v>
      </c>
      <c r="E88" s="9" t="s">
        <v>237</v>
      </c>
      <c r="F88" s="3">
        <v>0</v>
      </c>
      <c r="G88" s="3">
        <v>0</v>
      </c>
      <c r="H88" s="3">
        <v>6</v>
      </c>
      <c r="I88" s="3">
        <v>12</v>
      </c>
      <c r="J88" s="3">
        <v>12</v>
      </c>
      <c r="K88" s="3">
        <v>0</v>
      </c>
      <c r="L88" s="3">
        <f t="shared" si="101"/>
        <v>30</v>
      </c>
      <c r="M88" s="7">
        <f>+SUM(Referencias_M.Tierras!D53:D56)</f>
        <v>170</v>
      </c>
      <c r="O88" s="7">
        <f>+SUM(Referencias_M.Tierras!E53:E56)</f>
        <v>58950</v>
      </c>
      <c r="P88" s="7">
        <f>-SUM(Referencias_M.Tierras!F53:F56)</f>
        <v>-37100</v>
      </c>
      <c r="Q88" s="7">
        <f>+SUM(Referencias_M.Tierras!G53:G56)</f>
        <v>31345</v>
      </c>
      <c r="S88" s="26" t="s">
        <v>322</v>
      </c>
      <c r="T88" s="7">
        <f>+Q88</f>
        <v>31345</v>
      </c>
      <c r="W88" s="10">
        <v>8.9</v>
      </c>
      <c r="Z88" s="24">
        <f t="shared" ref="Z88:Z90" si="109">+IF(M88&lt;&gt;0,D88/2,0)/1000</f>
        <v>10.150000000000002</v>
      </c>
      <c r="AA88" s="3">
        <f t="shared" si="97"/>
        <v>589.5</v>
      </c>
      <c r="AB88" s="3">
        <f t="shared" si="98"/>
        <v>0</v>
      </c>
      <c r="AC88" s="21">
        <f t="shared" si="105"/>
        <v>54006.416845269436</v>
      </c>
      <c r="AD88" s="21">
        <f t="shared" si="99"/>
        <v>0</v>
      </c>
      <c r="AE88" s="21"/>
      <c r="AF88" s="21"/>
      <c r="AG88" s="3">
        <f>+D88/2.5*3/1000</f>
        <v>24.360000000000007</v>
      </c>
      <c r="AI88" s="21">
        <f>+(T88*W88+U88*X88+V88*Y88)/14</f>
        <v>19926.464285714286</v>
      </c>
      <c r="AJ88" s="24">
        <f>+IF(F88&lt;&gt;0,1,0)</f>
        <v>0</v>
      </c>
      <c r="AK88" s="3">
        <f>+IF(AJ88&gt;0,0,IF(G88&lt;&gt;0,1,0))</f>
        <v>0</v>
      </c>
      <c r="AL88" s="3">
        <f>+IF(AK88+AJ88&gt;0,0,IF(H88&lt;&gt;0,1,0))</f>
        <v>1</v>
      </c>
      <c r="AM88" s="3">
        <f>+IF(AK88+AJ88+AL88&gt;0,0,IF(I88&lt;&gt;0,1,0))</f>
        <v>0</v>
      </c>
      <c r="AN88" s="3">
        <f>+IF(+AJ88+AL88+AK88+AM88&gt;0,0,IF(J88&lt;&gt;0,1,0))</f>
        <v>0</v>
      </c>
      <c r="AO88" s="3">
        <f>+IF(+AJ88+AK88+AM88+AL88+AN88&gt;0,0,IF(K88&lt;&gt;0,1,0))</f>
        <v>0</v>
      </c>
      <c r="AP88" s="3">
        <f>+IF(F88&lt;&gt;0,1,0)</f>
        <v>0</v>
      </c>
      <c r="AQ88" s="3">
        <f>+IF(AP88&gt;0,0,IF(G88&lt;&gt;0,1,0))</f>
        <v>0</v>
      </c>
      <c r="AR88" s="3">
        <f>+IF(AQ88+AP88&gt;0,0,IF(H88&lt;&gt;0,1,0))</f>
        <v>1</v>
      </c>
      <c r="AS88" s="3">
        <f>+IF(AQ88+AP88+AR88&gt;0,0,IF(I88&lt;&gt;0,1,0))</f>
        <v>0</v>
      </c>
      <c r="AT88" s="3">
        <f>+IF(+AP88+AR88+AQ88+AS88&gt;0,0,IF(J88&lt;&gt;0,1,0))</f>
        <v>0</v>
      </c>
      <c r="AU88" s="3">
        <f>+IF(+AP88+AQ88+AS88+AR88+AT88&gt;0,0,IF(K88&lt;&gt;0,1,0))</f>
        <v>0</v>
      </c>
      <c r="AV88" s="3">
        <f t="shared" si="107"/>
        <v>0</v>
      </c>
      <c r="AW88" s="3">
        <f t="shared" si="107"/>
        <v>0</v>
      </c>
      <c r="AX88" s="3">
        <f t="shared" si="107"/>
        <v>4</v>
      </c>
      <c r="AY88" s="3">
        <f t="shared" si="107"/>
        <v>12</v>
      </c>
      <c r="AZ88" s="3">
        <f t="shared" si="107"/>
        <v>12</v>
      </c>
      <c r="BA88" s="3">
        <f t="shared" si="107"/>
        <v>0</v>
      </c>
      <c r="BB88" s="3">
        <f t="shared" si="108"/>
        <v>28</v>
      </c>
      <c r="BC88" s="25">
        <f>+Referencias_Otros!$D$4*D88/($D$88+$D$90)</f>
        <v>12837.944664031622</v>
      </c>
      <c r="BD88" s="7">
        <f>+Referencias_Otros!$D$5*D88/($D$88+$D$90)</f>
        <v>16047.430830039526</v>
      </c>
      <c r="BE88" s="7">
        <f>+Referencias_Otros!$D$11*D88/($D$88+$D$90)-BD88-BC88</f>
        <v>3490.3162055335961</v>
      </c>
    </row>
    <row r="89" spans="1:57" ht="15" customHeight="1">
      <c r="A89" s="9" t="s">
        <v>343</v>
      </c>
      <c r="B89" s="18" t="s">
        <v>223</v>
      </c>
      <c r="C89" s="22" t="s">
        <v>30</v>
      </c>
      <c r="D89" s="52">
        <f>+Referencias_M.Tierras!C57*10000</f>
        <v>20000</v>
      </c>
      <c r="E89" s="9" t="s">
        <v>237</v>
      </c>
      <c r="F89" s="3">
        <v>0</v>
      </c>
      <c r="G89" s="3">
        <v>0</v>
      </c>
      <c r="H89" s="3">
        <v>0</v>
      </c>
      <c r="I89" s="3">
        <v>0</v>
      </c>
      <c r="J89" s="3">
        <v>6</v>
      </c>
      <c r="K89" s="3">
        <v>0</v>
      </c>
      <c r="L89" s="3">
        <f t="shared" si="101"/>
        <v>6</v>
      </c>
      <c r="M89" s="7">
        <f>+Referencias_M.Tierras!D57</f>
        <v>0</v>
      </c>
      <c r="N89" s="7">
        <f>+Referencias_M.Tierras!E57</f>
        <v>0</v>
      </c>
      <c r="P89" s="7">
        <f>-Referencias_M.Tierras!F57</f>
        <v>-12000</v>
      </c>
      <c r="W89" s="7"/>
      <c r="X89" s="7"/>
      <c r="Y89" s="7"/>
      <c r="Z89" s="24">
        <f t="shared" si="109"/>
        <v>0</v>
      </c>
      <c r="AA89" s="3">
        <f t="shared" si="97"/>
        <v>0</v>
      </c>
      <c r="AB89" s="3">
        <f t="shared" si="98"/>
        <v>0</v>
      </c>
      <c r="AC89" s="21">
        <f t="shared" si="105"/>
        <v>0</v>
      </c>
      <c r="AD89" s="21">
        <f t="shared" si="99"/>
        <v>0</v>
      </c>
      <c r="AE89" s="21"/>
      <c r="AF89" s="21"/>
      <c r="AG89" s="3">
        <f>+D89/2.5*3/1000</f>
        <v>24</v>
      </c>
      <c r="AH89" s="21">
        <f t="shared" si="100"/>
        <v>0</v>
      </c>
      <c r="AI89" s="21"/>
      <c r="AV89" s="3">
        <f t="shared" si="107"/>
        <v>0</v>
      </c>
      <c r="AW89" s="3">
        <f t="shared" si="107"/>
        <v>0</v>
      </c>
      <c r="AX89" s="3">
        <f t="shared" si="107"/>
        <v>0</v>
      </c>
      <c r="AY89" s="3">
        <f t="shared" si="107"/>
        <v>0</v>
      </c>
      <c r="AZ89" s="3">
        <f t="shared" si="107"/>
        <v>6</v>
      </c>
      <c r="BA89" s="3">
        <f t="shared" si="107"/>
        <v>0</v>
      </c>
      <c r="BB89" s="3">
        <f t="shared" si="108"/>
        <v>6</v>
      </c>
      <c r="BC89" s="25">
        <f>+Referencias_Otros!C4</f>
        <v>12000</v>
      </c>
      <c r="BD89" s="7">
        <f>+Referencias_Otros!C5</f>
        <v>60000</v>
      </c>
      <c r="BE89" s="7">
        <f>+Referencias_Otros!C11-BD89-BC89</f>
        <v>1550</v>
      </c>
    </row>
    <row r="90" spans="1:57" ht="15" customHeight="1">
      <c r="A90" s="9" t="s">
        <v>343</v>
      </c>
      <c r="B90" s="18" t="s">
        <v>223</v>
      </c>
      <c r="C90" s="13" t="s">
        <v>220</v>
      </c>
      <c r="D90" s="52">
        <f>0.5*10000</f>
        <v>5000</v>
      </c>
      <c r="E90" s="9" t="s">
        <v>237</v>
      </c>
      <c r="F90" s="3">
        <v>0</v>
      </c>
      <c r="G90" s="3">
        <v>0</v>
      </c>
      <c r="H90" s="3">
        <v>8</v>
      </c>
      <c r="I90" s="3">
        <v>4</v>
      </c>
      <c r="J90" s="3">
        <v>0</v>
      </c>
      <c r="K90" s="3">
        <v>0</v>
      </c>
      <c r="L90" s="3">
        <f t="shared" si="101"/>
        <v>12</v>
      </c>
      <c r="M90" s="7">
        <f>0.2*D90</f>
        <v>1000</v>
      </c>
      <c r="Q90" s="7">
        <f>+M90</f>
        <v>1000</v>
      </c>
      <c r="W90" s="7"/>
      <c r="X90" s="7"/>
      <c r="Y90" s="7"/>
      <c r="Z90" s="24">
        <f t="shared" si="109"/>
        <v>2.5</v>
      </c>
      <c r="AA90" s="3">
        <f t="shared" si="97"/>
        <v>0</v>
      </c>
      <c r="AB90" s="3">
        <f t="shared" si="98"/>
        <v>0</v>
      </c>
      <c r="AC90" s="21">
        <f t="shared" si="105"/>
        <v>1722.9675177945264</v>
      </c>
      <c r="AD90" s="21">
        <f t="shared" si="99"/>
        <v>0</v>
      </c>
      <c r="AE90" s="21"/>
      <c r="AF90" s="21"/>
      <c r="AG90" s="3"/>
      <c r="AH90" s="21">
        <f t="shared" si="100"/>
        <v>0</v>
      </c>
      <c r="AI90" s="21"/>
      <c r="AJ90" s="24">
        <f>+IF(F90&lt;&gt;0,1,0)</f>
        <v>0</v>
      </c>
      <c r="AK90" s="3">
        <f>+IF(AJ90&gt;0,0,IF(G90&lt;&gt;0,1,0))</f>
        <v>0</v>
      </c>
      <c r="AL90" s="3">
        <f>+IF(AK90+AJ90&gt;0,0,IF(H90&lt;&gt;0,1,0))</f>
        <v>1</v>
      </c>
      <c r="AM90" s="3">
        <f>+IF(AK90+AJ90+AL90&gt;0,0,IF(I90&lt;&gt;0,1,0))</f>
        <v>0</v>
      </c>
      <c r="AN90" s="3">
        <f>+IF(+AJ90+AL90+AK90+AM90&gt;0,0,IF(J90&lt;&gt;0,1,0))</f>
        <v>0</v>
      </c>
      <c r="AO90" s="3">
        <f>+IF(+AJ90+AK90+AM90+AL90+AN90&gt;0,0,IF(K90&lt;&gt;0,1,0))</f>
        <v>0</v>
      </c>
      <c r="AV90" s="3">
        <f t="shared" si="107"/>
        <v>0</v>
      </c>
      <c r="AW90" s="3">
        <f t="shared" si="107"/>
        <v>0</v>
      </c>
      <c r="AX90" s="3">
        <f t="shared" si="107"/>
        <v>7</v>
      </c>
      <c r="AY90" s="3">
        <f t="shared" si="107"/>
        <v>4</v>
      </c>
      <c r="AZ90" s="3">
        <f t="shared" si="107"/>
        <v>0</v>
      </c>
      <c r="BA90" s="3">
        <f t="shared" si="107"/>
        <v>0</v>
      </c>
      <c r="BB90" s="3">
        <f t="shared" si="108"/>
        <v>11</v>
      </c>
      <c r="BC90" s="25">
        <f>+Referencias_Otros!$D$4*D90/($D$88+$D$90)</f>
        <v>3162.055335968379</v>
      </c>
      <c r="BD90" s="7">
        <f>+Referencias_Otros!$D$5*D90/($D$88+$D$90)</f>
        <v>3952.5691699604736</v>
      </c>
      <c r="BE90" s="7">
        <f>+Referencias_Otros!$D$11*D90/($D$88+$D$90)-BD90-BC90</f>
        <v>859.68379446640347</v>
      </c>
    </row>
    <row r="91" spans="1:57" ht="15" customHeight="1">
      <c r="A91" s="9" t="s">
        <v>343</v>
      </c>
      <c r="B91" s="18" t="s">
        <v>223</v>
      </c>
      <c r="C91" s="13" t="s">
        <v>219</v>
      </c>
      <c r="F91" s="3">
        <v>0</v>
      </c>
      <c r="G91" s="3">
        <v>12</v>
      </c>
      <c r="H91" s="3">
        <v>12</v>
      </c>
      <c r="I91" s="3">
        <v>0</v>
      </c>
      <c r="J91" s="3">
        <v>0</v>
      </c>
      <c r="K91" s="3">
        <v>0</v>
      </c>
      <c r="L91" s="3">
        <f t="shared" si="101"/>
        <v>24</v>
      </c>
      <c r="W91" s="7"/>
      <c r="X91" s="7"/>
      <c r="Y91" s="7"/>
      <c r="AG91" s="3"/>
      <c r="AH91" s="3"/>
      <c r="AI91" s="3"/>
    </row>
    <row r="92" spans="1:57" ht="15" customHeight="1">
      <c r="W92" s="7"/>
      <c r="X92" s="7"/>
      <c r="Y92" s="7"/>
      <c r="AG92" s="3"/>
      <c r="AH92" s="3"/>
      <c r="AI92" s="3"/>
    </row>
    <row r="93" spans="1:57">
      <c r="W93" s="27"/>
      <c r="X93" s="27"/>
      <c r="Y93" s="27"/>
    </row>
  </sheetData>
  <sheetProtection formatCells="0" formatColumns="0" formatRows="0" insertColumns="0" insertRows="0" insertHyperlinks="0" deleteColumns="0" deleteRows="0"/>
  <autoFilter ref="A1:V92"/>
  <pageMargins left="0.39370078740157483" right="0.39370078740157483" top="0.39370078740157483" bottom="0.39370078740157483" header="0.31496062992125984" footer="0.31496062992125984"/>
  <pageSetup scale="74"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58"/>
  <sheetViews>
    <sheetView workbookViewId="0">
      <pane xSplit="1" ySplit="1" topLeftCell="B8" activePane="bottomRight" state="frozen"/>
      <selection pane="topRight" activeCell="B1" sqref="B1"/>
      <selection pane="bottomLeft" activeCell="A2" sqref="A2"/>
      <selection pane="bottomRight" activeCell="C10" sqref="C10"/>
    </sheetView>
  </sheetViews>
  <sheetFormatPr baseColWidth="10" defaultColWidth="21.5703125" defaultRowHeight="12"/>
  <cols>
    <col min="1" max="1" width="6.28515625" style="29" bestFit="1" customWidth="1"/>
    <col min="2" max="2" width="15.140625" style="29" bestFit="1" customWidth="1"/>
    <col min="3" max="3" width="77" style="29" customWidth="1"/>
    <col min="4" max="4" width="22.140625" style="29" customWidth="1"/>
    <col min="5" max="16384" width="21.5703125" style="29"/>
  </cols>
  <sheetData>
    <row r="1" spans="1:4">
      <c r="A1" s="28" t="s">
        <v>510</v>
      </c>
      <c r="B1" s="28" t="s">
        <v>511</v>
      </c>
      <c r="C1" s="28" t="s">
        <v>512</v>
      </c>
      <c r="D1" s="28" t="s">
        <v>514</v>
      </c>
    </row>
    <row r="2" spans="1:4">
      <c r="A2" s="29">
        <v>1</v>
      </c>
      <c r="B2" s="29" t="s">
        <v>60</v>
      </c>
      <c r="C2" s="29" t="s">
        <v>513</v>
      </c>
      <c r="D2" s="29" t="s">
        <v>515</v>
      </c>
    </row>
    <row r="3" spans="1:4">
      <c r="A3" s="29">
        <v>2</v>
      </c>
      <c r="B3" s="29" t="s">
        <v>298</v>
      </c>
      <c r="C3" s="29" t="s">
        <v>516</v>
      </c>
      <c r="D3" s="29" t="s">
        <v>517</v>
      </c>
    </row>
    <row r="4" spans="1:4">
      <c r="A4" s="29">
        <v>3</v>
      </c>
      <c r="B4" s="29" t="s">
        <v>297</v>
      </c>
      <c r="C4" s="29" t="s">
        <v>518</v>
      </c>
      <c r="D4" s="29" t="s">
        <v>519</v>
      </c>
    </row>
    <row r="5" spans="1:4">
      <c r="A5" s="29">
        <v>4</v>
      </c>
      <c r="B5" s="29" t="s">
        <v>296</v>
      </c>
      <c r="C5" s="29" t="s">
        <v>520</v>
      </c>
      <c r="D5" s="29" t="s">
        <v>550</v>
      </c>
    </row>
    <row r="6" spans="1:4">
      <c r="A6" s="29">
        <v>5</v>
      </c>
      <c r="B6" s="29" t="s">
        <v>295</v>
      </c>
      <c r="C6" s="29" t="s">
        <v>522</v>
      </c>
      <c r="D6" s="29" t="s">
        <v>521</v>
      </c>
    </row>
    <row r="7" spans="1:4">
      <c r="A7" s="29">
        <v>6</v>
      </c>
      <c r="B7" s="32">
        <v>2011</v>
      </c>
      <c r="C7" s="29" t="s">
        <v>523</v>
      </c>
      <c r="D7" s="29" t="s">
        <v>550</v>
      </c>
    </row>
    <row r="8" spans="1:4">
      <c r="A8" s="29">
        <v>7</v>
      </c>
      <c r="B8" s="32">
        <v>2012</v>
      </c>
      <c r="C8" s="29" t="s">
        <v>524</v>
      </c>
      <c r="D8" s="29" t="s">
        <v>550</v>
      </c>
    </row>
    <row r="9" spans="1:4">
      <c r="A9" s="29">
        <v>8</v>
      </c>
      <c r="B9" s="32">
        <v>2013</v>
      </c>
      <c r="C9" s="29" t="s">
        <v>525</v>
      </c>
      <c r="D9" s="29" t="s">
        <v>550</v>
      </c>
    </row>
    <row r="10" spans="1:4">
      <c r="A10" s="29">
        <v>9</v>
      </c>
      <c r="B10" s="32">
        <v>2014</v>
      </c>
      <c r="C10" s="29" t="s">
        <v>526</v>
      </c>
      <c r="D10" s="29" t="s">
        <v>550</v>
      </c>
    </row>
    <row r="11" spans="1:4">
      <c r="A11" s="29">
        <v>10</v>
      </c>
      <c r="B11" s="32">
        <v>2015</v>
      </c>
      <c r="C11" s="29" t="s">
        <v>527</v>
      </c>
      <c r="D11" s="29" t="s">
        <v>550</v>
      </c>
    </row>
    <row r="12" spans="1:4">
      <c r="A12" s="29">
        <v>11</v>
      </c>
      <c r="B12" s="32">
        <v>2016</v>
      </c>
      <c r="C12" s="29" t="s">
        <v>528</v>
      </c>
      <c r="D12" s="29" t="s">
        <v>550</v>
      </c>
    </row>
    <row r="13" spans="1:4">
      <c r="A13" s="29">
        <v>12</v>
      </c>
      <c r="B13" s="29" t="s">
        <v>32</v>
      </c>
      <c r="C13" s="29" t="s">
        <v>529</v>
      </c>
      <c r="D13" s="29" t="s">
        <v>550</v>
      </c>
    </row>
    <row r="14" spans="1:4">
      <c r="A14" s="29">
        <v>13</v>
      </c>
      <c r="B14" s="29" t="s">
        <v>303</v>
      </c>
      <c r="C14" s="29" t="s">
        <v>530</v>
      </c>
      <c r="D14" s="29" t="s">
        <v>550</v>
      </c>
    </row>
    <row r="15" spans="1:4">
      <c r="A15" s="29">
        <v>14</v>
      </c>
      <c r="B15" s="29" t="s">
        <v>309</v>
      </c>
      <c r="C15" s="29" t="s">
        <v>531</v>
      </c>
      <c r="D15" s="29" t="s">
        <v>550</v>
      </c>
    </row>
    <row r="16" spans="1:4">
      <c r="A16" s="29">
        <v>15</v>
      </c>
      <c r="B16" s="29" t="s">
        <v>308</v>
      </c>
      <c r="C16" s="29" t="s">
        <v>532</v>
      </c>
      <c r="D16" s="29" t="s">
        <v>550</v>
      </c>
    </row>
    <row r="17" spans="1:4">
      <c r="A17" s="29">
        <v>16</v>
      </c>
      <c r="B17" s="29" t="s">
        <v>304</v>
      </c>
      <c r="C17" s="29" t="s">
        <v>533</v>
      </c>
      <c r="D17" s="29" t="s">
        <v>551</v>
      </c>
    </row>
    <row r="18" spans="1:4">
      <c r="A18" s="29">
        <v>17</v>
      </c>
      <c r="B18" s="29" t="s">
        <v>305</v>
      </c>
      <c r="C18" s="29" t="s">
        <v>534</v>
      </c>
      <c r="D18" s="29" t="s">
        <v>550</v>
      </c>
    </row>
    <row r="19" spans="1:4">
      <c r="A19" s="29">
        <v>18</v>
      </c>
      <c r="B19" s="29" t="s">
        <v>365</v>
      </c>
      <c r="C19" s="29" t="s">
        <v>535</v>
      </c>
      <c r="D19" s="29" t="s">
        <v>550</v>
      </c>
    </row>
    <row r="20" spans="1:4">
      <c r="A20" s="29">
        <v>19</v>
      </c>
      <c r="B20" s="29" t="s">
        <v>306</v>
      </c>
      <c r="C20" s="29" t="s">
        <v>537</v>
      </c>
      <c r="D20" s="29" t="s">
        <v>536</v>
      </c>
    </row>
    <row r="21" spans="1:4">
      <c r="A21" s="29">
        <v>20</v>
      </c>
      <c r="B21" s="29" t="s">
        <v>310</v>
      </c>
      <c r="C21" s="29" t="s">
        <v>538</v>
      </c>
      <c r="D21" s="29" t="s">
        <v>550</v>
      </c>
    </row>
    <row r="22" spans="1:4">
      <c r="A22" s="29">
        <v>21</v>
      </c>
      <c r="B22" s="29" t="s">
        <v>311</v>
      </c>
      <c r="C22" s="29" t="s">
        <v>539</v>
      </c>
      <c r="D22" s="29" t="s">
        <v>550</v>
      </c>
    </row>
    <row r="23" spans="1:4">
      <c r="A23" s="29">
        <v>22</v>
      </c>
      <c r="B23" s="29" t="s">
        <v>326</v>
      </c>
      <c r="C23" s="29" t="s">
        <v>540</v>
      </c>
      <c r="D23" s="29" t="s">
        <v>550</v>
      </c>
    </row>
    <row r="24" spans="1:4">
      <c r="A24" s="29">
        <v>23</v>
      </c>
      <c r="B24" s="29" t="s">
        <v>384</v>
      </c>
      <c r="C24" s="29" t="s">
        <v>541</v>
      </c>
      <c r="D24" s="29" t="s">
        <v>550</v>
      </c>
    </row>
    <row r="25" spans="1:4">
      <c r="A25" s="29">
        <v>24</v>
      </c>
      <c r="B25" s="29" t="s">
        <v>385</v>
      </c>
      <c r="C25" s="29" t="s">
        <v>542</v>
      </c>
      <c r="D25" s="29" t="s">
        <v>550</v>
      </c>
    </row>
    <row r="26" spans="1:4">
      <c r="A26" s="29">
        <v>25</v>
      </c>
      <c r="B26" s="29" t="s">
        <v>386</v>
      </c>
      <c r="C26" s="29" t="s">
        <v>543</v>
      </c>
      <c r="D26" s="29" t="s">
        <v>550</v>
      </c>
    </row>
    <row r="27" spans="1:4">
      <c r="A27" s="29">
        <v>26</v>
      </c>
      <c r="B27" s="29" t="s">
        <v>345</v>
      </c>
      <c r="C27" s="29" t="s">
        <v>544</v>
      </c>
      <c r="D27" s="29" t="s">
        <v>550</v>
      </c>
    </row>
    <row r="28" spans="1:4">
      <c r="A28" s="29">
        <v>27</v>
      </c>
      <c r="B28" s="29" t="s">
        <v>361</v>
      </c>
      <c r="C28" s="29" t="s">
        <v>545</v>
      </c>
      <c r="D28" s="29" t="s">
        <v>550</v>
      </c>
    </row>
    <row r="29" spans="1:4">
      <c r="A29" s="29">
        <v>28</v>
      </c>
      <c r="B29" s="29" t="s">
        <v>362</v>
      </c>
      <c r="C29" s="29" t="s">
        <v>546</v>
      </c>
      <c r="D29" s="29" t="s">
        <v>550</v>
      </c>
    </row>
    <row r="30" spans="1:4">
      <c r="A30" s="29">
        <v>29</v>
      </c>
      <c r="B30" s="29" t="s">
        <v>363</v>
      </c>
      <c r="C30" s="29" t="s">
        <v>548</v>
      </c>
      <c r="D30" s="29" t="s">
        <v>550</v>
      </c>
    </row>
    <row r="31" spans="1:4">
      <c r="A31" s="29">
        <v>30</v>
      </c>
      <c r="B31" s="29" t="s">
        <v>364</v>
      </c>
      <c r="C31" s="29" t="s">
        <v>547</v>
      </c>
      <c r="D31" s="29" t="s">
        <v>550</v>
      </c>
    </row>
    <row r="32" spans="1:4">
      <c r="A32" s="29">
        <v>31</v>
      </c>
      <c r="B32" s="29" t="s">
        <v>347</v>
      </c>
      <c r="C32" s="29" t="s">
        <v>549</v>
      </c>
      <c r="D32" s="29" t="s">
        <v>550</v>
      </c>
    </row>
    <row r="33" spans="1:4">
      <c r="A33" s="29">
        <v>32</v>
      </c>
      <c r="B33" s="29" t="s">
        <v>348</v>
      </c>
      <c r="C33" s="29" t="s">
        <v>552</v>
      </c>
      <c r="D33" s="29" t="s">
        <v>550</v>
      </c>
    </row>
    <row r="34" spans="1:4">
      <c r="A34" s="29">
        <v>33</v>
      </c>
      <c r="B34" s="29" t="s">
        <v>346</v>
      </c>
      <c r="C34" s="29" t="s">
        <v>553</v>
      </c>
      <c r="D34" s="29" t="s">
        <v>550</v>
      </c>
    </row>
    <row r="35" spans="1:4">
      <c r="A35" s="29">
        <v>34</v>
      </c>
      <c r="B35" s="29" t="s">
        <v>407</v>
      </c>
      <c r="C35" s="29" t="s">
        <v>554</v>
      </c>
      <c r="D35" s="29" t="s">
        <v>550</v>
      </c>
    </row>
    <row r="36" spans="1:4">
      <c r="A36" s="29">
        <v>35</v>
      </c>
      <c r="B36" s="29" t="s">
        <v>408</v>
      </c>
      <c r="C36" s="29" t="s">
        <v>554</v>
      </c>
      <c r="D36" s="29" t="s">
        <v>550</v>
      </c>
    </row>
    <row r="37" spans="1:4">
      <c r="A37" s="29">
        <v>36</v>
      </c>
      <c r="B37" s="29" t="s">
        <v>349</v>
      </c>
      <c r="C37" s="29" t="s">
        <v>555</v>
      </c>
      <c r="D37" s="29" t="s">
        <v>550</v>
      </c>
    </row>
    <row r="38" spans="1:4">
      <c r="A38" s="29">
        <v>37</v>
      </c>
      <c r="B38" s="29" t="s">
        <v>350</v>
      </c>
      <c r="C38" s="29" t="s">
        <v>556</v>
      </c>
      <c r="D38" s="29" t="s">
        <v>550</v>
      </c>
    </row>
    <row r="39" spans="1:4">
      <c r="A39" s="29">
        <v>38</v>
      </c>
      <c r="B39" s="29" t="s">
        <v>351</v>
      </c>
      <c r="C39" s="29" t="s">
        <v>557</v>
      </c>
      <c r="D39" s="29" t="s">
        <v>550</v>
      </c>
    </row>
    <row r="40" spans="1:4">
      <c r="A40" s="29">
        <v>39</v>
      </c>
      <c r="B40" s="29" t="s">
        <v>352</v>
      </c>
      <c r="C40" s="29" t="s">
        <v>561</v>
      </c>
      <c r="D40" s="29" t="s">
        <v>550</v>
      </c>
    </row>
    <row r="41" spans="1:4">
      <c r="A41" s="29">
        <v>40</v>
      </c>
      <c r="B41" s="29" t="s">
        <v>353</v>
      </c>
      <c r="C41" s="29" t="s">
        <v>562</v>
      </c>
      <c r="D41" s="29" t="s">
        <v>550</v>
      </c>
    </row>
    <row r="42" spans="1:4">
      <c r="A42" s="29">
        <v>41</v>
      </c>
      <c r="B42" s="29" t="s">
        <v>354</v>
      </c>
      <c r="C42" s="29" t="s">
        <v>558</v>
      </c>
      <c r="D42" s="29" t="s">
        <v>550</v>
      </c>
    </row>
    <row r="43" spans="1:4">
      <c r="A43" s="29">
        <v>42</v>
      </c>
      <c r="B43" s="29" t="s">
        <v>355</v>
      </c>
      <c r="C43" s="29" t="s">
        <v>559</v>
      </c>
      <c r="D43" s="29" t="s">
        <v>550</v>
      </c>
    </row>
    <row r="44" spans="1:4">
      <c r="A44" s="29">
        <v>43</v>
      </c>
      <c r="B44" s="29" t="s">
        <v>356</v>
      </c>
      <c r="C44" s="29" t="s">
        <v>560</v>
      </c>
      <c r="D44" s="29" t="s">
        <v>550</v>
      </c>
    </row>
    <row r="45" spans="1:4">
      <c r="A45" s="29">
        <v>44</v>
      </c>
      <c r="B45" s="29" t="s">
        <v>357</v>
      </c>
      <c r="C45" s="29" t="s">
        <v>563</v>
      </c>
      <c r="D45" s="29" t="s">
        <v>550</v>
      </c>
    </row>
    <row r="46" spans="1:4">
      <c r="A46" s="29">
        <v>45</v>
      </c>
      <c r="B46" s="29" t="s">
        <v>358</v>
      </c>
      <c r="C46" s="29" t="s">
        <v>564</v>
      </c>
      <c r="D46" s="29" t="s">
        <v>550</v>
      </c>
    </row>
    <row r="47" spans="1:4">
      <c r="A47" s="29">
        <v>46</v>
      </c>
      <c r="B47" s="29" t="s">
        <v>359</v>
      </c>
      <c r="C47" s="29" t="s">
        <v>565</v>
      </c>
      <c r="D47" s="29" t="s">
        <v>550</v>
      </c>
    </row>
    <row r="48" spans="1:4">
      <c r="A48" s="29">
        <v>47</v>
      </c>
      <c r="B48" s="29" t="s">
        <v>360</v>
      </c>
      <c r="C48" s="29" t="s">
        <v>566</v>
      </c>
      <c r="D48" s="29" t="s">
        <v>550</v>
      </c>
    </row>
    <row r="49" spans="1:4">
      <c r="A49" s="29">
        <v>48</v>
      </c>
      <c r="B49" s="29" t="s">
        <v>373</v>
      </c>
      <c r="C49" s="29" t="s">
        <v>567</v>
      </c>
      <c r="D49" s="29" t="s">
        <v>550</v>
      </c>
    </row>
    <row r="50" spans="1:4">
      <c r="A50" s="29">
        <v>49</v>
      </c>
      <c r="B50" s="29" t="s">
        <v>374</v>
      </c>
      <c r="C50" s="29" t="s">
        <v>568</v>
      </c>
      <c r="D50" s="29" t="s">
        <v>550</v>
      </c>
    </row>
    <row r="51" spans="1:4">
      <c r="A51" s="29">
        <v>50</v>
      </c>
      <c r="B51" s="29" t="s">
        <v>375</v>
      </c>
      <c r="C51" s="29" t="s">
        <v>569</v>
      </c>
      <c r="D51" s="29" t="s">
        <v>550</v>
      </c>
    </row>
    <row r="52" spans="1:4">
      <c r="A52" s="29">
        <v>51</v>
      </c>
      <c r="B52" s="29" t="s">
        <v>376</v>
      </c>
      <c r="C52" s="29" t="s">
        <v>570</v>
      </c>
      <c r="D52" s="29" t="s">
        <v>550</v>
      </c>
    </row>
    <row r="53" spans="1:4">
      <c r="A53" s="29">
        <v>52</v>
      </c>
      <c r="B53" s="29" t="s">
        <v>377</v>
      </c>
      <c r="C53" s="29" t="s">
        <v>571</v>
      </c>
      <c r="D53" s="29" t="s">
        <v>550</v>
      </c>
    </row>
    <row r="54" spans="1:4">
      <c r="A54" s="29">
        <v>53</v>
      </c>
      <c r="B54" s="29" t="s">
        <v>378</v>
      </c>
      <c r="C54" s="29" t="s">
        <v>572</v>
      </c>
      <c r="D54" s="29" t="s">
        <v>550</v>
      </c>
    </row>
    <row r="55" spans="1:4">
      <c r="A55" s="29">
        <v>54</v>
      </c>
      <c r="B55" s="29" t="s">
        <v>379</v>
      </c>
      <c r="C55" s="29" t="s">
        <v>573</v>
      </c>
      <c r="D55" s="29" t="s">
        <v>550</v>
      </c>
    </row>
    <row r="56" spans="1:4">
      <c r="A56" s="29">
        <v>55</v>
      </c>
      <c r="B56" s="29" t="s">
        <v>331</v>
      </c>
      <c r="C56" s="29" t="s">
        <v>576</v>
      </c>
      <c r="D56" s="29" t="s">
        <v>550</v>
      </c>
    </row>
    <row r="57" spans="1:4">
      <c r="A57" s="29">
        <v>56</v>
      </c>
      <c r="B57" s="29" t="s">
        <v>330</v>
      </c>
      <c r="C57" s="29" t="s">
        <v>574</v>
      </c>
      <c r="D57" s="29" t="s">
        <v>550</v>
      </c>
    </row>
    <row r="58" spans="1:4">
      <c r="A58" s="29">
        <v>57</v>
      </c>
      <c r="B58" s="29" t="s">
        <v>332</v>
      </c>
      <c r="C58" s="29" t="s">
        <v>575</v>
      </c>
      <c r="D58" s="29" t="s">
        <v>550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E10"/>
  <sheetViews>
    <sheetView workbookViewId="0">
      <selection activeCell="G8" sqref="G8"/>
    </sheetView>
  </sheetViews>
  <sheetFormatPr baseColWidth="10" defaultRowHeight="15"/>
  <cols>
    <col min="2" max="2" width="14.140625" customWidth="1"/>
    <col min="3" max="3" width="19.5703125" customWidth="1"/>
    <col min="4" max="4" width="12.7109375" customWidth="1"/>
    <col min="14" max="14" width="16.85546875" customWidth="1"/>
    <col min="15" max="15" width="18" customWidth="1"/>
    <col min="17" max="17" width="12.42578125" customWidth="1"/>
    <col min="18" max="18" width="18.85546875" customWidth="1"/>
    <col min="26" max="26" width="13.42578125" customWidth="1"/>
    <col min="27" max="27" width="14.28515625" customWidth="1"/>
    <col min="28" max="28" width="13.42578125" customWidth="1"/>
    <col min="29" max="29" width="13.85546875" customWidth="1"/>
    <col min="30" max="30" width="15.28515625" customWidth="1"/>
    <col min="31" max="31" width="14.7109375" customWidth="1"/>
    <col min="32" max="32" width="17.140625" customWidth="1"/>
    <col min="33" max="33" width="16" customWidth="1"/>
    <col min="34" max="34" width="12.5703125" customWidth="1"/>
    <col min="57" max="57" width="14.28515625" customWidth="1"/>
  </cols>
  <sheetData>
    <row r="1" spans="1:57">
      <c r="A1" t="s">
        <v>60</v>
      </c>
      <c r="B1" t="s">
        <v>298</v>
      </c>
      <c r="C1" t="s">
        <v>297</v>
      </c>
      <c r="D1" t="s">
        <v>296</v>
      </c>
      <c r="E1" t="s">
        <v>295</v>
      </c>
      <c r="F1" t="s">
        <v>829</v>
      </c>
      <c r="G1" t="s">
        <v>830</v>
      </c>
      <c r="H1" t="s">
        <v>831</v>
      </c>
      <c r="I1" t="s">
        <v>832</v>
      </c>
      <c r="J1" t="s">
        <v>833</v>
      </c>
      <c r="K1" t="s">
        <v>834</v>
      </c>
      <c r="L1" t="s">
        <v>32</v>
      </c>
      <c r="M1" t="s">
        <v>303</v>
      </c>
      <c r="N1" t="s">
        <v>309</v>
      </c>
      <c r="O1" t="s">
        <v>308</v>
      </c>
      <c r="P1" t="s">
        <v>304</v>
      </c>
      <c r="Q1" t="s">
        <v>305</v>
      </c>
      <c r="R1" t="s">
        <v>365</v>
      </c>
      <c r="S1" t="s">
        <v>306</v>
      </c>
      <c r="T1" t="s">
        <v>310</v>
      </c>
      <c r="U1" t="s">
        <v>311</v>
      </c>
      <c r="V1" t="s">
        <v>326</v>
      </c>
      <c r="W1" t="s">
        <v>384</v>
      </c>
      <c r="X1" t="s">
        <v>385</v>
      </c>
      <c r="Y1" t="s">
        <v>386</v>
      </c>
      <c r="Z1" t="s">
        <v>345</v>
      </c>
      <c r="AA1" t="s">
        <v>361</v>
      </c>
      <c r="AB1" t="s">
        <v>362</v>
      </c>
      <c r="AC1" t="s">
        <v>363</v>
      </c>
      <c r="AD1" t="s">
        <v>364</v>
      </c>
      <c r="AE1" t="s">
        <v>347</v>
      </c>
      <c r="AF1" t="s">
        <v>348</v>
      </c>
      <c r="AG1" t="s">
        <v>346</v>
      </c>
      <c r="AH1" t="s">
        <v>407</v>
      </c>
      <c r="AI1" t="s">
        <v>408</v>
      </c>
      <c r="AJ1" t="s">
        <v>349</v>
      </c>
      <c r="AK1" t="s">
        <v>350</v>
      </c>
      <c r="AL1" t="s">
        <v>351</v>
      </c>
      <c r="AM1" t="s">
        <v>352</v>
      </c>
      <c r="AN1" t="s">
        <v>353</v>
      </c>
      <c r="AO1" t="s">
        <v>354</v>
      </c>
      <c r="AP1" t="s">
        <v>355</v>
      </c>
      <c r="AQ1" t="s">
        <v>356</v>
      </c>
      <c r="AR1" t="s">
        <v>357</v>
      </c>
      <c r="AS1" t="s">
        <v>358</v>
      </c>
      <c r="AT1" t="s">
        <v>359</v>
      </c>
      <c r="AU1" t="s">
        <v>360</v>
      </c>
      <c r="AV1" t="s">
        <v>373</v>
      </c>
      <c r="AW1" t="s">
        <v>374</v>
      </c>
      <c r="AX1" t="s">
        <v>375</v>
      </c>
      <c r="AY1" t="s">
        <v>376</v>
      </c>
      <c r="AZ1" t="s">
        <v>377</v>
      </c>
      <c r="BA1" t="s">
        <v>378</v>
      </c>
      <c r="BB1" t="s">
        <v>379</v>
      </c>
      <c r="BC1" t="s">
        <v>331</v>
      </c>
      <c r="BD1" t="s">
        <v>330</v>
      </c>
      <c r="BE1" t="s">
        <v>332</v>
      </c>
    </row>
    <row r="2" spans="1:57">
      <c r="A2" t="s">
        <v>338</v>
      </c>
      <c r="B2" t="s">
        <v>256</v>
      </c>
      <c r="C2" t="s">
        <v>294</v>
      </c>
      <c r="D2">
        <v>19100</v>
      </c>
      <c r="E2" t="s">
        <v>237</v>
      </c>
      <c r="F2">
        <v>1</v>
      </c>
      <c r="G2">
        <v>0</v>
      </c>
      <c r="H2">
        <v>0</v>
      </c>
      <c r="I2">
        <v>0</v>
      </c>
      <c r="J2">
        <v>0</v>
      </c>
      <c r="K2">
        <v>0</v>
      </c>
      <c r="L2">
        <v>1</v>
      </c>
      <c r="M2">
        <v>1910</v>
      </c>
      <c r="Q2">
        <v>1910</v>
      </c>
      <c r="S2" t="s">
        <v>320</v>
      </c>
      <c r="T2">
        <v>1910</v>
      </c>
      <c r="W2">
        <v>1.2</v>
      </c>
      <c r="Z2">
        <v>9.5500000000000007</v>
      </c>
      <c r="AA2">
        <v>0</v>
      </c>
      <c r="AB2">
        <v>0</v>
      </c>
      <c r="AC2">
        <v>3290.8679589875455</v>
      </c>
      <c r="AD2">
        <v>0</v>
      </c>
      <c r="AG2">
        <v>0</v>
      </c>
      <c r="AH2">
        <v>163.71428571428572</v>
      </c>
      <c r="AJ2">
        <v>1</v>
      </c>
      <c r="AK2">
        <v>0</v>
      </c>
      <c r="AL2">
        <v>0</v>
      </c>
      <c r="AM2">
        <v>0</v>
      </c>
      <c r="AN2">
        <v>0</v>
      </c>
      <c r="AO2">
        <v>0</v>
      </c>
    </row>
    <row r="3" spans="1:57">
      <c r="A3" t="s">
        <v>338</v>
      </c>
      <c r="B3" t="s">
        <v>256</v>
      </c>
      <c r="C3" t="s">
        <v>835</v>
      </c>
      <c r="D3">
        <v>7100</v>
      </c>
      <c r="E3" t="s">
        <v>260</v>
      </c>
      <c r="F3">
        <v>3</v>
      </c>
      <c r="G3">
        <v>0</v>
      </c>
      <c r="H3">
        <v>0</v>
      </c>
      <c r="I3">
        <v>0</v>
      </c>
      <c r="J3">
        <v>0</v>
      </c>
      <c r="K3">
        <v>0</v>
      </c>
      <c r="L3">
        <v>3</v>
      </c>
      <c r="N3">
        <v>14000</v>
      </c>
      <c r="O3">
        <v>120000</v>
      </c>
      <c r="P3">
        <v>-42811</v>
      </c>
      <c r="Q3">
        <v>91189</v>
      </c>
      <c r="S3" t="s">
        <v>320</v>
      </c>
      <c r="T3">
        <v>91189</v>
      </c>
      <c r="W3">
        <v>1.2</v>
      </c>
      <c r="AA3">
        <v>1200</v>
      </c>
      <c r="AB3">
        <v>140</v>
      </c>
      <c r="AC3">
        <v>157115.68498016507</v>
      </c>
      <c r="AD3">
        <v>0</v>
      </c>
      <c r="AG3">
        <v>113.6</v>
      </c>
      <c r="AH3">
        <v>7816.2</v>
      </c>
      <c r="AJ3">
        <v>1</v>
      </c>
      <c r="AK3">
        <v>0</v>
      </c>
      <c r="AL3">
        <v>0</v>
      </c>
      <c r="AM3">
        <v>0</v>
      </c>
      <c r="AN3">
        <v>0</v>
      </c>
      <c r="AO3">
        <v>0</v>
      </c>
      <c r="AP3">
        <v>2</v>
      </c>
      <c r="AQ3">
        <v>0</v>
      </c>
      <c r="AR3">
        <v>0</v>
      </c>
      <c r="AS3">
        <v>0</v>
      </c>
      <c r="AT3">
        <v>0</v>
      </c>
      <c r="AU3">
        <v>0</v>
      </c>
    </row>
    <row r="4" spans="1:57">
      <c r="A4" t="s">
        <v>338</v>
      </c>
      <c r="B4" t="s">
        <v>256</v>
      </c>
      <c r="C4" t="s">
        <v>292</v>
      </c>
      <c r="D4">
        <v>18400</v>
      </c>
      <c r="E4" t="s">
        <v>237</v>
      </c>
      <c r="F4">
        <v>1</v>
      </c>
      <c r="G4">
        <v>0</v>
      </c>
      <c r="H4">
        <v>0</v>
      </c>
      <c r="I4">
        <v>0</v>
      </c>
      <c r="J4">
        <v>0</v>
      </c>
      <c r="K4">
        <v>0</v>
      </c>
      <c r="L4">
        <v>1</v>
      </c>
      <c r="M4">
        <v>3680</v>
      </c>
      <c r="Q4">
        <v>3680</v>
      </c>
      <c r="S4" t="s">
        <v>320</v>
      </c>
      <c r="T4">
        <v>3680</v>
      </c>
      <c r="W4">
        <v>0</v>
      </c>
      <c r="Z4">
        <v>9.1999999999999993</v>
      </c>
      <c r="AA4">
        <v>0</v>
      </c>
      <c r="AB4">
        <v>0</v>
      </c>
      <c r="AC4">
        <v>6340.5204654838572</v>
      </c>
      <c r="AD4">
        <v>0</v>
      </c>
      <c r="AH4">
        <v>0</v>
      </c>
      <c r="AJ4">
        <v>1</v>
      </c>
      <c r="AK4">
        <v>0</v>
      </c>
      <c r="AL4">
        <v>0</v>
      </c>
      <c r="AM4">
        <v>0</v>
      </c>
      <c r="AN4">
        <v>0</v>
      </c>
      <c r="AO4">
        <v>0</v>
      </c>
    </row>
    <row r="5" spans="1:57">
      <c r="A5" t="s">
        <v>338</v>
      </c>
      <c r="B5" t="s">
        <v>247</v>
      </c>
      <c r="C5" t="s">
        <v>291</v>
      </c>
      <c r="D5">
        <v>4654.9114502067187</v>
      </c>
      <c r="E5" t="s">
        <v>260</v>
      </c>
      <c r="F5">
        <v>2</v>
      </c>
      <c r="G5">
        <v>12</v>
      </c>
      <c r="H5">
        <v>12</v>
      </c>
      <c r="I5">
        <v>12</v>
      </c>
      <c r="J5">
        <v>11</v>
      </c>
      <c r="K5">
        <v>0</v>
      </c>
      <c r="L5">
        <v>49</v>
      </c>
      <c r="R5">
        <v>107765</v>
      </c>
      <c r="S5" t="s">
        <v>320</v>
      </c>
      <c r="T5">
        <v>107765</v>
      </c>
      <c r="W5">
        <v>0</v>
      </c>
      <c r="AA5">
        <v>0</v>
      </c>
      <c r="AB5">
        <v>0</v>
      </c>
      <c r="AC5">
        <v>0</v>
      </c>
      <c r="AD5">
        <v>280189</v>
      </c>
      <c r="AE5">
        <v>2104.78515625</v>
      </c>
      <c r="AH5">
        <v>0</v>
      </c>
      <c r="AP5">
        <v>2</v>
      </c>
      <c r="AQ5">
        <v>12</v>
      </c>
      <c r="AR5">
        <v>12</v>
      </c>
      <c r="AS5">
        <v>12</v>
      </c>
      <c r="AT5">
        <v>11</v>
      </c>
      <c r="AU5">
        <v>0</v>
      </c>
    </row>
    <row r="6" spans="1:57">
      <c r="A6" t="s">
        <v>338</v>
      </c>
      <c r="B6" t="s">
        <v>247</v>
      </c>
      <c r="C6" t="s">
        <v>290</v>
      </c>
      <c r="D6">
        <v>230000</v>
      </c>
      <c r="E6" t="s">
        <v>224</v>
      </c>
      <c r="F6">
        <v>3</v>
      </c>
      <c r="G6">
        <v>12</v>
      </c>
      <c r="H6">
        <v>12</v>
      </c>
      <c r="I6">
        <v>12</v>
      </c>
      <c r="J6">
        <v>11</v>
      </c>
      <c r="K6">
        <v>0</v>
      </c>
      <c r="L6">
        <v>50</v>
      </c>
      <c r="P6">
        <v>-248833</v>
      </c>
      <c r="AA6">
        <v>0</v>
      </c>
      <c r="AB6">
        <v>0</v>
      </c>
      <c r="AC6">
        <v>0</v>
      </c>
      <c r="AD6">
        <v>0</v>
      </c>
      <c r="AG6">
        <v>1592.5311999999999</v>
      </c>
      <c r="AH6">
        <v>0</v>
      </c>
      <c r="AP6">
        <v>2</v>
      </c>
      <c r="AQ6">
        <v>12</v>
      </c>
      <c r="AR6">
        <v>12</v>
      </c>
      <c r="AS6">
        <v>12</v>
      </c>
      <c r="AT6">
        <v>11</v>
      </c>
      <c r="AU6">
        <v>0</v>
      </c>
    </row>
    <row r="7" spans="1:57">
      <c r="A7" t="s">
        <v>338</v>
      </c>
      <c r="B7" t="s">
        <v>223</v>
      </c>
      <c r="C7" t="s">
        <v>16</v>
      </c>
      <c r="D7">
        <v>17200</v>
      </c>
      <c r="E7" t="s">
        <v>237</v>
      </c>
      <c r="F7">
        <v>0</v>
      </c>
      <c r="G7">
        <v>3</v>
      </c>
      <c r="H7">
        <v>7</v>
      </c>
      <c r="I7">
        <v>7</v>
      </c>
      <c r="J7">
        <v>3</v>
      </c>
      <c r="K7">
        <v>0</v>
      </c>
      <c r="L7">
        <v>20</v>
      </c>
      <c r="M7">
        <v>2640</v>
      </c>
      <c r="O7">
        <v>44500</v>
      </c>
      <c r="P7">
        <v>-17800</v>
      </c>
      <c r="Q7">
        <v>31150</v>
      </c>
      <c r="S7" t="s">
        <v>320</v>
      </c>
      <c r="T7">
        <v>31150</v>
      </c>
      <c r="W7">
        <v>2</v>
      </c>
      <c r="Z7">
        <v>8.6</v>
      </c>
      <c r="AA7">
        <v>445</v>
      </c>
      <c r="AB7">
        <v>0</v>
      </c>
      <c r="AC7">
        <v>53670.438179299497</v>
      </c>
      <c r="AD7">
        <v>0</v>
      </c>
      <c r="AG7">
        <v>20.64</v>
      </c>
      <c r="AH7">
        <v>4450</v>
      </c>
      <c r="AJ7">
        <v>0</v>
      </c>
      <c r="AK7">
        <v>1</v>
      </c>
      <c r="AL7">
        <v>0</v>
      </c>
      <c r="AM7">
        <v>0</v>
      </c>
      <c r="AN7">
        <v>0</v>
      </c>
      <c r="AO7">
        <v>0</v>
      </c>
      <c r="AP7">
        <v>0</v>
      </c>
      <c r="AQ7">
        <v>2</v>
      </c>
      <c r="AR7">
        <v>7</v>
      </c>
      <c r="AS7">
        <v>7</v>
      </c>
      <c r="AT7">
        <v>3</v>
      </c>
      <c r="AU7">
        <v>0</v>
      </c>
      <c r="AV7">
        <v>0</v>
      </c>
      <c r="AW7">
        <v>0</v>
      </c>
      <c r="AX7">
        <v>0</v>
      </c>
      <c r="AY7">
        <v>0</v>
      </c>
      <c r="AZ7">
        <v>0</v>
      </c>
      <c r="BA7">
        <v>0</v>
      </c>
      <c r="BB7">
        <v>0</v>
      </c>
      <c r="BC7">
        <v>8031.1284046692608</v>
      </c>
      <c r="BD7">
        <v>0</v>
      </c>
      <c r="BE7">
        <v>5789.1050583657589</v>
      </c>
    </row>
    <row r="8" spans="1:57">
      <c r="A8" t="s">
        <v>338</v>
      </c>
      <c r="B8" t="s">
        <v>223</v>
      </c>
      <c r="C8" t="s">
        <v>289</v>
      </c>
      <c r="D8">
        <v>4000</v>
      </c>
      <c r="E8" t="s">
        <v>237</v>
      </c>
      <c r="F8">
        <v>0</v>
      </c>
      <c r="G8">
        <v>3</v>
      </c>
      <c r="H8">
        <v>7</v>
      </c>
      <c r="I8">
        <v>7</v>
      </c>
      <c r="J8">
        <v>3</v>
      </c>
      <c r="K8">
        <v>0</v>
      </c>
      <c r="L8">
        <v>20</v>
      </c>
      <c r="M8">
        <v>220</v>
      </c>
      <c r="O8">
        <v>5046</v>
      </c>
      <c r="P8">
        <v>-1213</v>
      </c>
      <c r="Q8">
        <v>4339</v>
      </c>
      <c r="S8" t="s">
        <v>320</v>
      </c>
      <c r="T8">
        <v>4339</v>
      </c>
      <c r="W8">
        <v>2</v>
      </c>
      <c r="Z8">
        <v>2</v>
      </c>
      <c r="AA8">
        <v>50.46</v>
      </c>
      <c r="AB8">
        <v>0</v>
      </c>
      <c r="AC8">
        <v>7475.9560597104501</v>
      </c>
      <c r="AD8">
        <v>0</v>
      </c>
      <c r="AG8">
        <v>4.8</v>
      </c>
      <c r="AH8">
        <v>619.85714285714289</v>
      </c>
      <c r="AJ8">
        <v>0</v>
      </c>
      <c r="AK8">
        <v>1</v>
      </c>
      <c r="AL8">
        <v>0</v>
      </c>
      <c r="AM8">
        <v>0</v>
      </c>
      <c r="AN8">
        <v>0</v>
      </c>
      <c r="AO8">
        <v>0</v>
      </c>
      <c r="AP8">
        <v>0</v>
      </c>
      <c r="AQ8">
        <v>1</v>
      </c>
      <c r="AR8">
        <v>0</v>
      </c>
      <c r="AS8">
        <v>0</v>
      </c>
      <c r="AT8">
        <v>0</v>
      </c>
      <c r="AU8">
        <v>0</v>
      </c>
      <c r="AV8">
        <v>0</v>
      </c>
      <c r="AW8">
        <v>1</v>
      </c>
      <c r="AX8">
        <v>7</v>
      </c>
      <c r="AY8">
        <v>7</v>
      </c>
      <c r="AZ8">
        <v>3</v>
      </c>
      <c r="BA8">
        <v>0</v>
      </c>
      <c r="BB8">
        <v>18</v>
      </c>
      <c r="BC8">
        <v>1867.704280155642</v>
      </c>
      <c r="BD8">
        <v>0</v>
      </c>
      <c r="BE8">
        <v>1346.3035019455253</v>
      </c>
    </row>
    <row r="9" spans="1:57">
      <c r="A9" t="s">
        <v>338</v>
      </c>
      <c r="B9" t="s">
        <v>223</v>
      </c>
      <c r="C9" t="s">
        <v>15</v>
      </c>
      <c r="D9">
        <v>4500</v>
      </c>
      <c r="E9" t="s">
        <v>237</v>
      </c>
      <c r="F9">
        <v>0</v>
      </c>
      <c r="G9">
        <v>3</v>
      </c>
      <c r="H9">
        <v>7</v>
      </c>
      <c r="I9">
        <v>7</v>
      </c>
      <c r="J9">
        <v>3</v>
      </c>
      <c r="K9">
        <v>0</v>
      </c>
      <c r="L9">
        <v>20</v>
      </c>
      <c r="M9">
        <v>510</v>
      </c>
      <c r="O9">
        <v>11000</v>
      </c>
      <c r="P9">
        <v>-3300</v>
      </c>
      <c r="Q9">
        <v>8800</v>
      </c>
      <c r="S9" t="s">
        <v>320</v>
      </c>
      <c r="T9">
        <v>8800</v>
      </c>
      <c r="W9">
        <v>0.75</v>
      </c>
      <c r="Z9">
        <v>2.25</v>
      </c>
      <c r="AA9">
        <v>110</v>
      </c>
      <c r="AB9">
        <v>0</v>
      </c>
      <c r="AC9">
        <v>15162.114156591833</v>
      </c>
      <c r="AD9">
        <v>0</v>
      </c>
      <c r="AG9">
        <v>5.4</v>
      </c>
      <c r="AH9">
        <v>471.42857142857144</v>
      </c>
      <c r="AJ9">
        <v>0</v>
      </c>
      <c r="AK9">
        <v>1</v>
      </c>
      <c r="AL9">
        <v>0</v>
      </c>
      <c r="AM9">
        <v>0</v>
      </c>
      <c r="AN9">
        <v>0</v>
      </c>
      <c r="AO9">
        <v>0</v>
      </c>
      <c r="AP9">
        <v>0</v>
      </c>
      <c r="AQ9">
        <v>1</v>
      </c>
      <c r="AR9">
        <v>0</v>
      </c>
      <c r="AS9">
        <v>0</v>
      </c>
      <c r="AT9">
        <v>0</v>
      </c>
      <c r="AU9">
        <v>0</v>
      </c>
      <c r="AV9">
        <v>0</v>
      </c>
      <c r="AW9">
        <v>1</v>
      </c>
      <c r="AX9">
        <v>7</v>
      </c>
      <c r="AY9">
        <v>7</v>
      </c>
      <c r="AZ9">
        <v>3</v>
      </c>
      <c r="BA9">
        <v>0</v>
      </c>
      <c r="BB9">
        <v>18</v>
      </c>
      <c r="BC9">
        <v>2101.1673151750974</v>
      </c>
      <c r="BD9">
        <v>0</v>
      </c>
      <c r="BE9">
        <v>1514.591439688716</v>
      </c>
    </row>
    <row r="10" spans="1:57">
      <c r="A10" t="s">
        <v>338</v>
      </c>
      <c r="B10" t="s">
        <v>223</v>
      </c>
      <c r="C10" t="s">
        <v>422</v>
      </c>
      <c r="D10">
        <v>3000</v>
      </c>
      <c r="E10" t="s">
        <v>237</v>
      </c>
      <c r="F10">
        <v>0</v>
      </c>
      <c r="G10">
        <v>3</v>
      </c>
      <c r="H10">
        <v>7</v>
      </c>
      <c r="I10">
        <v>7</v>
      </c>
      <c r="J10">
        <v>3</v>
      </c>
      <c r="K10">
        <v>0</v>
      </c>
      <c r="L10">
        <v>20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3"/>
  <sheetViews>
    <sheetView workbookViewId="0">
      <selection activeCell="J8" sqref="J8"/>
    </sheetView>
  </sheetViews>
  <sheetFormatPr baseColWidth="10" defaultRowHeight="15"/>
  <cols>
    <col min="1" max="1" width="13.5703125" customWidth="1"/>
    <col min="4" max="4" width="17.140625" customWidth="1"/>
    <col min="8" max="8" width="11.7109375" customWidth="1"/>
  </cols>
  <sheetData>
    <row r="1" spans="1:10">
      <c r="A1" t="s">
        <v>467</v>
      </c>
      <c r="B1" t="s">
        <v>469</v>
      </c>
      <c r="C1" t="s">
        <v>470</v>
      </c>
      <c r="D1" t="s">
        <v>468</v>
      </c>
      <c r="E1" t="s">
        <v>184</v>
      </c>
      <c r="F1" t="s">
        <v>459</v>
      </c>
      <c r="G1" t="s">
        <v>204</v>
      </c>
      <c r="H1" t="s">
        <v>460</v>
      </c>
      <c r="I1" t="s">
        <v>22</v>
      </c>
      <c r="J1" t="s">
        <v>201</v>
      </c>
    </row>
    <row r="2" spans="1:10">
      <c r="A2" s="340">
        <v>41625</v>
      </c>
      <c r="B2">
        <v>2013</v>
      </c>
      <c r="C2">
        <v>12</v>
      </c>
      <c r="D2">
        <v>2900</v>
      </c>
      <c r="E2">
        <v>6</v>
      </c>
      <c r="F2">
        <v>14</v>
      </c>
      <c r="G2">
        <v>4</v>
      </c>
      <c r="H2">
        <v>24</v>
      </c>
      <c r="I2">
        <v>18</v>
      </c>
      <c r="J2">
        <v>4</v>
      </c>
    </row>
    <row r="3" spans="1:10">
      <c r="A3" s="340">
        <v>41595</v>
      </c>
      <c r="B3">
        <v>2013</v>
      </c>
      <c r="C3">
        <v>11</v>
      </c>
      <c r="D3">
        <v>2650</v>
      </c>
      <c r="E3">
        <v>6</v>
      </c>
      <c r="F3">
        <v>13</v>
      </c>
      <c r="G3">
        <v>3</v>
      </c>
      <c r="H3">
        <v>22</v>
      </c>
      <c r="I3">
        <v>16</v>
      </c>
      <c r="J3">
        <v>3</v>
      </c>
    </row>
    <row r="4" spans="1:10">
      <c r="A4" s="340">
        <v>41565</v>
      </c>
      <c r="B4">
        <v>2013</v>
      </c>
      <c r="C4">
        <v>10</v>
      </c>
      <c r="D4">
        <v>2550</v>
      </c>
      <c r="E4">
        <v>5</v>
      </c>
      <c r="F4">
        <v>13</v>
      </c>
      <c r="G4">
        <v>3</v>
      </c>
      <c r="H4">
        <v>21</v>
      </c>
      <c r="I4">
        <v>16</v>
      </c>
      <c r="J4">
        <v>3</v>
      </c>
    </row>
    <row r="5" spans="1:10">
      <c r="A5" s="340">
        <v>41535</v>
      </c>
      <c r="B5">
        <v>2013</v>
      </c>
      <c r="C5">
        <v>9</v>
      </c>
      <c r="D5">
        <v>2300</v>
      </c>
      <c r="E5">
        <v>5</v>
      </c>
      <c r="F5">
        <v>11</v>
      </c>
      <c r="G5">
        <v>3</v>
      </c>
      <c r="H5">
        <v>19</v>
      </c>
      <c r="I5">
        <v>14</v>
      </c>
      <c r="J5">
        <v>3</v>
      </c>
    </row>
    <row r="6" spans="1:10">
      <c r="A6" s="340">
        <v>41505</v>
      </c>
      <c r="B6">
        <v>2013</v>
      </c>
      <c r="C6">
        <v>8</v>
      </c>
      <c r="D6">
        <v>2100</v>
      </c>
      <c r="E6">
        <v>4</v>
      </c>
      <c r="F6">
        <v>10</v>
      </c>
      <c r="G6">
        <v>2</v>
      </c>
      <c r="H6">
        <v>17</v>
      </c>
      <c r="I6">
        <v>13</v>
      </c>
      <c r="J6">
        <v>2</v>
      </c>
    </row>
    <row r="7" spans="1:10">
      <c r="A7" s="340">
        <v>41475</v>
      </c>
      <c r="B7">
        <v>2013</v>
      </c>
      <c r="C7">
        <v>7</v>
      </c>
      <c r="D7">
        <v>2100</v>
      </c>
      <c r="E7">
        <v>4</v>
      </c>
      <c r="F7">
        <v>10</v>
      </c>
      <c r="G7">
        <v>2</v>
      </c>
      <c r="H7">
        <v>17</v>
      </c>
      <c r="I7">
        <v>13</v>
      </c>
      <c r="J7">
        <v>2</v>
      </c>
    </row>
    <row r="8" spans="1:10">
      <c r="A8" s="340">
        <v>41445</v>
      </c>
      <c r="B8">
        <v>2013</v>
      </c>
      <c r="C8">
        <v>6</v>
      </c>
      <c r="D8">
        <v>2100</v>
      </c>
      <c r="E8">
        <v>4</v>
      </c>
      <c r="F8">
        <v>10</v>
      </c>
      <c r="G8">
        <v>2</v>
      </c>
      <c r="H8">
        <v>17</v>
      </c>
      <c r="I8">
        <v>13</v>
      </c>
      <c r="J8">
        <v>2</v>
      </c>
    </row>
    <row r="9" spans="1:10">
      <c r="A9" s="340">
        <v>41415</v>
      </c>
      <c r="B9">
        <v>2013</v>
      </c>
      <c r="C9">
        <v>5</v>
      </c>
      <c r="D9">
        <v>2250</v>
      </c>
      <c r="E9">
        <v>5</v>
      </c>
      <c r="F9">
        <v>11</v>
      </c>
      <c r="G9">
        <v>3</v>
      </c>
      <c r="H9">
        <v>18</v>
      </c>
      <c r="I9">
        <v>14</v>
      </c>
      <c r="J9">
        <v>3</v>
      </c>
    </row>
    <row r="10" spans="1:10">
      <c r="A10" s="340">
        <v>41385</v>
      </c>
      <c r="B10">
        <v>2013</v>
      </c>
      <c r="C10">
        <v>4</v>
      </c>
      <c r="D10">
        <v>2400</v>
      </c>
      <c r="E10">
        <v>5</v>
      </c>
      <c r="F10">
        <v>12</v>
      </c>
      <c r="G10">
        <v>3</v>
      </c>
      <c r="H10">
        <v>20</v>
      </c>
      <c r="I10">
        <v>15</v>
      </c>
      <c r="J10">
        <v>3</v>
      </c>
    </row>
    <row r="11" spans="1:10">
      <c r="A11" s="340">
        <v>41355</v>
      </c>
      <c r="B11">
        <v>2013</v>
      </c>
      <c r="C11">
        <v>3</v>
      </c>
      <c r="D11">
        <v>2600</v>
      </c>
      <c r="E11">
        <v>6</v>
      </c>
      <c r="F11">
        <v>13</v>
      </c>
      <c r="G11">
        <v>3</v>
      </c>
      <c r="H11">
        <v>21</v>
      </c>
      <c r="I11">
        <v>16</v>
      </c>
      <c r="J11">
        <v>3</v>
      </c>
    </row>
    <row r="12" spans="1:10">
      <c r="A12" s="340">
        <v>41325</v>
      </c>
      <c r="B12">
        <v>2013</v>
      </c>
      <c r="C12">
        <v>2</v>
      </c>
      <c r="D12">
        <v>2600</v>
      </c>
      <c r="E12">
        <v>6</v>
      </c>
      <c r="F12">
        <v>13</v>
      </c>
      <c r="G12">
        <v>3</v>
      </c>
      <c r="H12">
        <v>21</v>
      </c>
      <c r="I12">
        <v>16</v>
      </c>
      <c r="J12">
        <v>3</v>
      </c>
    </row>
    <row r="13" spans="1:10">
      <c r="A13" s="340">
        <v>41295</v>
      </c>
      <c r="B13">
        <v>2013</v>
      </c>
      <c r="C13">
        <v>1</v>
      </c>
      <c r="D13">
        <v>2400</v>
      </c>
      <c r="E13">
        <v>5</v>
      </c>
      <c r="F13">
        <v>12</v>
      </c>
      <c r="G13">
        <v>3</v>
      </c>
      <c r="H13">
        <v>20</v>
      </c>
      <c r="I13">
        <v>15</v>
      </c>
      <c r="J13">
        <v>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3"/>
  <sheetViews>
    <sheetView workbookViewId="0">
      <selection sqref="A1:J13"/>
    </sheetView>
  </sheetViews>
  <sheetFormatPr baseColWidth="10" defaultRowHeight="15"/>
  <cols>
    <col min="1" max="1" width="13.5703125" customWidth="1"/>
    <col min="4" max="4" width="17.140625" customWidth="1"/>
    <col min="8" max="8" width="11.7109375" customWidth="1"/>
  </cols>
  <sheetData>
    <row r="1" spans="1:10">
      <c r="A1" t="s">
        <v>467</v>
      </c>
      <c r="B1" t="s">
        <v>469</v>
      </c>
      <c r="C1" t="s">
        <v>470</v>
      </c>
      <c r="D1" t="s">
        <v>468</v>
      </c>
      <c r="E1" t="s">
        <v>184</v>
      </c>
      <c r="F1" t="s">
        <v>459</v>
      </c>
      <c r="G1" t="s">
        <v>204</v>
      </c>
      <c r="H1" t="s">
        <v>460</v>
      </c>
      <c r="I1" t="s">
        <v>22</v>
      </c>
      <c r="J1" t="s">
        <v>201</v>
      </c>
    </row>
    <row r="2" spans="1:10">
      <c r="A2" s="340">
        <v>41265</v>
      </c>
      <c r="B2">
        <v>2012</v>
      </c>
      <c r="C2">
        <v>12</v>
      </c>
      <c r="D2">
        <v>2400</v>
      </c>
      <c r="E2">
        <v>5</v>
      </c>
      <c r="F2">
        <v>12</v>
      </c>
      <c r="G2">
        <v>3</v>
      </c>
      <c r="H2">
        <v>20</v>
      </c>
      <c r="I2">
        <v>15</v>
      </c>
      <c r="J2">
        <v>3</v>
      </c>
    </row>
    <row r="3" spans="1:10">
      <c r="A3" s="340">
        <v>41235</v>
      </c>
      <c r="B3">
        <v>2012</v>
      </c>
      <c r="C3">
        <v>11</v>
      </c>
      <c r="D3">
        <v>2250</v>
      </c>
      <c r="E3">
        <v>5</v>
      </c>
      <c r="F3">
        <v>11</v>
      </c>
      <c r="G3">
        <v>3</v>
      </c>
      <c r="H3">
        <v>18</v>
      </c>
      <c r="I3">
        <v>14</v>
      </c>
      <c r="J3">
        <v>3</v>
      </c>
    </row>
    <row r="4" spans="1:10">
      <c r="A4" s="340">
        <v>41205</v>
      </c>
      <c r="B4">
        <v>2012</v>
      </c>
      <c r="C4">
        <v>10</v>
      </c>
      <c r="D4">
        <v>2250</v>
      </c>
      <c r="E4">
        <v>5</v>
      </c>
      <c r="F4">
        <v>11</v>
      </c>
      <c r="G4">
        <v>3</v>
      </c>
      <c r="H4">
        <v>18</v>
      </c>
      <c r="I4">
        <v>14</v>
      </c>
      <c r="J4">
        <v>3</v>
      </c>
    </row>
    <row r="5" spans="1:10">
      <c r="A5" s="340">
        <v>41175</v>
      </c>
      <c r="B5">
        <v>2012</v>
      </c>
      <c r="C5">
        <v>9</v>
      </c>
      <c r="D5">
        <v>2200</v>
      </c>
      <c r="E5">
        <v>5</v>
      </c>
      <c r="F5">
        <v>11</v>
      </c>
      <c r="G5">
        <v>3</v>
      </c>
      <c r="H5">
        <v>18</v>
      </c>
      <c r="I5">
        <v>13</v>
      </c>
      <c r="J5">
        <v>3</v>
      </c>
    </row>
    <row r="6" spans="1:10">
      <c r="A6" s="340">
        <v>41145</v>
      </c>
      <c r="B6">
        <v>2012</v>
      </c>
      <c r="C6">
        <v>8</v>
      </c>
      <c r="D6">
        <v>2100</v>
      </c>
      <c r="E6">
        <v>4</v>
      </c>
      <c r="F6">
        <v>10</v>
      </c>
      <c r="G6">
        <v>2</v>
      </c>
      <c r="H6">
        <v>17</v>
      </c>
      <c r="I6">
        <v>13</v>
      </c>
      <c r="J6">
        <v>2</v>
      </c>
    </row>
    <row r="7" spans="1:10">
      <c r="A7" s="340">
        <v>41115</v>
      </c>
      <c r="B7">
        <v>2012</v>
      </c>
      <c r="C7">
        <v>7</v>
      </c>
      <c r="D7">
        <v>2100</v>
      </c>
      <c r="E7">
        <v>4</v>
      </c>
      <c r="F7">
        <v>10</v>
      </c>
      <c r="G7">
        <v>2</v>
      </c>
      <c r="H7">
        <v>17</v>
      </c>
      <c r="I7">
        <v>13</v>
      </c>
      <c r="J7">
        <v>2</v>
      </c>
    </row>
    <row r="8" spans="1:10">
      <c r="A8" s="340">
        <v>41085</v>
      </c>
      <c r="B8">
        <v>2012</v>
      </c>
      <c r="C8">
        <v>6</v>
      </c>
      <c r="D8">
        <v>1900</v>
      </c>
      <c r="E8">
        <v>4</v>
      </c>
      <c r="F8">
        <v>9</v>
      </c>
      <c r="G8">
        <v>2</v>
      </c>
      <c r="H8">
        <v>15</v>
      </c>
      <c r="I8">
        <v>11</v>
      </c>
      <c r="J8">
        <v>2</v>
      </c>
    </row>
    <row r="9" spans="1:10">
      <c r="A9" s="340">
        <v>41055</v>
      </c>
      <c r="B9">
        <v>2012</v>
      </c>
      <c r="C9">
        <v>5</v>
      </c>
      <c r="D9">
        <v>1600</v>
      </c>
      <c r="E9">
        <v>3</v>
      </c>
      <c r="F9">
        <v>8</v>
      </c>
      <c r="G9">
        <v>2</v>
      </c>
      <c r="H9">
        <v>13</v>
      </c>
      <c r="I9">
        <v>10</v>
      </c>
      <c r="J9">
        <v>2</v>
      </c>
    </row>
    <row r="10" spans="1:10">
      <c r="A10" s="340">
        <v>41025</v>
      </c>
      <c r="B10">
        <v>2012</v>
      </c>
      <c r="C10">
        <v>4</v>
      </c>
      <c r="D10">
        <v>1400</v>
      </c>
      <c r="E10">
        <v>3</v>
      </c>
      <c r="F10">
        <v>7</v>
      </c>
      <c r="G10">
        <v>1</v>
      </c>
      <c r="H10">
        <v>11</v>
      </c>
      <c r="I10">
        <v>8</v>
      </c>
      <c r="J10">
        <v>1</v>
      </c>
    </row>
    <row r="11" spans="1:10">
      <c r="A11" s="340">
        <v>40995</v>
      </c>
      <c r="B11">
        <v>2012</v>
      </c>
      <c r="C11">
        <v>3</v>
      </c>
      <c r="D11">
        <v>1050</v>
      </c>
      <c r="E11">
        <v>2</v>
      </c>
      <c r="F11">
        <v>5</v>
      </c>
      <c r="G11">
        <v>1</v>
      </c>
      <c r="H11">
        <v>8</v>
      </c>
      <c r="I11">
        <v>6</v>
      </c>
      <c r="J11">
        <v>1</v>
      </c>
    </row>
    <row r="12" spans="1:10">
      <c r="A12" s="340">
        <v>40965</v>
      </c>
      <c r="B12">
        <v>2012</v>
      </c>
      <c r="C12">
        <v>2</v>
      </c>
      <c r="D12">
        <v>950</v>
      </c>
      <c r="E12">
        <v>2</v>
      </c>
      <c r="F12">
        <v>4</v>
      </c>
      <c r="G12">
        <v>1</v>
      </c>
      <c r="H12">
        <v>7</v>
      </c>
      <c r="I12">
        <v>5</v>
      </c>
      <c r="J12">
        <v>1</v>
      </c>
    </row>
    <row r="13" spans="1:10">
      <c r="A13" s="340">
        <v>40935</v>
      </c>
      <c r="B13">
        <v>2012</v>
      </c>
      <c r="C13">
        <v>1</v>
      </c>
      <c r="D13">
        <v>750</v>
      </c>
      <c r="E13">
        <v>1</v>
      </c>
      <c r="F13">
        <v>3</v>
      </c>
      <c r="G13">
        <v>1</v>
      </c>
      <c r="H13">
        <v>6</v>
      </c>
      <c r="I13">
        <v>4</v>
      </c>
      <c r="J13">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456731dbc904a5fb605ec556c33e883 xmlns="9c571b2f-e523-4ab2-ba2e-09e151a03ef4">
      <Terms xmlns="http://schemas.microsoft.com/office/infopath/2007/PartnerControls"/>
    </c456731dbc904a5fb605ec556c33e883>
    <Project_x0020_Document_x0020_Type xmlns="9c571b2f-e523-4ab2-ba2e-09e151a03ef4" xsi:nil="true"/>
    <Business_x0020_Area xmlns="9c571b2f-e523-4ab2-ba2e-09e151a03ef4" xsi:nil="true"/>
    <IDBDocs_x0020_Number xmlns="9c571b2f-e523-4ab2-ba2e-09e151a03ef4">40881770</IDBDocs_x0020_Number>
    <TaxCatchAll xmlns="9c571b2f-e523-4ab2-ba2e-09e151a03ef4">
      <Value>11</Value>
      <Value>12</Value>
    </TaxCatchAll>
    <Phase xmlns="9c571b2f-e523-4ab2-ba2e-09e151a03ef4" xsi:nil="true"/>
    <SISCOR_x0020_Number xmlns="9c571b2f-e523-4ab2-ba2e-09e151a03ef4" xsi:nil="true"/>
    <Division_x0020_or_x0020_Unit xmlns="9c571b2f-e523-4ab2-ba2e-09e151a03ef4">EXR/CMG</Division_x0020_or_x0020_Unit>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o5138a91267540169645e33d09c9ddc6>
    <Approval_x0020_Number xmlns="9c571b2f-e523-4ab2-ba2e-09e151a03ef4" xsi:nil="true"/>
    <Document_x0020_Author xmlns="9c571b2f-e523-4ab2-ba2e-09e151a03ef4">External Author</Document_x0020_Author>
    <e559ffcc31d34167856647188be35015 xmlns="9c571b2f-e523-4ab2-ba2e-09e151a03ef4">
      <Terms xmlns="http://schemas.microsoft.com/office/infopath/2007/PartnerControls"/>
    </e559ffcc31d34167856647188be35015>
    <Fiscal_x0020_Year_x0020_IDB xmlns="9c571b2f-e523-4ab2-ba2e-09e151a03ef4">2017</Fiscal_x0020_Year_x0020_IDB>
    <Other_x0020_Author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fd0e48b6a66848a9885f717e5bbf40c4>
    <Project_x0020_Number xmlns="9c571b2f-e523-4ab2-ba2e-09e151a03ef4">CH-L1067</Project_x0020_Number>
    <Access_x0020_to_x0020_Information_x00a0_Policy xmlns="9c571b2f-e523-4ab2-ba2e-09e151a03ef4">Confidential</Access_x0020_to_x0020_Information_x00a0_Policy>
    <Package_x0020_Code xmlns="9c571b2f-e523-4ab2-ba2e-09e151a03ef4" xsi:nil="true"/>
    <m555d3814edf4817b4410a4e57f94ce9 xmlns="9c571b2f-e523-4ab2-ba2e-09e151a03ef4">
      <Terms xmlns="http://schemas.microsoft.com/office/infopath/2007/PartnerControls"/>
    </m555d3814edf4817b4410a4e57f94ce9>
    <Key_x0020_Document xmlns="9c571b2f-e523-4ab2-ba2e-09e151a03ef4">false</Key_x0020_Document>
    <j8b96605ee2f4c4e988849e658583fee xmlns="9c571b2f-e523-4ab2-ba2e-09e151a03ef4">
      <Terms xmlns="http://schemas.microsoft.com/office/infopath/2007/PartnerControls"/>
    </j8b96605ee2f4c4e988849e658583fee>
    <Migration_x0020_Info xmlns="9c571b2f-e523-4ab2-ba2e-09e151a03ef4">&lt;Data&gt;&lt;APPLICATION&gt;MS EXCEL&lt;/APPLICATION&gt;&lt;STAGE_CODE&gt;EIA&lt;/STAGE_CODE&gt;&lt;USER_STAGE&gt;Environmental Impact Assessments&lt;/USER_STAGE&gt;&lt;PD_OBJ_TYPE&gt;0&lt;/PD_OBJ_TYPE&gt;&lt;MAKERECORD&gt;N&lt;/MAKERECORD&gt;&lt;/Data&gt;</Migration_x0020_Info>
    <Operation_x0020_Type xmlns="9c571b2f-e523-4ab2-ba2e-09e151a03ef4" xsi:nil="true"/>
    <Record_x0020_Number xmlns="9c571b2f-e523-4ab2-ba2e-09e151a03ef4" xsi:nil="true"/>
    <Document_x0020_Language_x0020_IDB xmlns="9c571b2f-e523-4ab2-ba2e-09e151a03ef4">Spanish</Document_x0020_Language_x0020_IDB>
    <Identifier xmlns="9c571b2f-e523-4ab2-ba2e-09e151a03ef4"> FULL DOC</Identifier>
    <Disclosure_x0020_Activity xmlns="9c571b2f-e523-4ab2-ba2e-09e151a03ef4">Environmental Impact Assessments</Disclosure_x0020_Activity>
    <Webtopic xmlns="9c571b2f-e523-4ab2-ba2e-09e151a03ef4">Energy Distribution and Transmission;Electricity;Private Participation;Environment and Natural Resources</Webtopic>
    <Issue_x0020_Date xmlns="9c571b2f-e523-4ab2-ba2e-09e151a03ef4" xsi:nil="true"/>
    <Disclosed xmlns="9c571b2f-e523-4ab2-ba2e-09e151a03ef4">false</Disclosed>
    <Publication_x0020_Type xmlns="9c571b2f-e523-4ab2-ba2e-09e151a03ef4" xsi:nil="true"/>
    <Abstract xmlns="9c571b2f-e523-4ab2-ba2e-09e151a03ef4" xsi:nil="true"/>
    <KP_x0020_Topics xmlns="9c571b2f-e523-4ab2-ba2e-09e151a03ef4" xsi:nil="true"/>
    <Editor1 xmlns="9c571b2f-e523-4ab2-ba2e-09e151a03ef4" xsi:nil="true"/>
    <Region xmlns="9c571b2f-e523-4ab2-ba2e-09e151a03ef4" xsi:nil="true"/>
    <Publishing_x0020_House xmlns="9c571b2f-e523-4ab2-ba2e-09e151a03ef4" xsi:nil="true"/>
  </documentManagement>
</p:properties>
</file>

<file path=customXml/item2.xml><?xml version="1.0" encoding="utf-8"?>
<?mso-contentType ?>
<SharedContentType xmlns="Microsoft.SharePoint.Taxonomy.ContentTypeSync" SourceId="cf0be0ad-272c-4e7f-a157-3f0abda6cde5" ContentTypeId="0x01010046CF21643EE8D14686A648AA6DAD0892" PreviousValue="false"/>
</file>

<file path=customXml/item3.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F1F47B878740CA4B81EE72D3A6328147" ma:contentTypeVersion="0" ma:contentTypeDescription="A content type to manage public (operations) IDB documents" ma:contentTypeScope="" ma:versionID="b4613095fac67a63317fbd2f9d01c1bd">
  <xsd:schema xmlns:xsd="http://www.w3.org/2001/XMLSchema" xmlns:xs="http://www.w3.org/2001/XMLSchema" xmlns:p="http://schemas.microsoft.com/office/2006/metadata/properties" xmlns:ns2="9c571b2f-e523-4ab2-ba2e-09e151a03ef4" targetNamespace="http://schemas.microsoft.com/office/2006/metadata/properties" ma:root="true" ma:fieldsID="9938562a8330ceabff4248f1ee4a01d1"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08616a2b-3c52-4865-818c-c0741de7f9d3}" ma:internalName="TaxCatchAll" ma:showField="CatchAllData" ma:web="feb1d4f1-4a7b-4266-b4b8-6a1a9480e89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8616a2b-3c52-4865-818c-c0741de7f9d3}" ma:internalName="TaxCatchAllLabel" ma:readOnly="true" ma:showField="CatchAllDataLabel" ma:web="feb1d4f1-4a7b-4266-b4b8-6a1a9480e894">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C7E11DC9-230E-4707-9E22-86E79453C7C7}"/>
</file>

<file path=customXml/itemProps2.xml><?xml version="1.0" encoding="utf-8"?>
<ds:datastoreItem xmlns:ds="http://schemas.openxmlformats.org/officeDocument/2006/customXml" ds:itemID="{6037D0A1-F8F4-448B-AB8A-3EF4D58F665D}"/>
</file>

<file path=customXml/itemProps3.xml><?xml version="1.0" encoding="utf-8"?>
<ds:datastoreItem xmlns:ds="http://schemas.openxmlformats.org/officeDocument/2006/customXml" ds:itemID="{AA9B7F4D-CC10-4914-B3CB-D1070D4A64B2}"/>
</file>

<file path=customXml/itemProps4.xml><?xml version="1.0" encoding="utf-8"?>
<ds:datastoreItem xmlns:ds="http://schemas.openxmlformats.org/officeDocument/2006/customXml" ds:itemID="{F1D977A3-027A-4B00-BB66-CBB6BCF11E1E}"/>
</file>

<file path=customXml/itemProps5.xml><?xml version="1.0" encoding="utf-8"?>
<ds:datastoreItem xmlns:ds="http://schemas.openxmlformats.org/officeDocument/2006/customXml" ds:itemID="{F096C64C-BB99-45F7-8888-99438519C2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vt:i4>
      </vt:variant>
    </vt:vector>
  </HeadingPairs>
  <TitlesOfParts>
    <vt:vector size="26" baseType="lpstr">
      <vt:lpstr>Referencias_Dimensiones</vt:lpstr>
      <vt:lpstr>Referencias_Maquinaria</vt:lpstr>
      <vt:lpstr>Referencias_M.Tierras</vt:lpstr>
      <vt:lpstr>Referencias_Otros</vt:lpstr>
      <vt:lpstr>Base de Datos Obras</vt:lpstr>
      <vt:lpstr>Leame BD</vt:lpstr>
      <vt:lpstr>Hoja4</vt:lpstr>
      <vt:lpstr>Hoja1</vt:lpstr>
      <vt:lpstr>Hoja2</vt:lpstr>
      <vt:lpstr>GEI Gral Combust</vt:lpstr>
      <vt:lpstr>Combust Fija HRSaño</vt:lpstr>
      <vt:lpstr>Combust Fija Cálc</vt:lpstr>
      <vt:lpstr>Combust Móvil Activ</vt:lpstr>
      <vt:lpstr>Combust Móvil Cálc</vt:lpstr>
      <vt:lpstr>GEI Gral PTAS</vt:lpstr>
      <vt:lpstr>GEI PTAS Cálc</vt:lpstr>
      <vt:lpstr>B_intervenida</vt:lpstr>
      <vt:lpstr>Combustion leña</vt:lpstr>
      <vt:lpstr>Descomposicion</vt:lpstr>
      <vt:lpstr>PRV</vt:lpstr>
      <vt:lpstr>Compensacion</vt:lpstr>
      <vt:lpstr>Emisiones de GEI</vt:lpstr>
      <vt:lpstr>Captura de CO2e</vt:lpstr>
      <vt:lpstr>Balance</vt:lpstr>
      <vt:lpstr>GEI TOTAL EMISIONES</vt:lpstr>
      <vt:lpstr>'Base de Datos Obras'!Área_de_impresión</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Proyecto Hidroeléctrica Alto Maipo_  Memoria de Cálculo GEI</dc:title>
  <dc:creator>Loreto</dc:creator>
  <cp:lastModifiedBy>Patricia Alvarado</cp:lastModifiedBy>
  <cp:lastPrinted>2012-07-13T20:20:09Z</cp:lastPrinted>
  <dcterms:created xsi:type="dcterms:W3CDTF">2010-09-24T22:25:44Z</dcterms:created>
  <dcterms:modified xsi:type="dcterms:W3CDTF">2012-07-20T02:00:01Z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0x01010046CF21643EE8D14686A648AA6DAD089200F1F47B878740CA4B81EE72D3A6328147</vt:lpwstr>
  </property>
  <property fmtid="{D5CDD505-2E9C-101B-9397-08002B2CF9AE}" pid="3" name="TaxKeyword">
    <vt:lpwstr/>
  </property>
  <property fmtid="{D5CDD505-2E9C-101B-9397-08002B2CF9AE}" pid="4" name="Sub_x002d_Sector">
    <vt:lpwstr/>
  </property>
  <property fmtid="{D5CDD505-2E9C-101B-9397-08002B2CF9AE}" pid="5" name="TaxKeywordTaxHTField">
    <vt:lpwstr/>
  </property>
  <property fmtid="{D5CDD505-2E9C-101B-9397-08002B2CF9AE}" pid="6" name="Series Operations IDB">
    <vt:lpwstr>11;#Unclassified|a6dff32e-d477-44cd-a56b-85efe9e0a56c</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11;#Unclassified|a6dff32e-d477-44cd-a56b-85efe9e0a56c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12;#IDBDocs|cca77002-e150-4b2d-ab1f-1d7a7cdcae16</vt:lpwstr>
  </property>
  <property fmtid="{D5CDD505-2E9C-101B-9397-08002B2CF9AE}" pid="15" name="Sub-Sector">
    <vt:lpwstr/>
  </property>
</Properties>
</file>