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Z:\UGP GEF-Mata Atlântica (BID)\Planilhas financeiras\PA\2018-19\"/>
    </mc:Choice>
  </mc:AlternateContent>
  <xr:revisionPtr revIDLastSave="0" documentId="13_ncr:1_{F8EB3344-D1F3-454E-91C0-A67B02802143}" xr6:coauthVersionLast="43" xr6:coauthVersionMax="43" xr10:uidLastSave="{00000000-0000-0000-0000-000000000000}"/>
  <bookViews>
    <workbookView xWindow="28680" yWindow="-120" windowWidth="29040" windowHeight="16440" tabRatio="798" xr2:uid="{00000000-000D-0000-FFFF-FFFF00000000}"/>
  </bookViews>
  <sheets>
    <sheet name="PA18M" sheetId="28" r:id="rId1"/>
    <sheet name="Pl. MemCálc.AtividadesC2_SP" sheetId="2" state="hidden" r:id="rId2"/>
    <sheet name="Pl. MemCálc.Atividades_MCTI" sheetId="8" state="hidden" r:id="rId3"/>
    <sheet name="Pl. MemCálc.AtividadesC3_SP" sheetId="10" state="hidden" r:id="rId4"/>
    <sheet name="Pl. MemCálc.Atividades_RJ" sheetId="9" state="hidden" r:id="rId5"/>
    <sheet name="Pl. MemCálc.Atividades_IEF" sheetId="11" state="hidden" r:id="rId6"/>
    <sheet name="MarcoLóg" sheetId="4" state="hidden" r:id="rId7"/>
    <sheet name="Plan1" sheetId="27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PA18M!$A$8:$R$8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4" i="28" l="1"/>
  <c r="H58" i="28"/>
  <c r="H59" i="28"/>
  <c r="H47" i="28"/>
  <c r="H133" i="28"/>
  <c r="H132" i="28"/>
  <c r="H129" i="28"/>
  <c r="H124" i="28"/>
  <c r="H125" i="28"/>
  <c r="H77" i="28"/>
  <c r="H76" i="28"/>
  <c r="H73" i="28"/>
  <c r="H39" i="28" l="1"/>
  <c r="H16" i="28"/>
  <c r="H11" i="28"/>
  <c r="H131" i="28" l="1"/>
  <c r="I95" i="28"/>
  <c r="H116" i="28"/>
  <c r="I110" i="28"/>
  <c r="I57" i="28"/>
  <c r="I56" i="28"/>
  <c r="I55" i="28"/>
  <c r="I42" i="28"/>
  <c r="H41" i="28"/>
  <c r="H20" i="28"/>
  <c r="H95" i="28" l="1"/>
  <c r="H99" i="28"/>
  <c r="H109" i="28"/>
  <c r="H112" i="28"/>
  <c r="H113" i="28"/>
  <c r="H117" i="28"/>
  <c r="H118" i="28"/>
  <c r="H120" i="28"/>
  <c r="H121" i="28"/>
  <c r="H123" i="28"/>
  <c r="H34" i="28" l="1"/>
  <c r="I33" i="28"/>
  <c r="H33" i="28" s="1"/>
  <c r="I32" i="28"/>
  <c r="H32" i="28" s="1"/>
  <c r="I31" i="28"/>
  <c r="H31" i="28" s="1"/>
  <c r="H40" i="28" l="1"/>
  <c r="H42" i="28"/>
  <c r="H85" i="28" l="1"/>
  <c r="H102" i="28"/>
  <c r="H103" i="28"/>
  <c r="H53" i="28" l="1"/>
  <c r="H54" i="28"/>
  <c r="H55" i="28"/>
  <c r="H56" i="28"/>
  <c r="H57" i="28"/>
  <c r="H126" i="28" l="1"/>
  <c r="H127" i="28"/>
  <c r="H128" i="28"/>
  <c r="H130" i="28"/>
  <c r="H122" i="28" l="1"/>
  <c r="H93" i="28"/>
  <c r="H92" i="28"/>
  <c r="H91" i="28"/>
  <c r="H90" i="28"/>
  <c r="H89" i="28"/>
  <c r="H88" i="28"/>
  <c r="H87" i="28"/>
  <c r="H86" i="28"/>
  <c r="H35" i="28" l="1"/>
  <c r="H36" i="28"/>
  <c r="H37" i="28"/>
  <c r="H38" i="28"/>
  <c r="H119" i="28" l="1"/>
  <c r="H115" i="28"/>
  <c r="I111" i="28"/>
  <c r="H111" i="28" s="1"/>
  <c r="H108" i="28"/>
  <c r="H101" i="28"/>
  <c r="H100" i="28"/>
  <c r="H98" i="28"/>
  <c r="H97" i="28"/>
  <c r="H114" i="28"/>
  <c r="H96" i="28"/>
  <c r="H106" i="28"/>
  <c r="H105" i="28"/>
  <c r="H107" i="28"/>
  <c r="H110" i="28"/>
  <c r="H104" i="28"/>
  <c r="H67" i="28"/>
  <c r="H68" i="28"/>
  <c r="H69" i="28"/>
  <c r="H70" i="28"/>
  <c r="H71" i="28"/>
  <c r="H72" i="28"/>
  <c r="H74" i="28"/>
  <c r="H75" i="28"/>
  <c r="H78" i="28"/>
  <c r="H79" i="28"/>
  <c r="H80" i="28"/>
  <c r="H81" i="28"/>
  <c r="H82" i="28"/>
  <c r="H83" i="28"/>
  <c r="H84" i="28"/>
  <c r="H49" i="28" l="1"/>
  <c r="H65" i="28"/>
  <c r="H66" i="28"/>
  <c r="H64" i="28"/>
  <c r="H52" i="28"/>
  <c r="H48" i="28"/>
  <c r="H63" i="28"/>
  <c r="H62" i="28"/>
  <c r="H46" i="28"/>
  <c r="H61" i="28"/>
  <c r="H60" i="28"/>
  <c r="H51" i="28"/>
  <c r="H50" i="28"/>
  <c r="H45" i="28"/>
  <c r="H44" i="28"/>
  <c r="H43" i="28"/>
  <c r="H30" i="28" l="1"/>
  <c r="H29" i="28"/>
  <c r="H28" i="28"/>
  <c r="H26" i="28"/>
  <c r="H25" i="28"/>
  <c r="H24" i="28"/>
  <c r="H23" i="28"/>
  <c r="H22" i="28"/>
  <c r="H21" i="28"/>
  <c r="H19" i="28"/>
  <c r="H18" i="28"/>
  <c r="H17" i="28"/>
  <c r="H15" i="28"/>
  <c r="H27" i="28"/>
  <c r="H14" i="28"/>
  <c r="H13" i="28"/>
  <c r="H12" i="28"/>
  <c r="H10" i="28"/>
  <c r="H9" i="28" l="1"/>
  <c r="F27" i="8" l="1"/>
  <c r="H27" i="8" s="1"/>
  <c r="F26" i="8"/>
  <c r="H26" i="8" s="1"/>
  <c r="F25" i="8"/>
  <c r="F23" i="8"/>
  <c r="G23" i="8" s="1"/>
  <c r="F22" i="8"/>
  <c r="G22" i="8" s="1"/>
  <c r="F21" i="8"/>
  <c r="G21" i="8" s="1"/>
  <c r="F19" i="8"/>
  <c r="H19" i="8" s="1"/>
  <c r="F18" i="8"/>
  <c r="H18" i="8" s="1"/>
  <c r="F17" i="8"/>
  <c r="H17" i="8" s="1"/>
  <c r="F16" i="8"/>
  <c r="H16" i="8" s="1"/>
  <c r="F14" i="8"/>
  <c r="F13" i="8"/>
  <c r="F12" i="8"/>
  <c r="F11" i="8"/>
  <c r="F9" i="8"/>
  <c r="G9" i="8" s="1"/>
  <c r="F8" i="8"/>
  <c r="F7" i="8"/>
  <c r="G7" i="8" s="1"/>
  <c r="A5" i="8"/>
  <c r="A4" i="8"/>
  <c r="G2" i="8"/>
  <c r="C20" i="10"/>
  <c r="A38" i="10"/>
  <c r="A31" i="10"/>
  <c r="A27" i="10"/>
  <c r="A23" i="10"/>
  <c r="A19" i="10"/>
  <c r="A15" i="10"/>
  <c r="A49" i="2"/>
  <c r="A45" i="2"/>
  <c r="A41" i="2"/>
  <c r="A12" i="2"/>
  <c r="A5" i="2"/>
  <c r="F38" i="11"/>
  <c r="G38" i="11" s="1"/>
  <c r="F37" i="11"/>
  <c r="F34" i="11"/>
  <c r="G34" i="11" s="1"/>
  <c r="F33" i="11"/>
  <c r="F30" i="11"/>
  <c r="G30" i="11" s="1"/>
  <c r="F29" i="11"/>
  <c r="F28" i="11" s="1"/>
  <c r="F27" i="11" s="1"/>
  <c r="F26" i="11"/>
  <c r="F25" i="11" s="1"/>
  <c r="F24" i="11" s="1"/>
  <c r="F23" i="11"/>
  <c r="F22" i="11"/>
  <c r="F19" i="11"/>
  <c r="F18" i="11" s="1"/>
  <c r="F17" i="11" s="1"/>
  <c r="F16" i="11"/>
  <c r="G16" i="11" s="1"/>
  <c r="F15" i="11"/>
  <c r="A13" i="11"/>
  <c r="F12" i="11"/>
  <c r="G12" i="11" s="1"/>
  <c r="F11" i="11"/>
  <c r="A9" i="11"/>
  <c r="F7" i="11"/>
  <c r="F6" i="11" s="1"/>
  <c r="F5" i="11" s="1"/>
  <c r="A5" i="11"/>
  <c r="A4" i="11"/>
  <c r="G2" i="11"/>
  <c r="G7" i="11"/>
  <c r="G37" i="11"/>
  <c r="I48" i="10"/>
  <c r="H48" i="10"/>
  <c r="G44" i="10"/>
  <c r="G40" i="10"/>
  <c r="C39" i="10"/>
  <c r="G33" i="10"/>
  <c r="G32" i="10" s="1"/>
  <c r="G31" i="10" s="1"/>
  <c r="C32" i="10"/>
  <c r="C31" i="10"/>
  <c r="G29" i="10"/>
  <c r="G28" i="10"/>
  <c r="G27" i="10" s="1"/>
  <c r="C28" i="10"/>
  <c r="C27" i="10"/>
  <c r="G25" i="10"/>
  <c r="G24" i="10" s="1"/>
  <c r="G23" i="10" s="1"/>
  <c r="C24" i="10"/>
  <c r="C23" i="10"/>
  <c r="G21" i="10"/>
  <c r="G20" i="10" s="1"/>
  <c r="G19" i="10" s="1"/>
  <c r="C19" i="10"/>
  <c r="G17" i="10"/>
  <c r="G16" i="10" s="1"/>
  <c r="G15" i="10" s="1"/>
  <c r="C16" i="10"/>
  <c r="B16" i="10"/>
  <c r="A16" i="10"/>
  <c r="G11" i="10"/>
  <c r="G7" i="10"/>
  <c r="C6" i="10"/>
  <c r="B6" i="10"/>
  <c r="A6" i="10"/>
  <c r="C5" i="10"/>
  <c r="J188" i="9"/>
  <c r="J187" i="9" s="1"/>
  <c r="I188" i="9"/>
  <c r="I187" i="9" s="1"/>
  <c r="H188" i="9"/>
  <c r="H187" i="9" s="1"/>
  <c r="B187" i="9"/>
  <c r="A187" i="9"/>
  <c r="J186" i="9"/>
  <c r="J185" i="9" s="1"/>
  <c r="I186" i="9"/>
  <c r="I185" i="9" s="1"/>
  <c r="H186" i="9"/>
  <c r="H185" i="9" s="1"/>
  <c r="B185" i="9"/>
  <c r="A185" i="9"/>
  <c r="J184" i="9"/>
  <c r="J183" i="9" s="1"/>
  <c r="I184" i="9"/>
  <c r="I183" i="9" s="1"/>
  <c r="H184" i="9"/>
  <c r="H183" i="9" s="1"/>
  <c r="B183" i="9"/>
  <c r="A183" i="9"/>
  <c r="B182" i="9"/>
  <c r="J181" i="9"/>
  <c r="I181" i="9"/>
  <c r="H181" i="9"/>
  <c r="J178" i="9"/>
  <c r="I178" i="9"/>
  <c r="H178" i="9"/>
  <c r="B177" i="9"/>
  <c r="A177" i="9"/>
  <c r="J176" i="9"/>
  <c r="I176" i="9"/>
  <c r="H176" i="9"/>
  <c r="J175" i="9"/>
  <c r="I175" i="9"/>
  <c r="H175" i="9"/>
  <c r="J174" i="9"/>
  <c r="I174" i="9"/>
  <c r="H174" i="9"/>
  <c r="J173" i="9"/>
  <c r="I173" i="9"/>
  <c r="H173" i="9"/>
  <c r="J170" i="9"/>
  <c r="I170" i="9"/>
  <c r="H170" i="9"/>
  <c r="J169" i="9"/>
  <c r="I169" i="9"/>
  <c r="H169" i="9"/>
  <c r="B168" i="9"/>
  <c r="A168" i="9"/>
  <c r="J167" i="9"/>
  <c r="J166" i="9" s="1"/>
  <c r="I167" i="9"/>
  <c r="I166" i="9" s="1"/>
  <c r="H167" i="9"/>
  <c r="H166" i="9" s="1"/>
  <c r="B166" i="9"/>
  <c r="A166" i="9"/>
  <c r="B165" i="9"/>
  <c r="J164" i="9"/>
  <c r="I164" i="9"/>
  <c r="H164" i="9"/>
  <c r="J163" i="9"/>
  <c r="I163" i="9"/>
  <c r="I162" i="9" s="1"/>
  <c r="H163" i="9"/>
  <c r="B162" i="9"/>
  <c r="A162" i="9"/>
  <c r="I161" i="9"/>
  <c r="I160" i="9" s="1"/>
  <c r="F161" i="9"/>
  <c r="J161" i="9" s="1"/>
  <c r="J160" i="9" s="1"/>
  <c r="B160" i="9"/>
  <c r="A160" i="9"/>
  <c r="I159" i="9"/>
  <c r="I158" i="9" s="1"/>
  <c r="H159" i="9"/>
  <c r="H158" i="9" s="1"/>
  <c r="J158" i="9"/>
  <c r="B158" i="9"/>
  <c r="A158" i="9"/>
  <c r="I157" i="9"/>
  <c r="I156" i="9" s="1"/>
  <c r="H157" i="9"/>
  <c r="H156" i="9" s="1"/>
  <c r="J156" i="9"/>
  <c r="B156" i="9"/>
  <c r="A156" i="9"/>
  <c r="I155" i="9"/>
  <c r="I154" i="9" s="1"/>
  <c r="H155" i="9"/>
  <c r="H154" i="9" s="1"/>
  <c r="J154" i="9"/>
  <c r="B154" i="9"/>
  <c r="A154" i="9"/>
  <c r="J153" i="9"/>
  <c r="I153" i="9"/>
  <c r="H153" i="9"/>
  <c r="I152" i="9"/>
  <c r="G152" i="9"/>
  <c r="J152" i="9" s="1"/>
  <c r="I151" i="9"/>
  <c r="G151" i="9"/>
  <c r="J151" i="9" s="1"/>
  <c r="J150" i="9"/>
  <c r="I150" i="9"/>
  <c r="H150" i="9"/>
  <c r="B149" i="9"/>
  <c r="A149" i="9"/>
  <c r="B148" i="9"/>
  <c r="H147" i="9"/>
  <c r="H146" i="9" s="1"/>
  <c r="J146" i="9"/>
  <c r="I146" i="9"/>
  <c r="B146" i="9"/>
  <c r="A146" i="9"/>
  <c r="H145" i="9"/>
  <c r="H144" i="9" s="1"/>
  <c r="J144" i="9"/>
  <c r="I144" i="9"/>
  <c r="B144" i="9"/>
  <c r="A144" i="9"/>
  <c r="H143" i="9"/>
  <c r="H142" i="9" s="1"/>
  <c r="J142" i="9"/>
  <c r="I142" i="9"/>
  <c r="B142" i="9"/>
  <c r="A142" i="9"/>
  <c r="H141" i="9"/>
  <c r="H140" i="9" s="1"/>
  <c r="J140" i="9"/>
  <c r="I140" i="9"/>
  <c r="B140" i="9"/>
  <c r="A140" i="9"/>
  <c r="H139" i="9"/>
  <c r="H138" i="9" s="1"/>
  <c r="J138" i="9"/>
  <c r="I138" i="9"/>
  <c r="B138" i="9"/>
  <c r="A138" i="9"/>
  <c r="J137" i="9"/>
  <c r="J136" i="9" s="1"/>
  <c r="I137" i="9"/>
  <c r="I136" i="9" s="1"/>
  <c r="H137" i="9"/>
  <c r="H136" i="9" s="1"/>
  <c r="B136" i="9"/>
  <c r="A136" i="9"/>
  <c r="B135" i="9"/>
  <c r="J134" i="9"/>
  <c r="J133" i="9" s="1"/>
  <c r="I134" i="9"/>
  <c r="I133" i="9" s="1"/>
  <c r="H134" i="9"/>
  <c r="H133" i="9" s="1"/>
  <c r="B133" i="9"/>
  <c r="A133" i="9"/>
  <c r="J132" i="9"/>
  <c r="J131" i="9" s="1"/>
  <c r="I132" i="9"/>
  <c r="I131" i="9" s="1"/>
  <c r="H132" i="9"/>
  <c r="H131" i="9" s="1"/>
  <c r="B131" i="9"/>
  <c r="A131" i="9"/>
  <c r="J130" i="9"/>
  <c r="J129" i="9" s="1"/>
  <c r="I130" i="9"/>
  <c r="I129" i="9"/>
  <c r="H130" i="9"/>
  <c r="H129" i="9" s="1"/>
  <c r="B129" i="9"/>
  <c r="A129" i="9"/>
  <c r="J128" i="9"/>
  <c r="J127" i="9" s="1"/>
  <c r="I128" i="9"/>
  <c r="I127" i="9" s="1"/>
  <c r="H128" i="9"/>
  <c r="H127" i="9" s="1"/>
  <c r="B127" i="9"/>
  <c r="A127" i="9"/>
  <c r="J126" i="9"/>
  <c r="J125" i="9" s="1"/>
  <c r="I126" i="9"/>
  <c r="I125" i="9" s="1"/>
  <c r="H126" i="9"/>
  <c r="H125" i="9" s="1"/>
  <c r="B125" i="9"/>
  <c r="A125" i="9"/>
  <c r="J124" i="9"/>
  <c r="J123" i="9" s="1"/>
  <c r="I124" i="9"/>
  <c r="I123" i="9" s="1"/>
  <c r="H124" i="9"/>
  <c r="H123" i="9" s="1"/>
  <c r="B123" i="9"/>
  <c r="A123" i="9"/>
  <c r="I122" i="9"/>
  <c r="I121" i="9" s="1"/>
  <c r="G122" i="9"/>
  <c r="J122" i="9" s="1"/>
  <c r="J121" i="9" s="1"/>
  <c r="B121" i="9"/>
  <c r="A121" i="9"/>
  <c r="B120" i="9"/>
  <c r="I119" i="9"/>
  <c r="I118" i="9" s="1"/>
  <c r="G119" i="9"/>
  <c r="H119" i="9" s="1"/>
  <c r="H118" i="9" s="1"/>
  <c r="B118" i="9"/>
  <c r="A118" i="9"/>
  <c r="J117" i="9"/>
  <c r="J116" i="9" s="1"/>
  <c r="I117" i="9"/>
  <c r="I116" i="9" s="1"/>
  <c r="H117" i="9"/>
  <c r="H116" i="9" s="1"/>
  <c r="B116" i="9"/>
  <c r="A116" i="9"/>
  <c r="J115" i="9"/>
  <c r="J114" i="9" s="1"/>
  <c r="I115" i="9"/>
  <c r="I114" i="9" s="1"/>
  <c r="H115" i="9"/>
  <c r="H114" i="9" s="1"/>
  <c r="B114" i="9"/>
  <c r="A114" i="9"/>
  <c r="J113" i="9"/>
  <c r="J112" i="9" s="1"/>
  <c r="I113" i="9"/>
  <c r="I112" i="9" s="1"/>
  <c r="H113" i="9"/>
  <c r="H112" i="9" s="1"/>
  <c r="B112" i="9"/>
  <c r="A112" i="9"/>
  <c r="J111" i="9"/>
  <c r="J110" i="9" s="1"/>
  <c r="I111" i="9"/>
  <c r="I110" i="9" s="1"/>
  <c r="H111" i="9"/>
  <c r="H110" i="9" s="1"/>
  <c r="B110" i="9"/>
  <c r="A110" i="9"/>
  <c r="J109" i="9"/>
  <c r="J108" i="9" s="1"/>
  <c r="I109" i="9"/>
  <c r="I108" i="9" s="1"/>
  <c r="H109" i="9"/>
  <c r="H108" i="9" s="1"/>
  <c r="B108" i="9"/>
  <c r="A108" i="9"/>
  <c r="J107" i="9"/>
  <c r="J106" i="9" s="1"/>
  <c r="I107" i="9"/>
  <c r="I106" i="9" s="1"/>
  <c r="H107" i="9"/>
  <c r="H106" i="9" s="1"/>
  <c r="B106" i="9"/>
  <c r="A106" i="9"/>
  <c r="J105" i="9"/>
  <c r="J104" i="9" s="1"/>
  <c r="I105" i="9"/>
  <c r="I104" i="9" s="1"/>
  <c r="H105" i="9"/>
  <c r="H104" i="9" s="1"/>
  <c r="B104" i="9"/>
  <c r="A104" i="9"/>
  <c r="I103" i="9"/>
  <c r="F103" i="9"/>
  <c r="J103" i="9" s="1"/>
  <c r="I102" i="9"/>
  <c r="F102" i="9"/>
  <c r="J102" i="9" s="1"/>
  <c r="B101" i="9"/>
  <c r="A101" i="9"/>
  <c r="J100" i="9"/>
  <c r="J99" i="9" s="1"/>
  <c r="I100" i="9"/>
  <c r="I99" i="9" s="1"/>
  <c r="H100" i="9"/>
  <c r="H99" i="9" s="1"/>
  <c r="B99" i="9"/>
  <c r="A99" i="9"/>
  <c r="B98" i="9"/>
  <c r="J97" i="9"/>
  <c r="J96" i="9" s="1"/>
  <c r="I97" i="9"/>
  <c r="I96" i="9" s="1"/>
  <c r="H97" i="9"/>
  <c r="H96" i="9" s="1"/>
  <c r="B96" i="9"/>
  <c r="A96" i="9"/>
  <c r="J95" i="9"/>
  <c r="J94" i="9" s="1"/>
  <c r="I95" i="9"/>
  <c r="I94" i="9" s="1"/>
  <c r="H95" i="9"/>
  <c r="H94" i="9" s="1"/>
  <c r="B94" i="9"/>
  <c r="A94" i="9"/>
  <c r="J93" i="9"/>
  <c r="J92" i="9" s="1"/>
  <c r="I93" i="9"/>
  <c r="I92" i="9" s="1"/>
  <c r="H93" i="9"/>
  <c r="H92" i="9" s="1"/>
  <c r="B92" i="9"/>
  <c r="A92" i="9"/>
  <c r="J91" i="9"/>
  <c r="J90" i="9" s="1"/>
  <c r="I91" i="9"/>
  <c r="I90" i="9" s="1"/>
  <c r="H91" i="9"/>
  <c r="H90" i="9" s="1"/>
  <c r="B90" i="9"/>
  <c r="A90" i="9"/>
  <c r="J89" i="9"/>
  <c r="J88" i="9" s="1"/>
  <c r="I89" i="9"/>
  <c r="I88" i="9" s="1"/>
  <c r="H89" i="9"/>
  <c r="H88" i="9" s="1"/>
  <c r="O88" i="9"/>
  <c r="B88" i="9"/>
  <c r="A88" i="9"/>
  <c r="J87" i="9"/>
  <c r="I87" i="9"/>
  <c r="H87" i="9"/>
  <c r="J86" i="9"/>
  <c r="E86" i="9"/>
  <c r="I86" i="9" s="1"/>
  <c r="B85" i="9"/>
  <c r="A85" i="9"/>
  <c r="J84" i="9"/>
  <c r="J83" i="9" s="1"/>
  <c r="I84" i="9"/>
  <c r="I83" i="9" s="1"/>
  <c r="H84" i="9"/>
  <c r="H83" i="9" s="1"/>
  <c r="B83" i="9"/>
  <c r="A83" i="9"/>
  <c r="B82" i="9"/>
  <c r="J81" i="9"/>
  <c r="J80" i="9" s="1"/>
  <c r="I81" i="9"/>
  <c r="I80" i="9" s="1"/>
  <c r="H81" i="9"/>
  <c r="H80" i="9" s="1"/>
  <c r="B80" i="9"/>
  <c r="A80" i="9"/>
  <c r="J79" i="9"/>
  <c r="I79" i="9"/>
  <c r="H79" i="9"/>
  <c r="J78" i="9"/>
  <c r="I78" i="9"/>
  <c r="H78" i="9"/>
  <c r="B77" i="9"/>
  <c r="A77" i="9"/>
  <c r="J76" i="9"/>
  <c r="I76" i="9"/>
  <c r="H76" i="9"/>
  <c r="I75" i="9"/>
  <c r="F75" i="9"/>
  <c r="J75" i="9" s="1"/>
  <c r="J74" i="9"/>
  <c r="I74" i="9"/>
  <c r="H74" i="9"/>
  <c r="B73" i="9"/>
  <c r="A73" i="9"/>
  <c r="J72" i="9"/>
  <c r="J71" i="9" s="1"/>
  <c r="I72" i="9"/>
  <c r="I71" i="9" s="1"/>
  <c r="H72" i="9"/>
  <c r="H71" i="9" s="1"/>
  <c r="B71" i="9"/>
  <c r="A71" i="9"/>
  <c r="J70" i="9"/>
  <c r="J69" i="9" s="1"/>
  <c r="I70" i="9"/>
  <c r="I69" i="9" s="1"/>
  <c r="H70" i="9"/>
  <c r="H69" i="9" s="1"/>
  <c r="B69" i="9"/>
  <c r="A69" i="9"/>
  <c r="J68" i="9"/>
  <c r="J67" i="9" s="1"/>
  <c r="I68" i="9"/>
  <c r="I67" i="9" s="1"/>
  <c r="H68" i="9"/>
  <c r="H67" i="9" s="1"/>
  <c r="B67" i="9"/>
  <c r="A67" i="9"/>
  <c r="B66" i="9"/>
  <c r="I65" i="9"/>
  <c r="F65" i="9"/>
  <c r="H65" i="9" s="1"/>
  <c r="G64" i="9"/>
  <c r="F64" i="9"/>
  <c r="E64" i="9"/>
  <c r="I64" i="9" s="1"/>
  <c r="G63" i="9"/>
  <c r="F63" i="9"/>
  <c r="E63" i="9"/>
  <c r="I63" i="9" s="1"/>
  <c r="G62" i="9"/>
  <c r="F62" i="9"/>
  <c r="E62" i="9"/>
  <c r="J61" i="9"/>
  <c r="I61" i="9"/>
  <c r="H61" i="9"/>
  <c r="J60" i="9"/>
  <c r="I60" i="9"/>
  <c r="H60" i="9"/>
  <c r="J59" i="9"/>
  <c r="I59" i="9"/>
  <c r="H59" i="9"/>
  <c r="J58" i="9"/>
  <c r="I58" i="9"/>
  <c r="H58" i="9"/>
  <c r="J57" i="9"/>
  <c r="I57" i="9"/>
  <c r="H57" i="9"/>
  <c r="B56" i="9"/>
  <c r="A56" i="9"/>
  <c r="J55" i="9"/>
  <c r="I55" i="9"/>
  <c r="H55" i="9"/>
  <c r="J54" i="9"/>
  <c r="I54" i="9"/>
  <c r="H54" i="9"/>
  <c r="J53" i="9"/>
  <c r="I53" i="9"/>
  <c r="H53" i="9"/>
  <c r="B52" i="9"/>
  <c r="A52" i="9"/>
  <c r="J51" i="9"/>
  <c r="I51" i="9"/>
  <c r="H51" i="9"/>
  <c r="J50" i="9"/>
  <c r="I50" i="9"/>
  <c r="H50" i="9"/>
  <c r="G49" i="9"/>
  <c r="J49" i="9" s="1"/>
  <c r="E49" i="9"/>
  <c r="I49" i="9" s="1"/>
  <c r="J48" i="9"/>
  <c r="I48" i="9"/>
  <c r="H48" i="9"/>
  <c r="B47" i="9"/>
  <c r="A47" i="9"/>
  <c r="J46" i="9"/>
  <c r="J45" i="9" s="1"/>
  <c r="I46" i="9"/>
  <c r="I45" i="9" s="1"/>
  <c r="H46" i="9"/>
  <c r="H45" i="9" s="1"/>
  <c r="B45" i="9"/>
  <c r="A45" i="9"/>
  <c r="J44" i="9"/>
  <c r="I44" i="9"/>
  <c r="H44" i="9"/>
  <c r="J43" i="9"/>
  <c r="I43" i="9"/>
  <c r="H43" i="9"/>
  <c r="H42" i="9" s="1"/>
  <c r="B42" i="9"/>
  <c r="A42" i="9"/>
  <c r="J41" i="9"/>
  <c r="I41" i="9"/>
  <c r="H41" i="9"/>
  <c r="J40" i="9"/>
  <c r="I40" i="9"/>
  <c r="H40" i="9"/>
  <c r="J39" i="9"/>
  <c r="I39" i="9"/>
  <c r="H39" i="9"/>
  <c r="J38" i="9"/>
  <c r="I38" i="9"/>
  <c r="H38" i="9"/>
  <c r="J37" i="9"/>
  <c r="I37" i="9"/>
  <c r="H37" i="9"/>
  <c r="J36" i="9"/>
  <c r="I36" i="9"/>
  <c r="H36" i="9"/>
  <c r="J35" i="9"/>
  <c r="I35" i="9"/>
  <c r="H35" i="9"/>
  <c r="J34" i="9"/>
  <c r="I34" i="9"/>
  <c r="H34" i="9"/>
  <c r="J33" i="9"/>
  <c r="I33" i="9"/>
  <c r="H33" i="9"/>
  <c r="J32" i="9"/>
  <c r="I32" i="9"/>
  <c r="H32" i="9"/>
  <c r="J31" i="9"/>
  <c r="I31" i="9"/>
  <c r="H31" i="9"/>
  <c r="J30" i="9"/>
  <c r="I30" i="9"/>
  <c r="H30" i="9"/>
  <c r="J29" i="9"/>
  <c r="I29" i="9"/>
  <c r="H29" i="9"/>
  <c r="J28" i="9"/>
  <c r="I28" i="9"/>
  <c r="H28" i="9"/>
  <c r="J27" i="9"/>
  <c r="I27" i="9"/>
  <c r="H27" i="9"/>
  <c r="J26" i="9"/>
  <c r="I26" i="9"/>
  <c r="H26" i="9"/>
  <c r="J25" i="9"/>
  <c r="I25" i="9"/>
  <c r="H25" i="9"/>
  <c r="J24" i="9"/>
  <c r="I24" i="9"/>
  <c r="H24" i="9"/>
  <c r="J23" i="9"/>
  <c r="I23" i="9"/>
  <c r="H23" i="9"/>
  <c r="J22" i="9"/>
  <c r="I22" i="9"/>
  <c r="H22" i="9"/>
  <c r="J21" i="9"/>
  <c r="I21" i="9"/>
  <c r="H21" i="9"/>
  <c r="J20" i="9"/>
  <c r="I20" i="9"/>
  <c r="H20" i="9"/>
  <c r="J19" i="9"/>
  <c r="I19" i="9"/>
  <c r="H19" i="9"/>
  <c r="J18" i="9"/>
  <c r="I18" i="9"/>
  <c r="H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B9" i="9"/>
  <c r="A9" i="9"/>
  <c r="J8" i="9"/>
  <c r="J7" i="9"/>
  <c r="I8" i="9"/>
  <c r="I7" i="9" s="1"/>
  <c r="H8" i="9"/>
  <c r="H7" i="9" s="1"/>
  <c r="B7" i="9"/>
  <c r="A7" i="9"/>
  <c r="J6" i="9"/>
  <c r="J5" i="9"/>
  <c r="I6" i="9"/>
  <c r="I5" i="9" s="1"/>
  <c r="H6" i="9"/>
  <c r="H5" i="9" s="1"/>
  <c r="B5" i="9"/>
  <c r="A5" i="9"/>
  <c r="B4" i="9"/>
  <c r="J65" i="9"/>
  <c r="H75" i="9"/>
  <c r="J177" i="9"/>
  <c r="I62" i="9"/>
  <c r="I59" i="2"/>
  <c r="H59" i="2"/>
  <c r="G58" i="2"/>
  <c r="G56" i="2" s="1"/>
  <c r="G55" i="2" s="1"/>
  <c r="C55" i="2"/>
  <c r="B55" i="2"/>
  <c r="G54" i="2"/>
  <c r="G51" i="2" s="1"/>
  <c r="G50" i="2" s="1"/>
  <c r="C50" i="2"/>
  <c r="B50" i="2"/>
  <c r="A50" i="2"/>
  <c r="C49" i="2"/>
  <c r="G48" i="2"/>
  <c r="G47" i="2" s="1"/>
  <c r="G46" i="2" s="1"/>
  <c r="G45" i="2" s="1"/>
  <c r="C46" i="2"/>
  <c r="B46" i="2"/>
  <c r="A46" i="2"/>
  <c r="C45" i="2"/>
  <c r="G44" i="2"/>
  <c r="G43" i="2" s="1"/>
  <c r="G42" i="2" s="1"/>
  <c r="G41" i="2" s="1"/>
  <c r="C42" i="2"/>
  <c r="B42" i="2"/>
  <c r="A42" i="2"/>
  <c r="C41" i="2"/>
  <c r="G39" i="2"/>
  <c r="G38" i="2" s="1"/>
  <c r="C38" i="2"/>
  <c r="B38" i="2"/>
  <c r="A38" i="2"/>
  <c r="G36" i="2"/>
  <c r="G34" i="2"/>
  <c r="G32" i="2"/>
  <c r="G30" i="2"/>
  <c r="C29" i="2"/>
  <c r="B29" i="2"/>
  <c r="A29" i="2"/>
  <c r="G28" i="2"/>
  <c r="G27" i="2"/>
  <c r="G26" i="2"/>
  <c r="C24" i="2"/>
  <c r="B24" i="2"/>
  <c r="A24" i="2"/>
  <c r="G23" i="2"/>
  <c r="G22" i="2"/>
  <c r="G21" i="2"/>
  <c r="G20" i="2"/>
  <c r="G19" i="2"/>
  <c r="G16" i="2"/>
  <c r="G15" i="2"/>
  <c r="G14" i="2" s="1"/>
  <c r="C13" i="2"/>
  <c r="B13" i="2"/>
  <c r="A13" i="2"/>
  <c r="C12" i="2"/>
  <c r="G10" i="2"/>
  <c r="G9" i="2" s="1"/>
  <c r="C9" i="2"/>
  <c r="B9" i="2"/>
  <c r="A9" i="2"/>
  <c r="G7" i="2"/>
  <c r="G6" i="2" s="1"/>
  <c r="C6" i="2"/>
  <c r="B6" i="2"/>
  <c r="A6" i="2"/>
  <c r="C5" i="2"/>
  <c r="H17" i="4"/>
  <c r="H32" i="4"/>
  <c r="H33" i="4"/>
  <c r="H34" i="4"/>
  <c r="H35" i="4"/>
  <c r="H36" i="4"/>
  <c r="H56" i="4"/>
  <c r="H52" i="4"/>
  <c r="H59" i="4"/>
  <c r="H60" i="4"/>
  <c r="H61" i="4"/>
  <c r="H62" i="4"/>
  <c r="H63" i="4"/>
  <c r="H11" i="4"/>
  <c r="J58" i="4"/>
  <c r="I58" i="4"/>
  <c r="J56" i="4"/>
  <c r="I56" i="4"/>
  <c r="I52" i="4"/>
  <c r="J45" i="4"/>
  <c r="I48" i="4"/>
  <c r="H48" i="4" s="1"/>
  <c r="I47" i="4"/>
  <c r="H47" i="4" s="1"/>
  <c r="I46" i="4"/>
  <c r="H46" i="4" s="1"/>
  <c r="I42" i="4"/>
  <c r="I40" i="4"/>
  <c r="H40" i="4" s="1"/>
  <c r="I39" i="4"/>
  <c r="J31" i="4"/>
  <c r="I31" i="4"/>
  <c r="J28" i="4"/>
  <c r="J27" i="4"/>
  <c r="I27" i="4"/>
  <c r="J26" i="4"/>
  <c r="I26" i="4"/>
  <c r="I16" i="4"/>
  <c r="H16" i="4" s="1"/>
  <c r="I15" i="4"/>
  <c r="H15" i="4" s="1"/>
  <c r="J14" i="4"/>
  <c r="J11" i="4"/>
  <c r="I11" i="4"/>
  <c r="J18" i="4"/>
  <c r="J52" i="4"/>
  <c r="I18" i="4"/>
  <c r="H42" i="4"/>
  <c r="J42" i="4"/>
  <c r="J38" i="4"/>
  <c r="H18" i="4"/>
  <c r="H25" i="4"/>
  <c r="I149" i="9" l="1"/>
  <c r="I177" i="9"/>
  <c r="J162" i="9"/>
  <c r="J182" i="9"/>
  <c r="J119" i="9"/>
  <c r="J118" i="9" s="1"/>
  <c r="I38" i="4"/>
  <c r="H162" i="9"/>
  <c r="H182" i="9"/>
  <c r="H122" i="9"/>
  <c r="H121" i="9" s="1"/>
  <c r="G49" i="2"/>
  <c r="H49" i="9"/>
  <c r="H47" i="9" s="1"/>
  <c r="H151" i="9"/>
  <c r="I77" i="9"/>
  <c r="H102" i="9"/>
  <c r="J77" i="9"/>
  <c r="H77" i="9"/>
  <c r="H66" i="9" s="1"/>
  <c r="G25" i="2"/>
  <c r="G24" i="2" s="1"/>
  <c r="H177" i="9"/>
  <c r="J25" i="4"/>
  <c r="J13" i="4" s="1"/>
  <c r="J8" i="4" s="1"/>
  <c r="J52" i="9"/>
  <c r="J101" i="9"/>
  <c r="J168" i="9"/>
  <c r="J165" i="9" s="1"/>
  <c r="I148" i="9"/>
  <c r="G29" i="2"/>
  <c r="H86" i="9"/>
  <c r="H85" i="9" s="1"/>
  <c r="H82" i="9" s="1"/>
  <c r="H73" i="9"/>
  <c r="J42" i="9"/>
  <c r="I51" i="4"/>
  <c r="I10" i="4" s="1"/>
  <c r="H31" i="4"/>
  <c r="J120" i="9"/>
  <c r="I120" i="9"/>
  <c r="F10" i="11"/>
  <c r="F9" i="11" s="1"/>
  <c r="F14" i="11"/>
  <c r="F13" i="11" s="1"/>
  <c r="F6" i="8"/>
  <c r="F10" i="8"/>
  <c r="H135" i="9"/>
  <c r="J149" i="9"/>
  <c r="J148" i="9" s="1"/>
  <c r="H58" i="4"/>
  <c r="H51" i="4" s="1"/>
  <c r="H10" i="4" s="1"/>
  <c r="J37" i="4"/>
  <c r="J9" i="4" s="1"/>
  <c r="J12" i="4" s="1"/>
  <c r="H39" i="4"/>
  <c r="H38" i="4" s="1"/>
  <c r="H103" i="9"/>
  <c r="I47" i="9"/>
  <c r="J47" i="9"/>
  <c r="H52" i="9"/>
  <c r="I52" i="9"/>
  <c r="J62" i="9"/>
  <c r="H63" i="9"/>
  <c r="H64" i="9"/>
  <c r="J73" i="9"/>
  <c r="H168" i="9"/>
  <c r="H165" i="9" s="1"/>
  <c r="I168" i="9"/>
  <c r="G39" i="10"/>
  <c r="G38" i="10" s="1"/>
  <c r="N88" i="9"/>
  <c r="M88" i="9"/>
  <c r="J66" i="9"/>
  <c r="H152" i="9"/>
  <c r="H149" i="9" s="1"/>
  <c r="H62" i="9"/>
  <c r="J64" i="9"/>
  <c r="H9" i="9"/>
  <c r="J9" i="9"/>
  <c r="I42" i="9"/>
  <c r="I85" i="9"/>
  <c r="I82" i="9" s="1"/>
  <c r="J98" i="9"/>
  <c r="I135" i="9"/>
  <c r="I182" i="9"/>
  <c r="I165" i="9"/>
  <c r="I25" i="4"/>
  <c r="G18" i="2"/>
  <c r="I56" i="9"/>
  <c r="H120" i="9"/>
  <c r="I9" i="9"/>
  <c r="J85" i="9"/>
  <c r="J82" i="9" s="1"/>
  <c r="I101" i="9"/>
  <c r="I98" i="9" s="1"/>
  <c r="J135" i="9"/>
  <c r="G6" i="10"/>
  <c r="G5" i="10" s="1"/>
  <c r="G3" i="10" s="1"/>
  <c r="I3" i="10" s="1"/>
  <c r="G11" i="11"/>
  <c r="F21" i="11"/>
  <c r="F20" i="11" s="1"/>
  <c r="F15" i="8"/>
  <c r="J51" i="4"/>
  <c r="J10" i="4" s="1"/>
  <c r="H45" i="4"/>
  <c r="G5" i="2"/>
  <c r="J63" i="9"/>
  <c r="F32" i="11"/>
  <c r="F31" i="11" s="1"/>
  <c r="F20" i="8"/>
  <c r="F24" i="8"/>
  <c r="G13" i="2"/>
  <c r="G12" i="2" s="1"/>
  <c r="H14" i="4"/>
  <c r="I14" i="4"/>
  <c r="I73" i="9"/>
  <c r="H161" i="9"/>
  <c r="H160" i="9" s="1"/>
  <c r="I45" i="4"/>
  <c r="I37" i="4" s="1"/>
  <c r="I9" i="4" s="1"/>
  <c r="H25" i="8"/>
  <c r="F36" i="11"/>
  <c r="F35" i="11" s="1"/>
  <c r="G23" i="11"/>
  <c r="F5" i="8" l="1"/>
  <c r="F4" i="8" s="1"/>
  <c r="F2" i="8" s="1"/>
  <c r="H2" i="8" s="1"/>
  <c r="I66" i="9"/>
  <c r="I13" i="4"/>
  <c r="I8" i="4" s="1"/>
  <c r="I4" i="9"/>
  <c r="H101" i="9"/>
  <c r="H98" i="9" s="1"/>
  <c r="J56" i="9"/>
  <c r="H13" i="4"/>
  <c r="H8" i="4" s="1"/>
  <c r="H37" i="4"/>
  <c r="H9" i="4" s="1"/>
  <c r="F4" i="11"/>
  <c r="F2" i="11" s="1"/>
  <c r="H2" i="11" s="1"/>
  <c r="H148" i="9"/>
  <c r="G3" i="2"/>
  <c r="I3" i="2" s="1"/>
  <c r="H56" i="9"/>
  <c r="H4" i="9" s="1"/>
  <c r="J4" i="9"/>
  <c r="J2" i="9" s="1"/>
  <c r="I12" i="4"/>
  <c r="I2" i="9"/>
  <c r="H1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 Fernandes da Cunha</author>
    <author>UEG-SP</author>
  </authors>
  <commentList>
    <comment ref="C6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Debora: </t>
        </r>
        <r>
          <rPr>
            <sz val="9"/>
            <color indexed="81"/>
            <rFont val="Segoe UI"/>
            <family val="2"/>
          </rPr>
          <t>Conforme Reunião do CCI a antecipação do item somente poderá ser solciitado a partir do inicio da execução.</t>
        </r>
      </text>
    </comment>
    <comment ref="E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UEG-SP:</t>
        </r>
        <r>
          <rPr>
            <sz val="9"/>
            <color indexed="81"/>
            <rFont val="Tahoma"/>
            <family val="2"/>
          </rPr>
          <t xml:space="preserve">
valor total somados os 75 contratos previstos. Não há como individualizar o valor do contrato</t>
        </r>
      </text>
    </comment>
    <comment ref="C9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 xml:space="preserve">Debora: </t>
        </r>
        <r>
          <rPr>
            <sz val="9"/>
            <color indexed="81"/>
            <rFont val="Segoe UI"/>
            <family val="2"/>
          </rPr>
          <t>Conforme Reunião do CCI a antecipação do item somente poderá ser solciitado a partir do inicio da execução.</t>
        </r>
      </text>
    </comment>
    <comment ref="E1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UEG-SP:</t>
        </r>
        <r>
          <rPr>
            <sz val="9"/>
            <color indexed="81"/>
            <rFont val="Tahoma"/>
            <family val="2"/>
          </rPr>
          <t xml:space="preserve">
valor total somados os 130 contratos previstos. Não há como individualizar o valor do contrato</t>
        </r>
      </text>
    </comment>
    <comment ref="E1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UEG-SP:</t>
        </r>
        <r>
          <rPr>
            <sz val="9"/>
            <color indexed="81"/>
            <rFont val="Tahoma"/>
            <family val="2"/>
          </rPr>
          <t xml:space="preserve">
contrato inicio em ago/2016.
No periodo de 18 meses (ago/16 a jan/18) primeiro pagamento em out/2016 = no período : 16 salários. 
Salários (ano 1): out/16 a jul/17 = 7 meses x R$ 3470,48 + 3 meses X R$ 3748,12 + benefícios 10 meses (10.703,30) = total/contrato/ano 1 = 46.241,02 (x2 contratos = 92.482,04)
Salários (ano 2): ago/2017 a jan/18 = 6 meses x 3748,12 + beneficios 6 meses (6.421,98) = total/contrato/ano 2 = 28.910,69 (x2 contratos = 57.821,38
TOTAL/CONTRATO - 18 MESES: 75.151,71
TOTAL /2XCONTRATO - 18 MESES: 150.303,42
</t>
        </r>
      </text>
    </comment>
    <comment ref="E17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UEG-SP:</t>
        </r>
        <r>
          <rPr>
            <sz val="9"/>
            <color indexed="81"/>
            <rFont val="Tahoma"/>
            <family val="2"/>
          </rPr>
          <t xml:space="preserve">
contrato inicio em ago/2016.
No periodo de 18 meses (ago/16 a jan/18) primeiro pagamento em out/2016 = no período : 16 salários. 
Salários (ano 1): out/16 a jul/17 = 7 meses x R$ 8.833,27 + 3 meses X R$ 9.539,93 + benefícios 10 meses (10.703,30) = total/contrato/ano 1 = 101.155,98
Salários (ano 2): ago/2017 a jan/18 = 6 meses x 9.539,94 + beneficios 6 meses (6.421,98) = total/contrato/ano 2 = 63.661,57
TOTAL/CONTRATO - 18 MESES: 164.817,55</t>
        </r>
      </text>
    </comment>
    <comment ref="F19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UEG-SP:</t>
        </r>
        <r>
          <rPr>
            <sz val="9"/>
            <color indexed="81"/>
            <rFont val="Tahoma"/>
            <family val="2"/>
          </rPr>
          <t xml:space="preserve">
6 diárias / mês X 17 meses</t>
        </r>
      </text>
    </comment>
    <comment ref="F2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UEG-SP:</t>
        </r>
        <r>
          <rPr>
            <sz val="9"/>
            <color indexed="81"/>
            <rFont val="Tahoma"/>
            <family val="2"/>
          </rPr>
          <t xml:space="preserve">
3 profissionais
17 meses</t>
        </r>
      </text>
    </comment>
    <comment ref="E26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UEG-SP:</t>
        </r>
        <r>
          <rPr>
            <sz val="9"/>
            <color indexed="81"/>
            <rFont val="Tahoma"/>
            <family val="2"/>
          </rPr>
          <t xml:space="preserve">
contrato inicio em ago/2016.
No periodo de 18 meses (ago/16 a jan/18) primeiro pagamento em out/2016 = no período : 16 salários. 
Salários (ano 1): out/16 a jul/17 = 7 meses x R$ 8.833,27 + 3 meses X R$ 9.539,93 + benefícios 10 meses (10.703,30) = total/contrato/ano 1 = 101.155,98
Salários (ano 2): ago/2017 a jan/18 = 6 meses x 9.539,94 + beneficios 6 meses (6.421,98) = total/contrato/ano 2 = 63.661,57
TOTAL/CONTRATO - 18 MESES: 164.817,55</t>
        </r>
      </text>
    </comment>
    <comment ref="F27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UEG-SP:</t>
        </r>
        <r>
          <rPr>
            <sz val="9"/>
            <color indexed="81"/>
            <rFont val="Tahoma"/>
            <family val="2"/>
          </rPr>
          <t xml:space="preserve">
4 diárias/mês (x 17 meses)</t>
        </r>
      </text>
    </comment>
    <comment ref="F5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UEG-SP:</t>
        </r>
        <r>
          <rPr>
            <sz val="9"/>
            <color indexed="81"/>
            <rFont val="Tahoma"/>
            <family val="2"/>
          </rPr>
          <t xml:space="preserve">
4 diárias/mês (x 17 meses)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Silva Fernandes</author>
    <author>Leonardo Fernandes</author>
  </authors>
  <commentList>
    <comment ref="D4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Bruto - R$9.139,43</t>
        </r>
      </text>
    </comment>
    <comment ref="F4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Salário bruto: R$ 9605,54
</t>
        </r>
      </text>
    </comment>
    <comment ref="D4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Salário Bruto R$6.247,13</t>
        </r>
      </text>
    </comment>
    <comment ref="F4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Salário bruto: R$ 6.434,55
</t>
        </r>
      </text>
    </comment>
    <comment ref="D4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Salário Bruto R$ 2.666,25
</t>
        </r>
      </text>
    </comment>
    <comment ref="F4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Salário Bruto R$2.746,23</t>
        </r>
      </text>
    </comment>
    <comment ref="D58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R$ 1.000,00 por veículo/ano (aleatório)</t>
        </r>
      </text>
    </comment>
    <comment ref="D60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5% do valor do carro (aleatório)
</t>
        </r>
      </text>
    </comment>
    <comment ref="D61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5% (IPVA - 4% da FIPE mais 1% de outras despezas - DUDA e etc). Desvalorização de 15% no ano I e 10% nos demais)
</t>
        </r>
      </text>
    </comment>
    <comment ref="E62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Média de 840 km/mês
Gasolina: R$4,15
Diesel: R$3,89
Consumo gasolina: 9km/L
Consumo diesel: 9
km/L
3 veículos gasolina e 1 diesel</t>
        </r>
      </text>
    </comment>
    <comment ref="D65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Leonardo Silva Fernandes:</t>
        </r>
        <r>
          <rPr>
            <sz val="9"/>
            <color indexed="81"/>
            <rFont val="Tahoma"/>
            <family val="2"/>
          </rPr>
          <t xml:space="preserve">
R$20,00 via fácil para cada veículo (10% de aumento/ano) + R$15,00 de pedágio o trajeto entre RJ e a área do projeto
</t>
        </r>
      </text>
    </comment>
    <comment ref="B146" authorId="1" shapeId="0" xr:uid="{00000000-0006-0000-0400-00000C000000}">
      <text>
        <r>
          <rPr>
            <b/>
            <sz val="9"/>
            <color indexed="81"/>
            <rFont val="Segoe UI"/>
            <family val="2"/>
          </rPr>
          <t>Leonardo Fernandes:</t>
        </r>
        <r>
          <rPr>
            <sz val="9"/>
            <color indexed="81"/>
            <rFont val="Segoe UI"/>
            <family val="2"/>
          </rPr>
          <t xml:space="preserve">
Leonardo Fernandes:
Os valores dos pagamentos dependem da atualização do valor do custo de oportunidade (Atividade XVII)</t>
        </r>
      </text>
    </comment>
  </commentList>
</comments>
</file>

<file path=xl/sharedStrings.xml><?xml version="1.0" encoding="utf-8"?>
<sst xmlns="http://schemas.openxmlformats.org/spreadsheetml/2006/main" count="2041" uniqueCount="407">
  <si>
    <t>Projeto:</t>
  </si>
  <si>
    <t>Numero do Projeto e contrato de empréstimo:</t>
  </si>
  <si>
    <t>De</t>
  </si>
  <si>
    <t xml:space="preserve">até: </t>
  </si>
  <si>
    <t>xx/2016</t>
  </si>
  <si>
    <t>xx/2018</t>
  </si>
  <si>
    <t>Componentes /Resultados/Atividades</t>
  </si>
  <si>
    <t>Ano 1</t>
  </si>
  <si>
    <t>Resultado I</t>
  </si>
  <si>
    <t>Resultado II</t>
  </si>
  <si>
    <t>Resultado III</t>
  </si>
  <si>
    <t>Contingencia</t>
  </si>
  <si>
    <t>TOTAL</t>
  </si>
  <si>
    <t>Resultado 1.1</t>
  </si>
  <si>
    <t>Resultado 1.2</t>
  </si>
  <si>
    <t xml:space="preserve"> </t>
  </si>
  <si>
    <t xml:space="preserve">Unidade </t>
  </si>
  <si>
    <t>Total</t>
  </si>
  <si>
    <t>Ano 2/1º sem</t>
  </si>
  <si>
    <t>Passagens</t>
  </si>
  <si>
    <t>Diárias</t>
  </si>
  <si>
    <t>Material de consumo</t>
  </si>
  <si>
    <t>Consultoria</t>
  </si>
  <si>
    <t>Contrato P. Jur.</t>
  </si>
  <si>
    <t>Material permanente</t>
  </si>
  <si>
    <t>Marco Lógico</t>
  </si>
  <si>
    <t>Custo Unitário</t>
  </si>
  <si>
    <t>Descrição custo unitário</t>
  </si>
  <si>
    <t>Número de Unidades</t>
  </si>
  <si>
    <t>Custo total</t>
  </si>
  <si>
    <t>Resultados do Projeto</t>
  </si>
  <si>
    <t>Componente 1</t>
  </si>
  <si>
    <t>Atividade i</t>
  </si>
  <si>
    <t>Atividade ii</t>
  </si>
  <si>
    <t>Atividade iii</t>
  </si>
  <si>
    <t>Valor</t>
  </si>
  <si>
    <t>Atividade iv</t>
  </si>
  <si>
    <t>Atividade v</t>
  </si>
  <si>
    <t>Atividade vi</t>
  </si>
  <si>
    <t>Resultado 1.3</t>
  </si>
  <si>
    <t>Valor/ estudo</t>
  </si>
  <si>
    <t>Resultado 1.4</t>
  </si>
  <si>
    <t>Valor/ Plano</t>
  </si>
  <si>
    <t>Componente 2</t>
  </si>
  <si>
    <t>Resultado 2.1</t>
  </si>
  <si>
    <t>Resultado 2.2</t>
  </si>
  <si>
    <t>Valor/ ano</t>
  </si>
  <si>
    <t>Resultado 2.3</t>
  </si>
  <si>
    <t>Componente 3</t>
  </si>
  <si>
    <t>Resultado 3.1</t>
  </si>
  <si>
    <t>Custo/profes.</t>
  </si>
  <si>
    <t>Resultado 3.2</t>
  </si>
  <si>
    <t>Resultado 3.3</t>
  </si>
  <si>
    <t>Ano 1 (12m)</t>
  </si>
  <si>
    <t>Ano 2 (6m)</t>
  </si>
  <si>
    <t>Quantidade</t>
  </si>
  <si>
    <t>Preço unitário</t>
  </si>
  <si>
    <t>“Recuperação e Proteção dos Serviços de Clima e Biodiversidade do Corredor Sudeste da Mata Atlântica Brasileira”</t>
  </si>
  <si>
    <t>BR-G1003</t>
  </si>
  <si>
    <t xml:space="preserve">Memoria de calculo do Componente </t>
  </si>
  <si>
    <t xml:space="preserve">Periodo </t>
  </si>
  <si>
    <t>BENS</t>
  </si>
  <si>
    <t>Viagens</t>
  </si>
  <si>
    <t>COMPONENTE 2 - SÃO PAULO</t>
  </si>
  <si>
    <t xml:space="preserve"> BENS</t>
  </si>
  <si>
    <t>GPS</t>
  </si>
  <si>
    <t>Combustível</t>
  </si>
  <si>
    <t>Contratação de consultoria para definir estratégicas de uso de PSA como incentivo para acesso a novas fontes de financiamentos reembolsáveis para adequação ambiental e atividades produtivas sustentáveis.</t>
  </si>
  <si>
    <t>Contratação de serviços de consultoria para sensibilização em serviços ambientais</t>
  </si>
  <si>
    <t>Contratação de serviços de logística-transporte, alimentação, hospedagem com infraestrtura para realização de roteiro de visitação técnica do projeto entre os municípios partícipes.</t>
  </si>
  <si>
    <t>COMPONENTE 1 - MCTI</t>
  </si>
  <si>
    <t>Atividade vii</t>
  </si>
  <si>
    <t>Atividade viii</t>
  </si>
  <si>
    <t>Repasse</t>
  </si>
  <si>
    <t>Bens</t>
  </si>
  <si>
    <t xml:space="preserve">Serviços </t>
  </si>
  <si>
    <t>MEMÓRIA DE CÁLCULO - COMPONENTE 2 (SÃO PAULO)</t>
  </si>
  <si>
    <t>contrapartida</t>
  </si>
  <si>
    <t>recursos financiamento</t>
  </si>
  <si>
    <t>TOTAL (18 meses)</t>
  </si>
  <si>
    <t>Ano 2 (6 meses)</t>
  </si>
  <si>
    <t>Pagamentos no âmbito dos contratos de PSA Uso Múltiplo</t>
  </si>
  <si>
    <t>Pagamentos no âmbito dos contrato de PSA Proteção</t>
  </si>
  <si>
    <t>Contrato CLT</t>
  </si>
  <si>
    <t xml:space="preserve">Execução de atividades de assistência técnica junto aos produtores rurais </t>
  </si>
  <si>
    <t>Diária (com pernoite)</t>
  </si>
  <si>
    <t>381,51/diária</t>
  </si>
  <si>
    <t>Aluguel de veículo</t>
  </si>
  <si>
    <t>1.200,00/mês</t>
  </si>
  <si>
    <t>Material de consumo/mês</t>
  </si>
  <si>
    <t>1.000,00/mês</t>
  </si>
  <si>
    <t>Despesas reembolsáveis</t>
  </si>
  <si>
    <t>390,00/mês/profissional</t>
  </si>
  <si>
    <t>Contratação, por regime CLT, de profissionais nível superior (Analista Pleno, uma vaga) para apoio técnico-gerencial à coordenação de execução do Componente 2, no Estado de São Paulo.</t>
  </si>
  <si>
    <t>250,00 /diária</t>
  </si>
  <si>
    <t>390,00/mês</t>
  </si>
  <si>
    <t>Aquisição de Computadores, notebook, equipamentos de projeção e impressora</t>
  </si>
  <si>
    <t>Aquisição de máquina fotográfica</t>
  </si>
  <si>
    <t>Aquisição de mobiliário de escritório</t>
  </si>
  <si>
    <t>Aquisição de GPS de campo</t>
  </si>
  <si>
    <t>Contrato P. Jur./parte</t>
  </si>
  <si>
    <t>Contrato P. Física</t>
  </si>
  <si>
    <t>Contratação, por regime CLT, de profissionais nível superior (Analista Pleno, uma vaga) para prestar apoio técnico-gerencial à coordenação da UEG-Estado de São Paulo.</t>
  </si>
  <si>
    <t>2.2.1.b</t>
  </si>
  <si>
    <t>Participação em reuniões gerenciais do projeto</t>
  </si>
  <si>
    <t>Viagens: INPE - SJC - C1 e coordenação C2 e C3 - 6 viagens</t>
  </si>
  <si>
    <t>hospedagem</t>
  </si>
  <si>
    <t>Diárias - deslocamento e alimentação</t>
  </si>
  <si>
    <t>MG - BH e campo C1 e C2 - 6 viagens</t>
  </si>
  <si>
    <t>Rio de Janeiro_RJ e campo C1 e C2 -6 viagens</t>
  </si>
  <si>
    <t>São Paulo_SP e campo C1,C2 e C3 - 6 viagens</t>
  </si>
  <si>
    <t>Memoria de calculo do Componente 1</t>
  </si>
  <si>
    <t xml:space="preserve">Notebook </t>
  </si>
  <si>
    <t>HD Externo 1T</t>
  </si>
  <si>
    <t>Impressora multifuncional</t>
  </si>
  <si>
    <t>Impressora lazer</t>
  </si>
  <si>
    <t>Ar condicionado split 12.000 btu</t>
  </si>
  <si>
    <t>Telefone sem fio</t>
  </si>
  <si>
    <t xml:space="preserve">Mesa </t>
  </si>
  <si>
    <t>Geladeira 420L</t>
  </si>
  <si>
    <t>Cadeiras</t>
  </si>
  <si>
    <t>Data Show</t>
  </si>
  <si>
    <t>Par de caixas de Som (ativa + passiva - 250 wats) + pedestais</t>
  </si>
  <si>
    <t>Kit com 02 microfones sem fio</t>
  </si>
  <si>
    <t>Flipchart</t>
  </si>
  <si>
    <t>Tela de Projeção</t>
  </si>
  <si>
    <t xml:space="preserve">Máquina fotográfica </t>
  </si>
  <si>
    <t>Aparelho Celular</t>
  </si>
  <si>
    <t>Podão</t>
  </si>
  <si>
    <t>Trena</t>
  </si>
  <si>
    <t>Binóculos</t>
  </si>
  <si>
    <t>Lanterna</t>
  </si>
  <si>
    <t>Espora+Talabarte+Cinto</t>
  </si>
  <si>
    <t>Tesoura de Poda</t>
  </si>
  <si>
    <t>Garrafa Térmica</t>
  </si>
  <si>
    <t>Pick up (4x4) - L200</t>
  </si>
  <si>
    <t>SUV pequeno - Duster</t>
  </si>
  <si>
    <t>Peças</t>
  </si>
  <si>
    <t>COMPONENTE 2 - RIO DE JANEIRO</t>
  </si>
  <si>
    <t>Office + Antivírus</t>
  </si>
  <si>
    <t>Kit EPI</t>
  </si>
  <si>
    <t>Material de escritório</t>
  </si>
  <si>
    <t>Cartão de Memória</t>
  </si>
  <si>
    <t>Chip telefonia</t>
  </si>
  <si>
    <t>Chip internet</t>
  </si>
  <si>
    <t>Pen-drive</t>
  </si>
  <si>
    <t>Pranchetas</t>
  </si>
  <si>
    <t>Coordenador</t>
  </si>
  <si>
    <t>Engenheiro</t>
  </si>
  <si>
    <t>Técnicos (3)</t>
  </si>
  <si>
    <t>Pedágios</t>
  </si>
  <si>
    <t>Cartilhas</t>
  </si>
  <si>
    <t>Folders</t>
  </si>
  <si>
    <t>Camisetas</t>
  </si>
  <si>
    <t>3.5.1</t>
  </si>
  <si>
    <t>Atividade ix</t>
  </si>
  <si>
    <t>Preço unitário R$
(ano I)</t>
  </si>
  <si>
    <t>Quantidade
(ano I)</t>
  </si>
  <si>
    <t>Preço unitário R$
(ano II)</t>
  </si>
  <si>
    <t>Quantidade
(ano II - 1º sem)</t>
  </si>
  <si>
    <t>Coffee break (Rio de Janeiro)</t>
  </si>
  <si>
    <t>Coffee break (Regional)</t>
  </si>
  <si>
    <t>Equipe técnica contratada + técnicos do INEA e do Rio Rural</t>
  </si>
  <si>
    <t>Veículo leve - Sandero</t>
  </si>
  <si>
    <t>Revisões</t>
  </si>
  <si>
    <t>Seguro</t>
  </si>
  <si>
    <t xml:space="preserve">Despeza </t>
  </si>
  <si>
    <t>Franquia</t>
  </si>
  <si>
    <t>Despeza</t>
  </si>
  <si>
    <t>Taxas</t>
  </si>
  <si>
    <t>Combustível - gasolina</t>
  </si>
  <si>
    <t>Combustível - diesel</t>
  </si>
  <si>
    <t>Via-fácil</t>
  </si>
  <si>
    <t>Contratação de especialista</t>
  </si>
  <si>
    <t>Banners</t>
  </si>
  <si>
    <t>Bonés</t>
  </si>
  <si>
    <t>Produção, filmagem e edição</t>
  </si>
  <si>
    <t>Diárias (coordenador + especialista)</t>
  </si>
  <si>
    <t>Diárias técnicos INEA + Rio Rural</t>
  </si>
  <si>
    <t>Inserções em rádio</t>
  </si>
  <si>
    <t>Carros de som</t>
  </si>
  <si>
    <t>Aquisição</t>
  </si>
  <si>
    <t>,</t>
  </si>
  <si>
    <t>Diárias convidados</t>
  </si>
  <si>
    <t>passagens aéreas convidados</t>
  </si>
  <si>
    <t>Aquisição de análises de solo</t>
  </si>
  <si>
    <t>Consultoria (fitossociologia/carbono)</t>
  </si>
  <si>
    <t>Consultoria (Biodiversidade/dispersores)</t>
  </si>
  <si>
    <t>Técnicos INEA + RR + Projeto</t>
  </si>
  <si>
    <t>Reuniões CCI</t>
  </si>
  <si>
    <t>Convidados</t>
  </si>
  <si>
    <t>Técnicos INEA + RR</t>
  </si>
  <si>
    <t>COMPONENTE 3 - SÃO PAULO</t>
  </si>
  <si>
    <t>Contratação, por regime CLT, de profissionais nível superior (Analista Junior, 04 vagas) para prestar assistência técnica junto às Ucs</t>
  </si>
  <si>
    <t>Contratação, por regime CLT, de profissionais nível médio (Assistente Administrativo I, 04 vagas) para prestar assistência administrativa junto às Ucs</t>
  </si>
  <si>
    <t>Contratação de consultoria para serviços técnicos especializados voltados à organização e execução de oficinas participativas no âmbito das Unidades de Conservação do Estado de São Paulo</t>
  </si>
  <si>
    <t>Contratação de consultoria para  Aplicação do “Management EffectivenessTrackingTool” (METT) em 04 Unidades de Conservação do Estado de São Paulo</t>
  </si>
  <si>
    <t>Contratação de consultoria para mobilização, lista de beneficiários, identificação de lacunas de conhecimento e elaboração de planos de trabalho para assistência técnica junto a potenciais beneficiários de certificação, cadeias de valores sustentáveis e pagamento por serviços ambientais.</t>
  </si>
  <si>
    <t>Contratação de consultoria para divulgação na preparação das ações de certificação, cadeias de valores sustentáveis e pagamento por serviços ambientais</t>
  </si>
  <si>
    <t>Capacitação técnica e gerencial de agentes das Unidades de Conservação</t>
  </si>
  <si>
    <t>3.1.2.5</t>
  </si>
  <si>
    <t>3.2.1.2</t>
  </si>
  <si>
    <t>3.2.1.5.1</t>
  </si>
  <si>
    <t>MEMÓRIA DE CÁLCULO - COMPONENTE 3 (SÃO PAULO)</t>
  </si>
  <si>
    <t>Contrato - PJ</t>
  </si>
  <si>
    <t>Contrato - PF</t>
  </si>
  <si>
    <t>3.2.1.3</t>
  </si>
  <si>
    <t>Aquisição de veículo tipo camionete 4X4*</t>
  </si>
  <si>
    <t>Combustível/mês</t>
  </si>
  <si>
    <t>Seguro anual</t>
  </si>
  <si>
    <t>Manutenção/mês</t>
  </si>
  <si>
    <t>Contratação, por regime CLT, de profissional nível superior (Analista Senior, uma vaga) para prestar assistência técnica à Coordenação do Componente 3</t>
  </si>
  <si>
    <t>Contratação, por regime CLT, de profissional nível médio (Assistente Administrativo III) para assistência administrativa à Coordenação do Componente 3</t>
  </si>
  <si>
    <t>250,00/diária</t>
  </si>
  <si>
    <t>COMPONENTE 2 - MINAS GERAIS (IEF)</t>
  </si>
  <si>
    <t>Impressão de Certificado</t>
  </si>
  <si>
    <t>Impressão de folder: 3.000 mil folders para todos os anos</t>
  </si>
  <si>
    <t>Contratação de Consultoria para ministrar o curso</t>
  </si>
  <si>
    <t xml:space="preserve">Criação de arte: R$ 1.000,00 para confecção de material de divulgação </t>
  </si>
  <si>
    <t>Aluguel do local / por semana</t>
  </si>
  <si>
    <t>Coffee-break (MANHÃ/TARDE)</t>
  </si>
  <si>
    <t>Hospedagem, alimentação</t>
  </si>
  <si>
    <t xml:space="preserve">Transporte - dias </t>
  </si>
  <si>
    <t>Passagem aérea consultor - passagem ida e volta</t>
  </si>
  <si>
    <t>Resultado 6.1.2.1</t>
  </si>
  <si>
    <t xml:space="preserve">75 agricultores capacitados </t>
  </si>
  <si>
    <t>serviço</t>
  </si>
  <si>
    <t>Contratação, por regime CLT, de profissionais nível técnico (Técnico II, duas vagas) para prestar assistência técnica aos produtores rurais, do município de São Luiz do Paraitinga e região, vinculados às atividades promovidas pelo Componente 2, no Estado de São Paulo.</t>
  </si>
  <si>
    <t>Contratação, por regime CLT, de profissionais nível superior (Analista Pleno, uma vaga) para prestar assistência técnica aos produtores rurais do município de São Luiz do Paraitinga e região, vinculados às atividades promovidas pelo Componente 2, no Estado de São Paulo.</t>
  </si>
  <si>
    <t>Gestão do projeto - Fundação Florestal</t>
  </si>
  <si>
    <t>*A aquisição de veículo estava prevista para ocorrer em 2018 (Ano3) - a condição da frota da estação Ecológica de Bananal é crítica e poderá comprometer o desenvolvimento das ações planejadas nos 18 meses, motivo pelo qual se justifica a antecipação do recurso.</t>
  </si>
  <si>
    <t>Suporte Técnico para FINATEC: viagens para interação e orientação entre os Parceiros (UCP e UGE's)</t>
  </si>
  <si>
    <t xml:space="preserve">Suporte as reuniões CCI </t>
  </si>
  <si>
    <t>Consultoria para a execução de Auditoria</t>
  </si>
  <si>
    <t>Contratação de consultoria para elaboração do Plano de Comunicação</t>
  </si>
  <si>
    <t>Contratação de consultor para prestar serviços de assessoria de comunicação e atualização da estratégia</t>
  </si>
  <si>
    <t>Contratação de serviço para adesivação dos veículos</t>
  </si>
  <si>
    <t>Aquisição de combustível</t>
  </si>
  <si>
    <t>Contratação de consultoria para cursos de capacitação</t>
  </si>
  <si>
    <t>Inscrição em cursos, congressos, workshops e eventos técnicos/científicos em geral</t>
  </si>
  <si>
    <t>Locação de Veículos</t>
  </si>
  <si>
    <t>Contratação de  serviços voltados à organização e execução de oficinas participativas no âmbito das Unidades de Conservação do Estado de São Paulo</t>
  </si>
  <si>
    <t>Contratação de serviços para mobilização, lista de beneficiários, identificação de lacunas de conhecimento e elaboração de planos de trabalho para assistência técnica junto a potenciais beneficiários de certificação, cadeias de valores sustentáveis e pagamento por serviços ambientais</t>
  </si>
  <si>
    <t>Contratação de serviços para divulgação na preparação das ações de certificação, cadeias de valores sustentáveis e pagamento por serviços ambientais</t>
  </si>
  <si>
    <t>Contratação de serviço de Coffe-break</t>
  </si>
  <si>
    <t>Ex-Post</t>
  </si>
  <si>
    <t>Status</t>
  </si>
  <si>
    <t>Categoria</t>
  </si>
  <si>
    <t>Seleção Baseada na Qualidade e Custo </t>
  </si>
  <si>
    <t>Seleção Baseada na Qualificação do Consultor (SQC)</t>
  </si>
  <si>
    <t>CONSULTORIAS FIRMAS</t>
  </si>
  <si>
    <t>SERVIÇOS QUE NÃO SÃO DE CONSULTORIA</t>
  </si>
  <si>
    <t>CONSULTORIAS INDIVIDUAL</t>
  </si>
  <si>
    <t>Contratação de consultoria para a execução de treinamento em marcos regulatórios e fontes de financeiamento alternativas para garantir a sustentabilidade do projeto</t>
  </si>
  <si>
    <t>Contratação de serviços para eventos anuais de avaliação com parceiros do projeto</t>
  </si>
  <si>
    <t>VIAGENS PARA INTERAÇÃO</t>
  </si>
  <si>
    <t>Viagens para interação entre a pesquisa no Componente 1 e as atividades de campo dos componentes 2 e 3 Anos 1,2,3,4,5</t>
  </si>
  <si>
    <t>Descrição adicional:</t>
  </si>
  <si>
    <t>Quantidade de Lotes:</t>
  </si>
  <si>
    <t>Número de Processo:</t>
  </si>
  <si>
    <t>Montante Estimado</t>
  </si>
  <si>
    <t>Categoria de Investimento:</t>
  </si>
  <si>
    <t>Datas</t>
  </si>
  <si>
    <t>Comentários - para Sistema Nacional incluir método de Seleção</t>
  </si>
  <si>
    <t>Numero PRISM</t>
  </si>
  <si>
    <t>Montante Estimado em US$:</t>
  </si>
  <si>
    <t>Montante Estimado % BID:</t>
  </si>
  <si>
    <t>Montante Estimado % Contrapartida:</t>
  </si>
  <si>
    <t>Publicação do Anúncio</t>
  </si>
  <si>
    <t>Assinatura do Contrato</t>
  </si>
  <si>
    <t>Unidade Executora:</t>
  </si>
  <si>
    <t>Método de Aquisição
(Selecionar uma das opções):</t>
  </si>
  <si>
    <t>Aquisição de bens para implementar o funcionamento de Centro de Referências na APA SFX (Centro de Referência)</t>
  </si>
  <si>
    <t>Aquisição de bens para implementar o funcionamento da Sede Urbana do PESM - Núcleo Sta. Virgínia (Sede Urbana)</t>
  </si>
  <si>
    <t>Contratação de prestação de serviços de Capacitação para as Uc´s</t>
  </si>
  <si>
    <t>Realização de Evento Pesquisa</t>
  </si>
  <si>
    <t>Passagens aéreas, deslocamentos e diárias</t>
  </si>
  <si>
    <t>Contratação de consultoria especializada para a implementação  do Sistema de Monitoramento e Avaliação por Resultados do Projeto Anos 1,2,3,4,5, segundo a Matriz de Resultados</t>
  </si>
  <si>
    <t>Contratação de consultoria para desenvolvimento e operacionalização do Portal do Projeto para a disponibilização das informações  a todos os atores em plataforma virtual em forma de Observatório e sua manutenção Ano 1,2,3,4,5</t>
  </si>
  <si>
    <t>Contratação de consultoria especializada para Validação do PSA:  Comparação das Atividades de Pagamentos por Serviços Ambientais nos Estados do Rio de Janeiro e São Paulo Anos 2,3,4,5</t>
  </si>
  <si>
    <t>Contratação de celetista Analista Pleno PAS 2 para suporte técnico ao MCTIC</t>
  </si>
  <si>
    <t>Licitação Pública Nacional</t>
  </si>
  <si>
    <t>Comparação de Qualificações</t>
  </si>
  <si>
    <t>Comparação de Preços</t>
  </si>
  <si>
    <t>UGP</t>
  </si>
  <si>
    <t>-</t>
  </si>
  <si>
    <t>Contratação de prestação de serviços para Elaboração de Plano de Comunicação (APA SFX, EEBananal)</t>
  </si>
  <si>
    <t>Contratação de prestação de serviços para Execução/ Implantação do Plano de Comunicação (PESM)</t>
  </si>
  <si>
    <t>Reuniões / Visitas Técnica / Congressos</t>
  </si>
  <si>
    <t>Montante Estimado em R$:</t>
  </si>
  <si>
    <t>Taxa de Câmbio:</t>
  </si>
  <si>
    <t>US$</t>
  </si>
  <si>
    <t xml:space="preserve"> x</t>
  </si>
  <si>
    <t>R$</t>
  </si>
  <si>
    <t>a definir</t>
  </si>
  <si>
    <t>Administração - FINATEC</t>
  </si>
  <si>
    <r>
      <t xml:space="preserve">Contrato de Empréstimo: </t>
    </r>
    <r>
      <rPr>
        <b/>
        <sz val="15"/>
        <rFont val="Calibri"/>
        <family val="2"/>
      </rPr>
      <t>GRT/FM-14550-BR</t>
    </r>
  </si>
  <si>
    <t>BRASIL                            BR-G1003                           Projeto: “Recuperação e Proteção dos Serviços de Clima e Biodiversidade do Corredor Sudeste da Mata Atlântica Brasileira”</t>
  </si>
  <si>
    <t>Método de Revisão</t>
  </si>
  <si>
    <t>Contratação de serviços para organização de Workshops</t>
  </si>
  <si>
    <t>Aquisição de materiais para dar suporte à equipe</t>
  </si>
  <si>
    <t>Contratação de serviços de terceiros (PJ) para promoção do PSA entre os produtoes</t>
  </si>
  <si>
    <t>Contratação de serviços de produção de material de comunicação (camisetas e bonés)</t>
  </si>
  <si>
    <t>Contratação de serviços de veiculação de informações nos meios de comunicação (rádios, jornais, carros de som e etc.) e divulgação de editais (contratação de celetistas e divulgação dos editais de PSA)</t>
  </si>
  <si>
    <t>Aquisição de Material de Informática e equipamentos de medição de campo</t>
  </si>
  <si>
    <t>Aquisição de Material de consumo(utensilho e material de escritório)</t>
  </si>
  <si>
    <t>Aquisição de bens duráveis</t>
  </si>
  <si>
    <t>Contratação de consultoria para o desenvolvimento do sistema de sustentabilidade financeira</t>
  </si>
  <si>
    <t>Aquisição de material para cercamento</t>
  </si>
  <si>
    <t>Aquisição de materia para plantio de mudas nativas</t>
  </si>
  <si>
    <t>Contratação de serviço de plantio e construção de cerca em áreas de recuperação ambiental</t>
  </si>
  <si>
    <t>Aquisição de material para recuperação de área degradada para propriedade modelo, onde será executado o curso de capacitação</t>
  </si>
  <si>
    <t>Aquisição de material para execução do curso de capacitação</t>
  </si>
  <si>
    <t>Contratação de consultoria para capacitação dos produtores rurais</t>
  </si>
  <si>
    <t>Aquisição de insumos de viveiro</t>
  </si>
  <si>
    <t>Aquisição de materia de informática</t>
  </si>
  <si>
    <t>Contratação de empresa para capacitação de técnicos do IEF no CATIE</t>
  </si>
  <si>
    <t>Participação em eventos nacionais e internacionais</t>
  </si>
  <si>
    <t>Compra de passagens aéreas</t>
  </si>
  <si>
    <t>SERVIÇOS DE NÃO CONSULTORIA</t>
  </si>
  <si>
    <t>Aquisição de combustível, manutenção e documentos dos veículos</t>
  </si>
  <si>
    <t>Despesas com diárias, Passagens, despesas reembolsáveis</t>
  </si>
  <si>
    <t>Aquisição de Armadilha Fotográfica (48)</t>
  </si>
  <si>
    <t>Aquisição de Equipamentos de Informática, software, acessórios e outros equipamentos para dar suporte ao projeto.</t>
  </si>
  <si>
    <t>Serviços Gráficos em geral (camisetas, banner etc)</t>
  </si>
  <si>
    <t>Contratação de celetista Técnico II PAM 2 para prestar assistência técnica aos produtores rurais, do município de São Luiz do Paraitinga e região, vinculados às atividades promovidas pelo Componente 2, no Estado de São Paulo</t>
  </si>
  <si>
    <t>Contratação de celetista Analista Pleno PAS 2 para prestar assistência técnica aos produtores rurais do município de São Luiz do Paraitinga e região, vinculados às atividades promovidas pelo Componente 2, no Estado de São Paulo</t>
  </si>
  <si>
    <t>Contratação de celetista Analista Pleno PAS 2 para prestar assistência técnica e administrativa à coordenação do Componente 2 no Estado de São Paulo</t>
  </si>
  <si>
    <t>Contratação de celetista Especialista PAS 4</t>
  </si>
  <si>
    <t>Contratação de celetista Analista Sênior PAS 3</t>
  </si>
  <si>
    <t>Contratação de celetista Técnico III PAM 3</t>
  </si>
  <si>
    <t>Contratação, por regime CLT, de profissionais nível superior (Analista Junior) para prestar assistência técnica junto às Ucs</t>
  </si>
  <si>
    <t>Contratação, por regime CLT, de profissionais nível médio (Assistente Administrativo I) para prestar assistência administrativa junto às Ucs</t>
  </si>
  <si>
    <t>Contratação, por regime CLT, de profissional nível superior (Analista Senior) para prestar assistência técnica à Coordenação do Componente 3</t>
  </si>
  <si>
    <t>Contratação de celetista Analista Pleno PAS 2 para atender à demanda de aquisições da UGP</t>
  </si>
  <si>
    <t>Contratação de celetista Advogado Pleno PAS 2 para atender à demanda jurídica da UGP</t>
  </si>
  <si>
    <t>Contratação de consultoria para identificar fontes financeiras adicionais para a sustentabilidde a longo prazo dos esquemas PSA</t>
  </si>
  <si>
    <t>Contratação de consultoria para ajudar os produtores a preparar propostas para obter acesso aos mercados de ativos ambientais</t>
  </si>
  <si>
    <t>Contratação de consultoria para acompanhar e analisar a relação custo-eficácia das várias modalidades de PSA</t>
  </si>
  <si>
    <t>Serviços de consultoria para análise de propostas</t>
  </si>
  <si>
    <t>Capacitação em monitoramento</t>
  </si>
  <si>
    <t>Suporte técnico para o Estado de São Paulo</t>
  </si>
  <si>
    <t>Contratação Direta </t>
  </si>
  <si>
    <t>Produto</t>
  </si>
  <si>
    <t>1.1</t>
  </si>
  <si>
    <t>Contratação de especialista em Flora (coordenador) para Atualização e Consolidação do Banco de Dados georreferenciado sobre Iniciativas em Biodiversidade,  Carbono, Mudanças do Clima e Manejo Florestal Sustentado e para Linhas de Base de carbono e biodiversidade</t>
  </si>
  <si>
    <t>Contratação de especialista em Fauna (coordenador) para Atualização e Consolidação do Banco de Dados georreferenciado sobre Iniciativas em Biodiversidade,  Carbono, Mudanças do Clima e Manejo Florestal Sustentado e para Linhas de Base de carbono e biodiversidade</t>
  </si>
  <si>
    <t>Contratação de especialista em Geoprocessamento (coordenador) para Atualização e Consolidação do Banco de Dados georreferenciado sobre Iniciativas em Biodiversidade,  Carbono, Mudanças do Clima e Manejo Florestal Sustentado e para Linhas de Base de carbono e biodiversidade</t>
  </si>
  <si>
    <t>1.2</t>
  </si>
  <si>
    <t>ST</t>
  </si>
  <si>
    <t>Despesas com diárias,  locomoção para assistência técnica e administravia para visita de campo</t>
  </si>
  <si>
    <t>Contratação de Pessoal para ida a campo para a Linha de base de carbono e biodiversidade e  sistema de monitoramento e avaliação de carbono que seja compatível com o de biodiversidade</t>
  </si>
  <si>
    <t>1.3</t>
  </si>
  <si>
    <t>Serviço de locação de automóvel para visita de campo</t>
  </si>
  <si>
    <t>Aquisição de combustível para as idas à campo</t>
  </si>
  <si>
    <t>3.1</t>
  </si>
  <si>
    <t>1.4</t>
  </si>
  <si>
    <t>Contratação de empresa para confecção de material de treinamento</t>
  </si>
  <si>
    <t>2.1</t>
  </si>
  <si>
    <t>2.2</t>
  </si>
  <si>
    <t>Despesas com diárias,  locomoção para assistência técnica e administravia aos produtores rurais e à coordeção do projeto</t>
  </si>
  <si>
    <t>Aquisição de 2 veículos para atender ao projeto</t>
  </si>
  <si>
    <t>Aquisição de 2 Drones</t>
  </si>
  <si>
    <t>Contratação de serviços gráficos para divulgação do projeto</t>
  </si>
  <si>
    <t>3.3</t>
  </si>
  <si>
    <t>4.1</t>
  </si>
  <si>
    <t>3.2</t>
  </si>
  <si>
    <t>Contratação de celetista Supervisor PAS 2 para atender à demanda de comunicações e assistência em geral na UGP</t>
  </si>
  <si>
    <t>4.2</t>
  </si>
  <si>
    <t>NA</t>
  </si>
  <si>
    <t>executado</t>
  </si>
  <si>
    <t>Aquisição de Material de informática, mobiliário e demais equipamentos para da suporte ao projeto</t>
  </si>
  <si>
    <t>Aquisição de Material de consumo (combustível e material de escritório)</t>
  </si>
  <si>
    <t>Aquisição de serviço para Manutenção da frota</t>
  </si>
  <si>
    <t>Aquisição de Trap camera (4) para avaliação da fauna</t>
  </si>
  <si>
    <t>Aquisição de serviço de Coffee-break (MANHÃ/TARDE) e almoço</t>
  </si>
  <si>
    <t>Contratação de Serviços de treinamento e capacitação em UC's</t>
  </si>
  <si>
    <t>Aquisição de Veículo tipo camionente, cabine dupla, tração 4x4, 0 Km (EE Bananal)</t>
  </si>
  <si>
    <t>Aquisição de Veículos tipo passageiro para 3 Ucs (APA SFX,  Núcleo Sta. Virginea e Itariru)</t>
  </si>
  <si>
    <t>Aquisição de serviços para Diagnóstico individual de produtores com necessidade de AT e provisão de AT para Certificação e Cadeias de Valor Agregado Sustentáveis</t>
  </si>
  <si>
    <t>Aquisição de Suporte às primeiras intervenções e  anáilise de propostas</t>
  </si>
  <si>
    <t>Aquisição de serviços de Suporte técnico para estruturação de banco de dado georeferenciados para intervenções de projetos</t>
  </si>
  <si>
    <t>Aquisição de Serviços de Cadastro e diagnóstico de 400 produtores</t>
  </si>
  <si>
    <t>PLANO DE AQUISIÇÕES (PA) - 18 MESES                                                                 Mês 1 (06/2018) até Mês 18 (12/2019)</t>
  </si>
  <si>
    <t>ST/1.3</t>
  </si>
  <si>
    <t>Contratação de Analista Junior Administrativo</t>
  </si>
  <si>
    <t>Contratação de Especialista para Infraestrutura de Dados Espaciais, para atuação no Projeto</t>
  </si>
  <si>
    <t>Contratação de Assistente Administrativo para prestar assistencia ao Componente 2</t>
  </si>
  <si>
    <t>Locação de 2 veículos por 10 meses</t>
  </si>
  <si>
    <t>2.2/ ST</t>
  </si>
  <si>
    <t>Aquisição de 3 veículos para os técnicos realizarem monitoramento, elaboração de projetos de restauração, dia de campo e capacitação com os produtores rurais.</t>
  </si>
  <si>
    <t>ju/19</t>
  </si>
  <si>
    <t>Contratação, por regime CLT, de profissionais nível superior (Analista Junior) para prestar assistência técnica junto ao IEF</t>
  </si>
  <si>
    <t>Contratação de celetista Gerente para fazer o acompanhamento e a gestão do projeto na UGP</t>
  </si>
  <si>
    <t>Contratação de analista Pleno PAS 2 para atender às demandas financeiras do projeto</t>
  </si>
  <si>
    <t>Contratação de celetista Analista Junior PAS 1 para atender à demanda administrativas na UGP</t>
  </si>
  <si>
    <t>Contratação de Consultoria para Avaliação de Meio Termo</t>
  </si>
  <si>
    <t>Contratação de Consultoria Jurídica para elaboração dos Editais e Contratos de PSA</t>
  </si>
  <si>
    <t>Aquisição de 3 veículos 4x4 tipo SUV pequeno</t>
  </si>
  <si>
    <t>Aquisição de 1 veículo para dar suporte ao projeto</t>
  </si>
  <si>
    <t>Contratação de celetista Técnico I</t>
  </si>
  <si>
    <t>Contratação de celetista Técnico III</t>
  </si>
  <si>
    <t>ju/18</t>
  </si>
  <si>
    <r>
      <t xml:space="preserve">Atualizado em: </t>
    </r>
    <r>
      <rPr>
        <b/>
        <sz val="15"/>
        <rFont val="Calibri"/>
        <family val="2"/>
      </rPr>
      <t>Agosto/2018                               Atualização Nº: 2                        Atualizado por: UGP</t>
    </r>
  </si>
  <si>
    <t>Assistência Técnica para 400 produtores</t>
  </si>
  <si>
    <t>planejado</t>
  </si>
  <si>
    <t>em execução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</si>
</sst>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0_);_(* \(#,##0.000\);_(* &quot;-&quot;??_);_(@_)"/>
    <numFmt numFmtId="165" formatCode="&quot;$&quot;#,##0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_-[$$-409]* #,##0_ ;_-[$$-409]* \-#,##0\ ;_-[$$-409]* &quot;-&quot;??_ ;_-@_ "/>
    <numFmt numFmtId="169" formatCode="_(* #,##0.00_);_(* \(#,##0.00\);_(* &quot;-&quot;??_);_(@_)"/>
    <numFmt numFmtId="170" formatCode="#,##0.00;[Red]#,##0.00"/>
    <numFmt numFmtId="171" formatCode="_-[$$-409]* #,##0.00_ ;_-[$$-409]* \-#,##0.00\ ;_-[$$-409]* &quot;-&quot;??_ ;_-@_ "/>
    <numFmt numFmtId="172" formatCode="dd/mm/yy;@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4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FF0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8"/>
      <color rgb="FFFF0000"/>
      <name val="Times New Roman"/>
      <family val="1"/>
    </font>
    <font>
      <b/>
      <sz val="14"/>
      <color theme="9" tint="-0.249977111117893"/>
      <name val="Calibri"/>
      <family val="2"/>
      <scheme val="minor"/>
    </font>
    <font>
      <b/>
      <sz val="14"/>
      <color theme="1"/>
      <name val="Arial"/>
      <family val="2"/>
    </font>
    <font>
      <sz val="14"/>
      <color rgb="FFFF0000"/>
      <name val="Calibri"/>
      <family val="2"/>
      <scheme val="minor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9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name val="Calibri"/>
      <family val="2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4F81BD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54" fillId="0" borderId="0" applyFont="0" applyFill="0" applyBorder="0" applyAlignment="0" applyProtection="0"/>
  </cellStyleXfs>
  <cellXfs count="501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0" fillId="0" borderId="0" xfId="0" applyAlignment="1">
      <alignment horizontal="right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/>
    <xf numFmtId="17" fontId="4" fillId="0" borderId="0" xfId="0" applyNumberFormat="1" applyFont="1" applyAlignment="1">
      <alignment horizontal="center" vertical="center" wrapText="1"/>
    </xf>
    <xf numFmtId="0" fontId="8" fillId="7" borderId="2" xfId="0" applyFont="1" applyFill="1" applyBorder="1"/>
    <xf numFmtId="0" fontId="8" fillId="7" borderId="1" xfId="0" applyFont="1" applyFill="1" applyBorder="1" applyAlignment="1"/>
    <xf numFmtId="0" fontId="8" fillId="7" borderId="1" xfId="0" applyFont="1" applyFill="1" applyBorder="1"/>
    <xf numFmtId="0" fontId="9" fillId="0" borderId="3" xfId="0" applyFont="1" applyBorder="1"/>
    <xf numFmtId="166" fontId="10" fillId="0" borderId="13" xfId="0" applyNumberFormat="1" applyFont="1" applyBorder="1"/>
    <xf numFmtId="0" fontId="11" fillId="5" borderId="13" xfId="0" applyFont="1" applyFill="1" applyBorder="1" applyAlignment="1">
      <alignment horizontal="left" wrapText="1"/>
    </xf>
    <xf numFmtId="167" fontId="11" fillId="0" borderId="2" xfId="0" applyNumberFormat="1" applyFont="1" applyBorder="1"/>
    <xf numFmtId="166" fontId="10" fillId="0" borderId="2" xfId="0" applyNumberFormat="1" applyFont="1" applyBorder="1"/>
    <xf numFmtId="44" fontId="11" fillId="5" borderId="2" xfId="3" applyFont="1" applyFill="1" applyBorder="1" applyAlignment="1">
      <alignment horizontal="center" vertical="center" wrapText="1"/>
    </xf>
    <xf numFmtId="0" fontId="10" fillId="0" borderId="16" xfId="0" applyFont="1" applyBorder="1"/>
    <xf numFmtId="44" fontId="11" fillId="5" borderId="16" xfId="3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5" borderId="5" xfId="0" applyFont="1" applyFill="1" applyBorder="1"/>
    <xf numFmtId="0" fontId="11" fillId="5" borderId="5" xfId="0" applyFont="1" applyFill="1" applyBorder="1"/>
    <xf numFmtId="44" fontId="11" fillId="5" borderId="5" xfId="3" applyFont="1" applyFill="1" applyBorder="1" applyAlignment="1">
      <alignment horizontal="center" vertical="center" wrapText="1"/>
    </xf>
    <xf numFmtId="44" fontId="11" fillId="5" borderId="10" xfId="3" applyFont="1" applyFill="1" applyBorder="1" applyAlignment="1">
      <alignment horizontal="center" vertical="center" wrapText="1"/>
    </xf>
    <xf numFmtId="44" fontId="12" fillId="8" borderId="17" xfId="3" applyFont="1" applyFill="1" applyBorder="1" applyAlignment="1">
      <alignment horizontal="center" vertical="center" wrapText="1"/>
    </xf>
    <xf numFmtId="167" fontId="12" fillId="8" borderId="2" xfId="0" applyNumberFormat="1" applyFont="1" applyFill="1" applyBorder="1"/>
    <xf numFmtId="166" fontId="8" fillId="9" borderId="2" xfId="0" applyNumberFormat="1" applyFont="1" applyFill="1" applyBorder="1"/>
    <xf numFmtId="167" fontId="8" fillId="9" borderId="5" xfId="0" applyNumberFormat="1" applyFont="1" applyFill="1" applyBorder="1"/>
    <xf numFmtId="0" fontId="11" fillId="0" borderId="2" xfId="0" applyFont="1" applyBorder="1"/>
    <xf numFmtId="167" fontId="12" fillId="6" borderId="2" xfId="0" applyNumberFormat="1" applyFont="1" applyFill="1" applyBorder="1"/>
    <xf numFmtId="167" fontId="8" fillId="9" borderId="2" xfId="0" applyNumberFormat="1" applyFont="1" applyFill="1" applyBorder="1"/>
    <xf numFmtId="0" fontId="11" fillId="0" borderId="2" xfId="0" applyFont="1" applyFill="1" applyBorder="1"/>
    <xf numFmtId="0" fontId="0" fillId="0" borderId="0" xfId="0" applyFill="1"/>
    <xf numFmtId="166" fontId="8" fillId="7" borderId="2" xfId="0" applyNumberFormat="1" applyFont="1" applyFill="1" applyBorder="1"/>
    <xf numFmtId="167" fontId="8" fillId="7" borderId="2" xfId="0" applyNumberFormat="1" applyFont="1" applyFill="1" applyBorder="1"/>
    <xf numFmtId="0" fontId="11" fillId="0" borderId="0" xfId="0" applyFont="1"/>
    <xf numFmtId="0" fontId="14" fillId="0" borderId="0" xfId="0" applyFont="1"/>
    <xf numFmtId="0" fontId="15" fillId="0" borderId="0" xfId="0" applyFont="1"/>
    <xf numFmtId="4" fontId="7" fillId="0" borderId="0" xfId="0" applyNumberFormat="1" applyFont="1"/>
    <xf numFmtId="4" fontId="7" fillId="8" borderId="0" xfId="0" applyNumberFormat="1" applyFont="1" applyFill="1"/>
    <xf numFmtId="4" fontId="7" fillId="10" borderId="0" xfId="0" applyNumberFormat="1" applyFont="1" applyFill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3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6" borderId="2" xfId="0" applyFont="1" applyFill="1" applyBorder="1" applyAlignment="1">
      <alignment vertical="center" wrapText="1"/>
    </xf>
    <xf numFmtId="4" fontId="13" fillId="6" borderId="2" xfId="0" applyNumberFormat="1" applyFont="1" applyFill="1" applyBorder="1"/>
    <xf numFmtId="1" fontId="16" fillId="6" borderId="2" xfId="0" applyNumberFormat="1" applyFont="1" applyFill="1" applyBorder="1"/>
    <xf numFmtId="4" fontId="17" fillId="6" borderId="2" xfId="0" applyNumberFormat="1" applyFont="1" applyFill="1" applyBorder="1"/>
    <xf numFmtId="1" fontId="13" fillId="11" borderId="2" xfId="0" applyNumberFormat="1" applyFont="1" applyFill="1" applyBorder="1"/>
    <xf numFmtId="4" fontId="13" fillId="11" borderId="2" xfId="0" applyNumberFormat="1" applyFont="1" applyFill="1" applyBorder="1"/>
    <xf numFmtId="1" fontId="16" fillId="11" borderId="2" xfId="0" applyNumberFormat="1" applyFont="1" applyFill="1" applyBorder="1"/>
    <xf numFmtId="4" fontId="17" fillId="11" borderId="3" xfId="0" applyNumberFormat="1" applyFont="1" applyFill="1" applyBorder="1"/>
    <xf numFmtId="4" fontId="17" fillId="11" borderId="2" xfId="0" applyNumberFormat="1" applyFont="1" applyFill="1" applyBorder="1"/>
    <xf numFmtId="0" fontId="18" fillId="0" borderId="2" xfId="0" applyFont="1" applyBorder="1" applyAlignment="1">
      <alignment vertical="center"/>
    </xf>
    <xf numFmtId="0" fontId="16" fillId="4" borderId="3" xfId="0" applyFont="1" applyFill="1" applyBorder="1" applyAlignment="1">
      <alignment horizontal="left" vertical="top" wrapText="1"/>
    </xf>
    <xf numFmtId="4" fontId="13" fillId="4" borderId="2" xfId="0" applyNumberFormat="1" applyFont="1" applyFill="1" applyBorder="1"/>
    <xf numFmtId="4" fontId="16" fillId="4" borderId="2" xfId="0" applyNumberFormat="1" applyFont="1" applyFill="1" applyBorder="1"/>
    <xf numFmtId="4" fontId="17" fillId="4" borderId="2" xfId="0" applyNumberFormat="1" applyFont="1" applyFill="1" applyBorder="1"/>
    <xf numFmtId="4" fontId="13" fillId="0" borderId="2" xfId="0" applyNumberFormat="1" applyFont="1" applyBorder="1"/>
    <xf numFmtId="4" fontId="17" fillId="0" borderId="2" xfId="0" applyNumberFormat="1" applyFont="1" applyBorder="1"/>
    <xf numFmtId="168" fontId="0" fillId="0" borderId="0" xfId="0" applyNumberFormat="1" applyFill="1"/>
    <xf numFmtId="0" fontId="16" fillId="0" borderId="3" xfId="0" applyFont="1" applyBorder="1" applyAlignment="1">
      <alignment horizontal="left" vertical="top" wrapText="1"/>
    </xf>
    <xf numFmtId="1" fontId="16" fillId="0" borderId="2" xfId="0" applyNumberFormat="1" applyFont="1" applyBorder="1"/>
    <xf numFmtId="4" fontId="17" fillId="0" borderId="3" xfId="0" applyNumberFormat="1" applyFont="1" applyBorder="1"/>
    <xf numFmtId="0" fontId="16" fillId="4" borderId="3" xfId="0" applyFont="1" applyFill="1" applyBorder="1" applyAlignment="1">
      <alignment horizontal="justify" vertical="top" wrapText="1"/>
    </xf>
    <xf numFmtId="1" fontId="16" fillId="4" borderId="2" xfId="0" applyNumberFormat="1" applyFont="1" applyFill="1" applyBorder="1"/>
    <xf numFmtId="0" fontId="16" fillId="0" borderId="3" xfId="0" applyFont="1" applyBorder="1" applyAlignment="1">
      <alignment horizontal="justify" vertical="top" wrapText="1"/>
    </xf>
    <xf numFmtId="0" fontId="18" fillId="0" borderId="2" xfId="0" applyFont="1" applyFill="1" applyBorder="1" applyAlignment="1">
      <alignment vertical="center"/>
    </xf>
    <xf numFmtId="4" fontId="13" fillId="0" borderId="2" xfId="0" applyNumberFormat="1" applyFont="1" applyFill="1" applyBorder="1"/>
    <xf numFmtId="1" fontId="16" fillId="0" borderId="2" xfId="0" applyNumberFormat="1" applyFont="1" applyFill="1" applyBorder="1"/>
    <xf numFmtId="0" fontId="19" fillId="0" borderId="0" xfId="0" applyFont="1"/>
    <xf numFmtId="0" fontId="6" fillId="0" borderId="0" xfId="0" applyFont="1"/>
    <xf numFmtId="0" fontId="12" fillId="6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0" fillId="0" borderId="12" xfId="0" applyFont="1" applyBorder="1"/>
    <xf numFmtId="0" fontId="20" fillId="0" borderId="14" xfId="0" applyFont="1" applyBorder="1"/>
    <xf numFmtId="0" fontId="9" fillId="5" borderId="15" xfId="0" applyFont="1" applyFill="1" applyBorder="1"/>
    <xf numFmtId="0" fontId="12" fillId="6" borderId="2" xfId="0" applyFont="1" applyFill="1" applyBorder="1"/>
    <xf numFmtId="166" fontId="11" fillId="6" borderId="2" xfId="0" applyNumberFormat="1" applyFont="1" applyFill="1" applyBorder="1"/>
    <xf numFmtId="165" fontId="11" fillId="6" borderId="2" xfId="0" applyNumberFormat="1" applyFont="1" applyFill="1" applyBorder="1"/>
    <xf numFmtId="3" fontId="0" fillId="0" borderId="0" xfId="0" applyNumberFormat="1"/>
    <xf numFmtId="0" fontId="13" fillId="0" borderId="2" xfId="0" applyFont="1" applyBorder="1" applyAlignment="1">
      <alignment vertical="center" wrapText="1"/>
    </xf>
    <xf numFmtId="165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6" borderId="2" xfId="0" applyFont="1" applyFill="1" applyBorder="1" applyAlignment="1">
      <alignment wrapText="1"/>
    </xf>
    <xf numFmtId="167" fontId="11" fillId="0" borderId="2" xfId="0" applyNumberFormat="1" applyFont="1" applyFill="1" applyBorder="1"/>
    <xf numFmtId="0" fontId="13" fillId="0" borderId="2" xfId="0" applyFont="1" applyFill="1" applyBorder="1" applyAlignment="1">
      <alignment vertical="center" wrapText="1"/>
    </xf>
    <xf numFmtId="166" fontId="11" fillId="0" borderId="2" xfId="0" applyNumberFormat="1" applyFont="1" applyFill="1" applyBorder="1"/>
    <xf numFmtId="166" fontId="11" fillId="0" borderId="2" xfId="0" applyNumberFormat="1" applyFont="1" applyBorder="1"/>
    <xf numFmtId="37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8" fillId="7" borderId="2" xfId="0" applyFont="1" applyFill="1" applyBorder="1" applyAlignment="1"/>
    <xf numFmtId="166" fontId="8" fillId="7" borderId="2" xfId="0" applyNumberFormat="1" applyFont="1" applyFill="1" applyBorder="1" applyAlignment="1">
      <alignment wrapText="1"/>
    </xf>
    <xf numFmtId="0" fontId="8" fillId="7" borderId="2" xfId="0" applyFont="1" applyFill="1" applyBorder="1" applyAlignment="1">
      <alignment horizontal="left" wrapText="1"/>
    </xf>
    <xf numFmtId="0" fontId="0" fillId="0" borderId="2" xfId="0" applyBorder="1"/>
    <xf numFmtId="0" fontId="21" fillId="0" borderId="0" xfId="0" applyFont="1"/>
    <xf numFmtId="0" fontId="22" fillId="0" borderId="0" xfId="0" applyFont="1"/>
    <xf numFmtId="4" fontId="22" fillId="6" borderId="2" xfId="0" applyNumberFormat="1" applyFont="1" applyFill="1" applyBorder="1"/>
    <xf numFmtId="4" fontId="22" fillId="11" borderId="2" xfId="0" applyNumberFormat="1" applyFont="1" applyFill="1" applyBorder="1"/>
    <xf numFmtId="4" fontId="22" fillId="4" borderId="2" xfId="0" applyNumberFormat="1" applyFont="1" applyFill="1" applyBorder="1"/>
    <xf numFmtId="4" fontId="22" fillId="0" borderId="2" xfId="0" applyNumberFormat="1" applyFont="1" applyBorder="1"/>
    <xf numFmtId="0" fontId="22" fillId="4" borderId="2" xfId="0" applyFont="1" applyFill="1" applyBorder="1"/>
    <xf numFmtId="4" fontId="22" fillId="0" borderId="2" xfId="0" applyNumberFormat="1" applyFont="1" applyFill="1" applyBorder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Border="1"/>
    <xf numFmtId="43" fontId="0" fillId="0" borderId="2" xfId="1" applyFont="1" applyBorder="1"/>
    <xf numFmtId="0" fontId="5" fillId="0" borderId="0" xfId="0" applyFont="1" applyFill="1"/>
    <xf numFmtId="0" fontId="19" fillId="0" borderId="2" xfId="3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28" fillId="0" borderId="0" xfId="0" applyFont="1"/>
    <xf numFmtId="4" fontId="28" fillId="0" borderId="0" xfId="0" applyNumberFormat="1" applyFont="1"/>
    <xf numFmtId="4" fontId="32" fillId="8" borderId="0" xfId="0" applyNumberFormat="1" applyFont="1" applyFill="1" applyAlignment="1">
      <alignment horizontal="center" vertical="center"/>
    </xf>
    <xf numFmtId="4" fontId="32" fillId="10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/>
    <xf numFmtId="4" fontId="32" fillId="12" borderId="0" xfId="0" applyNumberFormat="1" applyFont="1" applyFill="1"/>
    <xf numFmtId="4" fontId="32" fillId="8" borderId="0" xfId="0" applyNumberFormat="1" applyFont="1" applyFill="1"/>
    <xf numFmtId="4" fontId="32" fillId="10" borderId="0" xfId="0" applyNumberFormat="1" applyFont="1" applyFill="1"/>
    <xf numFmtId="0" fontId="31" fillId="0" borderId="2" xfId="0" applyFont="1" applyBorder="1" applyAlignment="1">
      <alignment horizontal="center"/>
    </xf>
    <xf numFmtId="0" fontId="31" fillId="12" borderId="2" xfId="0" applyFont="1" applyFill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32" fillId="3" borderId="2" xfId="0" applyFont="1" applyFill="1" applyBorder="1" applyAlignment="1">
      <alignment horizontal="justify" vertical="center" wrapText="1"/>
    </xf>
    <xf numFmtId="0" fontId="32" fillId="3" borderId="2" xfId="0" applyFont="1" applyFill="1" applyBorder="1" applyAlignment="1">
      <alignment horizontal="justify" vertical="justify" wrapText="1"/>
    </xf>
    <xf numFmtId="4" fontId="32" fillId="3" borderId="2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right" vertical="center" wrapText="1"/>
    </xf>
    <xf numFmtId="0" fontId="31" fillId="14" borderId="4" xfId="0" applyFont="1" applyFill="1" applyBorder="1" applyAlignment="1">
      <alignment horizontal="right"/>
    </xf>
    <xf numFmtId="0" fontId="31" fillId="14" borderId="4" xfId="0" applyFont="1" applyFill="1" applyBorder="1" applyAlignment="1">
      <alignment horizontal="left"/>
    </xf>
    <xf numFmtId="4" fontId="31" fillId="14" borderId="4" xfId="0" applyNumberFormat="1" applyFont="1" applyFill="1" applyBorder="1" applyAlignment="1">
      <alignment horizontal="right"/>
    </xf>
    <xf numFmtId="0" fontId="31" fillId="4" borderId="3" xfId="0" applyFont="1" applyFill="1" applyBorder="1" applyAlignment="1">
      <alignment horizontal="left" vertical="top" wrapText="1"/>
    </xf>
    <xf numFmtId="4" fontId="31" fillId="4" borderId="3" xfId="0" applyNumberFormat="1" applyFont="1" applyFill="1" applyBorder="1" applyAlignment="1">
      <alignment horizontal="right" vertical="top" wrapText="1"/>
    </xf>
    <xf numFmtId="0" fontId="31" fillId="0" borderId="3" xfId="0" applyFont="1" applyFill="1" applyBorder="1" applyAlignment="1">
      <alignment vertical="top" wrapText="1"/>
    </xf>
    <xf numFmtId="0" fontId="31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3" xfId="0" applyFont="1" applyBorder="1"/>
    <xf numFmtId="4" fontId="19" fillId="0" borderId="2" xfId="3" applyNumberFormat="1" applyFont="1" applyFill="1" applyBorder="1" applyAlignment="1">
      <alignment horizontal="center"/>
    </xf>
    <xf numFmtId="4" fontId="31" fillId="0" borderId="3" xfId="0" applyNumberFormat="1" applyFont="1" applyFill="1" applyBorder="1" applyAlignment="1">
      <alignment horizontal="right" vertical="top" wrapText="1"/>
    </xf>
    <xf numFmtId="4" fontId="31" fillId="0" borderId="3" xfId="0" applyNumberFormat="1" applyFont="1" applyFill="1" applyBorder="1" applyAlignment="1">
      <alignment vertical="top" wrapText="1"/>
    </xf>
    <xf numFmtId="4" fontId="31" fillId="0" borderId="2" xfId="0" applyNumberFormat="1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center"/>
    </xf>
    <xf numFmtId="0" fontId="31" fillId="4" borderId="2" xfId="0" applyFont="1" applyFill="1" applyBorder="1" applyAlignment="1">
      <alignment horizontal="left" vertical="top" wrapText="1"/>
    </xf>
    <xf numFmtId="0" fontId="31" fillId="0" borderId="2" xfId="0" applyFont="1" applyBorder="1"/>
    <xf numFmtId="0" fontId="31" fillId="0" borderId="2" xfId="0" applyFont="1" applyFill="1" applyBorder="1" applyAlignment="1">
      <alignment horizontal="left" vertical="top" wrapText="1"/>
    </xf>
    <xf numFmtId="0" fontId="31" fillId="0" borderId="2" xfId="0" applyFont="1" applyFill="1" applyBorder="1"/>
    <xf numFmtId="4" fontId="31" fillId="0" borderId="3" xfId="0" applyNumberFormat="1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4" fontId="31" fillId="0" borderId="2" xfId="0" applyNumberFormat="1" applyFont="1" applyFill="1" applyBorder="1" applyAlignment="1">
      <alignment horizontal="right" vertical="top" wrapText="1"/>
    </xf>
    <xf numFmtId="0" fontId="31" fillId="3" borderId="4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4" fontId="25" fillId="3" borderId="2" xfId="0" applyNumberFormat="1" applyFont="1" applyFill="1" applyBorder="1" applyAlignment="1">
      <alignment horizontal="right"/>
    </xf>
    <xf numFmtId="4" fontId="32" fillId="0" borderId="2" xfId="0" applyNumberFormat="1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8" fillId="14" borderId="2" xfId="0" applyFont="1" applyFill="1" applyBorder="1" applyAlignment="1">
      <alignment horizontal="center"/>
    </xf>
    <xf numFmtId="0" fontId="28" fillId="14" borderId="2" xfId="0" applyFont="1" applyFill="1" applyBorder="1" applyAlignment="1">
      <alignment horizontal="justify" vertical="justify"/>
    </xf>
    <xf numFmtId="0" fontId="31" fillId="14" borderId="4" xfId="0" applyFont="1" applyFill="1" applyBorder="1" applyAlignment="1">
      <alignment horizontal="center"/>
    </xf>
    <xf numFmtId="0" fontId="31" fillId="14" borderId="2" xfId="0" applyFont="1" applyFill="1" applyBorder="1" applyAlignment="1">
      <alignment horizontal="center"/>
    </xf>
    <xf numFmtId="4" fontId="31" fillId="14" borderId="2" xfId="0" applyNumberFormat="1" applyFont="1" applyFill="1" applyBorder="1" applyAlignment="1">
      <alignment horizontal="right"/>
    </xf>
    <xf numFmtId="4" fontId="28" fillId="0" borderId="2" xfId="0" applyNumberFormat="1" applyFont="1" applyBorder="1" applyAlignment="1">
      <alignment horizontal="center"/>
    </xf>
    <xf numFmtId="0" fontId="31" fillId="4" borderId="3" xfId="0" applyFont="1" applyFill="1" applyBorder="1" applyAlignment="1">
      <alignment horizontal="justify" vertical="top" wrapText="1"/>
    </xf>
    <xf numFmtId="4" fontId="30" fillId="4" borderId="2" xfId="0" applyNumberFormat="1" applyFont="1" applyFill="1" applyBorder="1"/>
    <xf numFmtId="4" fontId="28" fillId="4" borderId="2" xfId="0" applyNumberFormat="1" applyFont="1" applyFill="1" applyBorder="1" applyAlignment="1">
      <alignment horizontal="center"/>
    </xf>
    <xf numFmtId="4" fontId="31" fillId="4" borderId="2" xfId="0" applyNumberFormat="1" applyFont="1" applyFill="1" applyBorder="1" applyAlignment="1">
      <alignment horizontal="center"/>
    </xf>
    <xf numFmtId="4" fontId="28" fillId="4" borderId="2" xfId="0" applyNumberFormat="1" applyFont="1" applyFill="1" applyBorder="1" applyAlignment="1">
      <alignment vertical="center"/>
    </xf>
    <xf numFmtId="4" fontId="28" fillId="0" borderId="2" xfId="0" applyNumberFormat="1" applyFont="1" applyBorder="1"/>
    <xf numFmtId="0" fontId="31" fillId="0" borderId="3" xfId="0" applyFont="1" applyBorder="1" applyAlignment="1">
      <alignment horizontal="left" vertical="top" wrapText="1"/>
    </xf>
    <xf numFmtId="4" fontId="34" fillId="0" borderId="2" xfId="0" applyNumberFormat="1" applyFont="1" applyBorder="1"/>
    <xf numFmtId="4" fontId="28" fillId="0" borderId="2" xfId="0" applyNumberFormat="1" applyFont="1" applyFill="1" applyBorder="1" applyAlignment="1">
      <alignment horizontal="center"/>
    </xf>
    <xf numFmtId="1" fontId="31" fillId="0" borderId="2" xfId="0" applyNumberFormat="1" applyFont="1" applyBorder="1" applyAlignment="1">
      <alignment horizontal="center"/>
    </xf>
    <xf numFmtId="4" fontId="28" fillId="0" borderId="0" xfId="0" applyNumberFormat="1" applyFont="1" applyBorder="1"/>
    <xf numFmtId="0" fontId="34" fillId="4" borderId="2" xfId="0" applyFont="1" applyFill="1" applyBorder="1"/>
    <xf numFmtId="1" fontId="31" fillId="4" borderId="2" xfId="0" applyNumberFormat="1" applyFont="1" applyFill="1" applyBorder="1" applyAlignment="1">
      <alignment horizontal="center"/>
    </xf>
    <xf numFmtId="4" fontId="34" fillId="0" borderId="2" xfId="0" applyNumberFormat="1" applyFont="1" applyFill="1" applyBorder="1"/>
    <xf numFmtId="1" fontId="31" fillId="0" borderId="2" xfId="0" applyNumberFormat="1" applyFont="1" applyFill="1" applyBorder="1" applyAlignment="1">
      <alignment horizontal="center"/>
    </xf>
    <xf numFmtId="4" fontId="28" fillId="0" borderId="3" xfId="0" applyNumberFormat="1" applyFont="1" applyFill="1" applyBorder="1"/>
    <xf numFmtId="4" fontId="28" fillId="0" borderId="2" xfId="0" applyNumberFormat="1" applyFont="1" applyFill="1" applyBorder="1"/>
    <xf numFmtId="4" fontId="28" fillId="0" borderId="0" xfId="0" applyNumberFormat="1" applyFont="1" applyFill="1" applyBorder="1"/>
    <xf numFmtId="0" fontId="30" fillId="4" borderId="2" xfId="0" applyFont="1" applyFill="1" applyBorder="1"/>
    <xf numFmtId="4" fontId="31" fillId="4" borderId="2" xfId="0" applyNumberFormat="1" applyFont="1" applyFill="1" applyBorder="1"/>
    <xf numFmtId="4" fontId="31" fillId="0" borderId="2" xfId="0" applyNumberFormat="1" applyFont="1" applyFill="1" applyBorder="1" applyAlignment="1">
      <alignment horizontal="center"/>
    </xf>
    <xf numFmtId="0" fontId="34" fillId="0" borderId="2" xfId="0" applyFont="1" applyFill="1" applyBorder="1"/>
    <xf numFmtId="4" fontId="34" fillId="0" borderId="2" xfId="0" applyNumberFormat="1" applyFont="1" applyFill="1" applyBorder="1" applyAlignment="1">
      <alignment wrapText="1"/>
    </xf>
    <xf numFmtId="4" fontId="0" fillId="0" borderId="0" xfId="0" applyNumberFormat="1" applyBorder="1"/>
    <xf numFmtId="0" fontId="28" fillId="14" borderId="2" xfId="0" applyFont="1" applyFill="1" applyBorder="1" applyAlignment="1">
      <alignment horizontal="left"/>
    </xf>
    <xf numFmtId="4" fontId="31" fillId="4" borderId="2" xfId="0" applyNumberFormat="1" applyFont="1" applyFill="1" applyBorder="1" applyAlignment="1">
      <alignment wrapText="1"/>
    </xf>
    <xf numFmtId="4" fontId="31" fillId="0" borderId="2" xfId="0" applyNumberFormat="1" applyFont="1" applyFill="1" applyBorder="1"/>
    <xf numFmtId="3" fontId="31" fillId="0" borderId="2" xfId="0" applyNumberFormat="1" applyFont="1" applyFill="1" applyBorder="1" applyAlignment="1">
      <alignment horizontal="center"/>
    </xf>
    <xf numFmtId="0" fontId="31" fillId="14" borderId="2" xfId="0" applyFont="1" applyFill="1" applyBorder="1" applyAlignment="1">
      <alignment horizontal="left"/>
    </xf>
    <xf numFmtId="0" fontId="31" fillId="4" borderId="2" xfId="0" applyFont="1" applyFill="1" applyBorder="1"/>
    <xf numFmtId="170" fontId="31" fillId="4" borderId="2" xfId="0" applyNumberFormat="1" applyFont="1" applyFill="1" applyBorder="1"/>
    <xf numFmtId="0" fontId="31" fillId="0" borderId="3" xfId="0" applyFont="1" applyBorder="1" applyAlignment="1">
      <alignment horizontal="justify" vertical="top" wrapText="1"/>
    </xf>
    <xf numFmtId="4" fontId="31" fillId="0" borderId="2" xfId="0" applyNumberFormat="1" applyFont="1" applyBorder="1" applyAlignment="1">
      <alignment horizontal="left"/>
    </xf>
    <xf numFmtId="170" fontId="31" fillId="0" borderId="3" xfId="0" applyNumberFormat="1" applyFont="1" applyBorder="1"/>
    <xf numFmtId="4" fontId="31" fillId="4" borderId="2" xfId="0" applyNumberFormat="1" applyFont="1" applyFill="1" applyBorder="1" applyAlignment="1">
      <alignment horizontal="left"/>
    </xf>
    <xf numFmtId="4" fontId="31" fillId="0" borderId="2" xfId="0" applyNumberFormat="1" applyFont="1" applyFill="1" applyBorder="1" applyAlignment="1">
      <alignment horizontal="left"/>
    </xf>
    <xf numFmtId="170" fontId="31" fillId="0" borderId="2" xfId="0" applyNumberFormat="1" applyFont="1" applyFill="1" applyBorder="1" applyAlignment="1">
      <alignment horizontal="center"/>
    </xf>
    <xf numFmtId="170" fontId="31" fillId="0" borderId="2" xfId="0" applyNumberFormat="1" applyFont="1" applyFill="1" applyBorder="1"/>
    <xf numFmtId="0" fontId="31" fillId="0" borderId="2" xfId="0" applyFont="1" applyFill="1" applyBorder="1" applyAlignment="1">
      <alignment wrapText="1"/>
    </xf>
    <xf numFmtId="4" fontId="28" fillId="4" borderId="2" xfId="0" applyNumberFormat="1" applyFont="1" applyFill="1" applyBorder="1"/>
    <xf numFmtId="4" fontId="31" fillId="0" borderId="2" xfId="0" applyNumberFormat="1" applyFont="1" applyBorder="1"/>
    <xf numFmtId="4" fontId="28" fillId="0" borderId="3" xfId="0" applyNumberFormat="1" applyFont="1" applyBorder="1"/>
    <xf numFmtId="0" fontId="28" fillId="0" borderId="2" xfId="0" applyFont="1" applyFill="1" applyBorder="1" applyAlignment="1">
      <alignment horizontal="center" vertical="center"/>
    </xf>
    <xf numFmtId="0" fontId="28" fillId="14" borderId="2" xfId="0" applyFont="1" applyFill="1" applyBorder="1" applyAlignment="1">
      <alignment horizontal="center" vertical="center"/>
    </xf>
    <xf numFmtId="0" fontId="28" fillId="14" borderId="2" xfId="0" applyFont="1" applyFill="1" applyBorder="1" applyAlignment="1">
      <alignment horizontal="center" wrapText="1"/>
    </xf>
    <xf numFmtId="4" fontId="31" fillId="14" borderId="4" xfId="0" applyNumberFormat="1" applyFont="1" applyFill="1" applyBorder="1" applyAlignment="1">
      <alignment horizontal="right" vertical="center"/>
    </xf>
    <xf numFmtId="170" fontId="32" fillId="3" borderId="2" xfId="0" applyNumberFormat="1" applyFont="1" applyFill="1" applyBorder="1" applyAlignment="1">
      <alignment horizontal="right" vertical="center" wrapText="1"/>
    </xf>
    <xf numFmtId="0" fontId="31" fillId="14" borderId="4" xfId="0" applyFont="1" applyFill="1" applyBorder="1" applyAlignment="1">
      <alignment horizontal="justify" vertical="justify" wrapText="1"/>
    </xf>
    <xf numFmtId="0" fontId="31" fillId="0" borderId="3" xfId="0" applyFont="1" applyFill="1" applyBorder="1" applyAlignment="1">
      <alignment horizontal="justify" vertical="top" wrapText="1"/>
    </xf>
    <xf numFmtId="0" fontId="25" fillId="3" borderId="2" xfId="0" applyFont="1" applyFill="1" applyBorder="1" applyAlignment="1">
      <alignment horizontal="justify" vertical="justify" wrapText="1"/>
    </xf>
    <xf numFmtId="4" fontId="32" fillId="3" borderId="2" xfId="0" applyNumberFormat="1" applyFont="1" applyFill="1" applyBorder="1" applyAlignment="1">
      <alignment horizontal="right" vertical="justify" wrapText="1"/>
    </xf>
    <xf numFmtId="0" fontId="31" fillId="0" borderId="2" xfId="0" applyFont="1" applyFill="1" applyBorder="1" applyAlignment="1">
      <alignment horizontal="right" vertical="center"/>
    </xf>
    <xf numFmtId="4" fontId="31" fillId="4" borderId="3" xfId="0" applyNumberFormat="1" applyFont="1" applyFill="1" applyBorder="1" applyAlignment="1">
      <alignment horizontal="right" vertical="center" wrapText="1"/>
    </xf>
    <xf numFmtId="4" fontId="31" fillId="0" borderId="2" xfId="0" applyNumberFormat="1" applyFont="1" applyFill="1" applyBorder="1" applyAlignment="1">
      <alignment horizontal="right"/>
    </xf>
    <xf numFmtId="4" fontId="31" fillId="0" borderId="4" xfId="0" applyNumberFormat="1" applyFont="1" applyFill="1" applyBorder="1" applyAlignment="1">
      <alignment horizontal="right"/>
    </xf>
    <xf numFmtId="0" fontId="31" fillId="0" borderId="2" xfId="0" applyFont="1" applyBorder="1" applyAlignment="1">
      <alignment horizontal="right" vertical="center"/>
    </xf>
    <xf numFmtId="0" fontId="31" fillId="14" borderId="4" xfId="0" applyFont="1" applyFill="1" applyBorder="1" applyAlignment="1">
      <alignment horizontal="right" vertical="center"/>
    </xf>
    <xf numFmtId="0" fontId="31" fillId="14" borderId="4" xfId="0" applyFont="1" applyFill="1" applyBorder="1" applyAlignment="1">
      <alignment horizontal="left" wrapText="1"/>
    </xf>
    <xf numFmtId="0" fontId="31" fillId="4" borderId="2" xfId="0" applyFont="1" applyFill="1" applyBorder="1" applyAlignment="1">
      <alignment horizontal="justify" vertical="top" wrapText="1"/>
    </xf>
    <xf numFmtId="170" fontId="31" fillId="4" borderId="2" xfId="0" applyNumberFormat="1" applyFont="1" applyFill="1" applyBorder="1" applyAlignment="1">
      <alignment horizontal="right" vertical="top" wrapText="1"/>
    </xf>
    <xf numFmtId="0" fontId="28" fillId="0" borderId="2" xfId="0" applyFont="1" applyBorder="1"/>
    <xf numFmtId="0" fontId="31" fillId="0" borderId="2" xfId="0" applyFont="1" applyFill="1" applyBorder="1" applyAlignment="1">
      <alignment horizontal="justify" vertical="top" wrapText="1"/>
    </xf>
    <xf numFmtId="4" fontId="32" fillId="0" borderId="2" xfId="0" applyNumberFormat="1" applyFont="1" applyBorder="1"/>
    <xf numFmtId="4" fontId="0" fillId="0" borderId="0" xfId="0" applyNumberFormat="1" applyFill="1"/>
    <xf numFmtId="0" fontId="36" fillId="13" borderId="0" xfId="0" applyFont="1" applyFill="1"/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21" fillId="0" borderId="0" xfId="0" applyFont="1" applyBorder="1"/>
    <xf numFmtId="0" fontId="15" fillId="0" borderId="0" xfId="0" applyFont="1" applyBorder="1"/>
    <xf numFmtId="4" fontId="7" fillId="0" borderId="0" xfId="0" applyNumberFormat="1" applyFont="1" applyBorder="1"/>
    <xf numFmtId="4" fontId="7" fillId="8" borderId="0" xfId="0" applyNumberFormat="1" applyFont="1" applyFill="1" applyBorder="1"/>
    <xf numFmtId="4" fontId="7" fillId="10" borderId="0" xfId="0" applyNumberFormat="1" applyFont="1" applyFill="1" applyBorder="1"/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4" fontId="17" fillId="6" borderId="2" xfId="0" applyNumberFormat="1" applyFont="1" applyFill="1" applyBorder="1" applyAlignment="1">
      <alignment horizontal="right" vertical="center"/>
    </xf>
    <xf numFmtId="4" fontId="17" fillId="6" borderId="2" xfId="0" applyNumberFormat="1" applyFont="1" applyFill="1" applyBorder="1" applyAlignment="1">
      <alignment vertical="center"/>
    </xf>
    <xf numFmtId="0" fontId="38" fillId="4" borderId="2" xfId="0" applyFont="1" applyFill="1" applyBorder="1" applyAlignment="1">
      <alignment horizontal="justify" vertical="top" wrapText="1"/>
    </xf>
    <xf numFmtId="4" fontId="37" fillId="4" borderId="2" xfId="0" applyNumberFormat="1" applyFont="1" applyFill="1" applyBorder="1" applyAlignment="1">
      <alignment horizontal="right" vertical="center" wrapText="1"/>
    </xf>
    <xf numFmtId="0" fontId="38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justify" vertical="top" wrapText="1"/>
    </xf>
    <xf numFmtId="43" fontId="13" fillId="0" borderId="2" xfId="1" applyFont="1" applyFill="1" applyBorder="1"/>
    <xf numFmtId="4" fontId="13" fillId="0" borderId="2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38" fillId="0" borderId="2" xfId="0" applyFont="1" applyFill="1" applyBorder="1" applyAlignment="1">
      <alignment vertical="center" wrapText="1"/>
    </xf>
    <xf numFmtId="0" fontId="38" fillId="4" borderId="2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top" wrapText="1"/>
    </xf>
    <xf numFmtId="43" fontId="16" fillId="4" borderId="2" xfId="1" applyFont="1" applyFill="1" applyBorder="1" applyAlignment="1">
      <alignment horizontal="justify" vertical="top" wrapText="1"/>
    </xf>
    <xf numFmtId="43" fontId="37" fillId="4" borderId="2" xfId="1" applyFont="1" applyFill="1" applyBorder="1" applyAlignment="1">
      <alignment horizontal="right" vertical="center" wrapText="1"/>
    </xf>
    <xf numFmtId="43" fontId="16" fillId="0" borderId="2" xfId="1" applyFont="1" applyFill="1" applyBorder="1"/>
    <xf numFmtId="43" fontId="13" fillId="0" borderId="2" xfId="1" applyFont="1" applyBorder="1"/>
    <xf numFmtId="43" fontId="16" fillId="0" borderId="2" xfId="1" applyFont="1" applyBorder="1"/>
    <xf numFmtId="43" fontId="16" fillId="0" borderId="2" xfId="1" applyFont="1" applyFill="1" applyBorder="1" applyAlignment="1">
      <alignment horizontal="justify" vertical="top" wrapText="1"/>
    </xf>
    <xf numFmtId="0" fontId="19" fillId="0" borderId="2" xfId="0" applyFont="1" applyBorder="1"/>
    <xf numFmtId="0" fontId="16" fillId="8" borderId="2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justify" vertical="center" wrapText="1"/>
    </xf>
    <xf numFmtId="4" fontId="13" fillId="0" borderId="2" xfId="0" applyNumberFormat="1" applyFont="1" applyBorder="1" applyAlignment="1">
      <alignment vertical="center"/>
    </xf>
    <xf numFmtId="0" fontId="19" fillId="0" borderId="2" xfId="0" applyFont="1" applyFill="1" applyBorder="1"/>
    <xf numFmtId="0" fontId="39" fillId="0" borderId="2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justify" vertical="center" wrapText="1"/>
    </xf>
    <xf numFmtId="43" fontId="22" fillId="0" borderId="2" xfId="1" applyFont="1" applyFill="1" applyBorder="1"/>
    <xf numFmtId="43" fontId="22" fillId="0" borderId="2" xfId="1" applyFont="1" applyFill="1" applyBorder="1" applyAlignment="1">
      <alignment horizontal="justify" vertical="top" wrapText="1"/>
    </xf>
    <xf numFmtId="4" fontId="22" fillId="0" borderId="2" xfId="0" applyNumberFormat="1" applyFont="1" applyFill="1" applyBorder="1" applyAlignment="1">
      <alignment vertical="center"/>
    </xf>
    <xf numFmtId="43" fontId="7" fillId="6" borderId="2" xfId="0" applyNumberFormat="1" applyFont="1" applyFill="1" applyBorder="1" applyAlignment="1">
      <alignment vertical="center" wrapText="1"/>
    </xf>
    <xf numFmtId="0" fontId="38" fillId="4" borderId="2" xfId="0" applyFont="1" applyFill="1" applyBorder="1" applyAlignment="1">
      <alignment horizontal="justify" vertical="center"/>
    </xf>
    <xf numFmtId="0" fontId="38" fillId="0" borderId="2" xfId="0" applyFont="1" applyFill="1" applyBorder="1" applyAlignment="1">
      <alignment horizontal="justify" vertical="center" wrapText="1"/>
    </xf>
    <xf numFmtId="0" fontId="38" fillId="0" borderId="2" xfId="0" applyFont="1" applyFill="1" applyBorder="1" applyAlignment="1">
      <alignment horizontal="justify" vertical="center"/>
    </xf>
    <xf numFmtId="0" fontId="5" fillId="0" borderId="2" xfId="0" applyFont="1" applyBorder="1"/>
    <xf numFmtId="43" fontId="19" fillId="0" borderId="2" xfId="1" applyFont="1" applyBorder="1"/>
    <xf numFmtId="43" fontId="0" fillId="0" borderId="2" xfId="1" applyFont="1" applyFill="1" applyBorder="1"/>
    <xf numFmtId="43" fontId="19" fillId="0" borderId="2" xfId="1" applyFont="1" applyFill="1" applyBorder="1"/>
    <xf numFmtId="43" fontId="7" fillId="6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vertical="center"/>
    </xf>
    <xf numFmtId="0" fontId="39" fillId="4" borderId="2" xfId="0" applyFont="1" applyFill="1" applyBorder="1" applyAlignment="1">
      <alignment horizontal="justify" vertical="center" wrapText="1"/>
    </xf>
    <xf numFmtId="0" fontId="39" fillId="4" borderId="2" xfId="0" applyFont="1" applyFill="1" applyBorder="1" applyAlignment="1">
      <alignment horizontal="justify" vertical="center"/>
    </xf>
    <xf numFmtId="0" fontId="22" fillId="0" borderId="2" xfId="0" applyFont="1" applyBorder="1"/>
    <xf numFmtId="0" fontId="5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16" fillId="0" borderId="2" xfId="0" applyFont="1" applyBorder="1"/>
    <xf numFmtId="0" fontId="6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justify" wrapText="1"/>
    </xf>
    <xf numFmtId="0" fontId="31" fillId="0" borderId="0" xfId="0" applyFont="1"/>
    <xf numFmtId="0" fontId="28" fillId="0" borderId="0" xfId="0" applyFont="1" applyAlignment="1">
      <alignment horizontal="right"/>
    </xf>
    <xf numFmtId="4" fontId="28" fillId="0" borderId="0" xfId="0" applyNumberFormat="1" applyFont="1" applyAlignment="1">
      <alignment horizontal="right"/>
    </xf>
    <xf numFmtId="4" fontId="32" fillId="8" borderId="0" xfId="0" applyNumberFormat="1" applyFont="1" applyFill="1" applyAlignment="1">
      <alignment horizontal="right" vertical="center"/>
    </xf>
    <xf numFmtId="4" fontId="32" fillId="10" borderId="0" xfId="0" applyNumberFormat="1" applyFont="1" applyFill="1" applyAlignment="1">
      <alignment horizontal="right" vertical="center" wrapText="1"/>
    </xf>
    <xf numFmtId="0" fontId="14" fillId="0" borderId="0" xfId="0" applyFont="1" applyFill="1"/>
    <xf numFmtId="4" fontId="32" fillId="12" borderId="0" xfId="0" applyNumberFormat="1" applyFont="1" applyFill="1" applyAlignment="1">
      <alignment horizontal="right"/>
    </xf>
    <xf numFmtId="4" fontId="32" fillId="8" borderId="0" xfId="0" applyNumberFormat="1" applyFont="1" applyFill="1" applyAlignment="1">
      <alignment horizontal="right"/>
    </xf>
    <xf numFmtId="4" fontId="32" fillId="10" borderId="0" xfId="0" applyNumberFormat="1" applyFont="1" applyFill="1" applyAlignment="1">
      <alignment horizontal="right"/>
    </xf>
    <xf numFmtId="0" fontId="25" fillId="3" borderId="2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horizontal="center" vertical="justify" wrapText="1"/>
    </xf>
    <xf numFmtId="170" fontId="28" fillId="0" borderId="2" xfId="0" applyNumberFormat="1" applyFont="1" applyBorder="1" applyAlignment="1">
      <alignment horizontal="right"/>
    </xf>
    <xf numFmtId="0" fontId="28" fillId="0" borderId="2" xfId="0" applyFont="1" applyFill="1" applyBorder="1" applyAlignment="1">
      <alignment horizontal="center" vertical="center" wrapText="1"/>
    </xf>
    <xf numFmtId="0" fontId="31" fillId="14" borderId="4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top" wrapText="1"/>
    </xf>
    <xf numFmtId="0" fontId="0" fillId="0" borderId="0" xfId="0" applyFill="1" applyBorder="1"/>
    <xf numFmtId="0" fontId="31" fillId="0" borderId="2" xfId="0" applyFont="1" applyFill="1" applyBorder="1" applyAlignment="1">
      <alignment vertical="center" wrapText="1"/>
    </xf>
    <xf numFmtId="4" fontId="28" fillId="0" borderId="2" xfId="0" applyNumberFormat="1" applyFont="1" applyFill="1" applyBorder="1" applyAlignment="1">
      <alignment horizontal="center" vertical="justify" wrapText="1"/>
    </xf>
    <xf numFmtId="0" fontId="28" fillId="0" borderId="2" xfId="0" applyFont="1" applyFill="1" applyBorder="1" applyAlignment="1">
      <alignment horizontal="center" vertical="justify" wrapText="1"/>
    </xf>
    <xf numFmtId="4" fontId="28" fillId="0" borderId="2" xfId="0" applyNumberFormat="1" applyFont="1" applyFill="1" applyBorder="1" applyAlignment="1">
      <alignment horizontal="right" vertical="center" wrapText="1"/>
    </xf>
    <xf numFmtId="170" fontId="0" fillId="0" borderId="0" xfId="0" applyNumberFormat="1" applyFill="1" applyBorder="1"/>
    <xf numFmtId="170" fontId="28" fillId="0" borderId="0" xfId="0" applyNumberFormat="1" applyFont="1" applyFill="1" applyBorder="1" applyAlignment="1">
      <alignment horizontal="right"/>
    </xf>
    <xf numFmtId="170" fontId="31" fillId="4" borderId="3" xfId="0" applyNumberFormat="1" applyFont="1" applyFill="1" applyBorder="1" applyAlignment="1">
      <alignment horizontal="right" vertical="center" wrapText="1"/>
    </xf>
    <xf numFmtId="170" fontId="0" fillId="0" borderId="0" xfId="0" applyNumberFormat="1" applyBorder="1"/>
    <xf numFmtId="0" fontId="31" fillId="0" borderId="2" xfId="0" applyFont="1" applyFill="1" applyBorder="1" applyAlignment="1">
      <alignment horizontal="center" vertical="justify" wrapText="1"/>
    </xf>
    <xf numFmtId="170" fontId="0" fillId="0" borderId="0" xfId="0" applyNumberFormat="1" applyFill="1"/>
    <xf numFmtId="0" fontId="25" fillId="3" borderId="4" xfId="0" applyFont="1" applyFill="1" applyBorder="1" applyAlignment="1">
      <alignment vertical="center" wrapText="1"/>
    </xf>
    <xf numFmtId="4" fontId="31" fillId="0" borderId="0" xfId="0" applyNumberFormat="1" applyFont="1" applyFill="1" applyBorder="1" applyAlignment="1">
      <alignment horizontal="right"/>
    </xf>
    <xf numFmtId="170" fontId="31" fillId="0" borderId="3" xfId="0" applyNumberFormat="1" applyFont="1" applyFill="1" applyBorder="1" applyAlignment="1">
      <alignment horizontal="right" vertical="top" wrapText="1"/>
    </xf>
    <xf numFmtId="170" fontId="31" fillId="0" borderId="2" xfId="0" applyNumberFormat="1" applyFont="1" applyFill="1" applyBorder="1" applyAlignment="1">
      <alignment horizontal="right" vertical="top" wrapText="1"/>
    </xf>
    <xf numFmtId="4" fontId="28" fillId="0" borderId="0" xfId="0" applyNumberFormat="1" applyFont="1" applyFill="1" applyBorder="1" applyAlignment="1">
      <alignment horizontal="right"/>
    </xf>
    <xf numFmtId="4" fontId="28" fillId="0" borderId="2" xfId="0" applyNumberFormat="1" applyFont="1" applyBorder="1" applyAlignment="1">
      <alignment horizontal="right"/>
    </xf>
    <xf numFmtId="0" fontId="31" fillId="4" borderId="2" xfId="0" applyFont="1" applyFill="1" applyBorder="1" applyAlignment="1">
      <alignment horizontal="center" vertical="top" wrapText="1"/>
    </xf>
    <xf numFmtId="4" fontId="31" fillId="4" borderId="2" xfId="0" applyNumberFormat="1" applyFont="1" applyFill="1" applyBorder="1" applyAlignment="1">
      <alignment horizontal="right" vertical="center" wrapText="1"/>
    </xf>
    <xf numFmtId="0" fontId="41" fillId="0" borderId="0" xfId="0" applyFont="1"/>
    <xf numFmtId="170" fontId="31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Alignment="1">
      <alignment horizontal="center" vertical="center"/>
    </xf>
    <xf numFmtId="0" fontId="31" fillId="14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right"/>
    </xf>
    <xf numFmtId="0" fontId="31" fillId="4" borderId="6" xfId="0" applyFont="1" applyFill="1" applyBorder="1" applyAlignment="1">
      <alignment horizontal="left" vertical="top" wrapText="1"/>
    </xf>
    <xf numFmtId="4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right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left" wrapText="1"/>
    </xf>
    <xf numFmtId="0" fontId="31" fillId="14" borderId="2" xfId="0" applyFont="1" applyFill="1" applyBorder="1" applyAlignment="1">
      <alignment horizontal="center" wrapText="1"/>
    </xf>
    <xf numFmtId="4" fontId="31" fillId="14" borderId="2" xfId="0" applyNumberFormat="1" applyFont="1" applyFill="1" applyBorder="1" applyAlignment="1">
      <alignment horizontal="right" wrapText="1"/>
    </xf>
    <xf numFmtId="4" fontId="31" fillId="4" borderId="2" xfId="0" applyNumberFormat="1" applyFont="1" applyFill="1" applyBorder="1" applyAlignment="1">
      <alignment horizontal="right" wrapText="1"/>
    </xf>
    <xf numFmtId="4" fontId="28" fillId="0" borderId="0" xfId="0" applyNumberFormat="1" applyFont="1" applyBorder="1" applyAlignment="1">
      <alignment horizontal="right"/>
    </xf>
    <xf numFmtId="0" fontId="31" fillId="14" borderId="4" xfId="0" applyFont="1" applyFill="1" applyBorder="1" applyAlignment="1">
      <alignment horizontal="center" wrapText="1"/>
    </xf>
    <xf numFmtId="4" fontId="31" fillId="14" borderId="4" xfId="0" applyNumberFormat="1" applyFont="1" applyFill="1" applyBorder="1" applyAlignment="1">
      <alignment horizontal="right" vertical="center" wrapText="1"/>
    </xf>
    <xf numFmtId="0" fontId="31" fillId="4" borderId="3" xfId="0" applyFont="1" applyFill="1" applyBorder="1" applyAlignment="1">
      <alignment horizontal="left" vertical="center" wrapText="1"/>
    </xf>
    <xf numFmtId="4" fontId="31" fillId="0" borderId="0" xfId="0" applyNumberFormat="1" applyFont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1" fillId="0" borderId="4" xfId="0" applyFont="1" applyBorder="1"/>
    <xf numFmtId="4" fontId="31" fillId="14" borderId="4" xfId="0" applyNumberFormat="1" applyFont="1" applyFill="1" applyBorder="1" applyAlignment="1">
      <alignment horizontal="right" wrapText="1"/>
    </xf>
    <xf numFmtId="170" fontId="0" fillId="0" borderId="0" xfId="0" applyNumberFormat="1"/>
    <xf numFmtId="0" fontId="31" fillId="0" borderId="18" xfId="0" applyFont="1" applyFill="1" applyBorder="1" applyAlignment="1">
      <alignment horizontal="left" vertical="top" wrapText="1"/>
    </xf>
    <xf numFmtId="4" fontId="31" fillId="0" borderId="18" xfId="0" applyNumberFormat="1" applyFont="1" applyFill="1" applyBorder="1" applyAlignment="1">
      <alignment horizontal="center" vertical="top" wrapText="1"/>
    </xf>
    <xf numFmtId="0" fontId="31" fillId="0" borderId="18" xfId="0" applyFont="1" applyFill="1" applyBorder="1" applyAlignment="1">
      <alignment horizontal="center" vertical="top" wrapText="1"/>
    </xf>
    <xf numFmtId="4" fontId="31" fillId="0" borderId="18" xfId="0" applyNumberFormat="1" applyFont="1" applyFill="1" applyBorder="1" applyAlignment="1">
      <alignment horizontal="right" vertical="top" wrapText="1"/>
    </xf>
    <xf numFmtId="170" fontId="31" fillId="0" borderId="18" xfId="0" applyNumberFormat="1" applyFont="1" applyFill="1" applyBorder="1" applyAlignment="1">
      <alignment horizontal="right" vertical="top" wrapText="1"/>
    </xf>
    <xf numFmtId="170" fontId="31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/>
    <xf numFmtId="4" fontId="31" fillId="0" borderId="0" xfId="0" applyNumberFormat="1" applyFont="1" applyFill="1" applyBorder="1" applyAlignment="1">
      <alignment horizontal="right" vertical="top" wrapText="1"/>
    </xf>
    <xf numFmtId="170" fontId="31" fillId="0" borderId="2" xfId="0" applyNumberFormat="1" applyFont="1" applyBorder="1" applyAlignment="1">
      <alignment horizontal="right"/>
    </xf>
    <xf numFmtId="170" fontId="31" fillId="0" borderId="0" xfId="0" applyNumberFormat="1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170" fontId="42" fillId="0" borderId="0" xfId="0" applyNumberFormat="1" applyFont="1" applyBorder="1" applyAlignment="1">
      <alignment horizontal="right"/>
    </xf>
    <xf numFmtId="169" fontId="43" fillId="0" borderId="0" xfId="1" applyNumberFormat="1" applyFont="1" applyFill="1" applyBorder="1" applyAlignment="1">
      <alignment horizontal="center" vertical="center" wrapText="1"/>
    </xf>
    <xf numFmtId="4" fontId="44" fillId="0" borderId="0" xfId="0" applyNumberFormat="1" applyFont="1" applyBorder="1" applyAlignment="1">
      <alignment horizontal="right"/>
    </xf>
    <xf numFmtId="169" fontId="45" fillId="0" borderId="0" xfId="1" applyNumberFormat="1" applyFont="1" applyFill="1" applyBorder="1" applyAlignment="1">
      <alignment horizontal="center" vertical="center" wrapText="1"/>
    </xf>
    <xf numFmtId="170" fontId="46" fillId="10" borderId="2" xfId="0" applyNumberFormat="1" applyFont="1" applyFill="1" applyBorder="1" applyAlignment="1">
      <alignment horizontal="right"/>
    </xf>
    <xf numFmtId="170" fontId="5" fillId="0" borderId="0" xfId="0" applyNumberFormat="1" applyFont="1" applyFill="1" applyBorder="1"/>
    <xf numFmtId="0" fontId="28" fillId="0" borderId="0" xfId="0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0" fontId="13" fillId="11" borderId="2" xfId="0" applyFont="1" applyFill="1" applyBorder="1"/>
    <xf numFmtId="0" fontId="22" fillId="11" borderId="2" xfId="0" applyFont="1" applyFill="1" applyBorder="1"/>
    <xf numFmtId="0" fontId="48" fillId="2" borderId="0" xfId="0" applyFont="1" applyFill="1" applyAlignment="1">
      <alignment horizontal="center" vertical="center" wrapText="1" shrinkToFit="1"/>
    </xf>
    <xf numFmtId="0" fontId="48" fillId="2" borderId="0" xfId="0" applyNumberFormat="1" applyFont="1" applyFill="1" applyAlignment="1">
      <alignment horizontal="center" vertical="center" wrapText="1" shrinkToFit="1"/>
    </xf>
    <xf numFmtId="0" fontId="48" fillId="2" borderId="0" xfId="0" applyFont="1" applyFill="1" applyAlignment="1">
      <alignment vertical="center" shrinkToFit="1"/>
    </xf>
    <xf numFmtId="9" fontId="48" fillId="2" borderId="2" xfId="2" applyFont="1" applyFill="1" applyBorder="1" applyAlignment="1">
      <alignment horizontal="center" vertical="center" wrapText="1" shrinkToFit="1"/>
    </xf>
    <xf numFmtId="0" fontId="48" fillId="2" borderId="2" xfId="0" applyFont="1" applyFill="1" applyBorder="1" applyAlignment="1">
      <alignment horizontal="center" vertical="center" wrapText="1" shrinkToFit="1"/>
    </xf>
    <xf numFmtId="44" fontId="48" fillId="2" borderId="2" xfId="3" applyFont="1" applyFill="1" applyBorder="1" applyAlignment="1">
      <alignment horizontal="right" vertical="center" wrapText="1" shrinkToFit="1"/>
    </xf>
    <xf numFmtId="0" fontId="48" fillId="0" borderId="0" xfId="0" applyFont="1" applyFill="1" applyAlignment="1">
      <alignment vertical="center" shrinkToFit="1"/>
    </xf>
    <xf numFmtId="164" fontId="48" fillId="2" borderId="0" xfId="0" applyNumberFormat="1" applyFont="1" applyFill="1" applyAlignment="1">
      <alignment horizontal="center" vertical="center" wrapText="1" shrinkToFit="1"/>
    </xf>
    <xf numFmtId="0" fontId="48" fillId="2" borderId="2" xfId="0" applyFont="1" applyFill="1" applyBorder="1" applyAlignment="1">
      <alignment vertical="center" wrapText="1" shrinkToFit="1"/>
    </xf>
    <xf numFmtId="0" fontId="55" fillId="0" borderId="0" xfId="0" applyFont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 shrinkToFit="1"/>
    </xf>
    <xf numFmtId="171" fontId="48" fillId="2" borderId="2" xfId="1" applyNumberFormat="1" applyFont="1" applyFill="1" applyBorder="1" applyAlignment="1">
      <alignment horizontal="right" vertical="center" wrapText="1" shrinkToFit="1"/>
    </xf>
    <xf numFmtId="0" fontId="12" fillId="0" borderId="0" xfId="0" applyFont="1" applyAlignment="1">
      <alignment horizontal="center" vertical="center"/>
    </xf>
    <xf numFmtId="4" fontId="58" fillId="15" borderId="2" xfId="0" applyNumberFormat="1" applyFont="1" applyFill="1" applyBorder="1" applyAlignment="1">
      <alignment horizontal="center" vertical="center" wrapText="1"/>
    </xf>
    <xf numFmtId="10" fontId="58" fillId="15" borderId="2" xfId="0" applyNumberFormat="1" applyFont="1" applyFill="1" applyBorder="1" applyAlignment="1">
      <alignment horizontal="center" vertical="center" wrapText="1"/>
    </xf>
    <xf numFmtId="172" fontId="58" fillId="15" borderId="2" xfId="0" applyNumberFormat="1" applyFont="1" applyFill="1" applyBorder="1" applyAlignment="1">
      <alignment horizontal="center" vertical="center" wrapText="1"/>
    </xf>
    <xf numFmtId="17" fontId="51" fillId="0" borderId="0" xfId="0" applyNumberFormat="1" applyFont="1" applyFill="1" applyBorder="1" applyAlignment="1">
      <alignment horizontal="center" vertical="center" wrapText="1"/>
    </xf>
    <xf numFmtId="0" fontId="58" fillId="15" borderId="2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 shrinkToFit="1"/>
    </xf>
    <xf numFmtId="0" fontId="47" fillId="2" borderId="0" xfId="0" applyFont="1" applyFill="1" applyAlignment="1">
      <alignment horizontal="center" vertical="center" wrapText="1" shrinkToFit="1"/>
    </xf>
    <xf numFmtId="17" fontId="51" fillId="0" borderId="0" xfId="0" applyNumberFormat="1" applyFont="1" applyFill="1" applyBorder="1" applyAlignment="1">
      <alignment vertical="center" wrapText="1"/>
    </xf>
    <xf numFmtId="164" fontId="48" fillId="2" borderId="0" xfId="0" applyNumberFormat="1" applyFont="1" applyFill="1" applyAlignment="1">
      <alignment vertical="center" wrapText="1" shrinkToFit="1"/>
    </xf>
    <xf numFmtId="44" fontId="51" fillId="0" borderId="0" xfId="3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 shrinkToFit="1"/>
    </xf>
    <xf numFmtId="0" fontId="48" fillId="2" borderId="0" xfId="0" applyFont="1" applyFill="1" applyAlignment="1">
      <alignment horizontal="center" vertical="center" shrinkToFit="1"/>
    </xf>
    <xf numFmtId="0" fontId="48" fillId="2" borderId="0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right" vertical="center"/>
    </xf>
    <xf numFmtId="0" fontId="48" fillId="2" borderId="0" xfId="0" applyFont="1" applyFill="1" applyAlignment="1">
      <alignment horizontal="right" vertical="center" wrapText="1" shrinkToFit="1"/>
    </xf>
    <xf numFmtId="0" fontId="56" fillId="0" borderId="0" xfId="0" applyFont="1" applyAlignment="1">
      <alignment horizontal="left" vertical="center"/>
    </xf>
    <xf numFmtId="43" fontId="48" fillId="2" borderId="2" xfId="0" applyNumberFormat="1" applyFont="1" applyFill="1" applyBorder="1" applyAlignment="1">
      <alignment horizontal="center" vertical="center" wrapText="1" shrinkToFit="1"/>
    </xf>
    <xf numFmtId="0" fontId="48" fillId="2" borderId="2" xfId="4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 wrapText="1" shrinkToFit="1"/>
    </xf>
    <xf numFmtId="0" fontId="48" fillId="0" borderId="2" xfId="0" applyFont="1" applyFill="1" applyBorder="1" applyAlignment="1">
      <alignment horizontal="center" vertical="center" wrapText="1" shrinkToFit="1"/>
    </xf>
    <xf numFmtId="0" fontId="48" fillId="0" borderId="2" xfId="0" applyFont="1" applyFill="1" applyBorder="1" applyAlignment="1">
      <alignment vertical="center" wrapText="1" shrinkToFit="1"/>
    </xf>
    <xf numFmtId="43" fontId="48" fillId="0" borderId="2" xfId="0" applyNumberFormat="1" applyFont="1" applyFill="1" applyBorder="1" applyAlignment="1">
      <alignment horizontal="center" vertical="center" wrapText="1" shrinkToFit="1"/>
    </xf>
    <xf numFmtId="0" fontId="48" fillId="0" borderId="2" xfId="4" applyFont="1" applyFill="1" applyBorder="1" applyAlignment="1">
      <alignment horizontal="center" vertical="center" wrapText="1"/>
    </xf>
    <xf numFmtId="43" fontId="48" fillId="2" borderId="5" xfId="1" applyFont="1" applyFill="1" applyBorder="1" applyAlignment="1">
      <alignment horizontal="center" vertical="center" wrapText="1" shrinkToFit="1"/>
    </xf>
    <xf numFmtId="44" fontId="48" fillId="2" borderId="0" xfId="0" applyNumberFormat="1" applyFont="1" applyFill="1" applyBorder="1" applyAlignment="1">
      <alignment vertical="center" shrinkToFit="1"/>
    </xf>
    <xf numFmtId="43" fontId="48" fillId="2" borderId="2" xfId="0" applyNumberFormat="1" applyFont="1" applyFill="1" applyBorder="1" applyAlignment="1">
      <alignment horizontal="right" vertical="center" wrapText="1" shrinkToFit="1"/>
    </xf>
    <xf numFmtId="0" fontId="48" fillId="2" borderId="2" xfId="0" applyFont="1" applyFill="1" applyBorder="1" applyAlignment="1">
      <alignment horizontal="center" vertical="center" shrinkToFit="1"/>
    </xf>
    <xf numFmtId="171" fontId="59" fillId="2" borderId="2" xfId="1" applyNumberFormat="1" applyFont="1" applyFill="1" applyBorder="1" applyAlignment="1">
      <alignment horizontal="right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17" fontId="48" fillId="2" borderId="2" xfId="0" applyNumberFormat="1" applyFont="1" applyFill="1" applyBorder="1" applyAlignment="1">
      <alignment horizontal="center" vertical="center" wrapText="1" shrinkToFit="1"/>
    </xf>
    <xf numFmtId="17" fontId="48" fillId="0" borderId="2" xfId="0" applyNumberFormat="1" applyFont="1" applyFill="1" applyBorder="1" applyAlignment="1">
      <alignment horizontal="center" vertical="center" wrapText="1" shrinkToFit="1"/>
    </xf>
    <xf numFmtId="0" fontId="55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vertical="center" shrinkToFit="1"/>
    </xf>
    <xf numFmtId="17" fontId="5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58" fillId="15" borderId="3" xfId="0" applyFont="1" applyFill="1" applyBorder="1" applyAlignment="1">
      <alignment horizontal="center" vertical="center" wrapText="1"/>
    </xf>
    <xf numFmtId="0" fontId="58" fillId="15" borderId="4" xfId="0" applyFont="1" applyFill="1" applyBorder="1" applyAlignment="1">
      <alignment horizontal="center" vertical="center" wrapText="1"/>
    </xf>
    <xf numFmtId="0" fontId="58" fillId="15" borderId="3" xfId="0" applyFont="1" applyFill="1" applyBorder="1" applyAlignment="1">
      <alignment horizontal="center" vertical="center"/>
    </xf>
    <xf numFmtId="0" fontId="58" fillId="15" borderId="6" xfId="0" applyFont="1" applyFill="1" applyBorder="1" applyAlignment="1">
      <alignment horizontal="center" vertical="center"/>
    </xf>
    <xf numFmtId="0" fontId="58" fillId="15" borderId="4" xfId="0" applyFont="1" applyFill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28" fillId="0" borderId="18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 wrapText="1"/>
    </xf>
    <xf numFmtId="4" fontId="31" fillId="0" borderId="21" xfId="0" applyNumberFormat="1" applyFont="1" applyFill="1" applyBorder="1" applyAlignment="1">
      <alignment horizontal="center" wrapText="1"/>
    </xf>
    <xf numFmtId="4" fontId="31" fillId="0" borderId="5" xfId="0" applyNumberFormat="1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justify" wrapText="1"/>
    </xf>
    <xf numFmtId="0" fontId="31" fillId="0" borderId="21" xfId="0" applyFont="1" applyFill="1" applyBorder="1" applyAlignment="1">
      <alignment horizontal="center" vertical="justify" wrapText="1"/>
    </xf>
    <xf numFmtId="0" fontId="31" fillId="0" borderId="5" xfId="0" applyFont="1" applyFill="1" applyBorder="1" applyAlignment="1">
      <alignment horizontal="center" vertical="justify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1" xfId="0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center" vertical="top" wrapText="1"/>
    </xf>
    <xf numFmtId="0" fontId="35" fillId="13" borderId="0" xfId="0" applyFont="1" applyFill="1" applyAlignment="1">
      <alignment horizontal="left"/>
    </xf>
    <xf numFmtId="0" fontId="28" fillId="0" borderId="18" xfId="0" applyFont="1" applyFill="1" applyBorder="1" applyAlignment="1">
      <alignment horizontal="right" vertical="center" wrapText="1"/>
    </xf>
    <xf numFmtId="0" fontId="28" fillId="0" borderId="20" xfId="0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right" vertical="center" wrapText="1"/>
    </xf>
    <xf numFmtId="0" fontId="28" fillId="0" borderId="7" xfId="0" applyFont="1" applyFill="1" applyBorder="1" applyAlignment="1">
      <alignment horizontal="right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9" fillId="0" borderId="1" xfId="0" applyFont="1" applyFill="1" applyBorder="1" applyAlignment="1">
      <alignment horizontal="justify" vertical="top" wrapText="1"/>
    </xf>
    <xf numFmtId="0" fontId="19" fillId="0" borderId="21" xfId="0" applyFont="1" applyFill="1" applyBorder="1" applyAlignment="1">
      <alignment horizontal="justify" vertical="top" wrapText="1"/>
    </xf>
    <xf numFmtId="0" fontId="19" fillId="0" borderId="5" xfId="0" applyFont="1" applyFill="1" applyBorder="1" applyAlignment="1">
      <alignment horizontal="justify" vertical="top" wrapText="1"/>
    </xf>
    <xf numFmtId="166" fontId="8" fillId="9" borderId="3" xfId="0" applyNumberFormat="1" applyFont="1" applyFill="1" applyBorder="1" applyAlignment="1">
      <alignment horizontal="left" wrapText="1"/>
    </xf>
    <xf numFmtId="166" fontId="8" fillId="9" borderId="6" xfId="0" applyNumberFormat="1" applyFont="1" applyFill="1" applyBorder="1" applyAlignment="1">
      <alignment horizontal="left" wrapText="1"/>
    </xf>
    <xf numFmtId="166" fontId="8" fillId="9" borderId="4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166" fontId="8" fillId="9" borderId="10" xfId="0" applyNumberFormat="1" applyFont="1" applyFill="1" applyBorder="1" applyAlignment="1">
      <alignment horizontal="left"/>
    </xf>
    <xf numFmtId="166" fontId="8" fillId="9" borderId="11" xfId="0" applyNumberFormat="1" applyFont="1" applyFill="1" applyBorder="1" applyAlignment="1">
      <alignment horizontal="left"/>
    </xf>
    <xf numFmtId="166" fontId="8" fillId="9" borderId="7" xfId="0" applyNumberFormat="1" applyFont="1" applyFill="1" applyBorder="1" applyAlignment="1">
      <alignment horizontal="left"/>
    </xf>
    <xf numFmtId="166" fontId="8" fillId="9" borderId="3" xfId="0" applyNumberFormat="1" applyFont="1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8">
    <cellStyle name="Moeda" xfId="3" builtinId="4"/>
    <cellStyle name="Normal" xfId="0" builtinId="0"/>
    <cellStyle name="Normal 2" xfId="4" xr:uid="{00000000-0005-0000-0000-000002000000}"/>
    <cellStyle name="Normal 2 2" xfId="6" xr:uid="{00000000-0005-0000-0000-000003000000}"/>
    <cellStyle name="Normal 3" xfId="5" xr:uid="{00000000-0005-0000-0000-000004000000}"/>
    <cellStyle name="Porcentagem" xfId="2" builtinId="5"/>
    <cellStyle name="Vírgula" xfId="1" builtinId="3"/>
    <cellStyle name="Vírgula 2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aml\AppData\Local\Temp\C.Lotus.Notes.Data\COMPONENTE%202%20-%2018%20MESES\SP\Pl_Geral_UEGSP_Comp2_23jun16%20rev%2011jul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gocia&#231;&#227;o\Consultoria%202006_2014\_2014\BID%20-%20MCTI%20SP%20MG%20RJ\MLog-Aquis-PlanAtiv-dp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aml\AppData\Local\Temp\C.Lotus.Notes.Data\COMPONENTE%203%20-%2018%20MESES\Pl_Geral_UEGSP_Comp3_28jun16%20rev%2013jul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aml\AppData\Local\Temp\C.Lotus.Notes.Data\COMPONENTE%202%20-%2018%20MESES\Leonardo_RJ\Pl.%20Geral%20-%20ERJ_corrigido%20rev%2013jul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Indicadores"/>
      <sheetName val="Qd. Resultados X Indicadores"/>
      <sheetName val="Pl Aquisição 18m C2"/>
      <sheetName val="Pl. Atividades 18m"/>
      <sheetName val="Pl. MemCálc.Atividades18m C2"/>
    </sheetNames>
    <sheetDataSet>
      <sheetData sheetId="0"/>
      <sheetData sheetId="1"/>
      <sheetData sheetId="2"/>
      <sheetData sheetId="3">
        <row r="37">
          <cell r="A37" t="str">
            <v>Resultado 2.1.1.1.1</v>
          </cell>
          <cell r="C37" t="str">
            <v>Transferências para PSA</v>
          </cell>
        </row>
        <row r="38">
          <cell r="A38" t="str">
            <v>2.1.1.1.1.a</v>
          </cell>
          <cell r="B38" t="str">
            <v>Atividade i</v>
          </cell>
          <cell r="C38" t="str">
            <v>Repasse para PSA Uso Mútliplo</v>
          </cell>
        </row>
        <row r="39">
          <cell r="A39" t="str">
            <v>2.1.1.1.1.b</v>
          </cell>
          <cell r="B39" t="str">
            <v>Atividade ii</v>
          </cell>
          <cell r="C39" t="str">
            <v>Repasse para PSA Proteção</v>
          </cell>
        </row>
        <row r="40">
          <cell r="C40" t="str">
            <v xml:space="preserve">Fortalecimento da assistência técnica a produtores rurais </v>
          </cell>
        </row>
        <row r="41">
          <cell r="A41" t="str">
            <v>2.1.1.1.4.a</v>
          </cell>
          <cell r="B41" t="str">
            <v>Atividade i</v>
          </cell>
          <cell r="C41" t="str">
            <v>Disponibilizar assistência técnica para apoio aos produtores rurais</v>
          </cell>
        </row>
        <row r="42">
          <cell r="A42" t="str">
            <v>2.1.1.1.4.b</v>
          </cell>
          <cell r="B42" t="str">
            <v>Atividade ii</v>
          </cell>
          <cell r="C42" t="str">
            <v>Obter apoio técnico e administrativo para o componente 2 - SMA/SP</v>
          </cell>
        </row>
        <row r="43">
          <cell r="A43" t="str">
            <v>2.1.1.1.4.c</v>
          </cell>
          <cell r="B43" t="str">
            <v>Atividade iii</v>
          </cell>
          <cell r="C43" t="str">
            <v>Estruturar núcleos técnicos regionais de execução do componente 2 em São Paulo</v>
          </cell>
        </row>
        <row r="44">
          <cell r="A44" t="str">
            <v>2.1.1.1.4.d</v>
          </cell>
          <cell r="B44" t="str">
            <v>Atividade iv</v>
          </cell>
          <cell r="C44" t="str">
            <v>Realizar visitas técnicas para intercâmbio de experiência entre projetos</v>
          </cell>
        </row>
        <row r="45">
          <cell r="C45" t="str">
            <v>Promoção da sensibilização e mobilização de produtores rurais em serviços ambientais no Estado de São Paulo</v>
          </cell>
        </row>
        <row r="46">
          <cell r="A46" t="str">
            <v>2.1.1.1.5</v>
          </cell>
          <cell r="B46" t="str">
            <v>Atividade i</v>
          </cell>
          <cell r="C46" t="str">
            <v xml:space="preserve"> Viabilizar a divulgação do Projeto entre os proprietários rurais da Bacia do Rio Paraitinga (SP) e a capacitação destes para a preparação de documentação requerida para participação no processo de seleção de provedores de serviços ambientais na modalidade PSA</v>
          </cell>
        </row>
        <row r="47">
          <cell r="C47" t="str">
            <v>Estratégias para utilizar o PSA como instrumento de incentivos para contratação de financiamentos reembolsáveis para adequação ambiental e atividades produtivas sustentáveis</v>
          </cell>
        </row>
        <row r="48">
          <cell r="A48" t="str">
            <v>2.1.1.1.7</v>
          </cell>
          <cell r="B48" t="str">
            <v>Atividade i</v>
          </cell>
          <cell r="C48" t="str">
            <v>Desenvolver estratégias para utilizar o PSA como instrumento de incentivos para contratação de financiamentos reembolsáveis para adequação ambiental e atividades produtivas sustentáveis</v>
          </cell>
        </row>
        <row r="49">
          <cell r="C49" t="str">
            <v>Gestão do Projeto - UEG/SP</v>
          </cell>
        </row>
        <row r="50">
          <cell r="A50" t="str">
            <v>2.2.1.a.</v>
          </cell>
          <cell r="B50" t="str">
            <v>Atividade i</v>
          </cell>
          <cell r="C50" t="str">
            <v xml:space="preserve">Obter assistência técnica e administrativa para a Coordenação da UEG SP </v>
          </cell>
        </row>
        <row r="51">
          <cell r="B51" t="str">
            <v>Atividade ii</v>
          </cell>
          <cell r="C51" t="str">
            <v>Realizar reuniões para intercâmbio entre UEGs do projeto e participação em reuniões do CCI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ogico"/>
      <sheetName val="IL1-Plano-at18mes"/>
      <sheetName val="ResumoCusto"/>
      <sheetName val="IL2-PlanoAquisi"/>
      <sheetName val="MemCalcComp1"/>
      <sheetName val="MemCalcComp2"/>
      <sheetName val="MemCalcComp3"/>
      <sheetName val="Pl. Atividades 18m"/>
      <sheetName val="Matriz de Indicadores"/>
      <sheetName val="PL AQ.C1 18M"/>
      <sheetName val="Qd. Resultados X Indicadores"/>
      <sheetName val="Pl. MemCálc.Atividades18m"/>
      <sheetName val="MarcoLóg"/>
    </sheetNames>
    <sheetDataSet>
      <sheetData sheetId="0" refreshError="1">
        <row r="13">
          <cell r="B13" t="str">
            <v>Resultado 1.1</v>
          </cell>
        </row>
        <row r="14">
          <cell r="B14" t="str">
            <v>Atividade i</v>
          </cell>
        </row>
        <row r="15">
          <cell r="B15" t="str">
            <v>Atividade ii</v>
          </cell>
        </row>
        <row r="16">
          <cell r="B16" t="str">
            <v>Atividade iii</v>
          </cell>
        </row>
      </sheetData>
      <sheetData sheetId="1" refreshError="1"/>
      <sheetData sheetId="2" refreshError="1"/>
      <sheetData sheetId="3" refreshError="1">
        <row r="13">
          <cell r="B13">
            <v>0</v>
          </cell>
        </row>
        <row r="14">
          <cell r="B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Indicadores"/>
      <sheetName val="Qd. Resultados X Indicadores"/>
      <sheetName val="Pl Aquisição 18m C3"/>
      <sheetName val="Pl. Atividades 18m"/>
      <sheetName val="Pl. MemCálc.Atividades18m C3"/>
    </sheetNames>
    <sheetDataSet>
      <sheetData sheetId="0" refreshError="1"/>
      <sheetData sheetId="1" refreshError="1"/>
      <sheetData sheetId="2" refreshError="1"/>
      <sheetData sheetId="3">
        <row r="40">
          <cell r="C40" t="str">
            <v>Suporte técnico para as Ucs</v>
          </cell>
        </row>
        <row r="41">
          <cell r="A41" t="str">
            <v>3.1.2.1</v>
          </cell>
          <cell r="B41" t="str">
            <v>Atividade i</v>
          </cell>
          <cell r="C41" t="str">
            <v>Obter apoio técnico e administrativo para as Ucs abrangidas pelo projeto</v>
          </cell>
        </row>
        <row r="43">
          <cell r="A43" t="str">
            <v>3.1.2.2</v>
          </cell>
          <cell r="B43" t="str">
            <v>Atividade i</v>
          </cell>
          <cell r="C43" t="str">
            <v>Viabilizar oficinas para técnicos, conselheiros e gestores das UC voltadas à melhoria dos serviços prestados junto às Ucs</v>
          </cell>
        </row>
        <row r="44">
          <cell r="C44" t="str">
            <v xml:space="preserve">Avaliação da gestão das Ucs </v>
          </cell>
        </row>
        <row r="47">
          <cell r="C47" t="str">
            <v>Mobilização e identificação de demandas por assistência técnica</v>
          </cell>
        </row>
        <row r="48">
          <cell r="C48" t="str">
            <v>Identificar potenciais beneficiários do projeto e as demandas para efetivação de suas participações no âmbito do PSA, CVS e CERT.</v>
          </cell>
        </row>
        <row r="49">
          <cell r="C49" t="str">
            <v>Divulgação das ferramentas de Certificação de Produtos, Cadeias de Valores Sustentáveis e Pagamento por Serviços Ambientais</v>
          </cell>
        </row>
        <row r="50">
          <cell r="C50" t="str">
            <v>Promover ampla divulgação das ferramentas de Certificação, Cadeias de Valores Sustentáveis e PSA</v>
          </cell>
        </row>
        <row r="51">
          <cell r="C51" t="str">
            <v>Apoio à implementação de Cadeias de Valores</v>
          </cell>
        </row>
        <row r="52">
          <cell r="C52" t="str">
            <v>Adequar infraestrutura de UC (Estação Ecológica do Bananal) para apoiar a implementação de CVS</v>
          </cell>
        </row>
        <row r="54">
          <cell r="C54" t="str">
            <v>Obter apoio técnico e administrativo para coordenação do componente 3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Indicadores"/>
      <sheetName val="MarcoLóg"/>
      <sheetName val="Pl. Atividades 18m"/>
      <sheetName val="Pl. MemCálc.Atividades18m"/>
      <sheetName val="Pl Aquisição 18m"/>
      <sheetName val="Qd. Resultados X Indicadores"/>
    </sheetNames>
    <sheetDataSet>
      <sheetData sheetId="0" refreshError="1"/>
      <sheetData sheetId="1" refreshError="1">
        <row r="19">
          <cell r="C19" t="str">
            <v>Mobilização das equipes e recursos</v>
          </cell>
        </row>
        <row r="20">
          <cell r="B20" t="str">
            <v>Atividade I</v>
          </cell>
          <cell r="C20" t="str">
            <v>Lançamento do Projeto (Rio de Janeiro)</v>
          </cell>
        </row>
        <row r="21">
          <cell r="B21" t="str">
            <v>Atividade II</v>
          </cell>
          <cell r="C21" t="str">
            <v xml:space="preserve">Lançamento do Projeto (Regional) </v>
          </cell>
        </row>
        <row r="22">
          <cell r="B22" t="str">
            <v>Atividade III</v>
          </cell>
          <cell r="C22" t="str">
            <v>Aquisições diversas</v>
          </cell>
        </row>
        <row r="23">
          <cell r="B23" t="str">
            <v>Atividade IV</v>
          </cell>
          <cell r="C23" t="str">
            <v xml:space="preserve">Contratação do Coordenador Geral e analista </v>
          </cell>
        </row>
        <row r="24">
          <cell r="B24" t="str">
            <v>Atividade V</v>
          </cell>
          <cell r="C24" t="str">
            <v xml:space="preserve">Contratação da equipe técnica </v>
          </cell>
        </row>
        <row r="25">
          <cell r="B25" t="str">
            <v>Atividade VI</v>
          </cell>
          <cell r="C25" t="str">
            <v xml:space="preserve">Capacitação das equipe do projeto (INEA, SEAPEC,EMATER) </v>
          </cell>
        </row>
        <row r="26">
          <cell r="B26" t="str">
            <v xml:space="preserve">Atividade VII </v>
          </cell>
          <cell r="C26" t="str">
            <v>Aquisição de veículos</v>
          </cell>
        </row>
        <row r="27">
          <cell r="B27" t="str">
            <v>Atividade VIII</v>
          </cell>
          <cell r="C27" t="str">
            <v>Manutenção da frota</v>
          </cell>
        </row>
        <row r="28">
          <cell r="C28" t="str">
            <v>Estratégia de comunicação e mobilização social</v>
          </cell>
        </row>
        <row r="29">
          <cell r="B29" t="str">
            <v>Atividade IX</v>
          </cell>
          <cell r="C29" t="str">
            <v xml:space="preserve">Contratação de consultoria para elaboração do Plano de Comunicação do Projeto </v>
          </cell>
        </row>
        <row r="30">
          <cell r="B30" t="str">
            <v>Atividade X</v>
          </cell>
          <cell r="C30" t="str">
            <v>Contratação de consultoria para assessoria de imprensa e atualização do Plano</v>
          </cell>
        </row>
        <row r="31">
          <cell r="B31" t="str">
            <v>Atividade XI</v>
          </cell>
          <cell r="C31" t="str">
            <v>Contratação de consultoria para criação de arte visual e diagramação</v>
          </cell>
        </row>
        <row r="32">
          <cell r="B32" t="str">
            <v>Atividade XII</v>
          </cell>
          <cell r="C32" t="str">
            <v>Produção de material de divulgação (cartilhas, folders, banners, boletins)</v>
          </cell>
        </row>
        <row r="33">
          <cell r="B33" t="str">
            <v>Atividade XIII</v>
          </cell>
          <cell r="C33" t="str">
            <v>Produção de material de divulgação (camisetas e bonés)</v>
          </cell>
        </row>
        <row r="34">
          <cell r="B34" t="str">
            <v>Atividade XIV</v>
          </cell>
          <cell r="C34" t="str">
            <v>Contratação de uma consultria para a elaboração de um video institucional do projeto</v>
          </cell>
        </row>
        <row r="35">
          <cell r="C35" t="str">
            <v>Diagnóstico socioambiental e prepação do edital</v>
          </cell>
        </row>
        <row r="36">
          <cell r="B36" t="str">
            <v>Atividade XV</v>
          </cell>
          <cell r="C36" t="str">
            <v xml:space="preserve">Diagnóstico socio ambiental e organização de base de dados e estudos da área de atuação </v>
          </cell>
        </row>
        <row r="37">
          <cell r="B37" t="str">
            <v>Atividade XVI</v>
          </cell>
          <cell r="C37" t="str">
            <v>Reconhecimento de campo (ambientação)</v>
          </cell>
        </row>
        <row r="38">
          <cell r="B38" t="str">
            <v xml:space="preserve">Atividade XVII </v>
          </cell>
          <cell r="C38" t="str">
            <v>Contratação de consultoria para aferição do custo de oportunidade e critérios de valoração para PSA</v>
          </cell>
        </row>
        <row r="39">
          <cell r="B39" t="str">
            <v>Atividade XVIII</v>
          </cell>
          <cell r="C39" t="str">
            <v>Contratação de consultoria para desenvolvimento de um Cadastro Estadual de PSA e base de dados espacial</v>
          </cell>
        </row>
        <row r="40">
          <cell r="B40" t="str">
            <v>Atividade XIX</v>
          </cell>
          <cell r="C40" t="str">
            <v>Contratação de consultoria para geração do mapa de uso e cobertura do solo da RH IX (1:25.000)</v>
          </cell>
        </row>
        <row r="41">
          <cell r="B41" t="str">
            <v>Atividade XX</v>
          </cell>
          <cell r="C41" t="str">
            <v>Delimitação das áreas prioritárias para o projeto (critério do edital)</v>
          </cell>
        </row>
        <row r="42">
          <cell r="B42" t="str">
            <v>Atividade XXI</v>
          </cell>
          <cell r="C42" t="str">
            <v xml:space="preserve">Elaborar a minuta do edital de PSA e manual de orientação ao produtor </v>
          </cell>
        </row>
        <row r="43">
          <cell r="C43" t="str">
            <v xml:space="preserve">Lançamento do edital e mobilização dos proprietários </v>
          </cell>
        </row>
        <row r="44">
          <cell r="B44" t="str">
            <v>Atividade XXII</v>
          </cell>
          <cell r="C44" t="str">
            <v>Lançamento e publicação do edital e manual de orientação ao produtor</v>
          </cell>
        </row>
        <row r="45">
          <cell r="B45" t="str">
            <v>Atividade XXIII</v>
          </cell>
          <cell r="C45" t="str">
            <v xml:space="preserve">Mobilização - Veiculação de propaganda de divugação do projeto na mídia local (carros de som, rádio e jornais) </v>
          </cell>
        </row>
        <row r="46">
          <cell r="B46" t="str">
            <v>Atividade XXIV</v>
          </cell>
          <cell r="C46" t="str">
            <v>Mobilização: reunião comunitárias e visitas de campo às propriedades - ver contrapartida SEAPEC</v>
          </cell>
        </row>
        <row r="47">
          <cell r="B47" t="str">
            <v>Atividade XXV</v>
          </cell>
          <cell r="C47" t="str">
            <v>Apoio a inscrição ao CAR</v>
          </cell>
        </row>
        <row r="48">
          <cell r="B48" t="str">
            <v>Atividade XXVI</v>
          </cell>
          <cell r="C48" t="str">
            <v xml:space="preserve">Apoio a inscrição no edital </v>
          </cell>
        </row>
        <row r="49">
          <cell r="B49" t="str">
            <v xml:space="preserve">Atividade XXVII </v>
          </cell>
          <cell r="C49" t="str">
            <v>Habilitação das propostas</v>
          </cell>
        </row>
        <row r="50">
          <cell r="B50" t="str">
            <v>Atividade XXVIII</v>
          </cell>
          <cell r="C50" t="str">
            <v>Elaboração do Plano de Desenvolvimento da Propriedade e aplicação do questionário de sensibilização</v>
          </cell>
        </row>
        <row r="51">
          <cell r="B51" t="str">
            <v>Atividade XXIX</v>
          </cell>
          <cell r="C51" t="str">
            <v>Elaboração do Plano de Intervenções nas propriedades contratadas</v>
          </cell>
        </row>
        <row r="52">
          <cell r="B52" t="str">
            <v>Atividade XXX</v>
          </cell>
          <cell r="C52" t="str">
            <v>Hierarquização das propriedades</v>
          </cell>
        </row>
        <row r="53">
          <cell r="B53" t="str">
            <v>Atividade XXXI</v>
          </cell>
          <cell r="C53" t="str">
            <v>Evento de assinatura dos contratos e capacitação dos produtores contratados</v>
          </cell>
        </row>
        <row r="54">
          <cell r="C54" t="str">
            <v>Implantação das intervenções</v>
          </cell>
        </row>
        <row r="55">
          <cell r="B55" t="str">
            <v>Atividade XXXII</v>
          </cell>
          <cell r="C55" t="str">
            <v>Confecção e implantação de placa de identificação do Projeto por propriedade</v>
          </cell>
        </row>
        <row r="56">
          <cell r="B56" t="str">
            <v>Atividade XXXIII</v>
          </cell>
          <cell r="C56" t="str">
            <v>Projeto executivo de restauração florestal, conservação florestal e conversão produtiva (SAF)</v>
          </cell>
        </row>
        <row r="57">
          <cell r="B57" t="str">
            <v>Atividade XXXIV</v>
          </cell>
          <cell r="C57" t="str">
            <v>Aquisição de insumos de restauração florestal, conservação florestal e conversão produtiva</v>
          </cell>
        </row>
        <row r="58">
          <cell r="B58" t="str">
            <v>Atividade XXXV</v>
          </cell>
          <cell r="C58" t="str">
            <v>Salto tecnológico</v>
          </cell>
        </row>
        <row r="59">
          <cell r="B59" t="str">
            <v>Atividade XXXVI</v>
          </cell>
          <cell r="C59" t="str">
            <v xml:space="preserve">Execução/implantação da Conservação Florestal </v>
          </cell>
        </row>
        <row r="60">
          <cell r="B60" t="str">
            <v>Atividade XXXVII</v>
          </cell>
          <cell r="C60" t="str">
            <v>Execução/implantação da Conversão Produtiva</v>
          </cell>
        </row>
        <row r="61">
          <cell r="B61" t="str">
            <v>Atividade XXXVIII</v>
          </cell>
          <cell r="C61" t="str">
            <v>Elaboração do relatório de certificação de implantação da restauração, conservação florestal e conversão produtiva</v>
          </cell>
        </row>
        <row r="62">
          <cell r="C62" t="str">
            <v>Monitoramento dos Contratos (Conservação e manutenção das áreas e PSA )</v>
          </cell>
        </row>
        <row r="63">
          <cell r="B63" t="str">
            <v>Atividade XXXIX</v>
          </cell>
          <cell r="C63" t="str">
            <v>Manutenção da restauração e conservação florestal</v>
          </cell>
        </row>
        <row r="64">
          <cell r="B64" t="str">
            <v>Atividade XL</v>
          </cell>
          <cell r="C64" t="str">
            <v>Manutenção da Conversão produtiva</v>
          </cell>
        </row>
        <row r="65">
          <cell r="B65" t="str">
            <v>Atividade XLI</v>
          </cell>
          <cell r="C65" t="str">
            <v>Relatório semestral de manutenção da restauração/conservação/conversão e monitoramento para fins de PSA</v>
          </cell>
        </row>
        <row r="66">
          <cell r="B66" t="str">
            <v>Atividade XLII</v>
          </cell>
          <cell r="C66" t="str">
            <v xml:space="preserve">Certidão de implantação da restauração (quitação) </v>
          </cell>
        </row>
        <row r="67">
          <cell r="B67" t="str">
            <v>Atividade XLIII</v>
          </cell>
          <cell r="C67" t="str">
            <v xml:space="preserve">Assessoria técnica ao produtor rural </v>
          </cell>
        </row>
        <row r="68">
          <cell r="B68" t="str">
            <v>Atividade XLIV</v>
          </cell>
          <cell r="C68" t="str">
            <v>Pagamento ao produtor - PSA</v>
          </cell>
        </row>
        <row r="69">
          <cell r="C69" t="str">
            <v>Monitoramento do projeto (carbono e biodiversidade)</v>
          </cell>
        </row>
        <row r="70">
          <cell r="B70" t="str">
            <v>Atividade XLV</v>
          </cell>
          <cell r="C70" t="str">
            <v xml:space="preserve">Evento (workshop/mesa redonda/seminários) com especialistas sobre monitoramento </v>
          </cell>
        </row>
        <row r="71">
          <cell r="B71" t="str">
            <v>Atividade XLVI</v>
          </cell>
          <cell r="C71" t="str">
            <v>Definição de indicadores (variáveis para o monoramento)</v>
          </cell>
        </row>
        <row r="72">
          <cell r="B72" t="str">
            <v>Atividade XLVII</v>
          </cell>
          <cell r="C72" t="str">
            <v>Desenho experimental para monitoramento do projeto (biodiversidde e carbono)</v>
          </cell>
        </row>
        <row r="73">
          <cell r="B73" t="str">
            <v>Atividade XLVIII</v>
          </cell>
          <cell r="C73" t="str">
            <v>Definição da linha de base</v>
          </cell>
        </row>
        <row r="74">
          <cell r="B74" t="str">
            <v>Atividade XLVIX</v>
          </cell>
          <cell r="C74" t="str">
            <v>Análise de solos</v>
          </cell>
        </row>
        <row r="75">
          <cell r="B75" t="str">
            <v>Atividade L</v>
          </cell>
          <cell r="C75" t="str">
            <v>Monitoramento dos indicadores</v>
          </cell>
        </row>
        <row r="76">
          <cell r="C76" t="str">
            <v>Disseminação do projeto e intercâmbio técnico científico</v>
          </cell>
        </row>
        <row r="77">
          <cell r="B77" t="str">
            <v>Atividade LI</v>
          </cell>
          <cell r="C77" t="str">
            <v>Seminário sobre PSA no ERJ</v>
          </cell>
        </row>
        <row r="78">
          <cell r="B78" t="str">
            <v>Atividade LII</v>
          </cell>
          <cell r="C78" t="str">
            <v>Participação eventos, seminários, workshops, troca de experiências e reuniões CCI</v>
          </cell>
        </row>
        <row r="79">
          <cell r="B79" t="str">
            <v>Atividade LIII</v>
          </cell>
          <cell r="C79" t="str">
            <v>Benchmark Internacional</v>
          </cell>
        </row>
        <row r="80">
          <cell r="C80" t="str">
            <v>Avaliação custo-efetividade e sustentatibilidade financeira do projeto</v>
          </cell>
        </row>
        <row r="81">
          <cell r="B81" t="str">
            <v>Atividade LIV</v>
          </cell>
          <cell r="C81" t="str">
            <v>Pesquisa semi-estruturada para levantamento da percepção dos impactos do projeto pelos proprietários contratados</v>
          </cell>
        </row>
        <row r="82">
          <cell r="B82" t="str">
            <v>Atividade LV</v>
          </cell>
          <cell r="C82" t="str">
            <v>Contratação de consutoria para avaliação do custo-efetividade das modalidades de PSA</v>
          </cell>
        </row>
        <row r="83">
          <cell r="B83" t="str">
            <v>Atividade LVI</v>
          </cell>
          <cell r="C83" t="str">
            <v>Contratação de consultoria para a concepção de um modelo organizacional que proporcione sustentabilidade financeira aos sistemas de PSA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4"/>
  <sheetViews>
    <sheetView showGridLines="0" tabSelected="1" zoomScaleNormal="100" zoomScaleSheetLayoutView="70" workbookViewId="0">
      <pane xSplit="4" ySplit="4" topLeftCell="L117" activePane="bottomRight" state="frozen"/>
      <selection pane="topRight" activeCell="E1" sqref="E1"/>
      <selection pane="bottomLeft" activeCell="A5" sqref="A5"/>
      <selection pane="bottomRight" activeCell="R136" sqref="R136"/>
    </sheetView>
  </sheetViews>
  <sheetFormatPr defaultColWidth="9.140625" defaultRowHeight="12.75" x14ac:dyDescent="0.25"/>
  <cols>
    <col min="1" max="1" width="15.5703125" style="368" customWidth="1"/>
    <col min="2" max="2" width="11.140625" style="389" customWidth="1"/>
    <col min="3" max="3" width="9.140625" style="368" customWidth="1"/>
    <col min="4" max="4" width="55.42578125" style="391" customWidth="1"/>
    <col min="5" max="5" width="22.28515625" style="375" customWidth="1"/>
    <col min="6" max="6" width="10" style="368" customWidth="1"/>
    <col min="7" max="7" width="8.7109375" style="368" customWidth="1"/>
    <col min="8" max="8" width="19.42578125" style="398" bestFit="1" customWidth="1"/>
    <col min="9" max="9" width="12.85546875" style="398" customWidth="1"/>
    <col min="10" max="10" width="12.85546875" style="368" customWidth="1"/>
    <col min="11" max="11" width="12.85546875" style="369" customWidth="1"/>
    <col min="12" max="12" width="19.5703125" style="395" customWidth="1"/>
    <col min="13" max="13" width="9.140625" style="395" customWidth="1"/>
    <col min="14" max="14" width="9.85546875" style="396" customWidth="1"/>
    <col min="15" max="15" width="9.85546875" style="395" customWidth="1"/>
    <col min="16" max="16" width="20.85546875" style="395" customWidth="1"/>
    <col min="17" max="17" width="7.5703125" style="395" customWidth="1"/>
    <col min="18" max="18" width="14" style="395" customWidth="1"/>
    <col min="19" max="16384" width="9.140625" style="370"/>
  </cols>
  <sheetData>
    <row r="1" spans="1:21" s="377" customFormat="1" ht="19.5" x14ac:dyDescent="0.25">
      <c r="A1" s="425" t="s">
        <v>297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16"/>
      <c r="T1" s="416"/>
      <c r="U1" s="416"/>
    </row>
    <row r="2" spans="1:21" s="377" customFormat="1" ht="19.5" x14ac:dyDescent="0.25">
      <c r="A2" s="425" t="s">
        <v>296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16"/>
      <c r="T2" s="416"/>
      <c r="U2" s="416"/>
    </row>
    <row r="3" spans="1:21" s="377" customFormat="1" ht="19.5" x14ac:dyDescent="0.25">
      <c r="A3" s="425" t="s">
        <v>383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16"/>
      <c r="T3" s="416"/>
      <c r="U3" s="416"/>
    </row>
    <row r="4" spans="1:21" s="377" customFormat="1" ht="19.5" x14ac:dyDescent="0.25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16"/>
      <c r="T4" s="416"/>
      <c r="U4" s="416"/>
    </row>
    <row r="5" spans="1:21" s="377" customFormat="1" ht="19.5" x14ac:dyDescent="0.25">
      <c r="A5" s="399" t="s">
        <v>403</v>
      </c>
      <c r="B5" s="399"/>
      <c r="C5" s="399"/>
      <c r="D5" s="399" t="s">
        <v>290</v>
      </c>
      <c r="E5" s="399">
        <v>1</v>
      </c>
      <c r="F5" s="399" t="s">
        <v>291</v>
      </c>
      <c r="G5" s="399" t="s">
        <v>292</v>
      </c>
      <c r="H5" s="399">
        <v>3.6</v>
      </c>
      <c r="I5" s="399" t="s">
        <v>293</v>
      </c>
      <c r="J5" s="399"/>
      <c r="K5" s="399"/>
      <c r="L5" s="399"/>
      <c r="M5" s="399"/>
      <c r="N5" s="399"/>
      <c r="O5" s="399"/>
      <c r="P5" s="399"/>
      <c r="Q5" s="399"/>
      <c r="R5" s="399"/>
      <c r="S5" s="416"/>
      <c r="T5" s="416"/>
      <c r="U5" s="416"/>
    </row>
    <row r="6" spans="1:21" s="380" customFormat="1" ht="21" x14ac:dyDescent="0.25">
      <c r="A6" s="388"/>
      <c r="B6" s="378"/>
      <c r="C6" s="378"/>
      <c r="D6" s="390"/>
      <c r="E6" s="378"/>
      <c r="F6" s="392"/>
      <c r="G6" s="393"/>
      <c r="H6" s="397"/>
      <c r="I6" s="397"/>
      <c r="J6" s="393"/>
      <c r="K6" s="393"/>
      <c r="L6" s="393"/>
      <c r="M6" s="379"/>
      <c r="N6" s="379"/>
      <c r="O6" s="394"/>
      <c r="P6" s="394"/>
      <c r="Q6" s="394"/>
      <c r="R6" s="394"/>
      <c r="S6" s="417"/>
      <c r="T6" s="417"/>
      <c r="U6" s="417"/>
    </row>
    <row r="7" spans="1:21" s="382" customFormat="1" ht="21" x14ac:dyDescent="0.25">
      <c r="A7" s="386"/>
      <c r="B7" s="386"/>
      <c r="C7" s="386"/>
      <c r="D7" s="386"/>
      <c r="E7" s="386"/>
      <c r="F7" s="386"/>
      <c r="G7" s="386"/>
      <c r="H7" s="422" t="s">
        <v>260</v>
      </c>
      <c r="I7" s="423"/>
      <c r="J7" s="423"/>
      <c r="K7" s="424"/>
      <c r="L7" s="386"/>
      <c r="M7" s="386"/>
      <c r="N7" s="420" t="s">
        <v>262</v>
      </c>
      <c r="O7" s="421"/>
      <c r="P7" s="386"/>
      <c r="Q7" s="386"/>
      <c r="R7" s="386"/>
      <c r="S7" s="418"/>
      <c r="T7" s="419"/>
      <c r="U7" s="419"/>
    </row>
    <row r="8" spans="1:21" s="382" customFormat="1" ht="38.25" x14ac:dyDescent="0.25">
      <c r="A8" s="387" t="s">
        <v>247</v>
      </c>
      <c r="B8" s="387" t="s">
        <v>270</v>
      </c>
      <c r="C8" s="387" t="s">
        <v>343</v>
      </c>
      <c r="D8" s="387" t="s">
        <v>257</v>
      </c>
      <c r="E8" s="387" t="s">
        <v>271</v>
      </c>
      <c r="F8" s="387" t="s">
        <v>258</v>
      </c>
      <c r="G8" s="387" t="s">
        <v>259</v>
      </c>
      <c r="H8" s="383" t="s">
        <v>289</v>
      </c>
      <c r="I8" s="383" t="s">
        <v>265</v>
      </c>
      <c r="J8" s="384" t="s">
        <v>266</v>
      </c>
      <c r="K8" s="384" t="s">
        <v>267</v>
      </c>
      <c r="L8" s="387" t="s">
        <v>261</v>
      </c>
      <c r="M8" s="387" t="s">
        <v>298</v>
      </c>
      <c r="N8" s="385" t="s">
        <v>268</v>
      </c>
      <c r="O8" s="385" t="s">
        <v>269</v>
      </c>
      <c r="P8" s="387" t="s">
        <v>263</v>
      </c>
      <c r="Q8" s="387" t="s">
        <v>264</v>
      </c>
      <c r="R8" s="387" t="s">
        <v>246</v>
      </c>
      <c r="S8" s="419"/>
      <c r="T8" s="419"/>
      <c r="U8" s="419"/>
    </row>
    <row r="9" spans="1:21" ht="27" customHeight="1" x14ac:dyDescent="0.25">
      <c r="A9" s="372" t="s">
        <v>64</v>
      </c>
      <c r="B9" s="372" t="s">
        <v>284</v>
      </c>
      <c r="C9" s="372" t="s">
        <v>384</v>
      </c>
      <c r="D9" s="376" t="s">
        <v>300</v>
      </c>
      <c r="E9" s="372" t="s">
        <v>281</v>
      </c>
      <c r="F9" s="400" t="s">
        <v>294</v>
      </c>
      <c r="G9" s="372" t="s">
        <v>285</v>
      </c>
      <c r="H9" s="373">
        <f t="shared" ref="H9:H42" si="0">I9*$H$5</f>
        <v>165600</v>
      </c>
      <c r="I9" s="381">
        <v>46000</v>
      </c>
      <c r="J9" s="371">
        <v>1</v>
      </c>
      <c r="K9" s="371">
        <v>0</v>
      </c>
      <c r="L9" s="372" t="s">
        <v>70</v>
      </c>
      <c r="M9" s="401" t="s">
        <v>245</v>
      </c>
      <c r="N9" s="414">
        <v>43101</v>
      </c>
      <c r="O9" s="414">
        <v>43132</v>
      </c>
      <c r="P9" s="372" t="s">
        <v>285</v>
      </c>
      <c r="Q9" s="372" t="s">
        <v>285</v>
      </c>
      <c r="R9" s="372" t="s">
        <v>370</v>
      </c>
    </row>
    <row r="10" spans="1:21" ht="38.25" x14ac:dyDescent="0.25">
      <c r="A10" s="372" t="s">
        <v>250</v>
      </c>
      <c r="B10" s="372" t="s">
        <v>284</v>
      </c>
      <c r="C10" s="372" t="s">
        <v>344</v>
      </c>
      <c r="D10" s="376" t="s">
        <v>279</v>
      </c>
      <c r="E10" s="372" t="s">
        <v>248</v>
      </c>
      <c r="F10" s="400" t="s">
        <v>294</v>
      </c>
      <c r="G10" s="372" t="s">
        <v>285</v>
      </c>
      <c r="H10" s="373">
        <f t="shared" si="0"/>
        <v>1908000</v>
      </c>
      <c r="I10" s="381">
        <v>530000</v>
      </c>
      <c r="J10" s="371">
        <v>1</v>
      </c>
      <c r="K10" s="371">
        <v>0</v>
      </c>
      <c r="L10" s="372" t="s">
        <v>70</v>
      </c>
      <c r="M10" s="401" t="s">
        <v>245</v>
      </c>
      <c r="N10" s="414">
        <v>43282</v>
      </c>
      <c r="O10" s="414">
        <v>43344</v>
      </c>
      <c r="P10" s="372" t="s">
        <v>285</v>
      </c>
      <c r="Q10" s="372" t="s">
        <v>285</v>
      </c>
      <c r="R10" s="372" t="s">
        <v>405</v>
      </c>
    </row>
    <row r="11" spans="1:21" ht="25.5" x14ac:dyDescent="0.25">
      <c r="A11" s="404" t="s">
        <v>252</v>
      </c>
      <c r="B11" s="372" t="s">
        <v>284</v>
      </c>
      <c r="C11" s="372" t="s">
        <v>344</v>
      </c>
      <c r="D11" s="376" t="s">
        <v>385</v>
      </c>
      <c r="E11" s="372" t="s">
        <v>248</v>
      </c>
      <c r="F11" s="400" t="s">
        <v>294</v>
      </c>
      <c r="G11" s="372" t="s">
        <v>285</v>
      </c>
      <c r="H11" s="373">
        <f t="shared" si="0"/>
        <v>396000</v>
      </c>
      <c r="I11" s="381">
        <v>110000</v>
      </c>
      <c r="J11" s="371">
        <v>1</v>
      </c>
      <c r="K11" s="371">
        <v>0</v>
      </c>
      <c r="L11" s="372" t="s">
        <v>70</v>
      </c>
      <c r="M11" s="401" t="s">
        <v>245</v>
      </c>
      <c r="N11" s="414">
        <v>43466</v>
      </c>
      <c r="O11" s="414">
        <v>43647</v>
      </c>
      <c r="P11" s="372" t="s">
        <v>285</v>
      </c>
      <c r="Q11" s="372" t="s">
        <v>285</v>
      </c>
      <c r="R11" s="372" t="s">
        <v>405</v>
      </c>
    </row>
    <row r="12" spans="1:21" ht="63.75" x14ac:dyDescent="0.25">
      <c r="A12" s="404" t="s">
        <v>252</v>
      </c>
      <c r="B12" s="372" t="s">
        <v>284</v>
      </c>
      <c r="C12" s="372" t="s">
        <v>348</v>
      </c>
      <c r="D12" s="376" t="s">
        <v>345</v>
      </c>
      <c r="E12" s="372" t="s">
        <v>282</v>
      </c>
      <c r="F12" s="400" t="s">
        <v>294</v>
      </c>
      <c r="G12" s="372" t="s">
        <v>285</v>
      </c>
      <c r="H12" s="373">
        <f t="shared" si="0"/>
        <v>1260000</v>
      </c>
      <c r="I12" s="381">
        <v>350000</v>
      </c>
      <c r="J12" s="371">
        <v>1</v>
      </c>
      <c r="K12" s="371">
        <v>0</v>
      </c>
      <c r="L12" s="372" t="s">
        <v>70</v>
      </c>
      <c r="M12" s="401" t="s">
        <v>245</v>
      </c>
      <c r="N12" s="414">
        <v>43040</v>
      </c>
      <c r="O12" s="414">
        <v>43101</v>
      </c>
      <c r="P12" s="372" t="s">
        <v>285</v>
      </c>
      <c r="Q12" s="372" t="s">
        <v>285</v>
      </c>
      <c r="R12" s="372" t="s">
        <v>370</v>
      </c>
    </row>
    <row r="13" spans="1:21" ht="63.75" x14ac:dyDescent="0.25">
      <c r="A13" s="404" t="s">
        <v>252</v>
      </c>
      <c r="B13" s="372" t="s">
        <v>284</v>
      </c>
      <c r="C13" s="372" t="s">
        <v>348</v>
      </c>
      <c r="D13" s="376" t="s">
        <v>346</v>
      </c>
      <c r="E13" s="372" t="s">
        <v>282</v>
      </c>
      <c r="F13" s="400" t="s">
        <v>294</v>
      </c>
      <c r="G13" s="372" t="s">
        <v>285</v>
      </c>
      <c r="H13" s="373">
        <f t="shared" si="0"/>
        <v>1260000</v>
      </c>
      <c r="I13" s="381">
        <v>350000</v>
      </c>
      <c r="J13" s="371">
        <v>1</v>
      </c>
      <c r="K13" s="371">
        <v>0</v>
      </c>
      <c r="L13" s="372" t="s">
        <v>70</v>
      </c>
      <c r="M13" s="401" t="s">
        <v>245</v>
      </c>
      <c r="N13" s="414">
        <v>43040</v>
      </c>
      <c r="O13" s="414">
        <v>43101</v>
      </c>
      <c r="P13" s="372" t="s">
        <v>285</v>
      </c>
      <c r="Q13" s="372" t="s">
        <v>285</v>
      </c>
      <c r="R13" s="372" t="s">
        <v>370</v>
      </c>
    </row>
    <row r="14" spans="1:21" ht="63.75" x14ac:dyDescent="0.25">
      <c r="A14" s="404" t="s">
        <v>252</v>
      </c>
      <c r="B14" s="372" t="s">
        <v>284</v>
      </c>
      <c r="C14" s="372" t="s">
        <v>348</v>
      </c>
      <c r="D14" s="376" t="s">
        <v>347</v>
      </c>
      <c r="E14" s="372" t="s">
        <v>282</v>
      </c>
      <c r="F14" s="400" t="s">
        <v>294</v>
      </c>
      <c r="G14" s="372" t="s">
        <v>285</v>
      </c>
      <c r="H14" s="373">
        <f t="shared" si="0"/>
        <v>1260000</v>
      </c>
      <c r="I14" s="381">
        <v>350000</v>
      </c>
      <c r="J14" s="371">
        <v>1</v>
      </c>
      <c r="K14" s="371">
        <v>0</v>
      </c>
      <c r="L14" s="372" t="s">
        <v>70</v>
      </c>
      <c r="M14" s="401" t="s">
        <v>245</v>
      </c>
      <c r="N14" s="414">
        <v>43040</v>
      </c>
      <c r="O14" s="414">
        <v>43101</v>
      </c>
      <c r="P14" s="372" t="s">
        <v>285</v>
      </c>
      <c r="Q14" s="372" t="s">
        <v>285</v>
      </c>
      <c r="R14" s="372" t="s">
        <v>370</v>
      </c>
    </row>
    <row r="15" spans="1:21" ht="38.25" x14ac:dyDescent="0.25">
      <c r="A15" s="372" t="s">
        <v>319</v>
      </c>
      <c r="B15" s="372" t="s">
        <v>284</v>
      </c>
      <c r="C15" s="372" t="s">
        <v>352</v>
      </c>
      <c r="D15" s="376" t="s">
        <v>351</v>
      </c>
      <c r="E15" s="372" t="s">
        <v>282</v>
      </c>
      <c r="F15" s="400" t="s">
        <v>294</v>
      </c>
      <c r="G15" s="372" t="s">
        <v>285</v>
      </c>
      <c r="H15" s="373">
        <f t="shared" si="0"/>
        <v>4737600</v>
      </c>
      <c r="I15" s="381">
        <v>1316000</v>
      </c>
      <c r="J15" s="371">
        <v>1</v>
      </c>
      <c r="K15" s="371">
        <v>0</v>
      </c>
      <c r="L15" s="372" t="s">
        <v>70</v>
      </c>
      <c r="M15" s="401" t="s">
        <v>245</v>
      </c>
      <c r="N15" s="414">
        <v>43132</v>
      </c>
      <c r="O15" s="414">
        <v>43282</v>
      </c>
      <c r="P15" s="372" t="s">
        <v>285</v>
      </c>
      <c r="Q15" s="372" t="s">
        <v>285</v>
      </c>
      <c r="R15" s="372" t="s">
        <v>405</v>
      </c>
    </row>
    <row r="16" spans="1:21" ht="25.5" x14ac:dyDescent="0.25">
      <c r="A16" s="372" t="s">
        <v>319</v>
      </c>
      <c r="B16" s="372" t="s">
        <v>284</v>
      </c>
      <c r="C16" s="372" t="s">
        <v>352</v>
      </c>
      <c r="D16" s="376" t="s">
        <v>386</v>
      </c>
      <c r="E16" s="372" t="s">
        <v>282</v>
      </c>
      <c r="F16" s="400" t="s">
        <v>294</v>
      </c>
      <c r="G16" s="372" t="s">
        <v>285</v>
      </c>
      <c r="H16" s="373">
        <f t="shared" si="0"/>
        <v>694800</v>
      </c>
      <c r="I16" s="381">
        <v>193000</v>
      </c>
      <c r="J16" s="371">
        <v>1</v>
      </c>
      <c r="K16" s="371">
        <v>0</v>
      </c>
      <c r="L16" s="372" t="s">
        <v>70</v>
      </c>
      <c r="M16" s="401" t="s">
        <v>245</v>
      </c>
      <c r="N16" s="414">
        <v>43313</v>
      </c>
      <c r="O16" s="414">
        <v>43313</v>
      </c>
      <c r="P16" s="372" t="s">
        <v>285</v>
      </c>
      <c r="Q16" s="372" t="s">
        <v>285</v>
      </c>
      <c r="R16" s="372" t="s">
        <v>370</v>
      </c>
    </row>
    <row r="17" spans="1:18" ht="25.5" x14ac:dyDescent="0.25">
      <c r="A17" s="372" t="s">
        <v>319</v>
      </c>
      <c r="B17" s="372" t="s">
        <v>284</v>
      </c>
      <c r="C17" s="372" t="s">
        <v>352</v>
      </c>
      <c r="D17" s="376" t="s">
        <v>353</v>
      </c>
      <c r="E17" s="372" t="s">
        <v>283</v>
      </c>
      <c r="F17" s="400" t="s">
        <v>294</v>
      </c>
      <c r="G17" s="372" t="s">
        <v>285</v>
      </c>
      <c r="H17" s="373">
        <f t="shared" si="0"/>
        <v>1008000</v>
      </c>
      <c r="I17" s="381">
        <v>280000</v>
      </c>
      <c r="J17" s="371">
        <v>1</v>
      </c>
      <c r="K17" s="371">
        <v>0</v>
      </c>
      <c r="L17" s="372" t="s">
        <v>70</v>
      </c>
      <c r="M17" s="401" t="s">
        <v>245</v>
      </c>
      <c r="N17" s="414">
        <v>43132</v>
      </c>
      <c r="O17" s="414">
        <v>43160</v>
      </c>
      <c r="P17" s="372" t="s">
        <v>285</v>
      </c>
      <c r="Q17" s="372" t="s">
        <v>285</v>
      </c>
      <c r="R17" s="372" t="s">
        <v>370</v>
      </c>
    </row>
    <row r="18" spans="1:18" ht="25.5" x14ac:dyDescent="0.25">
      <c r="A18" s="372" t="s">
        <v>319</v>
      </c>
      <c r="B18" s="372" t="s">
        <v>284</v>
      </c>
      <c r="C18" s="372" t="s">
        <v>352</v>
      </c>
      <c r="D18" s="376" t="s">
        <v>354</v>
      </c>
      <c r="E18" s="372" t="s">
        <v>283</v>
      </c>
      <c r="F18" s="400" t="s">
        <v>294</v>
      </c>
      <c r="G18" s="372" t="s">
        <v>285</v>
      </c>
      <c r="H18" s="373">
        <f t="shared" si="0"/>
        <v>129600</v>
      </c>
      <c r="I18" s="381">
        <v>36000</v>
      </c>
      <c r="J18" s="371">
        <v>1</v>
      </c>
      <c r="K18" s="371">
        <v>0</v>
      </c>
      <c r="L18" s="372" t="s">
        <v>70</v>
      </c>
      <c r="M18" s="401" t="s">
        <v>245</v>
      </c>
      <c r="N18" s="414" t="s">
        <v>369</v>
      </c>
      <c r="O18" s="414" t="s">
        <v>369</v>
      </c>
      <c r="P18" s="372" t="s">
        <v>285</v>
      </c>
      <c r="Q18" s="372" t="s">
        <v>285</v>
      </c>
      <c r="R18" s="372" t="s">
        <v>406</v>
      </c>
    </row>
    <row r="19" spans="1:18" ht="38.25" x14ac:dyDescent="0.25">
      <c r="A19" s="372" t="s">
        <v>250</v>
      </c>
      <c r="B19" s="372" t="s">
        <v>284</v>
      </c>
      <c r="C19" s="372" t="s">
        <v>356</v>
      </c>
      <c r="D19" s="376" t="s">
        <v>253</v>
      </c>
      <c r="E19" s="372" t="s">
        <v>248</v>
      </c>
      <c r="F19" s="400" t="s">
        <v>294</v>
      </c>
      <c r="G19" s="372" t="s">
        <v>285</v>
      </c>
      <c r="H19" s="373">
        <f t="shared" si="0"/>
        <v>624110.4</v>
      </c>
      <c r="I19" s="381">
        <v>173364</v>
      </c>
      <c r="J19" s="371">
        <v>1</v>
      </c>
      <c r="K19" s="371">
        <v>0</v>
      </c>
      <c r="L19" s="372" t="s">
        <v>70</v>
      </c>
      <c r="M19" s="401" t="s">
        <v>245</v>
      </c>
      <c r="N19" s="414">
        <v>43160</v>
      </c>
      <c r="O19" s="414">
        <v>43435</v>
      </c>
      <c r="P19" s="372" t="s">
        <v>285</v>
      </c>
      <c r="Q19" s="372" t="s">
        <v>285</v>
      </c>
      <c r="R19" s="372" t="s">
        <v>370</v>
      </c>
    </row>
    <row r="20" spans="1:18" ht="25.5" x14ac:dyDescent="0.25">
      <c r="A20" s="372" t="s">
        <v>250</v>
      </c>
      <c r="B20" s="372" t="s">
        <v>284</v>
      </c>
      <c r="C20" s="372" t="s">
        <v>356</v>
      </c>
      <c r="D20" s="376" t="s">
        <v>357</v>
      </c>
      <c r="E20" s="372" t="s">
        <v>283</v>
      </c>
      <c r="F20" s="400" t="s">
        <v>294</v>
      </c>
      <c r="G20" s="372" t="s">
        <v>285</v>
      </c>
      <c r="H20" s="373">
        <f t="shared" ref="H20" si="1">I20*$H$5</f>
        <v>360000</v>
      </c>
      <c r="I20" s="381">
        <v>100000</v>
      </c>
      <c r="J20" s="371">
        <v>1</v>
      </c>
      <c r="K20" s="371">
        <v>0</v>
      </c>
      <c r="L20" s="372" t="s">
        <v>70</v>
      </c>
      <c r="M20" s="401" t="s">
        <v>245</v>
      </c>
      <c r="N20" s="414">
        <v>43435</v>
      </c>
      <c r="O20" s="414">
        <v>43435</v>
      </c>
      <c r="P20" s="372" t="s">
        <v>285</v>
      </c>
      <c r="Q20" s="372" t="s">
        <v>285</v>
      </c>
      <c r="R20" s="372" t="s">
        <v>405</v>
      </c>
    </row>
    <row r="21" spans="1:18" ht="25.5" x14ac:dyDescent="0.25">
      <c r="A21" s="372" t="s">
        <v>250</v>
      </c>
      <c r="B21" s="372" t="s">
        <v>284</v>
      </c>
      <c r="C21" s="372" t="s">
        <v>349</v>
      </c>
      <c r="D21" s="376" t="s">
        <v>254</v>
      </c>
      <c r="E21" s="372" t="s">
        <v>283</v>
      </c>
      <c r="F21" s="400" t="s">
        <v>294</v>
      </c>
      <c r="G21" s="372" t="s">
        <v>285</v>
      </c>
      <c r="H21" s="373">
        <f t="shared" si="0"/>
        <v>136800</v>
      </c>
      <c r="I21" s="381">
        <v>38000</v>
      </c>
      <c r="J21" s="371">
        <v>1</v>
      </c>
      <c r="K21" s="371">
        <v>0</v>
      </c>
      <c r="L21" s="372" t="s">
        <v>70</v>
      </c>
      <c r="M21" s="401" t="s">
        <v>245</v>
      </c>
      <c r="N21" s="414">
        <v>43132</v>
      </c>
      <c r="O21" s="414">
        <v>43282</v>
      </c>
      <c r="P21" s="372" t="s">
        <v>285</v>
      </c>
      <c r="Q21" s="372" t="s">
        <v>285</v>
      </c>
      <c r="R21" s="372" t="s">
        <v>405</v>
      </c>
    </row>
    <row r="22" spans="1:18" ht="38.25" x14ac:dyDescent="0.25">
      <c r="A22" s="372" t="s">
        <v>250</v>
      </c>
      <c r="B22" s="372" t="s">
        <v>284</v>
      </c>
      <c r="C22" s="372" t="s">
        <v>349</v>
      </c>
      <c r="D22" s="376" t="s">
        <v>277</v>
      </c>
      <c r="E22" s="372" t="s">
        <v>248</v>
      </c>
      <c r="F22" s="400" t="s">
        <v>294</v>
      </c>
      <c r="G22" s="372" t="s">
        <v>285</v>
      </c>
      <c r="H22" s="373">
        <f t="shared" si="0"/>
        <v>360000</v>
      </c>
      <c r="I22" s="381">
        <v>100000</v>
      </c>
      <c r="J22" s="371">
        <v>1</v>
      </c>
      <c r="K22" s="371">
        <v>0</v>
      </c>
      <c r="L22" s="372" t="s">
        <v>70</v>
      </c>
      <c r="M22" s="401" t="s">
        <v>245</v>
      </c>
      <c r="N22" s="414">
        <v>43678</v>
      </c>
      <c r="O22" s="414">
        <v>43709</v>
      </c>
      <c r="P22" s="372" t="s">
        <v>285</v>
      </c>
      <c r="Q22" s="372" t="s">
        <v>285</v>
      </c>
      <c r="R22" s="372" t="s">
        <v>405</v>
      </c>
    </row>
    <row r="23" spans="1:18" ht="51" x14ac:dyDescent="0.25">
      <c r="A23" s="372" t="s">
        <v>250</v>
      </c>
      <c r="B23" s="372" t="s">
        <v>284</v>
      </c>
      <c r="C23" s="372" t="s">
        <v>349</v>
      </c>
      <c r="D23" s="376" t="s">
        <v>278</v>
      </c>
      <c r="E23" s="372" t="s">
        <v>248</v>
      </c>
      <c r="F23" s="400" t="s">
        <v>294</v>
      </c>
      <c r="G23" s="372" t="s">
        <v>285</v>
      </c>
      <c r="H23" s="373">
        <f t="shared" si="0"/>
        <v>144000</v>
      </c>
      <c r="I23" s="381">
        <v>40000</v>
      </c>
      <c r="J23" s="371">
        <v>1</v>
      </c>
      <c r="K23" s="371">
        <v>0</v>
      </c>
      <c r="L23" s="372" t="s">
        <v>70</v>
      </c>
      <c r="M23" s="401" t="s">
        <v>245</v>
      </c>
      <c r="N23" s="414">
        <v>43617</v>
      </c>
      <c r="O23" s="414">
        <v>43647</v>
      </c>
      <c r="P23" s="372" t="s">
        <v>285</v>
      </c>
      <c r="Q23" s="372" t="s">
        <v>285</v>
      </c>
      <c r="R23" s="372" t="s">
        <v>405</v>
      </c>
    </row>
    <row r="24" spans="1:18" ht="25.5" x14ac:dyDescent="0.25">
      <c r="A24" s="372" t="s">
        <v>250</v>
      </c>
      <c r="B24" s="372" t="s">
        <v>284</v>
      </c>
      <c r="C24" s="372" t="s">
        <v>349</v>
      </c>
      <c r="D24" s="376" t="s">
        <v>299</v>
      </c>
      <c r="E24" s="372" t="s">
        <v>283</v>
      </c>
      <c r="F24" s="400" t="s">
        <v>294</v>
      </c>
      <c r="G24" s="372" t="s">
        <v>285</v>
      </c>
      <c r="H24" s="373">
        <f t="shared" si="0"/>
        <v>169200</v>
      </c>
      <c r="I24" s="381">
        <v>47000</v>
      </c>
      <c r="J24" s="371">
        <v>1</v>
      </c>
      <c r="K24" s="371">
        <v>0</v>
      </c>
      <c r="L24" s="372" t="s">
        <v>70</v>
      </c>
      <c r="M24" s="401" t="s">
        <v>245</v>
      </c>
      <c r="N24" s="414">
        <v>43132</v>
      </c>
      <c r="O24" s="414">
        <v>43282</v>
      </c>
      <c r="P24" s="372" t="s">
        <v>285</v>
      </c>
      <c r="Q24" s="372" t="s">
        <v>285</v>
      </c>
      <c r="R24" s="372" t="s">
        <v>370</v>
      </c>
    </row>
    <row r="25" spans="1:18" ht="25.5" x14ac:dyDescent="0.25">
      <c r="A25" s="372" t="s">
        <v>252</v>
      </c>
      <c r="B25" s="372" t="s">
        <v>284</v>
      </c>
      <c r="C25" s="372" t="s">
        <v>349</v>
      </c>
      <c r="D25" s="376" t="s">
        <v>280</v>
      </c>
      <c r="E25" s="372" t="s">
        <v>282</v>
      </c>
      <c r="F25" s="400" t="s">
        <v>294</v>
      </c>
      <c r="G25" s="372" t="s">
        <v>285</v>
      </c>
      <c r="H25" s="373">
        <f t="shared" si="0"/>
        <v>1033200</v>
      </c>
      <c r="I25" s="381">
        <v>287000</v>
      </c>
      <c r="J25" s="371">
        <v>1</v>
      </c>
      <c r="K25" s="371">
        <v>0</v>
      </c>
      <c r="L25" s="372" t="s">
        <v>70</v>
      </c>
      <c r="M25" s="401" t="s">
        <v>245</v>
      </c>
      <c r="N25" s="414">
        <v>42826</v>
      </c>
      <c r="O25" s="414">
        <v>42856</v>
      </c>
      <c r="P25" s="372" t="s">
        <v>285</v>
      </c>
      <c r="Q25" s="372" t="s">
        <v>285</v>
      </c>
      <c r="R25" s="372" t="s">
        <v>370</v>
      </c>
    </row>
    <row r="26" spans="1:18" ht="25.5" x14ac:dyDescent="0.25">
      <c r="A26" s="372" t="s">
        <v>255</v>
      </c>
      <c r="B26" s="372" t="s">
        <v>284</v>
      </c>
      <c r="C26" s="372" t="s">
        <v>349</v>
      </c>
      <c r="D26" s="376" t="s">
        <v>256</v>
      </c>
      <c r="E26" s="372" t="s">
        <v>283</v>
      </c>
      <c r="F26" s="400" t="s">
        <v>294</v>
      </c>
      <c r="G26" s="372" t="s">
        <v>285</v>
      </c>
      <c r="H26" s="373">
        <f t="shared" si="0"/>
        <v>365400</v>
      </c>
      <c r="I26" s="381">
        <v>101500</v>
      </c>
      <c r="J26" s="371">
        <v>1</v>
      </c>
      <c r="K26" s="371">
        <v>0</v>
      </c>
      <c r="L26" s="372" t="s">
        <v>70</v>
      </c>
      <c r="M26" s="401" t="s">
        <v>245</v>
      </c>
      <c r="N26" s="414" t="s">
        <v>369</v>
      </c>
      <c r="O26" s="414" t="s">
        <v>369</v>
      </c>
      <c r="P26" s="372" t="s">
        <v>285</v>
      </c>
      <c r="Q26" s="372" t="s">
        <v>285</v>
      </c>
      <c r="R26" s="372" t="s">
        <v>406</v>
      </c>
    </row>
    <row r="27" spans="1:18" ht="25.5" x14ac:dyDescent="0.25">
      <c r="A27" s="372" t="s">
        <v>255</v>
      </c>
      <c r="B27" s="372" t="s">
        <v>284</v>
      </c>
      <c r="C27" s="372" t="s">
        <v>349</v>
      </c>
      <c r="D27" s="376" t="s">
        <v>350</v>
      </c>
      <c r="E27" s="372" t="s">
        <v>248</v>
      </c>
      <c r="F27" s="400" t="s">
        <v>294</v>
      </c>
      <c r="G27" s="372" t="s">
        <v>285</v>
      </c>
      <c r="H27" s="373">
        <f>I27*$H$5</f>
        <v>630000</v>
      </c>
      <c r="I27" s="381">
        <v>175000</v>
      </c>
      <c r="J27" s="371">
        <v>1</v>
      </c>
      <c r="K27" s="371">
        <v>0</v>
      </c>
      <c r="L27" s="372" t="s">
        <v>70</v>
      </c>
      <c r="M27" s="401" t="s">
        <v>245</v>
      </c>
      <c r="N27" s="414" t="s">
        <v>369</v>
      </c>
      <c r="O27" s="414" t="s">
        <v>369</v>
      </c>
      <c r="P27" s="372" t="s">
        <v>285</v>
      </c>
      <c r="Q27" s="372" t="s">
        <v>285</v>
      </c>
      <c r="R27" s="372" t="s">
        <v>406</v>
      </c>
    </row>
    <row r="28" spans="1:18" ht="25.5" x14ac:dyDescent="0.25">
      <c r="A28" s="372" t="s">
        <v>61</v>
      </c>
      <c r="B28" s="372" t="s">
        <v>284</v>
      </c>
      <c r="C28" s="372" t="s">
        <v>358</v>
      </c>
      <c r="D28" s="376" t="s">
        <v>371</v>
      </c>
      <c r="E28" s="372" t="s">
        <v>283</v>
      </c>
      <c r="F28" s="400" t="s">
        <v>294</v>
      </c>
      <c r="G28" s="372" t="s">
        <v>285</v>
      </c>
      <c r="H28" s="373">
        <f t="shared" si="0"/>
        <v>100944</v>
      </c>
      <c r="I28" s="381">
        <v>28040</v>
      </c>
      <c r="J28" s="371">
        <v>1</v>
      </c>
      <c r="K28" s="371">
        <v>0</v>
      </c>
      <c r="L28" s="372" t="s">
        <v>63</v>
      </c>
      <c r="M28" s="401" t="s">
        <v>245</v>
      </c>
      <c r="N28" s="414">
        <v>42948</v>
      </c>
      <c r="O28" s="414">
        <v>43040</v>
      </c>
      <c r="P28" s="372" t="s">
        <v>285</v>
      </c>
      <c r="Q28" s="372" t="s">
        <v>285</v>
      </c>
      <c r="R28" s="372" t="s">
        <v>370</v>
      </c>
    </row>
    <row r="29" spans="1:18" ht="25.5" x14ac:dyDescent="0.25">
      <c r="A29" s="372" t="s">
        <v>61</v>
      </c>
      <c r="B29" s="372" t="s">
        <v>284</v>
      </c>
      <c r="C29" s="372" t="s">
        <v>358</v>
      </c>
      <c r="D29" s="376" t="s">
        <v>372</v>
      </c>
      <c r="E29" s="372" t="s">
        <v>283</v>
      </c>
      <c r="F29" s="400" t="s">
        <v>294</v>
      </c>
      <c r="G29" s="372" t="s">
        <v>285</v>
      </c>
      <c r="H29" s="373">
        <f t="shared" si="0"/>
        <v>119232</v>
      </c>
      <c r="I29" s="381">
        <v>33120</v>
      </c>
      <c r="J29" s="371">
        <v>1</v>
      </c>
      <c r="K29" s="371">
        <v>0</v>
      </c>
      <c r="L29" s="372" t="s">
        <v>63</v>
      </c>
      <c r="M29" s="401" t="s">
        <v>245</v>
      </c>
      <c r="N29" s="414">
        <v>43191</v>
      </c>
      <c r="O29" s="414">
        <v>43191</v>
      </c>
      <c r="P29" s="372" t="s">
        <v>285</v>
      </c>
      <c r="Q29" s="372" t="s">
        <v>285</v>
      </c>
      <c r="R29" s="372" t="s">
        <v>406</v>
      </c>
    </row>
    <row r="30" spans="1:18" ht="25.5" x14ac:dyDescent="0.25">
      <c r="A30" s="372" t="s">
        <v>250</v>
      </c>
      <c r="B30" s="372" t="s">
        <v>284</v>
      </c>
      <c r="C30" s="372" t="s">
        <v>358</v>
      </c>
      <c r="D30" s="376" t="s">
        <v>301</v>
      </c>
      <c r="E30" s="372" t="s">
        <v>248</v>
      </c>
      <c r="F30" s="400" t="s">
        <v>294</v>
      </c>
      <c r="G30" s="372" t="s">
        <v>285</v>
      </c>
      <c r="H30" s="373">
        <f t="shared" si="0"/>
        <v>774712.8</v>
      </c>
      <c r="I30" s="381">
        <v>215198</v>
      </c>
      <c r="J30" s="371">
        <v>1</v>
      </c>
      <c r="K30" s="371">
        <v>0</v>
      </c>
      <c r="L30" s="372" t="s">
        <v>63</v>
      </c>
      <c r="M30" s="401" t="s">
        <v>245</v>
      </c>
      <c r="N30" s="414" t="s">
        <v>369</v>
      </c>
      <c r="O30" s="414" t="s">
        <v>369</v>
      </c>
      <c r="P30" s="372" t="s">
        <v>285</v>
      </c>
      <c r="Q30" s="372" t="s">
        <v>285</v>
      </c>
      <c r="R30" s="372" t="s">
        <v>405</v>
      </c>
    </row>
    <row r="31" spans="1:18" ht="25.5" x14ac:dyDescent="0.25">
      <c r="A31" s="372" t="s">
        <v>250</v>
      </c>
      <c r="B31" s="372" t="s">
        <v>284</v>
      </c>
      <c r="C31" s="372" t="s">
        <v>358</v>
      </c>
      <c r="D31" s="376" t="s">
        <v>336</v>
      </c>
      <c r="E31" s="372" t="s">
        <v>248</v>
      </c>
      <c r="F31" s="400" t="s">
        <v>294</v>
      </c>
      <c r="G31" s="372"/>
      <c r="H31" s="373">
        <f t="shared" si="0"/>
        <v>72000</v>
      </c>
      <c r="I31" s="381">
        <f>20000</f>
        <v>20000</v>
      </c>
      <c r="J31" s="371">
        <v>1</v>
      </c>
      <c r="K31" s="371">
        <v>0</v>
      </c>
      <c r="L31" s="372" t="s">
        <v>63</v>
      </c>
      <c r="M31" s="401" t="s">
        <v>245</v>
      </c>
      <c r="N31" s="414">
        <v>43647</v>
      </c>
      <c r="O31" s="414">
        <v>43709</v>
      </c>
      <c r="P31" s="372"/>
      <c r="Q31" s="372"/>
      <c r="R31" s="372" t="s">
        <v>405</v>
      </c>
    </row>
    <row r="32" spans="1:18" ht="25.5" x14ac:dyDescent="0.25">
      <c r="A32" s="372" t="s">
        <v>250</v>
      </c>
      <c r="B32" s="372" t="s">
        <v>284</v>
      </c>
      <c r="C32" s="372" t="s">
        <v>358</v>
      </c>
      <c r="D32" s="376" t="s">
        <v>337</v>
      </c>
      <c r="E32" s="372" t="s">
        <v>248</v>
      </c>
      <c r="F32" s="400" t="s">
        <v>294</v>
      </c>
      <c r="G32" s="372"/>
      <c r="H32" s="373">
        <f t="shared" si="0"/>
        <v>216000</v>
      </c>
      <c r="I32" s="381">
        <f>60000</f>
        <v>60000</v>
      </c>
      <c r="J32" s="371">
        <v>1</v>
      </c>
      <c r="K32" s="371">
        <v>0</v>
      </c>
      <c r="L32" s="372" t="s">
        <v>63</v>
      </c>
      <c r="M32" s="401" t="s">
        <v>245</v>
      </c>
      <c r="N32" s="414">
        <v>43101</v>
      </c>
      <c r="O32" s="414">
        <v>43132</v>
      </c>
      <c r="P32" s="372"/>
      <c r="Q32" s="372"/>
      <c r="R32" s="372" t="s">
        <v>370</v>
      </c>
    </row>
    <row r="33" spans="1:18" ht="25.5" x14ac:dyDescent="0.25">
      <c r="A33" s="372" t="s">
        <v>250</v>
      </c>
      <c r="B33" s="372" t="s">
        <v>284</v>
      </c>
      <c r="C33" s="372" t="s">
        <v>358</v>
      </c>
      <c r="D33" s="376" t="s">
        <v>338</v>
      </c>
      <c r="E33" s="372" t="s">
        <v>248</v>
      </c>
      <c r="F33" s="400" t="s">
        <v>294</v>
      </c>
      <c r="G33" s="372"/>
      <c r="H33" s="373">
        <f t="shared" si="0"/>
        <v>201618</v>
      </c>
      <c r="I33" s="381">
        <f>56005</f>
        <v>56005</v>
      </c>
      <c r="J33" s="371">
        <v>1</v>
      </c>
      <c r="K33" s="371">
        <v>0</v>
      </c>
      <c r="L33" s="372" t="s">
        <v>63</v>
      </c>
      <c r="M33" s="401" t="s">
        <v>245</v>
      </c>
      <c r="N33" s="414">
        <v>43101</v>
      </c>
      <c r="O33" s="414">
        <v>43132</v>
      </c>
      <c r="P33" s="372"/>
      <c r="Q33" s="372"/>
      <c r="R33" s="372" t="s">
        <v>370</v>
      </c>
    </row>
    <row r="34" spans="1:18" ht="51" x14ac:dyDescent="0.25">
      <c r="A34" s="372" t="s">
        <v>252</v>
      </c>
      <c r="B34" s="372" t="s">
        <v>284</v>
      </c>
      <c r="C34" s="372" t="s">
        <v>358</v>
      </c>
      <c r="D34" s="376" t="s">
        <v>325</v>
      </c>
      <c r="E34" s="372" t="s">
        <v>282</v>
      </c>
      <c r="F34" s="400" t="s">
        <v>294</v>
      </c>
      <c r="G34" s="372" t="s">
        <v>285</v>
      </c>
      <c r="H34" s="373">
        <f t="shared" si="0"/>
        <v>212419.008</v>
      </c>
      <c r="I34" s="381">
        <v>59005.279999999999</v>
      </c>
      <c r="J34" s="371">
        <v>1</v>
      </c>
      <c r="K34" s="371">
        <v>0</v>
      </c>
      <c r="L34" s="372" t="s">
        <v>63</v>
      </c>
      <c r="M34" s="401" t="s">
        <v>245</v>
      </c>
      <c r="N34" s="414">
        <v>42887</v>
      </c>
      <c r="O34" s="414">
        <v>42917</v>
      </c>
      <c r="P34" s="372" t="s">
        <v>285</v>
      </c>
      <c r="Q34" s="372" t="s">
        <v>285</v>
      </c>
      <c r="R34" s="372" t="s">
        <v>370</v>
      </c>
    </row>
    <row r="35" spans="1:18" ht="51" x14ac:dyDescent="0.25">
      <c r="A35" s="372" t="s">
        <v>252</v>
      </c>
      <c r="B35" s="372" t="s">
        <v>284</v>
      </c>
      <c r="C35" s="372" t="s">
        <v>358</v>
      </c>
      <c r="D35" s="376" t="s">
        <v>325</v>
      </c>
      <c r="E35" s="372" t="s">
        <v>282</v>
      </c>
      <c r="F35" s="400" t="s">
        <v>294</v>
      </c>
      <c r="G35" s="372" t="s">
        <v>285</v>
      </c>
      <c r="H35" s="373">
        <f t="shared" si="0"/>
        <v>212419.008</v>
      </c>
      <c r="I35" s="381">
        <v>59005.279999999999</v>
      </c>
      <c r="J35" s="371">
        <v>1</v>
      </c>
      <c r="K35" s="371">
        <v>0</v>
      </c>
      <c r="L35" s="372" t="s">
        <v>63</v>
      </c>
      <c r="M35" s="401" t="s">
        <v>245</v>
      </c>
      <c r="N35" s="414">
        <v>42887</v>
      </c>
      <c r="O35" s="414">
        <v>42917</v>
      </c>
      <c r="P35" s="372" t="s">
        <v>285</v>
      </c>
      <c r="Q35" s="372" t="s">
        <v>285</v>
      </c>
      <c r="R35" s="372" t="s">
        <v>370</v>
      </c>
    </row>
    <row r="36" spans="1:18" ht="51" x14ac:dyDescent="0.25">
      <c r="A36" s="372" t="s">
        <v>252</v>
      </c>
      <c r="B36" s="372" t="s">
        <v>284</v>
      </c>
      <c r="C36" s="372" t="s">
        <v>358</v>
      </c>
      <c r="D36" s="376" t="s">
        <v>326</v>
      </c>
      <c r="E36" s="372" t="s">
        <v>282</v>
      </c>
      <c r="F36" s="400" t="s">
        <v>294</v>
      </c>
      <c r="G36" s="372" t="s">
        <v>285</v>
      </c>
      <c r="H36" s="373">
        <f t="shared" si="0"/>
        <v>684601.20000000007</v>
      </c>
      <c r="I36" s="381">
        <v>190167</v>
      </c>
      <c r="J36" s="371">
        <v>1</v>
      </c>
      <c r="K36" s="371">
        <v>0</v>
      </c>
      <c r="L36" s="372" t="s">
        <v>63</v>
      </c>
      <c r="M36" s="401" t="s">
        <v>245</v>
      </c>
      <c r="N36" s="414">
        <v>42856</v>
      </c>
      <c r="O36" s="414">
        <v>42887</v>
      </c>
      <c r="P36" s="372" t="s">
        <v>285</v>
      </c>
      <c r="Q36" s="372" t="s">
        <v>285</v>
      </c>
      <c r="R36" s="372" t="s">
        <v>370</v>
      </c>
    </row>
    <row r="37" spans="1:18" ht="38.25" x14ac:dyDescent="0.25">
      <c r="A37" s="372" t="s">
        <v>252</v>
      </c>
      <c r="B37" s="372" t="s">
        <v>284</v>
      </c>
      <c r="C37" s="372" t="s">
        <v>358</v>
      </c>
      <c r="D37" s="376" t="s">
        <v>327</v>
      </c>
      <c r="E37" s="372" t="s">
        <v>282</v>
      </c>
      <c r="F37" s="400" t="s">
        <v>294</v>
      </c>
      <c r="G37" s="372" t="s">
        <v>285</v>
      </c>
      <c r="H37" s="373">
        <f t="shared" si="0"/>
        <v>612705.6</v>
      </c>
      <c r="I37" s="381">
        <v>170196</v>
      </c>
      <c r="J37" s="371">
        <v>1</v>
      </c>
      <c r="K37" s="371">
        <v>0</v>
      </c>
      <c r="L37" s="372" t="s">
        <v>63</v>
      </c>
      <c r="M37" s="401" t="s">
        <v>245</v>
      </c>
      <c r="N37" s="414">
        <v>42887</v>
      </c>
      <c r="O37" s="414">
        <v>42917</v>
      </c>
      <c r="P37" s="372" t="s">
        <v>285</v>
      </c>
      <c r="Q37" s="372" t="s">
        <v>285</v>
      </c>
      <c r="R37" s="372" t="s">
        <v>370</v>
      </c>
    </row>
    <row r="38" spans="1:18" ht="51" x14ac:dyDescent="0.25">
      <c r="A38" s="372" t="s">
        <v>252</v>
      </c>
      <c r="B38" s="372" t="s">
        <v>284</v>
      </c>
      <c r="C38" s="372" t="s">
        <v>358</v>
      </c>
      <c r="D38" s="376" t="s">
        <v>326</v>
      </c>
      <c r="E38" s="372" t="s">
        <v>282</v>
      </c>
      <c r="F38" s="400" t="s">
        <v>294</v>
      </c>
      <c r="G38" s="372" t="s">
        <v>285</v>
      </c>
      <c r="H38" s="373">
        <f t="shared" si="0"/>
        <v>612705.6</v>
      </c>
      <c r="I38" s="381">
        <v>170196</v>
      </c>
      <c r="J38" s="371">
        <v>1</v>
      </c>
      <c r="K38" s="371">
        <v>0</v>
      </c>
      <c r="L38" s="372" t="s">
        <v>63</v>
      </c>
      <c r="M38" s="401" t="s">
        <v>245</v>
      </c>
      <c r="N38" s="414">
        <v>42887</v>
      </c>
      <c r="O38" s="414">
        <v>42917</v>
      </c>
      <c r="P38" s="372" t="s">
        <v>285</v>
      </c>
      <c r="Q38" s="372" t="s">
        <v>285</v>
      </c>
      <c r="R38" s="372" t="s">
        <v>370</v>
      </c>
    </row>
    <row r="39" spans="1:18" ht="25.5" x14ac:dyDescent="0.25">
      <c r="A39" s="372" t="s">
        <v>252</v>
      </c>
      <c r="B39" s="372" t="s">
        <v>284</v>
      </c>
      <c r="C39" s="372" t="s">
        <v>358</v>
      </c>
      <c r="D39" s="376" t="s">
        <v>387</v>
      </c>
      <c r="E39" s="372" t="s">
        <v>282</v>
      </c>
      <c r="F39" s="400" t="s">
        <v>294</v>
      </c>
      <c r="G39" s="372"/>
      <c r="H39" s="373">
        <f t="shared" si="0"/>
        <v>126000</v>
      </c>
      <c r="I39" s="381">
        <v>35000</v>
      </c>
      <c r="J39" s="371">
        <v>1</v>
      </c>
      <c r="K39" s="371">
        <v>0</v>
      </c>
      <c r="L39" s="372" t="s">
        <v>63</v>
      </c>
      <c r="M39" s="401" t="s">
        <v>245</v>
      </c>
      <c r="N39" s="414">
        <v>43435</v>
      </c>
      <c r="O39" s="414">
        <v>43466</v>
      </c>
      <c r="P39" s="372" t="s">
        <v>285</v>
      </c>
      <c r="Q39" s="372" t="s">
        <v>285</v>
      </c>
      <c r="R39" s="372" t="s">
        <v>370</v>
      </c>
    </row>
    <row r="40" spans="1:18" ht="25.5" x14ac:dyDescent="0.25">
      <c r="A40" s="372" t="s">
        <v>319</v>
      </c>
      <c r="B40" s="372" t="s">
        <v>284</v>
      </c>
      <c r="C40" s="372" t="s">
        <v>358</v>
      </c>
      <c r="D40" s="376" t="s">
        <v>360</v>
      </c>
      <c r="E40" s="372" t="s">
        <v>283</v>
      </c>
      <c r="F40" s="400" t="s">
        <v>294</v>
      </c>
      <c r="G40" s="372" t="s">
        <v>285</v>
      </c>
      <c r="H40" s="373">
        <f t="shared" si="0"/>
        <v>409222.8</v>
      </c>
      <c r="I40" s="381">
        <v>113673</v>
      </c>
      <c r="J40" s="371">
        <v>1</v>
      </c>
      <c r="K40" s="371">
        <v>0</v>
      </c>
      <c r="L40" s="372" t="s">
        <v>63</v>
      </c>
      <c r="M40" s="401" t="s">
        <v>245</v>
      </c>
      <c r="N40" s="414" t="s">
        <v>369</v>
      </c>
      <c r="O40" s="414" t="s">
        <v>369</v>
      </c>
      <c r="P40" s="372" t="s">
        <v>285</v>
      </c>
      <c r="Q40" s="372" t="s">
        <v>285</v>
      </c>
      <c r="R40" s="372" t="s">
        <v>406</v>
      </c>
    </row>
    <row r="41" spans="1:18" ht="25.5" x14ac:dyDescent="0.25">
      <c r="A41" s="372" t="s">
        <v>319</v>
      </c>
      <c r="B41" s="372" t="s">
        <v>284</v>
      </c>
      <c r="C41" s="372" t="s">
        <v>358</v>
      </c>
      <c r="D41" s="376" t="s">
        <v>388</v>
      </c>
      <c r="E41" s="372" t="s">
        <v>283</v>
      </c>
      <c r="F41" s="400" t="s">
        <v>294</v>
      </c>
      <c r="G41" s="372"/>
      <c r="H41" s="373">
        <f t="shared" ref="H41" si="2">I41*$H$5</f>
        <v>28125</v>
      </c>
      <c r="I41" s="381">
        <v>7812.5</v>
      </c>
      <c r="J41" s="371">
        <v>1</v>
      </c>
      <c r="K41" s="371">
        <v>0</v>
      </c>
      <c r="L41" s="372" t="s">
        <v>63</v>
      </c>
      <c r="M41" s="401" t="s">
        <v>245</v>
      </c>
      <c r="N41" s="414" t="s">
        <v>369</v>
      </c>
      <c r="O41" s="414" t="s">
        <v>369</v>
      </c>
      <c r="P41" s="372"/>
      <c r="Q41" s="372"/>
      <c r="R41" s="372" t="s">
        <v>370</v>
      </c>
    </row>
    <row r="42" spans="1:18" ht="25.5" x14ac:dyDescent="0.25">
      <c r="A42" s="372" t="s">
        <v>319</v>
      </c>
      <c r="B42" s="372" t="s">
        <v>284</v>
      </c>
      <c r="C42" s="372" t="s">
        <v>358</v>
      </c>
      <c r="D42" s="376" t="s">
        <v>361</v>
      </c>
      <c r="E42" s="372" t="s">
        <v>283</v>
      </c>
      <c r="F42" s="400" t="s">
        <v>294</v>
      </c>
      <c r="G42" s="372"/>
      <c r="H42" s="373">
        <f t="shared" si="0"/>
        <v>345542.18400000001</v>
      </c>
      <c r="I42" s="381">
        <f>103796.44-7812.5</f>
        <v>95983.94</v>
      </c>
      <c r="J42" s="371">
        <v>1</v>
      </c>
      <c r="K42" s="371">
        <v>0</v>
      </c>
      <c r="L42" s="372" t="s">
        <v>63</v>
      </c>
      <c r="M42" s="401" t="s">
        <v>245</v>
      </c>
      <c r="N42" s="414">
        <v>43040</v>
      </c>
      <c r="O42" s="414">
        <v>43101</v>
      </c>
      <c r="P42" s="372"/>
      <c r="Q42" s="372"/>
      <c r="R42" s="372" t="s">
        <v>370</v>
      </c>
    </row>
    <row r="43" spans="1:18" ht="25.5" x14ac:dyDescent="0.25">
      <c r="A43" s="372" t="s">
        <v>61</v>
      </c>
      <c r="B43" s="372" t="s">
        <v>284</v>
      </c>
      <c r="C43" s="372" t="s">
        <v>358</v>
      </c>
      <c r="D43" s="376" t="s">
        <v>304</v>
      </c>
      <c r="E43" s="372" t="s">
        <v>283</v>
      </c>
      <c r="F43" s="400" t="s">
        <v>294</v>
      </c>
      <c r="G43" s="372" t="s">
        <v>285</v>
      </c>
      <c r="H43" s="373">
        <f t="shared" ref="H43:H85" si="3">I43*$H$5</f>
        <v>107923.068</v>
      </c>
      <c r="I43" s="381">
        <v>29978.63</v>
      </c>
      <c r="J43" s="371">
        <v>1</v>
      </c>
      <c r="K43" s="371">
        <v>0</v>
      </c>
      <c r="L43" s="372" t="s">
        <v>138</v>
      </c>
      <c r="M43" s="401" t="s">
        <v>245</v>
      </c>
      <c r="N43" s="414">
        <v>42887</v>
      </c>
      <c r="O43" s="414">
        <v>42948</v>
      </c>
      <c r="P43" s="372" t="s">
        <v>285</v>
      </c>
      <c r="Q43" s="372" t="s">
        <v>285</v>
      </c>
      <c r="R43" s="372" t="s">
        <v>370</v>
      </c>
    </row>
    <row r="44" spans="1:18" ht="25.5" x14ac:dyDescent="0.25">
      <c r="A44" s="372" t="s">
        <v>61</v>
      </c>
      <c r="B44" s="372" t="s">
        <v>284</v>
      </c>
      <c r="C44" s="372" t="s">
        <v>358</v>
      </c>
      <c r="D44" s="376" t="s">
        <v>305</v>
      </c>
      <c r="E44" s="372" t="s">
        <v>283</v>
      </c>
      <c r="F44" s="400" t="s">
        <v>294</v>
      </c>
      <c r="G44" s="372" t="s">
        <v>285</v>
      </c>
      <c r="H44" s="373">
        <f t="shared" si="3"/>
        <v>142104.99600000001</v>
      </c>
      <c r="I44" s="381">
        <v>39473.61</v>
      </c>
      <c r="J44" s="371">
        <v>1</v>
      </c>
      <c r="K44" s="371">
        <v>0</v>
      </c>
      <c r="L44" s="372" t="s">
        <v>138</v>
      </c>
      <c r="M44" s="401" t="s">
        <v>245</v>
      </c>
      <c r="N44" s="414">
        <v>42917</v>
      </c>
      <c r="O44" s="414">
        <v>42979</v>
      </c>
      <c r="P44" s="372" t="s">
        <v>285</v>
      </c>
      <c r="Q44" s="372" t="s">
        <v>285</v>
      </c>
      <c r="R44" s="372" t="s">
        <v>370</v>
      </c>
    </row>
    <row r="45" spans="1:18" ht="25.5" x14ac:dyDescent="0.25">
      <c r="A45" s="372" t="s">
        <v>61</v>
      </c>
      <c r="B45" s="372" t="s">
        <v>284</v>
      </c>
      <c r="C45" s="372" t="s">
        <v>358</v>
      </c>
      <c r="D45" s="376" t="s">
        <v>306</v>
      </c>
      <c r="E45" s="372" t="s">
        <v>283</v>
      </c>
      <c r="F45" s="400" t="s">
        <v>294</v>
      </c>
      <c r="G45" s="372" t="s">
        <v>285</v>
      </c>
      <c r="H45" s="373">
        <f t="shared" si="3"/>
        <v>31422.527999999998</v>
      </c>
      <c r="I45" s="381">
        <v>8728.48</v>
      </c>
      <c r="J45" s="371">
        <v>1</v>
      </c>
      <c r="K45" s="371">
        <v>0</v>
      </c>
      <c r="L45" s="372" t="s">
        <v>138</v>
      </c>
      <c r="M45" s="401" t="s">
        <v>245</v>
      </c>
      <c r="N45" s="414">
        <v>42887</v>
      </c>
      <c r="O45" s="414">
        <v>42948</v>
      </c>
      <c r="P45" s="372" t="s">
        <v>285</v>
      </c>
      <c r="Q45" s="372" t="s">
        <v>285</v>
      </c>
      <c r="R45" s="372" t="s">
        <v>370</v>
      </c>
    </row>
    <row r="46" spans="1:18" ht="25.5" x14ac:dyDescent="0.25">
      <c r="A46" s="372" t="s">
        <v>61</v>
      </c>
      <c r="B46" s="372" t="s">
        <v>284</v>
      </c>
      <c r="C46" s="372" t="s">
        <v>358</v>
      </c>
      <c r="D46" s="376" t="s">
        <v>398</v>
      </c>
      <c r="E46" s="372" t="s">
        <v>283</v>
      </c>
      <c r="F46" s="400" t="s">
        <v>294</v>
      </c>
      <c r="G46" s="372" t="s">
        <v>285</v>
      </c>
      <c r="H46" s="373">
        <f t="shared" si="3"/>
        <v>412200</v>
      </c>
      <c r="I46" s="381">
        <v>114500</v>
      </c>
      <c r="J46" s="371">
        <v>1</v>
      </c>
      <c r="K46" s="371">
        <v>0</v>
      </c>
      <c r="L46" s="372" t="s">
        <v>138</v>
      </c>
      <c r="M46" s="401" t="s">
        <v>245</v>
      </c>
      <c r="N46" s="414">
        <v>42887</v>
      </c>
      <c r="O46" s="414">
        <v>42979</v>
      </c>
      <c r="P46" s="372" t="s">
        <v>285</v>
      </c>
      <c r="Q46" s="372" t="s">
        <v>285</v>
      </c>
      <c r="R46" s="372" t="s">
        <v>370</v>
      </c>
    </row>
    <row r="47" spans="1:18" ht="25.5" x14ac:dyDescent="0.25">
      <c r="A47" s="372" t="s">
        <v>61</v>
      </c>
      <c r="B47" s="372" t="s">
        <v>284</v>
      </c>
      <c r="C47" s="372" t="s">
        <v>358</v>
      </c>
      <c r="D47" s="376" t="s">
        <v>399</v>
      </c>
      <c r="E47" s="372" t="s">
        <v>283</v>
      </c>
      <c r="F47" s="400" t="s">
        <v>294</v>
      </c>
      <c r="G47" s="372" t="s">
        <v>285</v>
      </c>
      <c r="H47" s="373">
        <f t="shared" ref="H47" si="4">I47*$H$5</f>
        <v>71640</v>
      </c>
      <c r="I47" s="381">
        <v>19900</v>
      </c>
      <c r="J47" s="371">
        <v>1</v>
      </c>
      <c r="K47" s="371">
        <v>0</v>
      </c>
      <c r="L47" s="372" t="s">
        <v>138</v>
      </c>
      <c r="M47" s="401" t="s">
        <v>245</v>
      </c>
      <c r="N47" s="414">
        <v>43466</v>
      </c>
      <c r="O47" s="414">
        <v>43586</v>
      </c>
      <c r="P47" s="372" t="s">
        <v>285</v>
      </c>
      <c r="Q47" s="372" t="s">
        <v>285</v>
      </c>
      <c r="R47" s="372" t="s">
        <v>370</v>
      </c>
    </row>
    <row r="48" spans="1:18" ht="25.5" x14ac:dyDescent="0.25">
      <c r="A48" s="372" t="s">
        <v>61</v>
      </c>
      <c r="B48" s="372" t="s">
        <v>284</v>
      </c>
      <c r="C48" s="372" t="s">
        <v>358</v>
      </c>
      <c r="D48" s="376" t="s">
        <v>237</v>
      </c>
      <c r="E48" s="372" t="s">
        <v>283</v>
      </c>
      <c r="F48" s="400" t="s">
        <v>294</v>
      </c>
      <c r="G48" s="372" t="s">
        <v>285</v>
      </c>
      <c r="H48" s="373">
        <f t="shared" si="3"/>
        <v>134208.03600000002</v>
      </c>
      <c r="I48" s="381">
        <v>37280.01</v>
      </c>
      <c r="J48" s="371">
        <v>1</v>
      </c>
      <c r="K48" s="371">
        <v>0</v>
      </c>
      <c r="L48" s="372" t="s">
        <v>138</v>
      </c>
      <c r="M48" s="401" t="s">
        <v>245</v>
      </c>
      <c r="N48" s="414" t="s">
        <v>369</v>
      </c>
      <c r="O48" s="414" t="s">
        <v>369</v>
      </c>
      <c r="P48" s="372" t="s">
        <v>285</v>
      </c>
      <c r="Q48" s="372" t="s">
        <v>285</v>
      </c>
      <c r="R48" s="372" t="s">
        <v>406</v>
      </c>
    </row>
    <row r="49" spans="1:18" ht="25.5" x14ac:dyDescent="0.25">
      <c r="A49" s="372" t="s">
        <v>250</v>
      </c>
      <c r="B49" s="372" t="s">
        <v>284</v>
      </c>
      <c r="C49" s="372" t="s">
        <v>358</v>
      </c>
      <c r="D49" s="376" t="s">
        <v>307</v>
      </c>
      <c r="E49" s="372" t="s">
        <v>248</v>
      </c>
      <c r="F49" s="400" t="s">
        <v>294</v>
      </c>
      <c r="G49" s="372" t="s">
        <v>285</v>
      </c>
      <c r="H49" s="373">
        <f t="shared" si="3"/>
        <v>1054811.9880000001</v>
      </c>
      <c r="I49" s="381">
        <v>293003.33</v>
      </c>
      <c r="J49" s="371">
        <v>1</v>
      </c>
      <c r="K49" s="371">
        <v>0</v>
      </c>
      <c r="L49" s="372" t="s">
        <v>138</v>
      </c>
      <c r="M49" s="401" t="s">
        <v>245</v>
      </c>
      <c r="N49" s="414">
        <v>43556</v>
      </c>
      <c r="O49" s="414">
        <v>43709</v>
      </c>
      <c r="P49" s="372" t="s">
        <v>285</v>
      </c>
      <c r="Q49" s="372" t="s">
        <v>285</v>
      </c>
      <c r="R49" s="372" t="s">
        <v>405</v>
      </c>
    </row>
    <row r="50" spans="1:18" ht="38.25" x14ac:dyDescent="0.25">
      <c r="A50" s="372" t="s">
        <v>252</v>
      </c>
      <c r="B50" s="372" t="s">
        <v>284</v>
      </c>
      <c r="C50" s="372" t="s">
        <v>358</v>
      </c>
      <c r="D50" s="376" t="s">
        <v>234</v>
      </c>
      <c r="E50" s="372" t="s">
        <v>249</v>
      </c>
      <c r="F50" s="400" t="s">
        <v>294</v>
      </c>
      <c r="G50" s="372" t="s">
        <v>285</v>
      </c>
      <c r="H50" s="373">
        <f t="shared" si="3"/>
        <v>28421.027999999998</v>
      </c>
      <c r="I50" s="381">
        <v>7894.73</v>
      </c>
      <c r="J50" s="371">
        <v>1</v>
      </c>
      <c r="K50" s="371">
        <v>0</v>
      </c>
      <c r="L50" s="372" t="s">
        <v>138</v>
      </c>
      <c r="M50" s="401" t="s">
        <v>245</v>
      </c>
      <c r="N50" s="414">
        <v>42887</v>
      </c>
      <c r="O50" s="414">
        <v>42917</v>
      </c>
      <c r="P50" s="372" t="s">
        <v>285</v>
      </c>
      <c r="Q50" s="372" t="s">
        <v>285</v>
      </c>
      <c r="R50" s="372" t="s">
        <v>370</v>
      </c>
    </row>
    <row r="51" spans="1:18" ht="38.25" x14ac:dyDescent="0.25">
      <c r="A51" s="372" t="s">
        <v>252</v>
      </c>
      <c r="B51" s="372" t="s">
        <v>284</v>
      </c>
      <c r="C51" s="372" t="s">
        <v>358</v>
      </c>
      <c r="D51" s="376" t="s">
        <v>235</v>
      </c>
      <c r="E51" s="372" t="s">
        <v>249</v>
      </c>
      <c r="F51" s="400" t="s">
        <v>294</v>
      </c>
      <c r="G51" s="372" t="s">
        <v>285</v>
      </c>
      <c r="H51" s="373">
        <f t="shared" si="3"/>
        <v>321466.57200000004</v>
      </c>
      <c r="I51" s="381">
        <v>89296.27</v>
      </c>
      <c r="J51" s="371">
        <v>1</v>
      </c>
      <c r="K51" s="371">
        <v>0</v>
      </c>
      <c r="L51" s="372" t="s">
        <v>138</v>
      </c>
      <c r="M51" s="401" t="s">
        <v>245</v>
      </c>
      <c r="N51" s="414">
        <v>43101</v>
      </c>
      <c r="O51" s="414">
        <v>43132</v>
      </c>
      <c r="P51" s="372" t="s">
        <v>285</v>
      </c>
      <c r="Q51" s="372" t="s">
        <v>285</v>
      </c>
      <c r="R51" s="372" t="s">
        <v>370</v>
      </c>
    </row>
    <row r="52" spans="1:18" ht="38.25" x14ac:dyDescent="0.25">
      <c r="A52" s="372" t="s">
        <v>252</v>
      </c>
      <c r="B52" s="372" t="s">
        <v>284</v>
      </c>
      <c r="C52" s="372" t="s">
        <v>358</v>
      </c>
      <c r="D52" s="376" t="s">
        <v>238</v>
      </c>
      <c r="E52" s="372" t="s">
        <v>249</v>
      </c>
      <c r="F52" s="400" t="s">
        <v>294</v>
      </c>
      <c r="G52" s="372" t="s">
        <v>285</v>
      </c>
      <c r="H52" s="373">
        <f t="shared" si="3"/>
        <v>95080.248000000007</v>
      </c>
      <c r="I52" s="381">
        <v>26411.18</v>
      </c>
      <c r="J52" s="371">
        <v>1</v>
      </c>
      <c r="K52" s="371">
        <v>0</v>
      </c>
      <c r="L52" s="372" t="s">
        <v>138</v>
      </c>
      <c r="M52" s="401" t="s">
        <v>245</v>
      </c>
      <c r="N52" s="414">
        <v>42948</v>
      </c>
      <c r="O52" s="414">
        <v>42948</v>
      </c>
      <c r="P52" s="372" t="s">
        <v>285</v>
      </c>
      <c r="Q52" s="372" t="s">
        <v>285</v>
      </c>
      <c r="R52" s="372" t="s">
        <v>370</v>
      </c>
    </row>
    <row r="53" spans="1:18" ht="25.5" x14ac:dyDescent="0.25">
      <c r="A53" s="372" t="s">
        <v>252</v>
      </c>
      <c r="B53" s="372" t="s">
        <v>284</v>
      </c>
      <c r="C53" s="372" t="s">
        <v>358</v>
      </c>
      <c r="D53" s="376" t="s">
        <v>328</v>
      </c>
      <c r="E53" s="372" t="s">
        <v>282</v>
      </c>
      <c r="F53" s="400" t="s">
        <v>294</v>
      </c>
      <c r="G53" s="372" t="s">
        <v>285</v>
      </c>
      <c r="H53" s="373">
        <f t="shared" si="3"/>
        <v>1224811.7279999999</v>
      </c>
      <c r="I53" s="381">
        <v>340225.48</v>
      </c>
      <c r="J53" s="371">
        <v>1</v>
      </c>
      <c r="K53" s="371">
        <v>0</v>
      </c>
      <c r="L53" s="372" t="s">
        <v>138</v>
      </c>
      <c r="M53" s="401" t="s">
        <v>245</v>
      </c>
      <c r="N53" s="414">
        <v>42826</v>
      </c>
      <c r="O53" s="414">
        <v>42856</v>
      </c>
      <c r="P53" s="372" t="s">
        <v>285</v>
      </c>
      <c r="Q53" s="372" t="s">
        <v>285</v>
      </c>
      <c r="R53" s="372" t="s">
        <v>370</v>
      </c>
    </row>
    <row r="54" spans="1:18" ht="25.5" x14ac:dyDescent="0.25">
      <c r="A54" s="372" t="s">
        <v>252</v>
      </c>
      <c r="B54" s="372" t="s">
        <v>284</v>
      </c>
      <c r="C54" s="372" t="s">
        <v>358</v>
      </c>
      <c r="D54" s="376" t="s">
        <v>329</v>
      </c>
      <c r="E54" s="372" t="s">
        <v>282</v>
      </c>
      <c r="F54" s="400" t="s">
        <v>294</v>
      </c>
      <c r="G54" s="372" t="s">
        <v>285</v>
      </c>
      <c r="H54" s="373">
        <f t="shared" si="3"/>
        <v>865751.29200000002</v>
      </c>
      <c r="I54" s="381">
        <v>240486.47</v>
      </c>
      <c r="J54" s="371">
        <v>1</v>
      </c>
      <c r="K54" s="371">
        <v>0</v>
      </c>
      <c r="L54" s="372" t="s">
        <v>138</v>
      </c>
      <c r="M54" s="401" t="s">
        <v>245</v>
      </c>
      <c r="N54" s="414">
        <v>42917</v>
      </c>
      <c r="O54" s="414">
        <v>42948</v>
      </c>
      <c r="P54" s="372" t="s">
        <v>285</v>
      </c>
      <c r="Q54" s="372" t="s">
        <v>285</v>
      </c>
      <c r="R54" s="372" t="s">
        <v>370</v>
      </c>
    </row>
    <row r="55" spans="1:18" ht="25.5" x14ac:dyDescent="0.25">
      <c r="A55" s="372" t="s">
        <v>252</v>
      </c>
      <c r="B55" s="372" t="s">
        <v>284</v>
      </c>
      <c r="C55" s="372" t="s">
        <v>358</v>
      </c>
      <c r="D55" s="376" t="s">
        <v>330</v>
      </c>
      <c r="E55" s="372" t="s">
        <v>282</v>
      </c>
      <c r="F55" s="400" t="s">
        <v>294</v>
      </c>
      <c r="G55" s="372" t="s">
        <v>285</v>
      </c>
      <c r="H55" s="373">
        <f t="shared" si="3"/>
        <v>408480.19200000004</v>
      </c>
      <c r="I55" s="381">
        <f>113501.61-34.89</f>
        <v>113466.72</v>
      </c>
      <c r="J55" s="371">
        <v>1</v>
      </c>
      <c r="K55" s="371">
        <v>0</v>
      </c>
      <c r="L55" s="372" t="s">
        <v>138</v>
      </c>
      <c r="M55" s="401" t="s">
        <v>245</v>
      </c>
      <c r="N55" s="414">
        <v>42917</v>
      </c>
      <c r="O55" s="414">
        <v>42948</v>
      </c>
      <c r="P55" s="372" t="s">
        <v>285</v>
      </c>
      <c r="Q55" s="372" t="s">
        <v>285</v>
      </c>
      <c r="R55" s="372" t="s">
        <v>370</v>
      </c>
    </row>
    <row r="56" spans="1:18" ht="25.5" x14ac:dyDescent="0.25">
      <c r="A56" s="372" t="s">
        <v>252</v>
      </c>
      <c r="B56" s="372" t="s">
        <v>284</v>
      </c>
      <c r="C56" s="372" t="s">
        <v>358</v>
      </c>
      <c r="D56" s="376" t="s">
        <v>330</v>
      </c>
      <c r="E56" s="372" t="s">
        <v>282</v>
      </c>
      <c r="F56" s="400" t="s">
        <v>294</v>
      </c>
      <c r="G56" s="372" t="s">
        <v>285</v>
      </c>
      <c r="H56" s="373">
        <f t="shared" si="3"/>
        <v>408480.19200000004</v>
      </c>
      <c r="I56" s="381">
        <f t="shared" ref="I56:I57" si="5">113501.61-34.89</f>
        <v>113466.72</v>
      </c>
      <c r="J56" s="371">
        <v>1</v>
      </c>
      <c r="K56" s="371">
        <v>0</v>
      </c>
      <c r="L56" s="372" t="s">
        <v>138</v>
      </c>
      <c r="M56" s="401" t="s">
        <v>245</v>
      </c>
      <c r="N56" s="414">
        <v>42917</v>
      </c>
      <c r="O56" s="414">
        <v>42948</v>
      </c>
      <c r="P56" s="372" t="s">
        <v>285</v>
      </c>
      <c r="Q56" s="372" t="s">
        <v>285</v>
      </c>
      <c r="R56" s="372" t="s">
        <v>370</v>
      </c>
    </row>
    <row r="57" spans="1:18" ht="25.5" x14ac:dyDescent="0.25">
      <c r="A57" s="372" t="s">
        <v>252</v>
      </c>
      <c r="B57" s="372" t="s">
        <v>284</v>
      </c>
      <c r="C57" s="372" t="s">
        <v>358</v>
      </c>
      <c r="D57" s="376" t="s">
        <v>330</v>
      </c>
      <c r="E57" s="372" t="s">
        <v>282</v>
      </c>
      <c r="F57" s="400" t="s">
        <v>294</v>
      </c>
      <c r="G57" s="372" t="s">
        <v>285</v>
      </c>
      <c r="H57" s="373">
        <f t="shared" si="3"/>
        <v>408480.19200000004</v>
      </c>
      <c r="I57" s="381">
        <f t="shared" si="5"/>
        <v>113466.72</v>
      </c>
      <c r="J57" s="371">
        <v>1</v>
      </c>
      <c r="K57" s="371">
        <v>0</v>
      </c>
      <c r="L57" s="372" t="s">
        <v>138</v>
      </c>
      <c r="M57" s="401" t="s">
        <v>245</v>
      </c>
      <c r="N57" s="414">
        <v>42917</v>
      </c>
      <c r="O57" s="414">
        <v>42948</v>
      </c>
      <c r="P57" s="372" t="s">
        <v>285</v>
      </c>
      <c r="Q57" s="372" t="s">
        <v>285</v>
      </c>
      <c r="R57" s="372" t="s">
        <v>370</v>
      </c>
    </row>
    <row r="58" spans="1:18" ht="25.5" x14ac:dyDescent="0.25">
      <c r="A58" s="372" t="s">
        <v>252</v>
      </c>
      <c r="B58" s="372" t="s">
        <v>284</v>
      </c>
      <c r="C58" s="372" t="s">
        <v>358</v>
      </c>
      <c r="D58" s="376" t="s">
        <v>400</v>
      </c>
      <c r="E58" s="372" t="s">
        <v>282</v>
      </c>
      <c r="F58" s="400" t="s">
        <v>294</v>
      </c>
      <c r="G58" s="372" t="s">
        <v>285</v>
      </c>
      <c r="H58" s="373">
        <f t="shared" si="3"/>
        <v>198000</v>
      </c>
      <c r="I58" s="381">
        <v>55000</v>
      </c>
      <c r="J58" s="371">
        <v>1</v>
      </c>
      <c r="K58" s="371">
        <v>0</v>
      </c>
      <c r="L58" s="372" t="s">
        <v>138</v>
      </c>
      <c r="M58" s="401" t="s">
        <v>245</v>
      </c>
      <c r="N58" s="414" t="s">
        <v>402</v>
      </c>
      <c r="O58" s="414" t="s">
        <v>402</v>
      </c>
      <c r="P58" s="372" t="s">
        <v>285</v>
      </c>
      <c r="Q58" s="372" t="s">
        <v>285</v>
      </c>
      <c r="R58" s="372" t="s">
        <v>370</v>
      </c>
    </row>
    <row r="59" spans="1:18" ht="25.5" x14ac:dyDescent="0.25">
      <c r="A59" s="372" t="s">
        <v>252</v>
      </c>
      <c r="B59" s="372" t="s">
        <v>284</v>
      </c>
      <c r="C59" s="372" t="s">
        <v>358</v>
      </c>
      <c r="D59" s="376" t="s">
        <v>401</v>
      </c>
      <c r="E59" s="372" t="s">
        <v>282</v>
      </c>
      <c r="F59" s="400" t="s">
        <v>294</v>
      </c>
      <c r="G59" s="372" t="s">
        <v>285</v>
      </c>
      <c r="H59" s="373">
        <f t="shared" si="3"/>
        <v>234000</v>
      </c>
      <c r="I59" s="381">
        <v>65000</v>
      </c>
      <c r="J59" s="371">
        <v>1</v>
      </c>
      <c r="K59" s="371">
        <v>0</v>
      </c>
      <c r="L59" s="372" t="s">
        <v>138</v>
      </c>
      <c r="M59" s="401" t="s">
        <v>245</v>
      </c>
      <c r="N59" s="414">
        <v>43466</v>
      </c>
      <c r="O59" s="414">
        <v>43525</v>
      </c>
      <c r="P59" s="372" t="s">
        <v>285</v>
      </c>
      <c r="Q59" s="372" t="s">
        <v>285</v>
      </c>
      <c r="R59" s="372" t="s">
        <v>370</v>
      </c>
    </row>
    <row r="60" spans="1:18" ht="25.5" x14ac:dyDescent="0.25">
      <c r="A60" s="372" t="s">
        <v>319</v>
      </c>
      <c r="B60" s="372" t="s">
        <v>284</v>
      </c>
      <c r="C60" s="372" t="s">
        <v>358</v>
      </c>
      <c r="D60" s="376" t="s">
        <v>302</v>
      </c>
      <c r="E60" s="372" t="s">
        <v>283</v>
      </c>
      <c r="F60" s="400" t="s">
        <v>294</v>
      </c>
      <c r="G60" s="372" t="s">
        <v>285</v>
      </c>
      <c r="H60" s="373">
        <f>I60*$H$5</f>
        <v>867918.85200000007</v>
      </c>
      <c r="I60" s="381">
        <v>241088.57</v>
      </c>
      <c r="J60" s="371">
        <v>1</v>
      </c>
      <c r="K60" s="371">
        <v>0</v>
      </c>
      <c r="L60" s="372" t="s">
        <v>138</v>
      </c>
      <c r="M60" s="401" t="s">
        <v>245</v>
      </c>
      <c r="N60" s="414">
        <v>42979</v>
      </c>
      <c r="O60" s="414">
        <v>43009</v>
      </c>
      <c r="P60" s="372" t="s">
        <v>285</v>
      </c>
      <c r="Q60" s="372" t="s">
        <v>285</v>
      </c>
      <c r="R60" s="372" t="s">
        <v>370</v>
      </c>
    </row>
    <row r="61" spans="1:18" ht="51" x14ac:dyDescent="0.25">
      <c r="A61" s="372" t="s">
        <v>319</v>
      </c>
      <c r="B61" s="372" t="s">
        <v>284</v>
      </c>
      <c r="C61" s="372" t="s">
        <v>358</v>
      </c>
      <c r="D61" s="376" t="s">
        <v>303</v>
      </c>
      <c r="E61" s="372" t="s">
        <v>283</v>
      </c>
      <c r="F61" s="400" t="s">
        <v>294</v>
      </c>
      <c r="G61" s="372" t="s">
        <v>285</v>
      </c>
      <c r="H61" s="373">
        <f t="shared" si="3"/>
        <v>34736.292000000001</v>
      </c>
      <c r="I61" s="381">
        <v>9648.9699999999993</v>
      </c>
      <c r="J61" s="371">
        <v>1</v>
      </c>
      <c r="K61" s="371">
        <v>0</v>
      </c>
      <c r="L61" s="372" t="s">
        <v>138</v>
      </c>
      <c r="M61" s="401" t="s">
        <v>245</v>
      </c>
      <c r="N61" s="414">
        <v>43101</v>
      </c>
      <c r="O61" s="414">
        <v>43132</v>
      </c>
      <c r="P61" s="372" t="s">
        <v>285</v>
      </c>
      <c r="Q61" s="372" t="s">
        <v>285</v>
      </c>
      <c r="R61" s="372" t="s">
        <v>370</v>
      </c>
    </row>
    <row r="62" spans="1:18" ht="25.5" x14ac:dyDescent="0.25">
      <c r="A62" s="372" t="s">
        <v>319</v>
      </c>
      <c r="B62" s="372" t="s">
        <v>284</v>
      </c>
      <c r="C62" s="372" t="s">
        <v>358</v>
      </c>
      <c r="D62" s="376" t="s">
        <v>236</v>
      </c>
      <c r="E62" s="372" t="s">
        <v>283</v>
      </c>
      <c r="F62" s="400" t="s">
        <v>294</v>
      </c>
      <c r="G62" s="372" t="s">
        <v>285</v>
      </c>
      <c r="H62" s="373">
        <f t="shared" si="3"/>
        <v>4263.1559999999999</v>
      </c>
      <c r="I62" s="381">
        <v>1184.21</v>
      </c>
      <c r="J62" s="371">
        <v>1</v>
      </c>
      <c r="K62" s="371">
        <v>0</v>
      </c>
      <c r="L62" s="372" t="s">
        <v>138</v>
      </c>
      <c r="M62" s="401" t="s">
        <v>245</v>
      </c>
      <c r="N62" s="414">
        <v>42948</v>
      </c>
      <c r="O62" s="414">
        <v>42979</v>
      </c>
      <c r="P62" s="372" t="s">
        <v>285</v>
      </c>
      <c r="Q62" s="372" t="s">
        <v>285</v>
      </c>
      <c r="R62" s="372" t="s">
        <v>370</v>
      </c>
    </row>
    <row r="63" spans="1:18" ht="25.5" x14ac:dyDescent="0.25">
      <c r="A63" s="372" t="s">
        <v>319</v>
      </c>
      <c r="B63" s="372" t="s">
        <v>284</v>
      </c>
      <c r="C63" s="372" t="s">
        <v>358</v>
      </c>
      <c r="D63" s="376" t="s">
        <v>373</v>
      </c>
      <c r="E63" s="372" t="s">
        <v>283</v>
      </c>
      <c r="F63" s="400" t="s">
        <v>294</v>
      </c>
      <c r="G63" s="372" t="s">
        <v>285</v>
      </c>
      <c r="H63" s="373">
        <f t="shared" si="3"/>
        <v>199305.36</v>
      </c>
      <c r="I63" s="381">
        <v>55362.6</v>
      </c>
      <c r="J63" s="371">
        <v>1</v>
      </c>
      <c r="K63" s="371">
        <v>0</v>
      </c>
      <c r="L63" s="372" t="s">
        <v>138</v>
      </c>
      <c r="M63" s="401" t="s">
        <v>245</v>
      </c>
      <c r="N63" s="414" t="s">
        <v>369</v>
      </c>
      <c r="O63" s="414" t="s">
        <v>369</v>
      </c>
      <c r="P63" s="372" t="s">
        <v>285</v>
      </c>
      <c r="Q63" s="372" t="s">
        <v>285</v>
      </c>
      <c r="R63" s="372" t="s">
        <v>370</v>
      </c>
    </row>
    <row r="64" spans="1:18" ht="25.5" x14ac:dyDescent="0.25">
      <c r="A64" s="372" t="s">
        <v>319</v>
      </c>
      <c r="B64" s="372" t="s">
        <v>284</v>
      </c>
      <c r="C64" s="372" t="s">
        <v>358</v>
      </c>
      <c r="D64" s="376" t="s">
        <v>244</v>
      </c>
      <c r="E64" s="372" t="s">
        <v>283</v>
      </c>
      <c r="F64" s="400" t="s">
        <v>294</v>
      </c>
      <c r="G64" s="372" t="s">
        <v>285</v>
      </c>
      <c r="H64" s="373">
        <f t="shared" si="3"/>
        <v>48123.072</v>
      </c>
      <c r="I64" s="381">
        <v>13367.52</v>
      </c>
      <c r="J64" s="371">
        <v>1</v>
      </c>
      <c r="K64" s="371">
        <v>0</v>
      </c>
      <c r="L64" s="372" t="s">
        <v>138</v>
      </c>
      <c r="M64" s="401" t="s">
        <v>245</v>
      </c>
      <c r="N64" s="414" t="s">
        <v>369</v>
      </c>
      <c r="O64" s="414" t="s">
        <v>369</v>
      </c>
      <c r="P64" s="372" t="s">
        <v>285</v>
      </c>
      <c r="Q64" s="372" t="s">
        <v>285</v>
      </c>
      <c r="R64" s="372" t="s">
        <v>370</v>
      </c>
    </row>
    <row r="65" spans="1:21" ht="25.5" x14ac:dyDescent="0.25">
      <c r="A65" s="372" t="s">
        <v>319</v>
      </c>
      <c r="B65" s="372" t="s">
        <v>284</v>
      </c>
      <c r="C65" s="372" t="s">
        <v>358</v>
      </c>
      <c r="D65" s="376" t="s">
        <v>239</v>
      </c>
      <c r="E65" s="372" t="s">
        <v>283</v>
      </c>
      <c r="F65" s="400" t="s">
        <v>294</v>
      </c>
      <c r="G65" s="372" t="s">
        <v>285</v>
      </c>
      <c r="H65" s="373">
        <f t="shared" si="3"/>
        <v>53289.54</v>
      </c>
      <c r="I65" s="381">
        <v>14802.65</v>
      </c>
      <c r="J65" s="371">
        <v>1</v>
      </c>
      <c r="K65" s="371">
        <v>0</v>
      </c>
      <c r="L65" s="372" t="s">
        <v>138</v>
      </c>
      <c r="M65" s="401" t="s">
        <v>245</v>
      </c>
      <c r="N65" s="414" t="s">
        <v>369</v>
      </c>
      <c r="O65" s="414" t="s">
        <v>369</v>
      </c>
      <c r="P65" s="372" t="s">
        <v>285</v>
      </c>
      <c r="Q65" s="372" t="s">
        <v>285</v>
      </c>
      <c r="R65" s="372" t="s">
        <v>406</v>
      </c>
    </row>
    <row r="66" spans="1:21" ht="25.5" x14ac:dyDescent="0.25">
      <c r="A66" s="372" t="s">
        <v>255</v>
      </c>
      <c r="B66" s="372" t="s">
        <v>284</v>
      </c>
      <c r="C66" s="372" t="s">
        <v>359</v>
      </c>
      <c r="D66" s="376" t="s">
        <v>276</v>
      </c>
      <c r="E66" s="372" t="s">
        <v>283</v>
      </c>
      <c r="F66" s="400" t="s">
        <v>294</v>
      </c>
      <c r="G66" s="372" t="s">
        <v>285</v>
      </c>
      <c r="H66" s="373">
        <f t="shared" si="3"/>
        <v>698000.97600000002</v>
      </c>
      <c r="I66" s="381">
        <v>193889.16</v>
      </c>
      <c r="J66" s="371">
        <v>1</v>
      </c>
      <c r="K66" s="371">
        <v>0</v>
      </c>
      <c r="L66" s="372" t="s">
        <v>138</v>
      </c>
      <c r="M66" s="401" t="s">
        <v>245</v>
      </c>
      <c r="N66" s="414" t="s">
        <v>369</v>
      </c>
      <c r="O66" s="414" t="s">
        <v>369</v>
      </c>
      <c r="P66" s="372" t="s">
        <v>285</v>
      </c>
      <c r="Q66" s="372" t="s">
        <v>285</v>
      </c>
      <c r="R66" s="372" t="s">
        <v>406</v>
      </c>
    </row>
    <row r="67" spans="1:21" ht="25.5" x14ac:dyDescent="0.25">
      <c r="A67" s="372" t="s">
        <v>61</v>
      </c>
      <c r="B67" s="372" t="s">
        <v>284</v>
      </c>
      <c r="C67" s="372" t="s">
        <v>359</v>
      </c>
      <c r="D67" s="376" t="s">
        <v>308</v>
      </c>
      <c r="E67" s="372" t="s">
        <v>283</v>
      </c>
      <c r="F67" s="400" t="s">
        <v>294</v>
      </c>
      <c r="G67" s="372" t="s">
        <v>285</v>
      </c>
      <c r="H67" s="373">
        <f t="shared" si="3"/>
        <v>4995003.6000000006</v>
      </c>
      <c r="I67" s="381">
        <v>1387501</v>
      </c>
      <c r="J67" s="371">
        <v>1</v>
      </c>
      <c r="K67" s="371">
        <v>0</v>
      </c>
      <c r="L67" s="372" t="s">
        <v>214</v>
      </c>
      <c r="M67" s="401" t="s">
        <v>245</v>
      </c>
      <c r="N67" s="414">
        <v>43101</v>
      </c>
      <c r="O67" s="414">
        <v>43101</v>
      </c>
      <c r="P67" s="372" t="s">
        <v>285</v>
      </c>
      <c r="Q67" s="372" t="s">
        <v>285</v>
      </c>
      <c r="R67" s="372" t="s">
        <v>370</v>
      </c>
    </row>
    <row r="68" spans="1:21" ht="25.5" x14ac:dyDescent="0.25">
      <c r="A68" s="372" t="s">
        <v>61</v>
      </c>
      <c r="B68" s="372" t="s">
        <v>284</v>
      </c>
      <c r="C68" s="372" t="s">
        <v>359</v>
      </c>
      <c r="D68" s="376" t="s">
        <v>309</v>
      </c>
      <c r="E68" s="372" t="s">
        <v>283</v>
      </c>
      <c r="F68" s="400" t="s">
        <v>294</v>
      </c>
      <c r="G68" s="372" t="s">
        <v>285</v>
      </c>
      <c r="H68" s="373">
        <f t="shared" si="3"/>
        <v>1069200</v>
      </c>
      <c r="I68" s="381">
        <v>297000</v>
      </c>
      <c r="J68" s="371">
        <v>1</v>
      </c>
      <c r="K68" s="371">
        <v>0</v>
      </c>
      <c r="L68" s="372" t="s">
        <v>214</v>
      </c>
      <c r="M68" s="401" t="s">
        <v>245</v>
      </c>
      <c r="N68" s="414">
        <v>43101</v>
      </c>
      <c r="O68" s="414">
        <v>43101</v>
      </c>
      <c r="P68" s="372" t="s">
        <v>285</v>
      </c>
      <c r="Q68" s="372" t="s">
        <v>285</v>
      </c>
      <c r="R68" s="372" t="s">
        <v>370</v>
      </c>
    </row>
    <row r="69" spans="1:21" ht="25.5" x14ac:dyDescent="0.25">
      <c r="A69" s="372" t="s">
        <v>61</v>
      </c>
      <c r="B69" s="372" t="s">
        <v>284</v>
      </c>
      <c r="C69" s="372" t="s">
        <v>359</v>
      </c>
      <c r="D69" s="376" t="s">
        <v>311</v>
      </c>
      <c r="E69" s="372" t="s">
        <v>283</v>
      </c>
      <c r="F69" s="400" t="s">
        <v>294</v>
      </c>
      <c r="G69" s="372" t="s">
        <v>285</v>
      </c>
      <c r="H69" s="373">
        <f t="shared" si="3"/>
        <v>28800</v>
      </c>
      <c r="I69" s="381">
        <v>8000</v>
      </c>
      <c r="J69" s="371">
        <v>1</v>
      </c>
      <c r="K69" s="371">
        <v>0</v>
      </c>
      <c r="L69" s="372" t="s">
        <v>214</v>
      </c>
      <c r="M69" s="401" t="s">
        <v>245</v>
      </c>
      <c r="N69" s="414">
        <v>42887</v>
      </c>
      <c r="O69" s="414">
        <v>43282</v>
      </c>
      <c r="P69" s="372" t="s">
        <v>285</v>
      </c>
      <c r="Q69" s="372" t="s">
        <v>285</v>
      </c>
      <c r="R69" s="372" t="s">
        <v>370</v>
      </c>
    </row>
    <row r="70" spans="1:21" ht="25.5" x14ac:dyDescent="0.25">
      <c r="A70" s="372" t="s">
        <v>61</v>
      </c>
      <c r="B70" s="372" t="s">
        <v>284</v>
      </c>
      <c r="C70" s="372" t="s">
        <v>359</v>
      </c>
      <c r="D70" s="376" t="s">
        <v>312</v>
      </c>
      <c r="E70" s="372" t="s">
        <v>283</v>
      </c>
      <c r="F70" s="400" t="s">
        <v>294</v>
      </c>
      <c r="G70" s="372" t="s">
        <v>285</v>
      </c>
      <c r="H70" s="373">
        <f t="shared" si="3"/>
        <v>43200</v>
      </c>
      <c r="I70" s="381">
        <v>12000</v>
      </c>
      <c r="J70" s="371">
        <v>1</v>
      </c>
      <c r="K70" s="371">
        <v>0</v>
      </c>
      <c r="L70" s="372" t="s">
        <v>214</v>
      </c>
      <c r="M70" s="401" t="s">
        <v>245</v>
      </c>
      <c r="N70" s="414">
        <v>42887</v>
      </c>
      <c r="O70" s="414">
        <v>43282</v>
      </c>
      <c r="P70" s="372" t="s">
        <v>285</v>
      </c>
      <c r="Q70" s="372" t="s">
        <v>285</v>
      </c>
      <c r="R70" s="372" t="s">
        <v>370</v>
      </c>
    </row>
    <row r="71" spans="1:21" ht="25.5" x14ac:dyDescent="0.25">
      <c r="A71" s="372" t="s">
        <v>61</v>
      </c>
      <c r="B71" s="372" t="s">
        <v>284</v>
      </c>
      <c r="C71" s="372" t="s">
        <v>359</v>
      </c>
      <c r="D71" s="376" t="s">
        <v>374</v>
      </c>
      <c r="E71" s="372" t="s">
        <v>283</v>
      </c>
      <c r="F71" s="400" t="s">
        <v>294</v>
      </c>
      <c r="G71" s="372" t="s">
        <v>285</v>
      </c>
      <c r="H71" s="373">
        <f t="shared" si="3"/>
        <v>6750</v>
      </c>
      <c r="I71" s="381">
        <v>1875</v>
      </c>
      <c r="J71" s="371">
        <v>1</v>
      </c>
      <c r="K71" s="371">
        <v>0</v>
      </c>
      <c r="L71" s="372" t="s">
        <v>214</v>
      </c>
      <c r="M71" s="401" t="s">
        <v>245</v>
      </c>
      <c r="N71" s="414">
        <v>42887</v>
      </c>
      <c r="O71" s="414">
        <v>43282</v>
      </c>
      <c r="P71" s="372" t="s">
        <v>285</v>
      </c>
      <c r="Q71" s="372" t="s">
        <v>285</v>
      </c>
      <c r="R71" s="372" t="s">
        <v>370</v>
      </c>
    </row>
    <row r="72" spans="1:21" ht="25.5" x14ac:dyDescent="0.25">
      <c r="A72" s="372" t="s">
        <v>61</v>
      </c>
      <c r="B72" s="372" t="s">
        <v>284</v>
      </c>
      <c r="C72" s="372" t="s">
        <v>359</v>
      </c>
      <c r="D72" s="376" t="s">
        <v>362</v>
      </c>
      <c r="E72" s="372" t="s">
        <v>283</v>
      </c>
      <c r="F72" s="400" t="s">
        <v>294</v>
      </c>
      <c r="G72" s="372" t="s">
        <v>285</v>
      </c>
      <c r="H72" s="373">
        <f t="shared" si="3"/>
        <v>28800</v>
      </c>
      <c r="I72" s="381">
        <v>8000</v>
      </c>
      <c r="J72" s="371">
        <v>1</v>
      </c>
      <c r="K72" s="371">
        <v>0</v>
      </c>
      <c r="L72" s="372" t="s">
        <v>214</v>
      </c>
      <c r="M72" s="401" t="s">
        <v>245</v>
      </c>
      <c r="N72" s="414">
        <v>42887</v>
      </c>
      <c r="O72" s="414">
        <v>43282</v>
      </c>
      <c r="P72" s="372" t="s">
        <v>285</v>
      </c>
      <c r="Q72" s="372" t="s">
        <v>285</v>
      </c>
      <c r="R72" s="372" t="s">
        <v>370</v>
      </c>
    </row>
    <row r="73" spans="1:21" ht="38.25" x14ac:dyDescent="0.25">
      <c r="A73" s="372" t="s">
        <v>61</v>
      </c>
      <c r="B73" s="372" t="s">
        <v>284</v>
      </c>
      <c r="C73" s="372" t="s">
        <v>389</v>
      </c>
      <c r="D73" s="376" t="s">
        <v>390</v>
      </c>
      <c r="E73" s="372" t="s">
        <v>283</v>
      </c>
      <c r="F73" s="400" t="s">
        <v>294</v>
      </c>
      <c r="G73" s="372" t="s">
        <v>285</v>
      </c>
      <c r="H73" s="373">
        <f t="shared" ref="H73" si="6">I73*$H$5</f>
        <v>216000</v>
      </c>
      <c r="I73" s="381">
        <v>60000</v>
      </c>
      <c r="J73" s="371">
        <v>1</v>
      </c>
      <c r="K73" s="371">
        <v>0</v>
      </c>
      <c r="L73" s="372" t="s">
        <v>214</v>
      </c>
      <c r="M73" s="401" t="s">
        <v>245</v>
      </c>
      <c r="N73" s="414">
        <v>43617</v>
      </c>
      <c r="O73" s="414">
        <v>43647</v>
      </c>
      <c r="P73" s="372" t="s">
        <v>285</v>
      </c>
      <c r="Q73" s="372" t="s">
        <v>285</v>
      </c>
      <c r="R73" s="372" t="s">
        <v>405</v>
      </c>
    </row>
    <row r="74" spans="1:21" ht="25.5" x14ac:dyDescent="0.25">
      <c r="A74" s="372" t="s">
        <v>61</v>
      </c>
      <c r="B74" s="372" t="s">
        <v>284</v>
      </c>
      <c r="C74" s="372" t="s">
        <v>359</v>
      </c>
      <c r="D74" s="376" t="s">
        <v>315</v>
      </c>
      <c r="E74" s="372" t="s">
        <v>283</v>
      </c>
      <c r="F74" s="400" t="s">
        <v>294</v>
      </c>
      <c r="G74" s="372" t="s">
        <v>285</v>
      </c>
      <c r="H74" s="373">
        <f t="shared" si="3"/>
        <v>104760</v>
      </c>
      <c r="I74" s="381">
        <v>29100</v>
      </c>
      <c r="J74" s="371">
        <v>1</v>
      </c>
      <c r="K74" s="371">
        <v>0</v>
      </c>
      <c r="L74" s="372" t="s">
        <v>214</v>
      </c>
      <c r="M74" s="401" t="s">
        <v>245</v>
      </c>
      <c r="N74" s="414">
        <v>42979</v>
      </c>
      <c r="O74" s="414">
        <v>43009</v>
      </c>
      <c r="P74" s="372" t="s">
        <v>285</v>
      </c>
      <c r="Q74" s="372" t="s">
        <v>285</v>
      </c>
      <c r="R74" s="372" t="s">
        <v>370</v>
      </c>
    </row>
    <row r="75" spans="1:21" ht="25.5" x14ac:dyDescent="0.25">
      <c r="A75" s="372" t="s">
        <v>61</v>
      </c>
      <c r="B75" s="372" t="s">
        <v>284</v>
      </c>
      <c r="C75" s="372" t="s">
        <v>359</v>
      </c>
      <c r="D75" s="376" t="s">
        <v>314</v>
      </c>
      <c r="E75" s="372" t="s">
        <v>283</v>
      </c>
      <c r="F75" s="400" t="s">
        <v>294</v>
      </c>
      <c r="G75" s="372" t="s">
        <v>285</v>
      </c>
      <c r="H75" s="373">
        <f t="shared" si="3"/>
        <v>720000</v>
      </c>
      <c r="I75" s="381">
        <v>200000</v>
      </c>
      <c r="J75" s="371">
        <v>1</v>
      </c>
      <c r="K75" s="371">
        <v>0</v>
      </c>
      <c r="L75" s="372" t="s">
        <v>214</v>
      </c>
      <c r="M75" s="401" t="s">
        <v>245</v>
      </c>
      <c r="N75" s="414">
        <v>43101</v>
      </c>
      <c r="O75" s="414">
        <v>43101</v>
      </c>
      <c r="P75" s="372" t="s">
        <v>285</v>
      </c>
      <c r="Q75" s="372" t="s">
        <v>285</v>
      </c>
      <c r="R75" s="372" t="s">
        <v>370</v>
      </c>
    </row>
    <row r="76" spans="1:21" s="374" customFormat="1" ht="25.5" x14ac:dyDescent="0.25">
      <c r="A76" s="404" t="s">
        <v>252</v>
      </c>
      <c r="B76" s="404" t="s">
        <v>284</v>
      </c>
      <c r="C76" s="372" t="s">
        <v>359</v>
      </c>
      <c r="D76" s="405" t="s">
        <v>392</v>
      </c>
      <c r="E76" s="372" t="s">
        <v>282</v>
      </c>
      <c r="F76" s="406" t="s">
        <v>294</v>
      </c>
      <c r="G76" s="404" t="s">
        <v>285</v>
      </c>
      <c r="H76" s="373">
        <f t="shared" si="3"/>
        <v>234000</v>
      </c>
      <c r="I76" s="381">
        <v>65000</v>
      </c>
      <c r="J76" s="371">
        <v>1</v>
      </c>
      <c r="K76" s="371">
        <v>0</v>
      </c>
      <c r="L76" s="372" t="s">
        <v>214</v>
      </c>
      <c r="M76" s="407" t="s">
        <v>245</v>
      </c>
      <c r="N76" s="415">
        <v>43647</v>
      </c>
      <c r="O76" s="415">
        <v>43678</v>
      </c>
      <c r="P76" s="404" t="s">
        <v>285</v>
      </c>
      <c r="Q76" s="404" t="s">
        <v>285</v>
      </c>
      <c r="R76" s="372" t="s">
        <v>405</v>
      </c>
      <c r="S76" s="370"/>
      <c r="T76" s="370"/>
      <c r="U76" s="370"/>
    </row>
    <row r="77" spans="1:21" s="374" customFormat="1" ht="25.5" x14ac:dyDescent="0.25">
      <c r="A77" s="404" t="s">
        <v>252</v>
      </c>
      <c r="B77" s="404" t="s">
        <v>284</v>
      </c>
      <c r="C77" s="372" t="s">
        <v>359</v>
      </c>
      <c r="D77" s="405" t="s">
        <v>392</v>
      </c>
      <c r="E77" s="372" t="s">
        <v>282</v>
      </c>
      <c r="F77" s="406" t="s">
        <v>294</v>
      </c>
      <c r="G77" s="404" t="s">
        <v>285</v>
      </c>
      <c r="H77" s="373">
        <f t="shared" si="3"/>
        <v>234000</v>
      </c>
      <c r="I77" s="381">
        <v>65000</v>
      </c>
      <c r="J77" s="371">
        <v>1</v>
      </c>
      <c r="K77" s="371">
        <v>0</v>
      </c>
      <c r="L77" s="372" t="s">
        <v>214</v>
      </c>
      <c r="M77" s="407" t="s">
        <v>245</v>
      </c>
      <c r="N77" s="415">
        <v>43647</v>
      </c>
      <c r="O77" s="415">
        <v>43678</v>
      </c>
      <c r="P77" s="404" t="s">
        <v>285</v>
      </c>
      <c r="Q77" s="404" t="s">
        <v>285</v>
      </c>
      <c r="R77" s="372" t="s">
        <v>405</v>
      </c>
      <c r="S77" s="370"/>
      <c r="T77" s="370"/>
      <c r="U77" s="370"/>
    </row>
    <row r="78" spans="1:21" ht="25.5" x14ac:dyDescent="0.25">
      <c r="A78" s="372" t="s">
        <v>252</v>
      </c>
      <c r="B78" s="372" t="s">
        <v>284</v>
      </c>
      <c r="C78" s="372" t="s">
        <v>359</v>
      </c>
      <c r="D78" s="376" t="s">
        <v>313</v>
      </c>
      <c r="E78" s="372" t="s">
        <v>282</v>
      </c>
      <c r="F78" s="400" t="s">
        <v>294</v>
      </c>
      <c r="G78" s="372" t="s">
        <v>285</v>
      </c>
      <c r="H78" s="373">
        <f t="shared" si="3"/>
        <v>9000</v>
      </c>
      <c r="I78" s="381">
        <v>2500</v>
      </c>
      <c r="J78" s="371">
        <v>1</v>
      </c>
      <c r="K78" s="371">
        <v>0</v>
      </c>
      <c r="L78" s="372" t="s">
        <v>214</v>
      </c>
      <c r="M78" s="401" t="s">
        <v>245</v>
      </c>
      <c r="N78" s="414">
        <v>42917</v>
      </c>
      <c r="O78" s="414">
        <v>42948</v>
      </c>
      <c r="P78" s="372" t="s">
        <v>285</v>
      </c>
      <c r="Q78" s="372" t="s">
        <v>285</v>
      </c>
      <c r="R78" s="372" t="s">
        <v>370</v>
      </c>
    </row>
    <row r="79" spans="1:21" ht="25.5" x14ac:dyDescent="0.25">
      <c r="A79" s="372" t="s">
        <v>252</v>
      </c>
      <c r="B79" s="372" t="s">
        <v>284</v>
      </c>
      <c r="C79" s="372" t="s">
        <v>359</v>
      </c>
      <c r="D79" s="376" t="s">
        <v>313</v>
      </c>
      <c r="E79" s="372" t="s">
        <v>282</v>
      </c>
      <c r="F79" s="400" t="s">
        <v>294</v>
      </c>
      <c r="G79" s="372" t="s">
        <v>285</v>
      </c>
      <c r="H79" s="373">
        <f t="shared" si="3"/>
        <v>108000</v>
      </c>
      <c r="I79" s="381">
        <v>30000</v>
      </c>
      <c r="J79" s="371">
        <v>1</v>
      </c>
      <c r="K79" s="371">
        <v>0</v>
      </c>
      <c r="L79" s="372" t="s">
        <v>214</v>
      </c>
      <c r="M79" s="401" t="s">
        <v>245</v>
      </c>
      <c r="N79" s="414">
        <v>43617</v>
      </c>
      <c r="O79" s="414">
        <v>43647</v>
      </c>
      <c r="P79" s="372" t="s">
        <v>285</v>
      </c>
      <c r="Q79" s="372" t="s">
        <v>285</v>
      </c>
      <c r="R79" s="372" t="s">
        <v>405</v>
      </c>
    </row>
    <row r="80" spans="1:21" ht="38.25" x14ac:dyDescent="0.25">
      <c r="A80" s="372" t="s">
        <v>250</v>
      </c>
      <c r="B80" s="372" t="s">
        <v>284</v>
      </c>
      <c r="C80" s="372" t="s">
        <v>359</v>
      </c>
      <c r="D80" s="376" t="s">
        <v>316</v>
      </c>
      <c r="E80" s="372" t="s">
        <v>249</v>
      </c>
      <c r="F80" s="400" t="s">
        <v>294</v>
      </c>
      <c r="G80" s="372" t="s">
        <v>285</v>
      </c>
      <c r="H80" s="373">
        <f t="shared" si="3"/>
        <v>144000</v>
      </c>
      <c r="I80" s="381">
        <v>40000</v>
      </c>
      <c r="J80" s="371">
        <v>1</v>
      </c>
      <c r="K80" s="371">
        <v>0</v>
      </c>
      <c r="L80" s="372" t="s">
        <v>214</v>
      </c>
      <c r="M80" s="401" t="s">
        <v>245</v>
      </c>
      <c r="N80" s="414">
        <v>43586</v>
      </c>
      <c r="O80" s="414" t="s">
        <v>391</v>
      </c>
      <c r="P80" s="372" t="s">
        <v>285</v>
      </c>
      <c r="Q80" s="372" t="s">
        <v>285</v>
      </c>
      <c r="R80" s="372" t="s">
        <v>406</v>
      </c>
    </row>
    <row r="81" spans="1:18" ht="25.5" x14ac:dyDescent="0.25">
      <c r="A81" s="372" t="s">
        <v>319</v>
      </c>
      <c r="B81" s="372" t="s">
        <v>284</v>
      </c>
      <c r="C81" s="372" t="s">
        <v>359</v>
      </c>
      <c r="D81" s="376" t="s">
        <v>310</v>
      </c>
      <c r="E81" s="372" t="s">
        <v>283</v>
      </c>
      <c r="F81" s="400" t="s">
        <v>294</v>
      </c>
      <c r="G81" s="372" t="s">
        <v>285</v>
      </c>
      <c r="H81" s="373">
        <f t="shared" si="3"/>
        <v>5374418.4000000004</v>
      </c>
      <c r="I81" s="381">
        <v>1492894</v>
      </c>
      <c r="J81" s="371">
        <v>1</v>
      </c>
      <c r="K81" s="371">
        <v>0</v>
      </c>
      <c r="L81" s="372" t="s">
        <v>214</v>
      </c>
      <c r="M81" s="401" t="s">
        <v>245</v>
      </c>
      <c r="N81" s="414">
        <v>43497</v>
      </c>
      <c r="O81" s="414">
        <v>43586</v>
      </c>
      <c r="P81" s="372" t="s">
        <v>285</v>
      </c>
      <c r="Q81" s="372" t="s">
        <v>285</v>
      </c>
      <c r="R81" s="372" t="s">
        <v>370</v>
      </c>
    </row>
    <row r="82" spans="1:18" ht="25.5" x14ac:dyDescent="0.25">
      <c r="A82" s="372" t="s">
        <v>319</v>
      </c>
      <c r="B82" s="372" t="s">
        <v>284</v>
      </c>
      <c r="C82" s="372" t="s">
        <v>359</v>
      </c>
      <c r="D82" s="376" t="s">
        <v>363</v>
      </c>
      <c r="E82" s="372" t="s">
        <v>283</v>
      </c>
      <c r="F82" s="400" t="s">
        <v>294</v>
      </c>
      <c r="G82" s="372" t="s">
        <v>285</v>
      </c>
      <c r="H82" s="373">
        <f t="shared" si="3"/>
        <v>31068</v>
      </c>
      <c r="I82" s="381">
        <v>8630</v>
      </c>
      <c r="J82" s="371">
        <v>1</v>
      </c>
      <c r="K82" s="371">
        <v>0</v>
      </c>
      <c r="L82" s="372" t="s">
        <v>214</v>
      </c>
      <c r="M82" s="401" t="s">
        <v>245</v>
      </c>
      <c r="N82" s="414">
        <v>42887</v>
      </c>
      <c r="O82" s="414">
        <v>42917</v>
      </c>
      <c r="P82" s="372" t="s">
        <v>285</v>
      </c>
      <c r="Q82" s="372" t="s">
        <v>285</v>
      </c>
      <c r="R82" s="372" t="s">
        <v>370</v>
      </c>
    </row>
    <row r="83" spans="1:18" ht="25.5" x14ac:dyDescent="0.25">
      <c r="A83" s="372" t="s">
        <v>319</v>
      </c>
      <c r="B83" s="372" t="s">
        <v>284</v>
      </c>
      <c r="C83" s="372" t="s">
        <v>359</v>
      </c>
      <c r="D83" s="376" t="s">
        <v>375</v>
      </c>
      <c r="E83" s="372" t="s">
        <v>283</v>
      </c>
      <c r="F83" s="400" t="s">
        <v>294</v>
      </c>
      <c r="G83" s="372" t="s">
        <v>285</v>
      </c>
      <c r="H83" s="373">
        <f t="shared" si="3"/>
        <v>14400</v>
      </c>
      <c r="I83" s="381">
        <v>4000</v>
      </c>
      <c r="J83" s="371">
        <v>1</v>
      </c>
      <c r="K83" s="371">
        <v>0</v>
      </c>
      <c r="L83" s="372" t="s">
        <v>214</v>
      </c>
      <c r="M83" s="401" t="s">
        <v>245</v>
      </c>
      <c r="N83" s="414">
        <v>42887</v>
      </c>
      <c r="O83" s="414">
        <v>42917</v>
      </c>
      <c r="P83" s="372" t="s">
        <v>285</v>
      </c>
      <c r="Q83" s="372" t="s">
        <v>285</v>
      </c>
      <c r="R83" s="372" t="s">
        <v>370</v>
      </c>
    </row>
    <row r="84" spans="1:18" ht="25.5" x14ac:dyDescent="0.25">
      <c r="A84" s="372" t="s">
        <v>319</v>
      </c>
      <c r="B84" s="372" t="s">
        <v>284</v>
      </c>
      <c r="C84" s="372" t="s">
        <v>359</v>
      </c>
      <c r="D84" s="376" t="s">
        <v>317</v>
      </c>
      <c r="E84" s="372" t="s">
        <v>283</v>
      </c>
      <c r="F84" s="400" t="s">
        <v>294</v>
      </c>
      <c r="G84" s="372" t="s">
        <v>285</v>
      </c>
      <c r="H84" s="373">
        <f t="shared" si="3"/>
        <v>68400</v>
      </c>
      <c r="I84" s="381">
        <v>19000</v>
      </c>
      <c r="J84" s="371">
        <v>1</v>
      </c>
      <c r="K84" s="371">
        <v>0</v>
      </c>
      <c r="L84" s="372" t="s">
        <v>214</v>
      </c>
      <c r="M84" s="401" t="s">
        <v>245</v>
      </c>
      <c r="N84" s="414">
        <v>43101</v>
      </c>
      <c r="O84" s="414">
        <v>43101</v>
      </c>
      <c r="P84" s="372" t="s">
        <v>285</v>
      </c>
      <c r="Q84" s="372" t="s">
        <v>285</v>
      </c>
      <c r="R84" s="372" t="s">
        <v>370</v>
      </c>
    </row>
    <row r="85" spans="1:18" ht="25.5" x14ac:dyDescent="0.25">
      <c r="A85" s="372" t="s">
        <v>255</v>
      </c>
      <c r="B85" s="372" t="s">
        <v>284</v>
      </c>
      <c r="C85" s="372" t="s">
        <v>359</v>
      </c>
      <c r="D85" s="376" t="s">
        <v>318</v>
      </c>
      <c r="E85" s="372" t="s">
        <v>283</v>
      </c>
      <c r="F85" s="400" t="s">
        <v>294</v>
      </c>
      <c r="G85" s="372" t="s">
        <v>285</v>
      </c>
      <c r="H85" s="373">
        <f t="shared" si="3"/>
        <v>45000</v>
      </c>
      <c r="I85" s="381">
        <v>12500</v>
      </c>
      <c r="J85" s="371">
        <v>1</v>
      </c>
      <c r="K85" s="371">
        <v>0</v>
      </c>
      <c r="L85" s="372" t="s">
        <v>214</v>
      </c>
      <c r="M85" s="401" t="s">
        <v>245</v>
      </c>
      <c r="N85" s="414" t="s">
        <v>369</v>
      </c>
      <c r="O85" s="414" t="s">
        <v>369</v>
      </c>
      <c r="P85" s="372" t="s">
        <v>285</v>
      </c>
      <c r="Q85" s="372" t="s">
        <v>285</v>
      </c>
      <c r="R85" s="372" t="s">
        <v>406</v>
      </c>
    </row>
    <row r="86" spans="1:18" ht="25.5" x14ac:dyDescent="0.25">
      <c r="A86" s="372" t="s">
        <v>252</v>
      </c>
      <c r="B86" s="372" t="s">
        <v>284</v>
      </c>
      <c r="C86" s="372" t="s">
        <v>355</v>
      </c>
      <c r="D86" s="376" t="s">
        <v>331</v>
      </c>
      <c r="E86" s="372" t="s">
        <v>282</v>
      </c>
      <c r="F86" s="400" t="s">
        <v>294</v>
      </c>
      <c r="G86" s="372" t="s">
        <v>285</v>
      </c>
      <c r="H86" s="373">
        <f t="shared" ref="H86:H125" si="7">I86*$H$5</f>
        <v>444412.908</v>
      </c>
      <c r="I86" s="381">
        <v>123448.03</v>
      </c>
      <c r="J86" s="371">
        <v>1</v>
      </c>
      <c r="K86" s="371">
        <v>0</v>
      </c>
      <c r="L86" s="372" t="s">
        <v>192</v>
      </c>
      <c r="M86" s="401" t="s">
        <v>245</v>
      </c>
      <c r="N86" s="414">
        <v>42826</v>
      </c>
      <c r="O86" s="414">
        <v>42856</v>
      </c>
      <c r="P86" s="372" t="s">
        <v>285</v>
      </c>
      <c r="Q86" s="372" t="s">
        <v>285</v>
      </c>
      <c r="R86" s="372" t="s">
        <v>370</v>
      </c>
    </row>
    <row r="87" spans="1:18" ht="25.5" x14ac:dyDescent="0.25">
      <c r="A87" s="372" t="s">
        <v>252</v>
      </c>
      <c r="B87" s="372" t="s">
        <v>284</v>
      </c>
      <c r="C87" s="372" t="s">
        <v>355</v>
      </c>
      <c r="D87" s="376" t="s">
        <v>331</v>
      </c>
      <c r="E87" s="372" t="s">
        <v>282</v>
      </c>
      <c r="F87" s="400" t="s">
        <v>294</v>
      </c>
      <c r="G87" s="372" t="s">
        <v>285</v>
      </c>
      <c r="H87" s="373">
        <f t="shared" si="7"/>
        <v>444412.908</v>
      </c>
      <c r="I87" s="381">
        <v>123448.03</v>
      </c>
      <c r="J87" s="371">
        <v>1</v>
      </c>
      <c r="K87" s="371">
        <v>0</v>
      </c>
      <c r="L87" s="372" t="s">
        <v>192</v>
      </c>
      <c r="M87" s="401" t="s">
        <v>245</v>
      </c>
      <c r="N87" s="414">
        <v>42826</v>
      </c>
      <c r="O87" s="414">
        <v>42856</v>
      </c>
      <c r="P87" s="372" t="s">
        <v>285</v>
      </c>
      <c r="Q87" s="372" t="s">
        <v>285</v>
      </c>
      <c r="R87" s="372" t="s">
        <v>370</v>
      </c>
    </row>
    <row r="88" spans="1:18" ht="25.5" x14ac:dyDescent="0.25">
      <c r="A88" s="372" t="s">
        <v>252</v>
      </c>
      <c r="B88" s="372" t="s">
        <v>284</v>
      </c>
      <c r="C88" s="372" t="s">
        <v>355</v>
      </c>
      <c r="D88" s="376" t="s">
        <v>331</v>
      </c>
      <c r="E88" s="372" t="s">
        <v>282</v>
      </c>
      <c r="F88" s="400" t="s">
        <v>294</v>
      </c>
      <c r="G88" s="372" t="s">
        <v>285</v>
      </c>
      <c r="H88" s="373">
        <f t="shared" si="7"/>
        <v>444412.908</v>
      </c>
      <c r="I88" s="381">
        <v>123448.03</v>
      </c>
      <c r="J88" s="371">
        <v>1</v>
      </c>
      <c r="K88" s="371">
        <v>0</v>
      </c>
      <c r="L88" s="372" t="s">
        <v>192</v>
      </c>
      <c r="M88" s="401" t="s">
        <v>245</v>
      </c>
      <c r="N88" s="414">
        <v>42826</v>
      </c>
      <c r="O88" s="414">
        <v>42856</v>
      </c>
      <c r="P88" s="372" t="s">
        <v>285</v>
      </c>
      <c r="Q88" s="372" t="s">
        <v>285</v>
      </c>
      <c r="R88" s="372" t="s">
        <v>370</v>
      </c>
    </row>
    <row r="89" spans="1:18" ht="25.5" x14ac:dyDescent="0.25">
      <c r="A89" s="372" t="s">
        <v>252</v>
      </c>
      <c r="B89" s="372" t="s">
        <v>284</v>
      </c>
      <c r="C89" s="372" t="s">
        <v>355</v>
      </c>
      <c r="D89" s="376" t="s">
        <v>331</v>
      </c>
      <c r="E89" s="372" t="s">
        <v>282</v>
      </c>
      <c r="F89" s="400" t="s">
        <v>294</v>
      </c>
      <c r="G89" s="372" t="s">
        <v>285</v>
      </c>
      <c r="H89" s="373">
        <f t="shared" si="7"/>
        <v>444412.908</v>
      </c>
      <c r="I89" s="381">
        <v>123448.03</v>
      </c>
      <c r="J89" s="371">
        <v>1</v>
      </c>
      <c r="K89" s="371">
        <v>0</v>
      </c>
      <c r="L89" s="372" t="s">
        <v>192</v>
      </c>
      <c r="M89" s="401" t="s">
        <v>245</v>
      </c>
      <c r="N89" s="414">
        <v>42826</v>
      </c>
      <c r="O89" s="414">
        <v>42856</v>
      </c>
      <c r="P89" s="372" t="s">
        <v>285</v>
      </c>
      <c r="Q89" s="372" t="s">
        <v>285</v>
      </c>
      <c r="R89" s="372" t="s">
        <v>370</v>
      </c>
    </row>
    <row r="90" spans="1:18" ht="38.25" x14ac:dyDescent="0.25">
      <c r="A90" s="372" t="s">
        <v>252</v>
      </c>
      <c r="B90" s="372" t="s">
        <v>284</v>
      </c>
      <c r="C90" s="372" t="s">
        <v>355</v>
      </c>
      <c r="D90" s="376" t="s">
        <v>332</v>
      </c>
      <c r="E90" s="372" t="s">
        <v>282</v>
      </c>
      <c r="F90" s="400" t="s">
        <v>294</v>
      </c>
      <c r="G90" s="372" t="s">
        <v>285</v>
      </c>
      <c r="H90" s="373">
        <f t="shared" si="7"/>
        <v>248028.19200000001</v>
      </c>
      <c r="I90" s="381">
        <v>68896.72</v>
      </c>
      <c r="J90" s="371">
        <v>1</v>
      </c>
      <c r="K90" s="371">
        <v>0</v>
      </c>
      <c r="L90" s="372" t="s">
        <v>192</v>
      </c>
      <c r="M90" s="401" t="s">
        <v>245</v>
      </c>
      <c r="N90" s="414">
        <v>42826</v>
      </c>
      <c r="O90" s="414">
        <v>42856</v>
      </c>
      <c r="P90" s="372" t="s">
        <v>285</v>
      </c>
      <c r="Q90" s="372" t="s">
        <v>285</v>
      </c>
      <c r="R90" s="372" t="s">
        <v>370</v>
      </c>
    </row>
    <row r="91" spans="1:18" ht="38.25" x14ac:dyDescent="0.25">
      <c r="A91" s="372" t="s">
        <v>252</v>
      </c>
      <c r="B91" s="372" t="s">
        <v>284</v>
      </c>
      <c r="C91" s="372" t="s">
        <v>355</v>
      </c>
      <c r="D91" s="376" t="s">
        <v>332</v>
      </c>
      <c r="E91" s="372" t="s">
        <v>282</v>
      </c>
      <c r="F91" s="400" t="s">
        <v>294</v>
      </c>
      <c r="G91" s="372" t="s">
        <v>285</v>
      </c>
      <c r="H91" s="373">
        <f t="shared" si="7"/>
        <v>248028.19200000001</v>
      </c>
      <c r="I91" s="381">
        <v>68896.72</v>
      </c>
      <c r="J91" s="371">
        <v>1</v>
      </c>
      <c r="K91" s="371">
        <v>0</v>
      </c>
      <c r="L91" s="372" t="s">
        <v>192</v>
      </c>
      <c r="M91" s="401" t="s">
        <v>245</v>
      </c>
      <c r="N91" s="414">
        <v>42826</v>
      </c>
      <c r="O91" s="414">
        <v>42856</v>
      </c>
      <c r="P91" s="372" t="s">
        <v>285</v>
      </c>
      <c r="Q91" s="372" t="s">
        <v>285</v>
      </c>
      <c r="R91" s="372" t="s">
        <v>370</v>
      </c>
    </row>
    <row r="92" spans="1:18" ht="38.25" x14ac:dyDescent="0.25">
      <c r="A92" s="372" t="s">
        <v>252</v>
      </c>
      <c r="B92" s="372" t="s">
        <v>284</v>
      </c>
      <c r="C92" s="372" t="s">
        <v>355</v>
      </c>
      <c r="D92" s="376" t="s">
        <v>332</v>
      </c>
      <c r="E92" s="372" t="s">
        <v>282</v>
      </c>
      <c r="F92" s="400" t="s">
        <v>294</v>
      </c>
      <c r="G92" s="372" t="s">
        <v>285</v>
      </c>
      <c r="H92" s="373">
        <f t="shared" si="7"/>
        <v>248028.19200000001</v>
      </c>
      <c r="I92" s="381">
        <v>68896.72</v>
      </c>
      <c r="J92" s="371">
        <v>1</v>
      </c>
      <c r="K92" s="371">
        <v>0</v>
      </c>
      <c r="L92" s="372" t="s">
        <v>192</v>
      </c>
      <c r="M92" s="401" t="s">
        <v>245</v>
      </c>
      <c r="N92" s="414">
        <v>42826</v>
      </c>
      <c r="O92" s="414">
        <v>42856</v>
      </c>
      <c r="P92" s="372" t="s">
        <v>285</v>
      </c>
      <c r="Q92" s="372" t="s">
        <v>285</v>
      </c>
      <c r="R92" s="372" t="s">
        <v>370</v>
      </c>
    </row>
    <row r="93" spans="1:18" ht="38.25" x14ac:dyDescent="0.25">
      <c r="A93" s="372" t="s">
        <v>252</v>
      </c>
      <c r="B93" s="372" t="s">
        <v>284</v>
      </c>
      <c r="C93" s="372" t="s">
        <v>355</v>
      </c>
      <c r="D93" s="376" t="s">
        <v>332</v>
      </c>
      <c r="E93" s="372" t="s">
        <v>282</v>
      </c>
      <c r="F93" s="400" t="s">
        <v>294</v>
      </c>
      <c r="G93" s="372" t="s">
        <v>285</v>
      </c>
      <c r="H93" s="373">
        <f t="shared" si="7"/>
        <v>248028.19200000001</v>
      </c>
      <c r="I93" s="381">
        <v>68896.72</v>
      </c>
      <c r="J93" s="371">
        <v>1</v>
      </c>
      <c r="K93" s="371">
        <v>0</v>
      </c>
      <c r="L93" s="372" t="s">
        <v>192</v>
      </c>
      <c r="M93" s="401" t="s">
        <v>245</v>
      </c>
      <c r="N93" s="414">
        <v>42826</v>
      </c>
      <c r="O93" s="414">
        <v>42856</v>
      </c>
      <c r="P93" s="372" t="s">
        <v>285</v>
      </c>
      <c r="Q93" s="372" t="s">
        <v>285</v>
      </c>
      <c r="R93" s="372" t="s">
        <v>370</v>
      </c>
    </row>
    <row r="94" spans="1:18" ht="38.25" x14ac:dyDescent="0.25">
      <c r="A94" s="372" t="s">
        <v>252</v>
      </c>
      <c r="B94" s="372" t="s">
        <v>284</v>
      </c>
      <c r="C94" s="372" t="s">
        <v>355</v>
      </c>
      <c r="D94" s="376" t="s">
        <v>332</v>
      </c>
      <c r="E94" s="372" t="s">
        <v>282</v>
      </c>
      <c r="F94" s="400" t="s">
        <v>294</v>
      </c>
      <c r="G94" s="372" t="s">
        <v>285</v>
      </c>
      <c r="H94" s="373">
        <f t="shared" ref="H94" si="8">I94*$H$5</f>
        <v>208800</v>
      </c>
      <c r="I94" s="381">
        <v>58000</v>
      </c>
      <c r="J94" s="371">
        <v>1</v>
      </c>
      <c r="K94" s="371">
        <v>0</v>
      </c>
      <c r="L94" s="372" t="s">
        <v>192</v>
      </c>
      <c r="M94" s="401" t="s">
        <v>245</v>
      </c>
      <c r="N94" s="414">
        <v>43466</v>
      </c>
      <c r="O94" s="414">
        <v>43497</v>
      </c>
      <c r="P94" s="372" t="s">
        <v>285</v>
      </c>
      <c r="Q94" s="372" t="s">
        <v>285</v>
      </c>
      <c r="R94" s="372" t="s">
        <v>370</v>
      </c>
    </row>
    <row r="95" spans="1:18" ht="25.5" x14ac:dyDescent="0.25">
      <c r="A95" s="372" t="s">
        <v>255</v>
      </c>
      <c r="B95" s="372" t="s">
        <v>284</v>
      </c>
      <c r="C95" s="372" t="s">
        <v>355</v>
      </c>
      <c r="D95" s="376" t="s">
        <v>321</v>
      </c>
      <c r="E95" s="372" t="s">
        <v>283</v>
      </c>
      <c r="F95" s="400" t="s">
        <v>294</v>
      </c>
      <c r="G95" s="372" t="s">
        <v>285</v>
      </c>
      <c r="H95" s="373">
        <f t="shared" si="7"/>
        <v>161815.71600000001</v>
      </c>
      <c r="I95" s="381">
        <f>40621.01+4327.8</f>
        <v>44948.810000000005</v>
      </c>
      <c r="J95" s="371">
        <v>1</v>
      </c>
      <c r="K95" s="371">
        <v>0</v>
      </c>
      <c r="L95" s="372" t="s">
        <v>192</v>
      </c>
      <c r="M95" s="401" t="s">
        <v>245</v>
      </c>
      <c r="N95" s="414" t="s">
        <v>369</v>
      </c>
      <c r="O95" s="414" t="s">
        <v>369</v>
      </c>
      <c r="P95" s="372" t="s">
        <v>285</v>
      </c>
      <c r="Q95" s="372" t="s">
        <v>285</v>
      </c>
      <c r="R95" s="372" t="s">
        <v>406</v>
      </c>
    </row>
    <row r="96" spans="1:18" ht="38.25" x14ac:dyDescent="0.25">
      <c r="A96" s="372" t="s">
        <v>250</v>
      </c>
      <c r="B96" s="372" t="s">
        <v>284</v>
      </c>
      <c r="C96" s="372" t="s">
        <v>355</v>
      </c>
      <c r="D96" s="376" t="s">
        <v>241</v>
      </c>
      <c r="E96" s="372" t="s">
        <v>248</v>
      </c>
      <c r="F96" s="400" t="s">
        <v>294</v>
      </c>
      <c r="G96" s="372" t="s">
        <v>285</v>
      </c>
      <c r="H96" s="373">
        <f t="shared" si="7"/>
        <v>236414.41200000001</v>
      </c>
      <c r="I96" s="381">
        <v>65670.67</v>
      </c>
      <c r="J96" s="371">
        <v>1</v>
      </c>
      <c r="K96" s="371">
        <v>0</v>
      </c>
      <c r="L96" s="372" t="s">
        <v>192</v>
      </c>
      <c r="M96" s="401" t="s">
        <v>245</v>
      </c>
      <c r="N96" s="414">
        <v>42887</v>
      </c>
      <c r="O96" s="414">
        <v>42917</v>
      </c>
      <c r="P96" s="372" t="s">
        <v>285</v>
      </c>
      <c r="Q96" s="372" t="s">
        <v>285</v>
      </c>
      <c r="R96" s="372" t="s">
        <v>370</v>
      </c>
    </row>
    <row r="97" spans="1:21" ht="25.5" x14ac:dyDescent="0.25">
      <c r="A97" s="372" t="s">
        <v>250</v>
      </c>
      <c r="B97" s="372" t="s">
        <v>284</v>
      </c>
      <c r="C97" s="372" t="s">
        <v>355</v>
      </c>
      <c r="D97" s="376" t="s">
        <v>274</v>
      </c>
      <c r="E97" s="372" t="s">
        <v>248</v>
      </c>
      <c r="F97" s="400" t="s">
        <v>294</v>
      </c>
      <c r="G97" s="372" t="s">
        <v>285</v>
      </c>
      <c r="H97" s="373">
        <f t="shared" si="7"/>
        <v>359349.87600000005</v>
      </c>
      <c r="I97" s="381">
        <v>99819.41</v>
      </c>
      <c r="J97" s="371">
        <v>1</v>
      </c>
      <c r="K97" s="371">
        <v>0</v>
      </c>
      <c r="L97" s="372" t="s">
        <v>192</v>
      </c>
      <c r="M97" s="401" t="s">
        <v>245</v>
      </c>
      <c r="N97" s="414">
        <v>43160</v>
      </c>
      <c r="O97" s="414">
        <v>43191</v>
      </c>
      <c r="P97" s="372" t="s">
        <v>285</v>
      </c>
      <c r="Q97" s="372" t="s">
        <v>285</v>
      </c>
      <c r="R97" s="372" t="s">
        <v>406</v>
      </c>
    </row>
    <row r="98" spans="1:21" ht="25.5" x14ac:dyDescent="0.25">
      <c r="A98" s="372" t="s">
        <v>250</v>
      </c>
      <c r="B98" s="372" t="s">
        <v>284</v>
      </c>
      <c r="C98" s="372" t="s">
        <v>355</v>
      </c>
      <c r="D98" s="376" t="s">
        <v>275</v>
      </c>
      <c r="E98" s="372" t="s">
        <v>248</v>
      </c>
      <c r="F98" s="400" t="s">
        <v>294</v>
      </c>
      <c r="G98" s="372" t="s">
        <v>285</v>
      </c>
      <c r="H98" s="373">
        <f t="shared" si="7"/>
        <v>89837.459999999992</v>
      </c>
      <c r="I98" s="381">
        <v>24954.85</v>
      </c>
      <c r="J98" s="371">
        <v>1</v>
      </c>
      <c r="K98" s="371">
        <v>0</v>
      </c>
      <c r="L98" s="372" t="s">
        <v>192</v>
      </c>
      <c r="M98" s="401" t="s">
        <v>245</v>
      </c>
      <c r="N98" s="414">
        <v>43617</v>
      </c>
      <c r="O98" s="414">
        <v>43678</v>
      </c>
      <c r="P98" s="372" t="s">
        <v>285</v>
      </c>
      <c r="Q98" s="372" t="s">
        <v>285</v>
      </c>
      <c r="R98" s="372" t="s">
        <v>405</v>
      </c>
    </row>
    <row r="99" spans="1:21" ht="25.5" x14ac:dyDescent="0.25">
      <c r="A99" s="372" t="s">
        <v>250</v>
      </c>
      <c r="B99" s="372" t="s">
        <v>284</v>
      </c>
      <c r="C99" s="411" t="s">
        <v>355</v>
      </c>
      <c r="D99" s="376" t="s">
        <v>376</v>
      </c>
      <c r="E99" s="372" t="s">
        <v>248</v>
      </c>
      <c r="F99" s="400" t="s">
        <v>294</v>
      </c>
      <c r="G99" s="372"/>
      <c r="H99" s="373">
        <f t="shared" si="7"/>
        <v>394398.28799999994</v>
      </c>
      <c r="I99" s="410">
        <v>109555.07999999999</v>
      </c>
      <c r="J99" s="371">
        <v>1</v>
      </c>
      <c r="K99" s="371">
        <v>0</v>
      </c>
      <c r="L99" s="372" t="s">
        <v>192</v>
      </c>
      <c r="M99" s="401" t="s">
        <v>245</v>
      </c>
      <c r="N99" s="414">
        <v>43405</v>
      </c>
      <c r="O99" s="414">
        <v>43435</v>
      </c>
      <c r="P99" s="372"/>
      <c r="Q99" s="372"/>
      <c r="R99" s="372" t="s">
        <v>406</v>
      </c>
      <c r="S99" s="396"/>
      <c r="T99" s="409"/>
      <c r="U99" s="409"/>
    </row>
    <row r="100" spans="1:21" ht="25.5" x14ac:dyDescent="0.25">
      <c r="A100" s="372" t="s">
        <v>252</v>
      </c>
      <c r="B100" s="372" t="s">
        <v>284</v>
      </c>
      <c r="C100" s="372" t="s">
        <v>355</v>
      </c>
      <c r="D100" s="376" t="s">
        <v>286</v>
      </c>
      <c r="E100" s="372" t="s">
        <v>248</v>
      </c>
      <c r="F100" s="400" t="s">
        <v>294</v>
      </c>
      <c r="G100" s="372" t="s">
        <v>285</v>
      </c>
      <c r="H100" s="373">
        <f t="shared" si="7"/>
        <v>123585.624</v>
      </c>
      <c r="I100" s="381">
        <v>34329.339999999997</v>
      </c>
      <c r="J100" s="371">
        <v>1</v>
      </c>
      <c r="K100" s="371">
        <v>0</v>
      </c>
      <c r="L100" s="372" t="s">
        <v>192</v>
      </c>
      <c r="M100" s="401" t="s">
        <v>245</v>
      </c>
      <c r="N100" s="414">
        <v>43647</v>
      </c>
      <c r="O100" s="414">
        <v>43678</v>
      </c>
      <c r="P100" s="372" t="s">
        <v>285</v>
      </c>
      <c r="Q100" s="372" t="s">
        <v>285</v>
      </c>
      <c r="R100" s="372" t="s">
        <v>405</v>
      </c>
    </row>
    <row r="101" spans="1:21" ht="25.5" x14ac:dyDescent="0.25">
      <c r="A101" s="372" t="s">
        <v>252</v>
      </c>
      <c r="B101" s="372" t="s">
        <v>284</v>
      </c>
      <c r="C101" s="413" t="s">
        <v>355</v>
      </c>
      <c r="D101" s="376" t="s">
        <v>287</v>
      </c>
      <c r="E101" s="372" t="s">
        <v>248</v>
      </c>
      <c r="F101" s="400" t="s">
        <v>294</v>
      </c>
      <c r="G101" s="372" t="s">
        <v>285</v>
      </c>
      <c r="H101" s="373">
        <f t="shared" si="7"/>
        <v>236414.37600000002</v>
      </c>
      <c r="I101" s="381">
        <v>65670.66</v>
      </c>
      <c r="J101" s="371">
        <v>1</v>
      </c>
      <c r="K101" s="371">
        <v>0</v>
      </c>
      <c r="L101" s="372" t="s">
        <v>192</v>
      </c>
      <c r="M101" s="401" t="s">
        <v>245</v>
      </c>
      <c r="N101" s="414">
        <v>43647</v>
      </c>
      <c r="O101" s="414">
        <v>43678</v>
      </c>
      <c r="P101" s="372" t="s">
        <v>285</v>
      </c>
      <c r="Q101" s="372" t="s">
        <v>285</v>
      </c>
      <c r="R101" s="372" t="s">
        <v>405</v>
      </c>
    </row>
    <row r="102" spans="1:21" ht="25.5" x14ac:dyDescent="0.25">
      <c r="A102" s="372" t="s">
        <v>61</v>
      </c>
      <c r="B102" s="372" t="s">
        <v>284</v>
      </c>
      <c r="C102" s="372" t="s">
        <v>355</v>
      </c>
      <c r="D102" s="376" t="s">
        <v>377</v>
      </c>
      <c r="E102" s="372" t="s">
        <v>283</v>
      </c>
      <c r="F102" s="400" t="s">
        <v>294</v>
      </c>
      <c r="G102" s="372" t="s">
        <v>285</v>
      </c>
      <c r="H102" s="373">
        <f t="shared" si="7"/>
        <v>146576.916</v>
      </c>
      <c r="I102" s="381">
        <v>40715.81</v>
      </c>
      <c r="J102" s="371">
        <v>1</v>
      </c>
      <c r="K102" s="371">
        <v>0</v>
      </c>
      <c r="L102" s="372" t="s">
        <v>192</v>
      </c>
      <c r="M102" s="401" t="s">
        <v>245</v>
      </c>
      <c r="N102" s="414">
        <v>42917</v>
      </c>
      <c r="O102" s="414">
        <v>43101</v>
      </c>
      <c r="P102" s="372" t="s">
        <v>285</v>
      </c>
      <c r="Q102" s="372" t="s">
        <v>285</v>
      </c>
      <c r="R102" s="372" t="s">
        <v>370</v>
      </c>
    </row>
    <row r="103" spans="1:21" ht="25.5" x14ac:dyDescent="0.25">
      <c r="A103" s="372" t="s">
        <v>61</v>
      </c>
      <c r="B103" s="372" t="s">
        <v>284</v>
      </c>
      <c r="C103" s="372" t="s">
        <v>355</v>
      </c>
      <c r="D103" s="376" t="s">
        <v>378</v>
      </c>
      <c r="E103" s="372" t="s">
        <v>281</v>
      </c>
      <c r="F103" s="400" t="s">
        <v>294</v>
      </c>
      <c r="G103" s="372" t="s">
        <v>285</v>
      </c>
      <c r="H103" s="373">
        <f t="shared" si="7"/>
        <v>266030.96400000004</v>
      </c>
      <c r="I103" s="381">
        <v>73897.490000000005</v>
      </c>
      <c r="J103" s="371">
        <v>1</v>
      </c>
      <c r="K103" s="371">
        <v>0</v>
      </c>
      <c r="L103" s="372" t="s">
        <v>192</v>
      </c>
      <c r="M103" s="401" t="s">
        <v>245</v>
      </c>
      <c r="N103" s="414">
        <v>43040</v>
      </c>
      <c r="O103" s="414">
        <v>43101</v>
      </c>
      <c r="P103" s="372" t="s">
        <v>285</v>
      </c>
      <c r="Q103" s="372" t="s">
        <v>285</v>
      </c>
      <c r="R103" s="372" t="s">
        <v>370</v>
      </c>
    </row>
    <row r="104" spans="1:21" ht="25.5" x14ac:dyDescent="0.25">
      <c r="A104" s="372" t="s">
        <v>319</v>
      </c>
      <c r="B104" s="372" t="s">
        <v>284</v>
      </c>
      <c r="C104" s="372" t="s">
        <v>355</v>
      </c>
      <c r="D104" s="376" t="s">
        <v>320</v>
      </c>
      <c r="E104" s="372" t="s">
        <v>283</v>
      </c>
      <c r="F104" s="400" t="s">
        <v>294</v>
      </c>
      <c r="G104" s="372" t="s">
        <v>285</v>
      </c>
      <c r="H104" s="373">
        <f t="shared" si="7"/>
        <v>373928.68800000002</v>
      </c>
      <c r="I104" s="381">
        <v>103869.08</v>
      </c>
      <c r="J104" s="371">
        <v>1</v>
      </c>
      <c r="K104" s="371">
        <v>0</v>
      </c>
      <c r="L104" s="372" t="s">
        <v>192</v>
      </c>
      <c r="M104" s="401" t="s">
        <v>245</v>
      </c>
      <c r="N104" s="414" t="s">
        <v>369</v>
      </c>
      <c r="O104" s="414" t="s">
        <v>369</v>
      </c>
      <c r="P104" s="372" t="s">
        <v>285</v>
      </c>
      <c r="Q104" s="372" t="s">
        <v>285</v>
      </c>
      <c r="R104" s="372" t="s">
        <v>406</v>
      </c>
    </row>
    <row r="105" spans="1:21" ht="25.5" x14ac:dyDescent="0.25">
      <c r="A105" s="372" t="s">
        <v>61</v>
      </c>
      <c r="B105" s="372" t="s">
        <v>284</v>
      </c>
      <c r="C105" s="372" t="s">
        <v>355</v>
      </c>
      <c r="D105" s="376" t="s">
        <v>272</v>
      </c>
      <c r="E105" s="372" t="s">
        <v>283</v>
      </c>
      <c r="F105" s="400" t="s">
        <v>294</v>
      </c>
      <c r="G105" s="372" t="s">
        <v>285</v>
      </c>
      <c r="H105" s="373">
        <f t="shared" si="7"/>
        <v>89837.459999999992</v>
      </c>
      <c r="I105" s="381">
        <v>24954.85</v>
      </c>
      <c r="J105" s="371">
        <v>1</v>
      </c>
      <c r="K105" s="371">
        <v>0</v>
      </c>
      <c r="L105" s="372" t="s">
        <v>192</v>
      </c>
      <c r="M105" s="401" t="s">
        <v>245</v>
      </c>
      <c r="N105" s="414">
        <v>43101</v>
      </c>
      <c r="O105" s="414">
        <v>43132</v>
      </c>
      <c r="P105" s="372" t="s">
        <v>285</v>
      </c>
      <c r="Q105" s="372" t="s">
        <v>285</v>
      </c>
      <c r="R105" s="372" t="s">
        <v>370</v>
      </c>
    </row>
    <row r="106" spans="1:21" ht="25.5" x14ac:dyDescent="0.25">
      <c r="A106" s="372" t="s">
        <v>61</v>
      </c>
      <c r="B106" s="372" t="s">
        <v>284</v>
      </c>
      <c r="C106" s="372" t="s">
        <v>355</v>
      </c>
      <c r="D106" s="376" t="s">
        <v>273</v>
      </c>
      <c r="E106" s="372" t="s">
        <v>283</v>
      </c>
      <c r="F106" s="400" t="s">
        <v>294</v>
      </c>
      <c r="G106" s="372" t="s">
        <v>285</v>
      </c>
      <c r="H106" s="373">
        <f t="shared" si="7"/>
        <v>89837.459999999992</v>
      </c>
      <c r="I106" s="381">
        <v>24954.85</v>
      </c>
      <c r="J106" s="371">
        <v>1</v>
      </c>
      <c r="K106" s="371">
        <v>0</v>
      </c>
      <c r="L106" s="372" t="s">
        <v>192</v>
      </c>
      <c r="M106" s="401" t="s">
        <v>245</v>
      </c>
      <c r="N106" s="414">
        <v>43101</v>
      </c>
      <c r="O106" s="414">
        <v>43132</v>
      </c>
      <c r="P106" s="372" t="s">
        <v>285</v>
      </c>
      <c r="Q106" s="372" t="s">
        <v>285</v>
      </c>
      <c r="R106" s="372" t="s">
        <v>370</v>
      </c>
    </row>
    <row r="107" spans="1:21" ht="25.5" x14ac:dyDescent="0.25">
      <c r="A107" s="372" t="s">
        <v>61</v>
      </c>
      <c r="B107" s="372" t="s">
        <v>284</v>
      </c>
      <c r="C107" s="372" t="s">
        <v>355</v>
      </c>
      <c r="D107" s="376" t="s">
        <v>322</v>
      </c>
      <c r="E107" s="372" t="s">
        <v>283</v>
      </c>
      <c r="F107" s="400" t="s">
        <v>294</v>
      </c>
      <c r="G107" s="372" t="s">
        <v>285</v>
      </c>
      <c r="H107" s="373">
        <f t="shared" si="7"/>
        <v>104022.32400000001</v>
      </c>
      <c r="I107" s="381">
        <v>28895.09</v>
      </c>
      <c r="J107" s="371">
        <v>1</v>
      </c>
      <c r="K107" s="371">
        <v>0</v>
      </c>
      <c r="L107" s="372" t="s">
        <v>192</v>
      </c>
      <c r="M107" s="401" t="s">
        <v>245</v>
      </c>
      <c r="N107" s="414">
        <v>43678</v>
      </c>
      <c r="O107" s="414">
        <v>43709</v>
      </c>
      <c r="P107" s="372" t="s">
        <v>285</v>
      </c>
      <c r="Q107" s="372" t="s">
        <v>285</v>
      </c>
      <c r="R107" s="372" t="s">
        <v>405</v>
      </c>
    </row>
    <row r="108" spans="1:21" ht="25.5" x14ac:dyDescent="0.25">
      <c r="A108" s="372" t="s">
        <v>61</v>
      </c>
      <c r="B108" s="372" t="s">
        <v>284</v>
      </c>
      <c r="C108" s="372" t="s">
        <v>355</v>
      </c>
      <c r="D108" s="376" t="s">
        <v>323</v>
      </c>
      <c r="E108" s="372" t="s">
        <v>283</v>
      </c>
      <c r="F108" s="400" t="s">
        <v>294</v>
      </c>
      <c r="G108" s="372" t="s">
        <v>285</v>
      </c>
      <c r="H108" s="373">
        <f t="shared" si="7"/>
        <v>129224.088</v>
      </c>
      <c r="I108" s="381">
        <v>35895.58</v>
      </c>
      <c r="J108" s="371">
        <v>1</v>
      </c>
      <c r="K108" s="371">
        <v>0</v>
      </c>
      <c r="L108" s="372" t="s">
        <v>192</v>
      </c>
      <c r="M108" s="401" t="s">
        <v>245</v>
      </c>
      <c r="N108" s="414">
        <v>42917</v>
      </c>
      <c r="O108" s="414">
        <v>42948</v>
      </c>
      <c r="P108" s="372" t="s">
        <v>285</v>
      </c>
      <c r="Q108" s="372" t="s">
        <v>285</v>
      </c>
      <c r="R108" s="372" t="s">
        <v>370</v>
      </c>
    </row>
    <row r="109" spans="1:21" ht="38.25" x14ac:dyDescent="0.25">
      <c r="A109" s="372" t="s">
        <v>250</v>
      </c>
      <c r="B109" s="372" t="s">
        <v>284</v>
      </c>
      <c r="C109" s="411" t="s">
        <v>366</v>
      </c>
      <c r="D109" s="376" t="s">
        <v>379</v>
      </c>
      <c r="E109" s="372" t="s">
        <v>248</v>
      </c>
      <c r="F109" s="400" t="s">
        <v>294</v>
      </c>
      <c r="G109" s="372"/>
      <c r="H109" s="373">
        <f t="shared" si="7"/>
        <v>532800</v>
      </c>
      <c r="I109" s="410">
        <v>148000</v>
      </c>
      <c r="J109" s="371">
        <v>1</v>
      </c>
      <c r="K109" s="371">
        <v>0</v>
      </c>
      <c r="L109" s="372" t="s">
        <v>192</v>
      </c>
      <c r="M109" s="401" t="s">
        <v>245</v>
      </c>
      <c r="N109" s="414">
        <v>43770</v>
      </c>
      <c r="O109" s="414">
        <v>43800</v>
      </c>
      <c r="P109" s="372"/>
      <c r="Q109" s="372"/>
      <c r="R109" s="372" t="s">
        <v>405</v>
      </c>
      <c r="S109" s="396"/>
      <c r="T109" s="409"/>
      <c r="U109" s="409"/>
    </row>
    <row r="110" spans="1:21" ht="63.75" x14ac:dyDescent="0.25">
      <c r="A110" s="372" t="s">
        <v>250</v>
      </c>
      <c r="B110" s="372" t="s">
        <v>284</v>
      </c>
      <c r="C110" s="372" t="s">
        <v>366</v>
      </c>
      <c r="D110" s="376" t="s">
        <v>242</v>
      </c>
      <c r="E110" s="372" t="s">
        <v>248</v>
      </c>
      <c r="F110" s="400" t="s">
        <v>294</v>
      </c>
      <c r="G110" s="372" t="s">
        <v>285</v>
      </c>
      <c r="H110" s="373">
        <f t="shared" si="7"/>
        <v>1063864.7279999999</v>
      </c>
      <c r="I110" s="381">
        <f>295517.98</f>
        <v>295517.98</v>
      </c>
      <c r="J110" s="371">
        <v>1</v>
      </c>
      <c r="K110" s="371">
        <v>0</v>
      </c>
      <c r="L110" s="372" t="s">
        <v>192</v>
      </c>
      <c r="M110" s="401" t="s">
        <v>245</v>
      </c>
      <c r="N110" s="414">
        <v>43040</v>
      </c>
      <c r="O110" s="414">
        <v>43101</v>
      </c>
      <c r="P110" s="372" t="s">
        <v>285</v>
      </c>
      <c r="Q110" s="372" t="s">
        <v>285</v>
      </c>
      <c r="R110" s="372" t="s">
        <v>370</v>
      </c>
    </row>
    <row r="111" spans="1:21" ht="38.25" x14ac:dyDescent="0.25">
      <c r="A111" s="372" t="s">
        <v>251</v>
      </c>
      <c r="B111" s="372" t="s">
        <v>284</v>
      </c>
      <c r="C111" s="372" t="s">
        <v>366</v>
      </c>
      <c r="D111" s="376" t="s">
        <v>324</v>
      </c>
      <c r="E111" s="372" t="s">
        <v>283</v>
      </c>
      <c r="F111" s="400" t="s">
        <v>294</v>
      </c>
      <c r="G111" s="372" t="s">
        <v>285</v>
      </c>
      <c r="H111" s="373">
        <f t="shared" si="7"/>
        <v>25674.588</v>
      </c>
      <c r="I111" s="381">
        <f>4925.3+2206.53</f>
        <v>7131.83</v>
      </c>
      <c r="J111" s="371">
        <v>1</v>
      </c>
      <c r="K111" s="371">
        <v>0</v>
      </c>
      <c r="L111" s="372" t="s">
        <v>192</v>
      </c>
      <c r="M111" s="401" t="s">
        <v>245</v>
      </c>
      <c r="N111" s="414">
        <v>42917</v>
      </c>
      <c r="O111" s="414">
        <v>42948</v>
      </c>
      <c r="P111" s="372" t="s">
        <v>285</v>
      </c>
      <c r="Q111" s="372" t="s">
        <v>285</v>
      </c>
      <c r="R111" s="372" t="s">
        <v>370</v>
      </c>
    </row>
    <row r="112" spans="1:21" ht="25.5" x14ac:dyDescent="0.25">
      <c r="A112" s="372" t="s">
        <v>250</v>
      </c>
      <c r="B112" s="372" t="s">
        <v>284</v>
      </c>
      <c r="C112" s="372" t="s">
        <v>366</v>
      </c>
      <c r="D112" s="376" t="s">
        <v>380</v>
      </c>
      <c r="E112" s="372" t="s">
        <v>248</v>
      </c>
      <c r="F112" s="400" t="s">
        <v>294</v>
      </c>
      <c r="G112" s="372"/>
      <c r="H112" s="373">
        <f t="shared" si="7"/>
        <v>1378260.6840000001</v>
      </c>
      <c r="I112" s="410">
        <v>382850.19</v>
      </c>
      <c r="J112" s="371">
        <v>1</v>
      </c>
      <c r="K112" s="371">
        <v>0</v>
      </c>
      <c r="L112" s="372" t="s">
        <v>192</v>
      </c>
      <c r="M112" s="401" t="s">
        <v>245</v>
      </c>
      <c r="N112" s="414">
        <v>43313</v>
      </c>
      <c r="O112" s="414">
        <v>43344</v>
      </c>
      <c r="P112" s="372"/>
      <c r="Q112" s="372"/>
      <c r="R112" s="372" t="s">
        <v>370</v>
      </c>
      <c r="S112" s="396"/>
      <c r="T112" s="409"/>
      <c r="U112" s="409"/>
    </row>
    <row r="113" spans="1:21" ht="25.5" x14ac:dyDescent="0.25">
      <c r="A113" s="372" t="s">
        <v>250</v>
      </c>
      <c r="B113" s="372" t="s">
        <v>284</v>
      </c>
      <c r="C113" s="372" t="s">
        <v>366</v>
      </c>
      <c r="D113" s="376" t="s">
        <v>381</v>
      </c>
      <c r="E113" s="372" t="s">
        <v>248</v>
      </c>
      <c r="F113" s="400" t="s">
        <v>294</v>
      </c>
      <c r="G113" s="372"/>
      <c r="H113" s="373">
        <f t="shared" si="7"/>
        <v>1130616</v>
      </c>
      <c r="I113" s="410">
        <v>314060</v>
      </c>
      <c r="J113" s="371">
        <v>1</v>
      </c>
      <c r="K113" s="371">
        <v>0</v>
      </c>
      <c r="L113" s="372" t="s">
        <v>192</v>
      </c>
      <c r="M113" s="401" t="s">
        <v>245</v>
      </c>
      <c r="N113" s="414">
        <v>43221</v>
      </c>
      <c r="O113" s="414">
        <v>43252</v>
      </c>
      <c r="P113" s="372"/>
      <c r="Q113" s="372"/>
      <c r="R113" s="372" t="s">
        <v>370</v>
      </c>
      <c r="S113" s="396"/>
      <c r="T113" s="409"/>
      <c r="U113" s="409"/>
    </row>
    <row r="114" spans="1:21" ht="38.25" x14ac:dyDescent="0.25">
      <c r="A114" s="372" t="s">
        <v>250</v>
      </c>
      <c r="B114" s="372" t="s">
        <v>284</v>
      </c>
      <c r="C114" s="372" t="s">
        <v>364</v>
      </c>
      <c r="D114" s="376" t="s">
        <v>243</v>
      </c>
      <c r="E114" s="372" t="s">
        <v>248</v>
      </c>
      <c r="F114" s="400" t="s">
        <v>294</v>
      </c>
      <c r="G114" s="372" t="s">
        <v>285</v>
      </c>
      <c r="H114" s="373">
        <f t="shared" si="7"/>
        <v>827450.35200000007</v>
      </c>
      <c r="I114" s="381">
        <v>229847.32</v>
      </c>
      <c r="J114" s="371">
        <v>1</v>
      </c>
      <c r="K114" s="371">
        <v>0</v>
      </c>
      <c r="L114" s="372" t="s">
        <v>192</v>
      </c>
      <c r="M114" s="401" t="s">
        <v>245</v>
      </c>
      <c r="N114" s="414">
        <v>42948</v>
      </c>
      <c r="O114" s="414">
        <v>43009</v>
      </c>
      <c r="P114" s="372" t="s">
        <v>285</v>
      </c>
      <c r="Q114" s="372" t="s">
        <v>285</v>
      </c>
      <c r="R114" s="372" t="s">
        <v>370</v>
      </c>
    </row>
    <row r="115" spans="1:21" ht="38.25" x14ac:dyDescent="0.25">
      <c r="A115" s="372" t="s">
        <v>251</v>
      </c>
      <c r="B115" s="372" t="s">
        <v>284</v>
      </c>
      <c r="C115" s="372" t="s">
        <v>364</v>
      </c>
      <c r="D115" s="376" t="s">
        <v>288</v>
      </c>
      <c r="E115" s="372" t="s">
        <v>283</v>
      </c>
      <c r="F115" s="400" t="s">
        <v>294</v>
      </c>
      <c r="G115" s="372" t="s">
        <v>285</v>
      </c>
      <c r="H115" s="373">
        <f t="shared" si="7"/>
        <v>70924.320000000007</v>
      </c>
      <c r="I115" s="412">
        <v>19701.2</v>
      </c>
      <c r="J115" s="371">
        <v>1</v>
      </c>
      <c r="K115" s="371">
        <v>0</v>
      </c>
      <c r="L115" s="372" t="s">
        <v>192</v>
      </c>
      <c r="M115" s="401" t="s">
        <v>245</v>
      </c>
      <c r="N115" s="414" t="s">
        <v>369</v>
      </c>
      <c r="O115" s="414" t="s">
        <v>369</v>
      </c>
      <c r="P115" s="372" t="s">
        <v>285</v>
      </c>
      <c r="Q115" s="372" t="s">
        <v>285</v>
      </c>
      <c r="R115" s="372" t="s">
        <v>406</v>
      </c>
    </row>
    <row r="116" spans="1:21" ht="25.5" x14ac:dyDescent="0.25">
      <c r="A116" s="372" t="s">
        <v>255</v>
      </c>
      <c r="B116" s="372" t="s">
        <v>284</v>
      </c>
      <c r="C116" s="372" t="s">
        <v>364</v>
      </c>
      <c r="D116" s="376" t="s">
        <v>318</v>
      </c>
      <c r="E116" s="372" t="s">
        <v>283</v>
      </c>
      <c r="F116" s="400" t="s">
        <v>294</v>
      </c>
      <c r="G116" s="372" t="s">
        <v>285</v>
      </c>
      <c r="H116" s="373">
        <f t="shared" si="7"/>
        <v>20095.452000000001</v>
      </c>
      <c r="I116" s="412">
        <v>5582.07</v>
      </c>
      <c r="J116" s="371">
        <v>1</v>
      </c>
      <c r="K116" s="371">
        <v>0</v>
      </c>
      <c r="L116" s="372" t="s">
        <v>192</v>
      </c>
      <c r="M116" s="401" t="s">
        <v>245</v>
      </c>
      <c r="N116" s="414" t="s">
        <v>369</v>
      </c>
      <c r="O116" s="414" t="s">
        <v>369</v>
      </c>
      <c r="P116" s="372" t="s">
        <v>285</v>
      </c>
      <c r="Q116" s="372" t="s">
        <v>285</v>
      </c>
      <c r="R116" s="372" t="s">
        <v>406</v>
      </c>
    </row>
    <row r="117" spans="1:21" ht="25.5" x14ac:dyDescent="0.25">
      <c r="A117" s="372" t="s">
        <v>250</v>
      </c>
      <c r="B117" s="372" t="s">
        <v>284</v>
      </c>
      <c r="C117" s="411" t="s">
        <v>364</v>
      </c>
      <c r="D117" s="376" t="s">
        <v>382</v>
      </c>
      <c r="E117" s="372" t="s">
        <v>248</v>
      </c>
      <c r="F117" s="400" t="s">
        <v>294</v>
      </c>
      <c r="G117" s="372"/>
      <c r="H117" s="373">
        <f t="shared" si="7"/>
        <v>928800</v>
      </c>
      <c r="I117" s="410">
        <v>258000</v>
      </c>
      <c r="J117" s="371">
        <v>1</v>
      </c>
      <c r="K117" s="371">
        <v>0</v>
      </c>
      <c r="L117" s="372" t="s">
        <v>192</v>
      </c>
      <c r="M117" s="401" t="s">
        <v>245</v>
      </c>
      <c r="N117" s="414">
        <v>43770</v>
      </c>
      <c r="O117" s="414">
        <v>43800</v>
      </c>
      <c r="P117" s="372"/>
      <c r="Q117" s="372"/>
      <c r="R117" s="372" t="s">
        <v>405</v>
      </c>
      <c r="S117" s="396"/>
      <c r="T117" s="409"/>
      <c r="U117" s="409"/>
    </row>
    <row r="118" spans="1:21" ht="25.5" x14ac:dyDescent="0.25">
      <c r="A118" s="372" t="s">
        <v>250</v>
      </c>
      <c r="B118" s="372" t="s">
        <v>284</v>
      </c>
      <c r="C118" s="411" t="s">
        <v>364</v>
      </c>
      <c r="D118" s="376" t="s">
        <v>339</v>
      </c>
      <c r="E118" s="372" t="s">
        <v>248</v>
      </c>
      <c r="F118" s="400" t="s">
        <v>294</v>
      </c>
      <c r="G118" s="372"/>
      <c r="H118" s="373">
        <f t="shared" si="7"/>
        <v>1080000</v>
      </c>
      <c r="I118" s="410">
        <v>300000</v>
      </c>
      <c r="J118" s="371">
        <v>1</v>
      </c>
      <c r="K118" s="371">
        <v>0</v>
      </c>
      <c r="L118" s="372" t="s">
        <v>192</v>
      </c>
      <c r="M118" s="401" t="s">
        <v>245</v>
      </c>
      <c r="N118" s="414">
        <v>43070</v>
      </c>
      <c r="O118" s="414">
        <v>43101</v>
      </c>
      <c r="P118" s="372"/>
      <c r="Q118" s="372"/>
      <c r="R118" s="372" t="s">
        <v>405</v>
      </c>
      <c r="S118" s="396"/>
      <c r="T118" s="409"/>
      <c r="U118" s="409"/>
    </row>
    <row r="119" spans="1:21" ht="38.25" x14ac:dyDescent="0.25">
      <c r="A119" s="372" t="s">
        <v>251</v>
      </c>
      <c r="B119" s="372" t="s">
        <v>284</v>
      </c>
      <c r="C119" s="372" t="s">
        <v>364</v>
      </c>
      <c r="D119" s="376" t="s">
        <v>240</v>
      </c>
      <c r="E119" s="372" t="s">
        <v>283</v>
      </c>
      <c r="F119" s="400" t="s">
        <v>294</v>
      </c>
      <c r="G119" s="372" t="s">
        <v>285</v>
      </c>
      <c r="H119" s="373">
        <f t="shared" si="7"/>
        <v>106843.32</v>
      </c>
      <c r="I119" s="381">
        <v>29678.7</v>
      </c>
      <c r="J119" s="371">
        <v>1</v>
      </c>
      <c r="K119" s="371">
        <v>0</v>
      </c>
      <c r="L119" s="372" t="s">
        <v>192</v>
      </c>
      <c r="M119" s="401" t="s">
        <v>245</v>
      </c>
      <c r="N119" s="414">
        <v>42917</v>
      </c>
      <c r="O119" s="414">
        <v>42948</v>
      </c>
      <c r="P119" s="372" t="s">
        <v>285</v>
      </c>
      <c r="Q119" s="372" t="s">
        <v>285</v>
      </c>
      <c r="R119" s="372" t="s">
        <v>370</v>
      </c>
    </row>
    <row r="120" spans="1:21" ht="25.5" x14ac:dyDescent="0.25">
      <c r="A120" s="372" t="s">
        <v>250</v>
      </c>
      <c r="B120" s="372" t="s">
        <v>284</v>
      </c>
      <c r="C120" s="411" t="s">
        <v>364</v>
      </c>
      <c r="D120" s="376" t="s">
        <v>404</v>
      </c>
      <c r="E120" s="372" t="s">
        <v>248</v>
      </c>
      <c r="F120" s="400" t="s">
        <v>294</v>
      </c>
      <c r="G120" s="372"/>
      <c r="H120" s="373">
        <f t="shared" si="7"/>
        <v>30143.448</v>
      </c>
      <c r="I120" s="410">
        <v>8373.18</v>
      </c>
      <c r="J120" s="371">
        <v>1</v>
      </c>
      <c r="K120" s="371">
        <v>0</v>
      </c>
      <c r="L120" s="372" t="s">
        <v>192</v>
      </c>
      <c r="M120" s="401" t="s">
        <v>245</v>
      </c>
      <c r="N120" s="414">
        <v>43770</v>
      </c>
      <c r="O120" s="414">
        <v>43800</v>
      </c>
      <c r="P120" s="372"/>
      <c r="Q120" s="372"/>
      <c r="R120" s="372" t="s">
        <v>405</v>
      </c>
      <c r="S120" s="396"/>
      <c r="T120" s="409"/>
      <c r="U120" s="409"/>
    </row>
    <row r="121" spans="1:21" ht="25.5" x14ac:dyDescent="0.25">
      <c r="A121" s="372" t="s">
        <v>250</v>
      </c>
      <c r="B121" s="372" t="s">
        <v>284</v>
      </c>
      <c r="C121" s="411" t="s">
        <v>364</v>
      </c>
      <c r="D121" s="376" t="s">
        <v>340</v>
      </c>
      <c r="E121" s="372" t="s">
        <v>248</v>
      </c>
      <c r="F121" s="400" t="s">
        <v>294</v>
      </c>
      <c r="G121" s="372"/>
      <c r="H121" s="373">
        <f t="shared" si="7"/>
        <v>288000</v>
      </c>
      <c r="I121" s="410">
        <v>80000</v>
      </c>
      <c r="J121" s="371">
        <v>1</v>
      </c>
      <c r="K121" s="371">
        <v>0</v>
      </c>
      <c r="L121" s="372" t="s">
        <v>192</v>
      </c>
      <c r="M121" s="401" t="s">
        <v>245</v>
      </c>
      <c r="N121" s="414">
        <v>43405</v>
      </c>
      <c r="O121" s="414">
        <v>43435</v>
      </c>
      <c r="P121" s="372"/>
      <c r="Q121" s="372"/>
      <c r="R121" s="372" t="s">
        <v>405</v>
      </c>
      <c r="S121" s="396"/>
      <c r="T121" s="409"/>
      <c r="U121" s="409"/>
    </row>
    <row r="122" spans="1:21" ht="38.25" x14ac:dyDescent="0.25">
      <c r="A122" s="372" t="s">
        <v>252</v>
      </c>
      <c r="B122" s="372" t="s">
        <v>284</v>
      </c>
      <c r="C122" s="372" t="s">
        <v>349</v>
      </c>
      <c r="D122" s="376" t="s">
        <v>333</v>
      </c>
      <c r="E122" s="372" t="s">
        <v>282</v>
      </c>
      <c r="F122" s="400" t="s">
        <v>294</v>
      </c>
      <c r="G122" s="372" t="s">
        <v>285</v>
      </c>
      <c r="H122" s="373">
        <f t="shared" si="7"/>
        <v>858769.05599999998</v>
      </c>
      <c r="I122" s="381">
        <v>238546.96</v>
      </c>
      <c r="J122" s="371">
        <v>1</v>
      </c>
      <c r="K122" s="371">
        <v>0</v>
      </c>
      <c r="L122" s="372" t="s">
        <v>192</v>
      </c>
      <c r="M122" s="401" t="s">
        <v>245</v>
      </c>
      <c r="N122" s="414">
        <v>42826</v>
      </c>
      <c r="O122" s="414">
        <v>42856</v>
      </c>
      <c r="P122" s="372" t="s">
        <v>285</v>
      </c>
      <c r="Q122" s="372" t="s">
        <v>285</v>
      </c>
      <c r="R122" s="372" t="s">
        <v>370</v>
      </c>
    </row>
    <row r="123" spans="1:21" ht="25.5" x14ac:dyDescent="0.25">
      <c r="A123" s="372" t="s">
        <v>255</v>
      </c>
      <c r="B123" s="372" t="s">
        <v>284</v>
      </c>
      <c r="C123" s="411" t="s">
        <v>349</v>
      </c>
      <c r="D123" s="376" t="s">
        <v>341</v>
      </c>
      <c r="E123" s="372" t="s">
        <v>342</v>
      </c>
      <c r="F123" s="400" t="s">
        <v>294</v>
      </c>
      <c r="G123" s="372"/>
      <c r="H123" s="373">
        <f t="shared" si="7"/>
        <v>185232.74400000001</v>
      </c>
      <c r="I123" s="410">
        <v>51453.54</v>
      </c>
      <c r="J123" s="371">
        <v>1</v>
      </c>
      <c r="K123" s="371">
        <v>0</v>
      </c>
      <c r="L123" s="372" t="s">
        <v>192</v>
      </c>
      <c r="M123" s="401" t="s">
        <v>245</v>
      </c>
      <c r="N123" s="414">
        <v>42826</v>
      </c>
      <c r="O123" s="414">
        <v>42856</v>
      </c>
      <c r="P123" s="372"/>
      <c r="Q123" s="372"/>
      <c r="R123" s="372" t="s">
        <v>370</v>
      </c>
      <c r="S123" s="396"/>
      <c r="T123" s="409"/>
      <c r="U123" s="409"/>
    </row>
    <row r="124" spans="1:21" ht="25.5" x14ac:dyDescent="0.25">
      <c r="A124" s="372" t="s">
        <v>255</v>
      </c>
      <c r="B124" s="372" t="s">
        <v>284</v>
      </c>
      <c r="C124" s="402" t="s">
        <v>365</v>
      </c>
      <c r="D124" s="376" t="s">
        <v>231</v>
      </c>
      <c r="E124" s="403" t="s">
        <v>283</v>
      </c>
      <c r="F124" s="400" t="s">
        <v>294</v>
      </c>
      <c r="G124" s="372" t="s">
        <v>285</v>
      </c>
      <c r="H124" s="373">
        <f t="shared" si="7"/>
        <v>180000</v>
      </c>
      <c r="I124" s="381">
        <v>50000</v>
      </c>
      <c r="J124" s="371">
        <v>1</v>
      </c>
      <c r="K124" s="371">
        <v>0</v>
      </c>
      <c r="L124" s="372" t="s">
        <v>295</v>
      </c>
      <c r="M124" s="401" t="s">
        <v>245</v>
      </c>
      <c r="N124" s="414" t="s">
        <v>369</v>
      </c>
      <c r="O124" s="414" t="s">
        <v>369</v>
      </c>
      <c r="P124" s="372" t="s">
        <v>285</v>
      </c>
      <c r="Q124" s="372" t="s">
        <v>285</v>
      </c>
      <c r="R124" s="372" t="s">
        <v>370</v>
      </c>
    </row>
    <row r="125" spans="1:21" ht="25.5" x14ac:dyDescent="0.25">
      <c r="A125" s="372" t="s">
        <v>255</v>
      </c>
      <c r="B125" s="372" t="s">
        <v>284</v>
      </c>
      <c r="C125" s="402" t="s">
        <v>365</v>
      </c>
      <c r="D125" s="376" t="s">
        <v>232</v>
      </c>
      <c r="E125" s="403" t="s">
        <v>283</v>
      </c>
      <c r="F125" s="400" t="s">
        <v>294</v>
      </c>
      <c r="G125" s="372" t="s">
        <v>285</v>
      </c>
      <c r="H125" s="373">
        <f t="shared" si="7"/>
        <v>128268</v>
      </c>
      <c r="I125" s="381">
        <v>35630</v>
      </c>
      <c r="J125" s="371">
        <v>1</v>
      </c>
      <c r="K125" s="371">
        <v>0</v>
      </c>
      <c r="L125" s="372" t="s">
        <v>295</v>
      </c>
      <c r="M125" s="401" t="s">
        <v>245</v>
      </c>
      <c r="N125" s="414" t="s">
        <v>369</v>
      </c>
      <c r="O125" s="414" t="s">
        <v>369</v>
      </c>
      <c r="P125" s="372" t="s">
        <v>285</v>
      </c>
      <c r="Q125" s="372" t="s">
        <v>285</v>
      </c>
      <c r="R125" s="372" t="s">
        <v>370</v>
      </c>
    </row>
    <row r="126" spans="1:21" ht="25.5" x14ac:dyDescent="0.25">
      <c r="A126" s="372" t="s">
        <v>252</v>
      </c>
      <c r="B126" s="372" t="s">
        <v>284</v>
      </c>
      <c r="C126" s="402" t="s">
        <v>365</v>
      </c>
      <c r="D126" s="376" t="s">
        <v>334</v>
      </c>
      <c r="E126" s="408" t="s">
        <v>282</v>
      </c>
      <c r="F126" s="400" t="s">
        <v>294</v>
      </c>
      <c r="G126" s="372" t="s">
        <v>285</v>
      </c>
      <c r="H126" s="373">
        <f t="shared" ref="H126:H133" si="9">I126*$H$5</f>
        <v>720000</v>
      </c>
      <c r="I126" s="381">
        <v>200000</v>
      </c>
      <c r="J126" s="371">
        <v>1</v>
      </c>
      <c r="K126" s="371">
        <v>0</v>
      </c>
      <c r="L126" s="372" t="s">
        <v>295</v>
      </c>
      <c r="M126" s="401" t="s">
        <v>245</v>
      </c>
      <c r="N126" s="414">
        <v>42522</v>
      </c>
      <c r="O126" s="414">
        <v>42552</v>
      </c>
      <c r="P126" s="372" t="s">
        <v>285</v>
      </c>
      <c r="Q126" s="372" t="s">
        <v>285</v>
      </c>
      <c r="R126" s="372" t="s">
        <v>370</v>
      </c>
    </row>
    <row r="127" spans="1:21" ht="25.5" x14ac:dyDescent="0.25">
      <c r="A127" s="372" t="s">
        <v>252</v>
      </c>
      <c r="B127" s="372" t="s">
        <v>284</v>
      </c>
      <c r="C127" s="402" t="s">
        <v>365</v>
      </c>
      <c r="D127" s="376" t="s">
        <v>393</v>
      </c>
      <c r="E127" s="408" t="s">
        <v>282</v>
      </c>
      <c r="F127" s="400" t="s">
        <v>294</v>
      </c>
      <c r="G127" s="372" t="s">
        <v>285</v>
      </c>
      <c r="H127" s="373">
        <f t="shared" si="9"/>
        <v>1008000</v>
      </c>
      <c r="I127" s="381">
        <v>280000</v>
      </c>
      <c r="J127" s="371">
        <v>1</v>
      </c>
      <c r="K127" s="371">
        <v>0</v>
      </c>
      <c r="L127" s="372" t="s">
        <v>295</v>
      </c>
      <c r="M127" s="401" t="s">
        <v>245</v>
      </c>
      <c r="N127" s="414">
        <v>42522</v>
      </c>
      <c r="O127" s="414">
        <v>42552</v>
      </c>
      <c r="P127" s="372" t="s">
        <v>285</v>
      </c>
      <c r="Q127" s="372" t="s">
        <v>285</v>
      </c>
      <c r="R127" s="372" t="s">
        <v>370</v>
      </c>
    </row>
    <row r="128" spans="1:21" ht="25.5" x14ac:dyDescent="0.25">
      <c r="A128" s="372" t="s">
        <v>252</v>
      </c>
      <c r="B128" s="372" t="s">
        <v>284</v>
      </c>
      <c r="C128" s="402" t="s">
        <v>365</v>
      </c>
      <c r="D128" s="376" t="s">
        <v>335</v>
      </c>
      <c r="E128" s="408" t="s">
        <v>282</v>
      </c>
      <c r="F128" s="400" t="s">
        <v>294</v>
      </c>
      <c r="G128" s="372" t="s">
        <v>285</v>
      </c>
      <c r="H128" s="373">
        <f t="shared" si="9"/>
        <v>739057.67999999993</v>
      </c>
      <c r="I128" s="381">
        <v>205293.8</v>
      </c>
      <c r="J128" s="371">
        <v>1</v>
      </c>
      <c r="K128" s="371">
        <v>0</v>
      </c>
      <c r="L128" s="372" t="s">
        <v>295</v>
      </c>
      <c r="M128" s="401" t="s">
        <v>245</v>
      </c>
      <c r="N128" s="414">
        <v>43040</v>
      </c>
      <c r="O128" s="414">
        <v>43070</v>
      </c>
      <c r="P128" s="372" t="s">
        <v>285</v>
      </c>
      <c r="Q128" s="372" t="s">
        <v>285</v>
      </c>
      <c r="R128" s="372" t="s">
        <v>370</v>
      </c>
    </row>
    <row r="129" spans="1:18" ht="25.5" x14ac:dyDescent="0.25">
      <c r="A129" s="372" t="s">
        <v>252</v>
      </c>
      <c r="B129" s="372" t="s">
        <v>284</v>
      </c>
      <c r="C129" s="402" t="s">
        <v>365</v>
      </c>
      <c r="D129" s="376" t="s">
        <v>394</v>
      </c>
      <c r="E129" s="408" t="s">
        <v>282</v>
      </c>
      <c r="F129" s="400" t="s">
        <v>294</v>
      </c>
      <c r="G129" s="372"/>
      <c r="H129" s="373">
        <f t="shared" si="9"/>
        <v>684000</v>
      </c>
      <c r="I129" s="381">
        <v>190000</v>
      </c>
      <c r="J129" s="371">
        <v>1</v>
      </c>
      <c r="K129" s="371">
        <v>0</v>
      </c>
      <c r="L129" s="372" t="s">
        <v>295</v>
      </c>
      <c r="M129" s="401" t="s">
        <v>245</v>
      </c>
      <c r="N129" s="414">
        <v>43040</v>
      </c>
      <c r="O129" s="414">
        <v>43070</v>
      </c>
      <c r="P129" s="372"/>
      <c r="Q129" s="372"/>
      <c r="R129" s="372" t="s">
        <v>370</v>
      </c>
    </row>
    <row r="130" spans="1:18" ht="25.5" x14ac:dyDescent="0.25">
      <c r="A130" s="372" t="s">
        <v>252</v>
      </c>
      <c r="B130" s="372" t="s">
        <v>284</v>
      </c>
      <c r="C130" s="402" t="s">
        <v>365</v>
      </c>
      <c r="D130" s="376" t="s">
        <v>395</v>
      </c>
      <c r="E130" s="408" t="s">
        <v>282</v>
      </c>
      <c r="F130" s="400" t="s">
        <v>294</v>
      </c>
      <c r="G130" s="372" t="s">
        <v>285</v>
      </c>
      <c r="H130" s="373">
        <f t="shared" si="9"/>
        <v>576000</v>
      </c>
      <c r="I130" s="381">
        <v>160000</v>
      </c>
      <c r="J130" s="371">
        <v>1</v>
      </c>
      <c r="K130" s="371">
        <v>0</v>
      </c>
      <c r="L130" s="372" t="s">
        <v>295</v>
      </c>
      <c r="M130" s="401" t="s">
        <v>245</v>
      </c>
      <c r="N130" s="414">
        <v>42767</v>
      </c>
      <c r="O130" s="414">
        <v>42795</v>
      </c>
      <c r="P130" s="372" t="s">
        <v>285</v>
      </c>
      <c r="Q130" s="372" t="s">
        <v>285</v>
      </c>
      <c r="R130" s="372" t="s">
        <v>370</v>
      </c>
    </row>
    <row r="131" spans="1:18" ht="25.5" x14ac:dyDescent="0.25">
      <c r="A131" s="372" t="s">
        <v>252</v>
      </c>
      <c r="B131" s="372" t="s">
        <v>284</v>
      </c>
      <c r="C131" s="402" t="s">
        <v>365</v>
      </c>
      <c r="D131" s="376" t="s">
        <v>367</v>
      </c>
      <c r="E131" s="408" t="s">
        <v>282</v>
      </c>
      <c r="F131" s="400" t="s">
        <v>294</v>
      </c>
      <c r="G131" s="372" t="s">
        <v>285</v>
      </c>
      <c r="H131" s="373">
        <f t="shared" si="9"/>
        <v>858278.80799999996</v>
      </c>
      <c r="I131" s="381">
        <v>238410.78</v>
      </c>
      <c r="J131" s="371">
        <v>1</v>
      </c>
      <c r="K131" s="371">
        <v>0</v>
      </c>
      <c r="L131" s="372" t="s">
        <v>295</v>
      </c>
      <c r="M131" s="401" t="s">
        <v>245</v>
      </c>
      <c r="N131" s="414">
        <v>42979</v>
      </c>
      <c r="O131" s="414">
        <v>43009</v>
      </c>
      <c r="P131" s="372" t="s">
        <v>285</v>
      </c>
      <c r="Q131" s="372" t="s">
        <v>285</v>
      </c>
      <c r="R131" s="372" t="s">
        <v>370</v>
      </c>
    </row>
    <row r="132" spans="1:18" ht="25.5" x14ac:dyDescent="0.25">
      <c r="A132" s="372" t="s">
        <v>252</v>
      </c>
      <c r="B132" s="372" t="s">
        <v>284</v>
      </c>
      <c r="C132" s="402" t="s">
        <v>365</v>
      </c>
      <c r="D132" s="376" t="s">
        <v>396</v>
      </c>
      <c r="E132" s="408" t="s">
        <v>282</v>
      </c>
      <c r="F132" s="400" t="s">
        <v>294</v>
      </c>
      <c r="G132" s="372" t="s">
        <v>285</v>
      </c>
      <c r="H132" s="373">
        <f t="shared" si="9"/>
        <v>126000</v>
      </c>
      <c r="I132" s="381">
        <v>35000</v>
      </c>
      <c r="J132" s="371">
        <v>1</v>
      </c>
      <c r="K132" s="371">
        <v>0</v>
      </c>
      <c r="L132" s="372" t="s">
        <v>295</v>
      </c>
      <c r="M132" s="401" t="s">
        <v>245</v>
      </c>
      <c r="N132" s="414">
        <v>39904</v>
      </c>
      <c r="O132" s="414">
        <v>43586</v>
      </c>
      <c r="P132" s="372" t="s">
        <v>285</v>
      </c>
      <c r="Q132" s="372" t="s">
        <v>285</v>
      </c>
      <c r="R132" s="372" t="s">
        <v>370</v>
      </c>
    </row>
    <row r="133" spans="1:18" ht="25.5" x14ac:dyDescent="0.25">
      <c r="A133" s="372" t="s">
        <v>250</v>
      </c>
      <c r="B133" s="372" t="s">
        <v>284</v>
      </c>
      <c r="C133" s="402" t="s">
        <v>368</v>
      </c>
      <c r="D133" s="376" t="s">
        <v>397</v>
      </c>
      <c r="E133" s="408" t="s">
        <v>282</v>
      </c>
      <c r="F133" s="400" t="s">
        <v>294</v>
      </c>
      <c r="G133" s="372" t="s">
        <v>285</v>
      </c>
      <c r="H133" s="373">
        <f t="shared" si="9"/>
        <v>32400</v>
      </c>
      <c r="I133" s="381">
        <v>9000</v>
      </c>
      <c r="J133" s="371">
        <v>1</v>
      </c>
      <c r="K133" s="371">
        <v>0</v>
      </c>
      <c r="L133" s="372" t="s">
        <v>295</v>
      </c>
      <c r="M133" s="401" t="s">
        <v>245</v>
      </c>
      <c r="N133" s="414">
        <v>42979</v>
      </c>
      <c r="O133" s="414">
        <v>43009</v>
      </c>
      <c r="P133" s="372" t="s">
        <v>285</v>
      </c>
      <c r="Q133" s="372" t="s">
        <v>285</v>
      </c>
      <c r="R133" s="372" t="s">
        <v>370</v>
      </c>
    </row>
    <row r="134" spans="1:18" ht="25.5" x14ac:dyDescent="0.25">
      <c r="A134" s="372" t="s">
        <v>250</v>
      </c>
      <c r="B134" s="372" t="s">
        <v>284</v>
      </c>
      <c r="C134" s="402" t="s">
        <v>368</v>
      </c>
      <c r="D134" s="376" t="s">
        <v>233</v>
      </c>
      <c r="E134" s="372" t="s">
        <v>248</v>
      </c>
      <c r="F134" s="400" t="s">
        <v>294</v>
      </c>
      <c r="G134" s="372" t="s">
        <v>285</v>
      </c>
      <c r="H134" s="373">
        <v>300000</v>
      </c>
      <c r="I134" s="381">
        <v>150000</v>
      </c>
      <c r="J134" s="371">
        <v>1</v>
      </c>
      <c r="K134" s="371">
        <v>0</v>
      </c>
      <c r="L134" s="372" t="s">
        <v>295</v>
      </c>
      <c r="M134" s="401" t="s">
        <v>245</v>
      </c>
      <c r="N134" s="414">
        <v>43101</v>
      </c>
      <c r="O134" s="414">
        <v>43132</v>
      </c>
      <c r="P134" s="372" t="s">
        <v>285</v>
      </c>
      <c r="Q134" s="372" t="s">
        <v>285</v>
      </c>
      <c r="R134" s="372" t="s">
        <v>370</v>
      </c>
    </row>
  </sheetData>
  <autoFilter ref="A8:R8" xr:uid="{00000000-0009-0000-0000-000000000000}"/>
  <mergeCells count="6">
    <mergeCell ref="N7:O7"/>
    <mergeCell ref="H7:K7"/>
    <mergeCell ref="A1:R1"/>
    <mergeCell ref="A2:R2"/>
    <mergeCell ref="A3:R3"/>
    <mergeCell ref="A4:R4"/>
  </mergeCells>
  <dataValidations count="1">
    <dataValidation type="list" allowBlank="1" showInputMessage="1" showErrorMessage="1" sqref="M9:M134" xr:uid="{00000000-0002-0000-0000-000000000000}">
      <formula1>#REF!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47" fitToHeight="24" orientation="landscape" r:id="rId1"/>
  <rowBreaks count="1" manualBreakCount="1">
    <brk id="123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6"/>
  <dimension ref="A1:P76"/>
  <sheetViews>
    <sheetView zoomScale="70" zoomScaleNormal="70" workbookViewId="0">
      <selection activeCell="D16" sqref="D16"/>
    </sheetView>
  </sheetViews>
  <sheetFormatPr defaultRowHeight="15.75" x14ac:dyDescent="0.25"/>
  <cols>
    <col min="1" max="1" width="12.85546875" style="113" customWidth="1"/>
    <col min="2" max="2" width="16" style="113" customWidth="1"/>
    <col min="3" max="3" width="91.140625" style="117" customWidth="1"/>
    <col min="4" max="4" width="30.140625" style="115" customWidth="1"/>
    <col min="5" max="5" width="28.5703125" style="113" customWidth="1"/>
    <col min="6" max="6" width="25.140625" style="116" customWidth="1"/>
    <col min="7" max="7" width="20.85546875" style="117" customWidth="1"/>
    <col min="8" max="8" width="15.28515625" style="117" customWidth="1"/>
    <col min="9" max="9" width="18.28515625" style="117" customWidth="1"/>
    <col min="10" max="10" width="15.85546875" bestFit="1" customWidth="1"/>
    <col min="11" max="12" width="13.28515625" customWidth="1"/>
    <col min="13" max="13" width="15.85546875" bestFit="1" customWidth="1"/>
    <col min="14" max="14" width="15.7109375" customWidth="1"/>
  </cols>
  <sheetData>
    <row r="1" spans="1:11" ht="31.5" x14ac:dyDescent="0.5">
      <c r="C1" s="114"/>
    </row>
    <row r="2" spans="1:11" s="36" customFormat="1" ht="31.5" x14ac:dyDescent="0.3">
      <c r="A2" s="451" t="s">
        <v>76</v>
      </c>
      <c r="B2" s="451"/>
      <c r="C2" s="451"/>
      <c r="D2" s="115"/>
      <c r="E2" s="113"/>
      <c r="F2" s="116"/>
      <c r="G2" s="118"/>
      <c r="H2" s="119" t="s">
        <v>77</v>
      </c>
      <c r="I2" s="120" t="s">
        <v>78</v>
      </c>
    </row>
    <row r="3" spans="1:11" s="36" customFormat="1" ht="18.75" x14ac:dyDescent="0.3">
      <c r="A3" s="113"/>
      <c r="B3" s="121"/>
      <c r="C3" s="122"/>
      <c r="D3" s="115"/>
      <c r="E3" s="113"/>
      <c r="F3" s="116"/>
      <c r="G3" s="123">
        <f>SUM(G12+G41+G45+G5+G49)</f>
        <v>1340993.32</v>
      </c>
      <c r="H3" s="124">
        <v>0</v>
      </c>
      <c r="I3" s="125">
        <f>G3-H3</f>
        <v>1340993.32</v>
      </c>
    </row>
    <row r="4" spans="1:11" x14ac:dyDescent="0.25">
      <c r="D4" s="126" t="s">
        <v>16</v>
      </c>
      <c r="E4" s="126" t="s">
        <v>56</v>
      </c>
      <c r="F4" s="126" t="s">
        <v>55</v>
      </c>
      <c r="G4" s="127" t="s">
        <v>79</v>
      </c>
      <c r="H4" s="128" t="s">
        <v>7</v>
      </c>
      <c r="I4" s="128" t="s">
        <v>80</v>
      </c>
    </row>
    <row r="5" spans="1:11" x14ac:dyDescent="0.25">
      <c r="A5" s="437" t="e">
        <f>#REF!</f>
        <v>#REF!</v>
      </c>
      <c r="B5" s="438"/>
      <c r="C5" s="129" t="str">
        <f>'[1]Pl. Atividades 18m'!C37</f>
        <v>Transferências para PSA</v>
      </c>
      <c r="D5" s="130"/>
      <c r="E5" s="130"/>
      <c r="F5" s="130"/>
      <c r="G5" s="131">
        <f>SUM(G6+G9)</f>
        <v>0</v>
      </c>
      <c r="H5" s="128"/>
      <c r="I5" s="128"/>
      <c r="J5" s="32"/>
    </row>
    <row r="6" spans="1:11" x14ac:dyDescent="0.25">
      <c r="A6" s="132" t="str">
        <f>'[1]Pl. Atividades 18m'!A38</f>
        <v>2.1.1.1.1.a</v>
      </c>
      <c r="B6" s="133" t="str">
        <f>'[1]Pl. Atividades 18m'!B38</f>
        <v>Atividade i</v>
      </c>
      <c r="C6" s="134" t="str">
        <f>'[1]Pl. Atividades 18m'!C38</f>
        <v>Repasse para PSA Uso Mútliplo</v>
      </c>
      <c r="D6" s="134"/>
      <c r="E6" s="134"/>
      <c r="F6" s="134"/>
      <c r="G6" s="135">
        <f>G7</f>
        <v>0</v>
      </c>
      <c r="H6" s="128"/>
      <c r="I6" s="128"/>
      <c r="J6" s="32"/>
    </row>
    <row r="7" spans="1:11" x14ac:dyDescent="0.25">
      <c r="A7" s="452"/>
      <c r="B7" s="453"/>
      <c r="C7" s="136" t="s">
        <v>81</v>
      </c>
      <c r="D7" s="136"/>
      <c r="E7" s="136"/>
      <c r="F7" s="136"/>
      <c r="G7" s="137">
        <f>G8</f>
        <v>0</v>
      </c>
      <c r="H7" s="138"/>
      <c r="I7" s="139"/>
      <c r="J7" s="32"/>
    </row>
    <row r="8" spans="1:11" x14ac:dyDescent="0.25">
      <c r="A8" s="454"/>
      <c r="B8" s="455"/>
      <c r="C8" s="140"/>
      <c r="D8" s="141" t="s">
        <v>73</v>
      </c>
      <c r="E8" s="142">
        <v>0</v>
      </c>
      <c r="F8" s="112">
        <v>0</v>
      </c>
      <c r="G8" s="143">
        <v>0</v>
      </c>
      <c r="H8" s="144">
        <v>0</v>
      </c>
      <c r="I8" s="145">
        <v>0</v>
      </c>
      <c r="J8" s="32"/>
    </row>
    <row r="9" spans="1:11" x14ac:dyDescent="0.25">
      <c r="A9" s="146" t="str">
        <f>'[1]Pl. Atividades 18m'!A39</f>
        <v>2.1.1.1.1.b</v>
      </c>
      <c r="B9" s="133" t="str">
        <f>'[1]Pl. Atividades 18m'!B39</f>
        <v>Atividade ii</v>
      </c>
      <c r="C9" s="134" t="str">
        <f>'[1]Pl. Atividades 18m'!C39</f>
        <v>Repasse para PSA Proteção</v>
      </c>
      <c r="D9" s="134"/>
      <c r="E9" s="134"/>
      <c r="F9" s="134"/>
      <c r="G9" s="135">
        <f>G10</f>
        <v>0</v>
      </c>
      <c r="H9" s="147"/>
      <c r="I9" s="147"/>
      <c r="J9" s="32"/>
    </row>
    <row r="10" spans="1:11" x14ac:dyDescent="0.25">
      <c r="A10" s="426"/>
      <c r="B10" s="427"/>
      <c r="C10" s="148" t="s">
        <v>82</v>
      </c>
      <c r="D10" s="149"/>
      <c r="E10" s="140"/>
      <c r="F10" s="140"/>
      <c r="G10" s="137">
        <f>G11</f>
        <v>0</v>
      </c>
      <c r="H10" s="140"/>
      <c r="I10" s="150"/>
      <c r="J10" s="32"/>
    </row>
    <row r="11" spans="1:11" x14ac:dyDescent="0.25">
      <c r="A11" s="430"/>
      <c r="B11" s="431"/>
      <c r="C11" s="150"/>
      <c r="D11" s="151" t="s">
        <v>73</v>
      </c>
      <c r="E11" s="152">
        <v>0</v>
      </c>
      <c r="F11" s="153">
        <v>0</v>
      </c>
      <c r="G11" s="143">
        <v>0</v>
      </c>
      <c r="H11" s="143">
        <v>0</v>
      </c>
      <c r="I11" s="154">
        <v>0</v>
      </c>
      <c r="J11" s="32"/>
    </row>
    <row r="12" spans="1:11" x14ac:dyDescent="0.25">
      <c r="A12" s="456" t="e">
        <f>#REF!</f>
        <v>#REF!</v>
      </c>
      <c r="B12" s="457"/>
      <c r="C12" s="130" t="str">
        <f>'[1]Pl. Atividades 18m'!C40</f>
        <v xml:space="preserve">Fortalecimento da assistência técnica a produtores rurais </v>
      </c>
      <c r="D12" s="155"/>
      <c r="E12" s="156"/>
      <c r="F12" s="156"/>
      <c r="G12" s="157">
        <f>SUM(G13+G24+G29+G38)</f>
        <v>756049.14999999991</v>
      </c>
      <c r="H12" s="158"/>
      <c r="I12" s="158"/>
      <c r="K12" s="109"/>
    </row>
    <row r="13" spans="1:11" x14ac:dyDescent="0.25">
      <c r="A13" s="159" t="str">
        <f>'[1]Pl. Atividades 18m'!A41</f>
        <v>2.1.1.1.4.a</v>
      </c>
      <c r="B13" s="160" t="str">
        <f>'[1]Pl. Atividades 18m'!B41</f>
        <v>Atividade i</v>
      </c>
      <c r="C13" s="161" t="str">
        <f>'[1]Pl. Atividades 18m'!C41</f>
        <v>Disponibilizar assistência técnica para apoio aos produtores rurais</v>
      </c>
      <c r="D13" s="162"/>
      <c r="E13" s="163"/>
      <c r="F13" s="163"/>
      <c r="G13" s="164">
        <f>SUM(G14+G16+G18)</f>
        <v>428324.99</v>
      </c>
      <c r="H13" s="165"/>
      <c r="I13" s="165"/>
      <c r="J13" s="32"/>
      <c r="K13" s="109"/>
    </row>
    <row r="14" spans="1:11" ht="47.25" x14ac:dyDescent="0.25">
      <c r="A14" s="426"/>
      <c r="B14" s="427"/>
      <c r="C14" s="166" t="s">
        <v>227</v>
      </c>
      <c r="D14" s="167"/>
      <c r="E14" s="168"/>
      <c r="F14" s="169"/>
      <c r="G14" s="170">
        <f>G15</f>
        <v>150303.41999999998</v>
      </c>
      <c r="H14" s="171"/>
      <c r="I14" s="171"/>
      <c r="J14" s="32"/>
      <c r="K14" s="109"/>
    </row>
    <row r="15" spans="1:11" x14ac:dyDescent="0.25">
      <c r="A15" s="428"/>
      <c r="B15" s="429"/>
      <c r="C15" s="172"/>
      <c r="D15" s="173" t="s">
        <v>83</v>
      </c>
      <c r="E15" s="174">
        <v>75151.710000000006</v>
      </c>
      <c r="F15" s="175">
        <v>2</v>
      </c>
      <c r="G15" s="171">
        <f>SUM(H15+I15)</f>
        <v>150303.41999999998</v>
      </c>
      <c r="H15" s="171">
        <v>92482.04</v>
      </c>
      <c r="I15" s="171">
        <v>57821.38</v>
      </c>
      <c r="J15" s="32"/>
      <c r="K15" s="176"/>
    </row>
    <row r="16" spans="1:11" ht="63" customHeight="1" x14ac:dyDescent="0.25">
      <c r="A16" s="428"/>
      <c r="B16" s="429"/>
      <c r="C16" s="136" t="s">
        <v>228</v>
      </c>
      <c r="D16" s="177"/>
      <c r="E16" s="168"/>
      <c r="F16" s="178"/>
      <c r="G16" s="170">
        <f>G17</f>
        <v>164817.54999999999</v>
      </c>
      <c r="H16" s="171"/>
      <c r="I16" s="171"/>
      <c r="J16" s="32"/>
      <c r="K16" s="176"/>
    </row>
    <row r="17" spans="1:16" x14ac:dyDescent="0.25">
      <c r="A17" s="428"/>
      <c r="B17" s="429"/>
      <c r="C17" s="172"/>
      <c r="D17" s="179" t="s">
        <v>83</v>
      </c>
      <c r="E17" s="174">
        <v>164817.54999999999</v>
      </c>
      <c r="F17" s="180">
        <v>1</v>
      </c>
      <c r="G17" s="181">
        <v>164817.54999999999</v>
      </c>
      <c r="H17" s="182">
        <v>101155.98</v>
      </c>
      <c r="I17" s="182">
        <v>63661.57</v>
      </c>
      <c r="J17" s="32"/>
      <c r="K17" s="183"/>
      <c r="L17" s="109"/>
      <c r="M17" s="109"/>
      <c r="N17" s="109"/>
      <c r="O17" s="109"/>
      <c r="P17" s="109"/>
    </row>
    <row r="18" spans="1:16" x14ac:dyDescent="0.25">
      <c r="A18" s="428"/>
      <c r="B18" s="429"/>
      <c r="C18" s="136" t="s">
        <v>84</v>
      </c>
      <c r="D18" s="184"/>
      <c r="E18" s="184"/>
      <c r="F18" s="184"/>
      <c r="G18" s="185">
        <f>SUM(G19:G23)</f>
        <v>113204.02</v>
      </c>
      <c r="H18" s="182"/>
      <c r="I18" s="182"/>
      <c r="J18" s="32"/>
      <c r="K18" s="183"/>
      <c r="L18" s="183"/>
      <c r="M18" s="183"/>
      <c r="N18" s="109"/>
      <c r="O18" s="109"/>
      <c r="P18" s="109"/>
    </row>
    <row r="19" spans="1:16" x14ac:dyDescent="0.25">
      <c r="A19" s="428"/>
      <c r="B19" s="429"/>
      <c r="C19" s="448"/>
      <c r="D19" s="179" t="s">
        <v>85</v>
      </c>
      <c r="E19" s="186" t="s">
        <v>86</v>
      </c>
      <c r="F19" s="180">
        <v>102</v>
      </c>
      <c r="G19" s="181">
        <f xml:space="preserve"> SUM(H19+I19)</f>
        <v>38914.020000000004</v>
      </c>
      <c r="H19" s="182">
        <v>25179.66</v>
      </c>
      <c r="I19" s="182">
        <v>13734.36</v>
      </c>
      <c r="J19" s="32"/>
      <c r="K19" s="183"/>
      <c r="L19" s="183"/>
      <c r="M19" s="183"/>
      <c r="N19" s="109"/>
      <c r="O19" s="109"/>
      <c r="P19" s="109"/>
    </row>
    <row r="20" spans="1:16" x14ac:dyDescent="0.25">
      <c r="A20" s="428"/>
      <c r="B20" s="429"/>
      <c r="C20" s="449"/>
      <c r="D20" s="179" t="s">
        <v>87</v>
      </c>
      <c r="E20" s="174" t="s">
        <v>88</v>
      </c>
      <c r="F20" s="180">
        <v>17</v>
      </c>
      <c r="G20" s="181">
        <f>SUM(H20+I20)</f>
        <v>20400</v>
      </c>
      <c r="H20" s="182">
        <v>13200</v>
      </c>
      <c r="I20" s="182">
        <v>7200</v>
      </c>
      <c r="J20" s="32"/>
      <c r="K20" s="183"/>
      <c r="L20" s="183"/>
      <c r="M20" s="183"/>
      <c r="N20" s="109"/>
      <c r="O20" s="109"/>
      <c r="P20" s="109"/>
    </row>
    <row r="21" spans="1:16" x14ac:dyDescent="0.25">
      <c r="A21" s="428"/>
      <c r="B21" s="429"/>
      <c r="C21" s="449"/>
      <c r="D21" s="187" t="s">
        <v>89</v>
      </c>
      <c r="E21" s="174" t="s">
        <v>90</v>
      </c>
      <c r="F21" s="180">
        <v>17</v>
      </c>
      <c r="G21" s="182">
        <f>SUM(H21+I21)</f>
        <v>17000</v>
      </c>
      <c r="H21" s="182">
        <v>11000</v>
      </c>
      <c r="I21" s="182">
        <v>6000</v>
      </c>
      <c r="J21" s="32"/>
      <c r="K21" s="183"/>
      <c r="L21" s="183"/>
      <c r="M21" s="183"/>
      <c r="N21" s="109"/>
      <c r="O21" s="109"/>
      <c r="P21" s="109"/>
    </row>
    <row r="22" spans="1:16" x14ac:dyDescent="0.25">
      <c r="A22" s="428"/>
      <c r="B22" s="429"/>
      <c r="C22" s="449"/>
      <c r="D22" s="188" t="s">
        <v>66</v>
      </c>
      <c r="E22" s="174" t="s">
        <v>90</v>
      </c>
      <c r="F22" s="180">
        <v>17</v>
      </c>
      <c r="G22" s="181">
        <f>SUM(H22+I22)</f>
        <v>17000</v>
      </c>
      <c r="H22" s="182">
        <v>11000</v>
      </c>
      <c r="I22" s="182">
        <v>6000</v>
      </c>
      <c r="J22" s="32"/>
      <c r="K22" s="183"/>
      <c r="L22" s="183"/>
      <c r="M22" s="183"/>
      <c r="N22" s="109"/>
      <c r="O22" s="109"/>
      <c r="P22" s="109"/>
    </row>
    <row r="23" spans="1:16" x14ac:dyDescent="0.25">
      <c r="A23" s="430"/>
      <c r="B23" s="431"/>
      <c r="C23" s="450"/>
      <c r="D23" s="188" t="s">
        <v>91</v>
      </c>
      <c r="E23" s="174" t="s">
        <v>92</v>
      </c>
      <c r="F23" s="180">
        <v>51</v>
      </c>
      <c r="G23" s="182">
        <f>SUM(H23+I23)</f>
        <v>19890</v>
      </c>
      <c r="H23" s="182">
        <v>12870</v>
      </c>
      <c r="I23" s="182">
        <v>7020</v>
      </c>
      <c r="J23" s="32"/>
      <c r="K23" s="183"/>
      <c r="L23" s="189"/>
      <c r="M23" s="189"/>
      <c r="N23" s="189"/>
      <c r="O23" s="109"/>
      <c r="P23" s="109"/>
    </row>
    <row r="24" spans="1:16" x14ac:dyDescent="0.25">
      <c r="A24" s="159" t="str">
        <f>'[1]Pl. Atividades 18m'!A42</f>
        <v>2.1.1.1.4.b</v>
      </c>
      <c r="B24" s="160" t="str">
        <f>'[1]Pl. Atividades 18m'!B42</f>
        <v>Atividade ii</v>
      </c>
      <c r="C24" s="190" t="str">
        <f>'[1]Pl. Atividades 18m'!C42</f>
        <v>Obter apoio técnico e administrativo para o componente 2 - SMA/SP</v>
      </c>
      <c r="D24" s="162"/>
      <c r="E24" s="162"/>
      <c r="F24" s="162"/>
      <c r="G24" s="135">
        <f>G25</f>
        <v>188447.6</v>
      </c>
      <c r="H24" s="128"/>
      <c r="I24" s="128"/>
      <c r="J24" s="32"/>
      <c r="K24" s="189"/>
      <c r="L24" s="109"/>
      <c r="M24" s="109"/>
      <c r="N24" s="109"/>
      <c r="O24" s="109"/>
      <c r="P24" s="109"/>
    </row>
    <row r="25" spans="1:16" ht="51" customHeight="1" x14ac:dyDescent="0.25">
      <c r="A25" s="426"/>
      <c r="B25" s="427"/>
      <c r="C25" s="191" t="s">
        <v>93</v>
      </c>
      <c r="D25" s="185"/>
      <c r="E25" s="185"/>
      <c r="F25" s="185"/>
      <c r="G25" s="185">
        <f>SUM(G26:G28)</f>
        <v>188447.6</v>
      </c>
      <c r="H25" s="192"/>
      <c r="I25" s="192"/>
      <c r="J25" s="32"/>
      <c r="K25" s="109"/>
      <c r="L25" s="109"/>
      <c r="M25" s="109"/>
      <c r="N25" s="109"/>
      <c r="O25" s="109"/>
      <c r="P25" s="109"/>
    </row>
    <row r="26" spans="1:16" x14ac:dyDescent="0.25">
      <c r="A26" s="428"/>
      <c r="B26" s="429"/>
      <c r="C26" s="434"/>
      <c r="D26" s="179" t="s">
        <v>83</v>
      </c>
      <c r="E26" s="174">
        <v>164817.54999999999</v>
      </c>
      <c r="F26" s="193">
        <v>1</v>
      </c>
      <c r="G26" s="181">
        <f>SUM(H26+I26)</f>
        <v>164817.60000000001</v>
      </c>
      <c r="H26" s="182">
        <v>101155.98</v>
      </c>
      <c r="I26" s="182">
        <v>63661.62</v>
      </c>
      <c r="J26" s="32"/>
      <c r="K26" s="183"/>
      <c r="L26" s="183"/>
      <c r="M26" s="109"/>
      <c r="N26" s="109"/>
    </row>
    <row r="27" spans="1:16" x14ac:dyDescent="0.25">
      <c r="A27" s="428"/>
      <c r="B27" s="429"/>
      <c r="C27" s="435"/>
      <c r="D27" s="179" t="s">
        <v>85</v>
      </c>
      <c r="E27" s="174" t="s">
        <v>94</v>
      </c>
      <c r="F27" s="180">
        <v>68</v>
      </c>
      <c r="G27" s="181">
        <f>SUM(H27+I27)</f>
        <v>17000</v>
      </c>
      <c r="H27" s="182">
        <v>11000</v>
      </c>
      <c r="I27" s="182">
        <v>6000</v>
      </c>
      <c r="J27" s="32"/>
      <c r="K27" s="183"/>
      <c r="L27" s="183"/>
      <c r="M27" s="109"/>
      <c r="N27" s="109"/>
    </row>
    <row r="28" spans="1:16" x14ac:dyDescent="0.25">
      <c r="A28" s="430"/>
      <c r="B28" s="431"/>
      <c r="C28" s="436"/>
      <c r="D28" s="179" t="s">
        <v>91</v>
      </c>
      <c r="E28" s="174" t="s">
        <v>95</v>
      </c>
      <c r="F28" s="180">
        <v>17</v>
      </c>
      <c r="G28" s="182">
        <f>SUM(H28+I28)</f>
        <v>6630</v>
      </c>
      <c r="H28" s="182">
        <v>4290</v>
      </c>
      <c r="I28" s="182">
        <v>2340</v>
      </c>
      <c r="J28" s="32"/>
      <c r="K28" s="183"/>
      <c r="L28" s="183"/>
      <c r="M28" s="109"/>
      <c r="N28" s="109"/>
    </row>
    <row r="29" spans="1:16" x14ac:dyDescent="0.25">
      <c r="A29" s="147" t="str">
        <f>'[1]Pl. Atividades 18m'!A43</f>
        <v>2.1.1.1.4.c</v>
      </c>
      <c r="B29" s="160" t="str">
        <f>'[1]Pl. Atividades 18m'!B43</f>
        <v>Atividade iii</v>
      </c>
      <c r="C29" s="194" t="str">
        <f>'[1]Pl. Atividades 18m'!C43</f>
        <v>Estruturar núcleos técnicos regionais de execução do componente 2 em São Paulo</v>
      </c>
      <c r="D29" s="162"/>
      <c r="E29" s="162"/>
      <c r="F29" s="162"/>
      <c r="G29" s="135">
        <f>SUM(G30+G32+G34+G36)</f>
        <v>89276.56</v>
      </c>
      <c r="H29" s="128"/>
      <c r="I29" s="128"/>
      <c r="J29" s="32"/>
      <c r="K29" s="189"/>
      <c r="L29" s="189"/>
      <c r="M29" s="189"/>
      <c r="N29" s="109"/>
    </row>
    <row r="30" spans="1:16" x14ac:dyDescent="0.25">
      <c r="A30" s="426"/>
      <c r="B30" s="427"/>
      <c r="C30" s="166" t="s">
        <v>96</v>
      </c>
      <c r="D30" s="195"/>
      <c r="E30" s="169"/>
      <c r="F30" s="178"/>
      <c r="G30" s="196">
        <f>G31</f>
        <v>82287.56</v>
      </c>
      <c r="H30" s="171"/>
      <c r="I30" s="171"/>
      <c r="J30" s="32"/>
      <c r="K30" s="109"/>
      <c r="L30" s="109"/>
      <c r="M30" s="109"/>
      <c r="N30" s="109"/>
    </row>
    <row r="31" spans="1:16" x14ac:dyDescent="0.25">
      <c r="A31" s="428"/>
      <c r="B31" s="429"/>
      <c r="C31" s="197"/>
      <c r="D31" s="198" t="s">
        <v>74</v>
      </c>
      <c r="E31" s="186">
        <v>89276.56</v>
      </c>
      <c r="F31" s="175"/>
      <c r="G31" s="199">
        <v>82287.56</v>
      </c>
      <c r="H31" s="171">
        <v>82287.56</v>
      </c>
      <c r="I31" s="171">
        <v>0</v>
      </c>
      <c r="J31" s="32"/>
      <c r="K31" s="109"/>
      <c r="L31" s="109"/>
      <c r="M31" s="109"/>
      <c r="N31" s="109"/>
    </row>
    <row r="32" spans="1:16" x14ac:dyDescent="0.25">
      <c r="A32" s="428"/>
      <c r="B32" s="429"/>
      <c r="C32" s="195" t="s">
        <v>97</v>
      </c>
      <c r="D32" s="200"/>
      <c r="E32" s="178"/>
      <c r="F32" s="185"/>
      <c r="G32" s="196">
        <f>G33</f>
        <v>1100</v>
      </c>
      <c r="H32" s="171"/>
      <c r="I32" s="171"/>
      <c r="J32" s="32"/>
      <c r="K32" s="109"/>
      <c r="L32" s="109"/>
      <c r="M32" s="109"/>
      <c r="N32" s="109"/>
    </row>
    <row r="33" spans="1:14" x14ac:dyDescent="0.25">
      <c r="A33" s="428"/>
      <c r="B33" s="429"/>
      <c r="C33" s="197"/>
      <c r="D33" s="198" t="s">
        <v>74</v>
      </c>
      <c r="E33" s="186">
        <v>1100</v>
      </c>
      <c r="F33" s="175">
        <v>1</v>
      </c>
      <c r="G33" s="199">
        <v>1100</v>
      </c>
      <c r="H33" s="171">
        <v>1100</v>
      </c>
      <c r="I33" s="171">
        <v>0</v>
      </c>
      <c r="J33" s="32"/>
      <c r="K33" s="109"/>
      <c r="L33" s="109"/>
      <c r="M33" s="109"/>
      <c r="N33" s="109"/>
    </row>
    <row r="34" spans="1:14" x14ac:dyDescent="0.25">
      <c r="A34" s="428"/>
      <c r="B34" s="429"/>
      <c r="C34" s="195" t="s">
        <v>98</v>
      </c>
      <c r="D34" s="200"/>
      <c r="E34" s="178"/>
      <c r="F34" s="185"/>
      <c r="G34" s="196">
        <f>G35</f>
        <v>3689</v>
      </c>
      <c r="H34" s="171"/>
      <c r="I34" s="171"/>
      <c r="J34" s="32"/>
    </row>
    <row r="35" spans="1:14" s="32" customFormat="1" x14ac:dyDescent="0.25">
      <c r="A35" s="428"/>
      <c r="B35" s="429"/>
      <c r="C35" s="151"/>
      <c r="D35" s="201" t="s">
        <v>74</v>
      </c>
      <c r="E35" s="202">
        <v>3689</v>
      </c>
      <c r="F35" s="192"/>
      <c r="G35" s="203">
        <v>3689</v>
      </c>
      <c r="H35" s="182">
        <v>3689</v>
      </c>
      <c r="I35" s="182">
        <v>0</v>
      </c>
    </row>
    <row r="36" spans="1:14" x14ac:dyDescent="0.25">
      <c r="A36" s="428"/>
      <c r="B36" s="429"/>
      <c r="C36" s="195" t="s">
        <v>99</v>
      </c>
      <c r="D36" s="200"/>
      <c r="E36" s="202"/>
      <c r="F36" s="185"/>
      <c r="G36" s="196">
        <f>G37</f>
        <v>2200</v>
      </c>
      <c r="H36" s="171"/>
      <c r="I36" s="171"/>
      <c r="J36" s="32"/>
    </row>
    <row r="37" spans="1:14" x14ac:dyDescent="0.25">
      <c r="A37" s="430"/>
      <c r="B37" s="431"/>
      <c r="C37" s="204"/>
      <c r="D37" s="201" t="s">
        <v>74</v>
      </c>
      <c r="E37" s="202">
        <v>2200</v>
      </c>
      <c r="F37" s="193">
        <v>1</v>
      </c>
      <c r="G37" s="203">
        <v>2200</v>
      </c>
      <c r="H37" s="171">
        <v>2200</v>
      </c>
      <c r="I37" s="171">
        <v>0</v>
      </c>
      <c r="J37" s="32"/>
    </row>
    <row r="38" spans="1:14" x14ac:dyDescent="0.25">
      <c r="A38" s="147" t="str">
        <f>'[1]Pl. Atividades 18m'!A44</f>
        <v>2.1.1.1.4.d</v>
      </c>
      <c r="B38" s="160" t="str">
        <f>'[1]Pl. Atividades 18m'!B44</f>
        <v>Atividade iv</v>
      </c>
      <c r="C38" s="190" t="str">
        <f>'[1]Pl. Atividades 18m'!C44</f>
        <v>Realizar visitas técnicas para intercâmbio de experiência entre projetos</v>
      </c>
      <c r="D38" s="162"/>
      <c r="E38" s="162"/>
      <c r="F38" s="162"/>
      <c r="G38" s="135">
        <f>G39</f>
        <v>50000</v>
      </c>
      <c r="H38" s="128"/>
      <c r="I38" s="128"/>
      <c r="J38" s="32"/>
    </row>
    <row r="39" spans="1:14" ht="31.5" x14ac:dyDescent="0.25">
      <c r="A39" s="426"/>
      <c r="B39" s="427"/>
      <c r="C39" s="166" t="s">
        <v>69</v>
      </c>
      <c r="D39" s="167"/>
      <c r="E39" s="168"/>
      <c r="F39" s="169"/>
      <c r="G39" s="205">
        <f>G40</f>
        <v>50000</v>
      </c>
      <c r="H39" s="171"/>
      <c r="I39" s="171"/>
      <c r="J39" s="32"/>
    </row>
    <row r="40" spans="1:14" x14ac:dyDescent="0.25">
      <c r="A40" s="430"/>
      <c r="B40" s="431"/>
      <c r="C40" s="172"/>
      <c r="D40" s="206" t="s">
        <v>23</v>
      </c>
      <c r="E40" s="165">
        <v>50000</v>
      </c>
      <c r="F40" s="175">
        <v>1</v>
      </c>
      <c r="G40" s="207">
        <v>50000</v>
      </c>
      <c r="H40" s="171">
        <v>0</v>
      </c>
      <c r="I40" s="171">
        <v>50000</v>
      </c>
      <c r="J40" s="32"/>
    </row>
    <row r="41" spans="1:14" ht="36" customHeight="1" x14ac:dyDescent="0.25">
      <c r="A41" s="437" t="e">
        <f>#REF!</f>
        <v>#REF!</v>
      </c>
      <c r="B41" s="438"/>
      <c r="C41" s="130" t="str">
        <f>'[1]Pl. Atividades 18m'!C45</f>
        <v>Promoção da sensibilização e mobilização de produtores rurais em serviços ambientais no Estado de São Paulo</v>
      </c>
      <c r="D41" s="130"/>
      <c r="E41" s="130"/>
      <c r="F41" s="130"/>
      <c r="G41" s="131">
        <f>G42</f>
        <v>242680.06</v>
      </c>
      <c r="H41" s="128"/>
      <c r="I41" s="128"/>
      <c r="J41" s="111"/>
      <c r="K41" s="32"/>
    </row>
    <row r="42" spans="1:14" ht="47.25" x14ac:dyDescent="0.25">
      <c r="A42" s="208" t="str">
        <f>'[1]Pl. Atividades 18m'!A46</f>
        <v>2.1.1.1.5</v>
      </c>
      <c r="B42" s="209" t="str">
        <f>'[1]Pl. Atividades 18m'!B46</f>
        <v>Atividade i</v>
      </c>
      <c r="C42" s="210" t="str">
        <f>'[1]Pl. Atividades 18m'!C46</f>
        <v xml:space="preserve"> Viabilizar a divulgação do Projeto entre os proprietários rurais da Bacia do Rio Paraitinga (SP) e a capacitação destes para a preparação de documentação requerida para participação no processo de seleção de provedores de serviços ambientais na modalidade PSA</v>
      </c>
      <c r="D42" s="162"/>
      <c r="E42" s="162"/>
      <c r="F42" s="162"/>
      <c r="G42" s="211">
        <f>G43</f>
        <v>242680.06</v>
      </c>
      <c r="H42" s="128"/>
      <c r="I42" s="165"/>
      <c r="J42" s="32"/>
    </row>
    <row r="43" spans="1:14" x14ac:dyDescent="0.25">
      <c r="A43" s="439"/>
      <c r="B43" s="440"/>
      <c r="C43" s="136" t="s">
        <v>68</v>
      </c>
      <c r="D43" s="167"/>
      <c r="E43" s="168"/>
      <c r="F43" s="169"/>
      <c r="G43" s="205">
        <f>G44</f>
        <v>242680.06</v>
      </c>
      <c r="H43" s="171"/>
      <c r="I43" s="171"/>
      <c r="J43" s="32"/>
    </row>
    <row r="44" spans="1:14" x14ac:dyDescent="0.25">
      <c r="A44" s="441"/>
      <c r="B44" s="442"/>
      <c r="C44" s="197"/>
      <c r="D44" s="206" t="s">
        <v>100</v>
      </c>
      <c r="E44" s="174">
        <v>242680.06</v>
      </c>
      <c r="F44" s="175">
        <v>1</v>
      </c>
      <c r="G44" s="207">
        <f>SUM(H44+I44)</f>
        <v>242680.06</v>
      </c>
      <c r="H44" s="171">
        <v>218983.3</v>
      </c>
      <c r="I44" s="171">
        <v>23696.76</v>
      </c>
      <c r="J44" s="32"/>
    </row>
    <row r="45" spans="1:14" ht="39" customHeight="1" x14ac:dyDescent="0.25">
      <c r="A45" s="437" t="e">
        <f>#REF!</f>
        <v>#REF!</v>
      </c>
      <c r="B45" s="438"/>
      <c r="C45" s="130" t="str">
        <f>'[1]Pl. Atividades 18m'!C47</f>
        <v>Estratégias para utilizar o PSA como instrumento de incentivos para contratação de financiamentos reembolsáveis para adequação ambiental e atividades produtivas sustentáveis</v>
      </c>
      <c r="D45" s="130"/>
      <c r="E45" s="130"/>
      <c r="F45" s="130"/>
      <c r="G45" s="212">
        <f>G46</f>
        <v>96576.56</v>
      </c>
      <c r="H45" s="128"/>
      <c r="I45" s="128"/>
      <c r="J45" s="32"/>
    </row>
    <row r="46" spans="1:14" ht="45.75" customHeight="1" x14ac:dyDescent="0.25">
      <c r="A46" s="208" t="str">
        <f>'[1]Pl. Atividades 18m'!A48</f>
        <v>2.1.1.1.7</v>
      </c>
      <c r="B46" s="209" t="str">
        <f>'[1]Pl. Atividades 18m'!B48</f>
        <v>Atividade i</v>
      </c>
      <c r="C46" s="213" t="str">
        <f>'[1]Pl. Atividades 18m'!C48</f>
        <v>Desenvolver estratégias para utilizar o PSA como instrumento de incentivos para contratação de financiamentos reembolsáveis para adequação ambiental e atividades produtivas sustentáveis</v>
      </c>
      <c r="D46" s="162"/>
      <c r="E46" s="162"/>
      <c r="F46" s="162"/>
      <c r="G46" s="135">
        <f>G47</f>
        <v>96576.56</v>
      </c>
      <c r="H46" s="128"/>
      <c r="I46" s="128"/>
      <c r="J46" s="32"/>
    </row>
    <row r="47" spans="1:14" ht="49.5" customHeight="1" x14ac:dyDescent="0.25">
      <c r="A47" s="439"/>
      <c r="B47" s="440"/>
      <c r="C47" s="191" t="s">
        <v>67</v>
      </c>
      <c r="D47" s="185"/>
      <c r="E47" s="169"/>
      <c r="F47" s="185"/>
      <c r="G47" s="185">
        <f>G48</f>
        <v>96576.56</v>
      </c>
      <c r="H47" s="192"/>
      <c r="I47" s="192"/>
      <c r="J47" s="32"/>
    </row>
    <row r="48" spans="1:14" ht="18.75" customHeight="1" x14ac:dyDescent="0.25">
      <c r="A48" s="441"/>
      <c r="B48" s="442"/>
      <c r="C48" s="214"/>
      <c r="D48" s="192" t="s">
        <v>101</v>
      </c>
      <c r="E48" s="174">
        <v>96576.56</v>
      </c>
      <c r="F48" s="180">
        <v>1</v>
      </c>
      <c r="G48" s="181">
        <f>SUM(H48+I48)</f>
        <v>96576.56</v>
      </c>
      <c r="H48" s="182">
        <v>96576.56</v>
      </c>
      <c r="I48" s="182">
        <v>0</v>
      </c>
      <c r="J48" s="32"/>
    </row>
    <row r="49" spans="1:13" x14ac:dyDescent="0.25">
      <c r="A49" s="437" t="e">
        <f>#REF!</f>
        <v>#REF!</v>
      </c>
      <c r="B49" s="438"/>
      <c r="C49" s="130" t="str">
        <f>'[1]Pl. Atividades 18m'!C49</f>
        <v>Gestão do Projeto - UEG/SP</v>
      </c>
      <c r="D49" s="215"/>
      <c r="E49" s="130"/>
      <c r="F49" s="130"/>
      <c r="G49" s="216">
        <f>SUM(G50+G55)</f>
        <v>245687.55</v>
      </c>
      <c r="H49" s="140"/>
      <c r="I49" s="150"/>
      <c r="J49" s="32"/>
    </row>
    <row r="50" spans="1:13" x14ac:dyDescent="0.25">
      <c r="A50" s="217" t="str">
        <f>'[1]Pl. Atividades 18m'!A50</f>
        <v>2.2.1.a.</v>
      </c>
      <c r="B50" s="133" t="str">
        <f>'[1]Pl. Atividades 18m'!B50</f>
        <v>Atividade i</v>
      </c>
      <c r="C50" s="134" t="str">
        <f>'[1]Pl. Atividades 18m'!C50</f>
        <v xml:space="preserve">Obter assistência técnica e administrativa para a Coordenação da UEG SP </v>
      </c>
      <c r="D50" s="134"/>
      <c r="E50" s="134"/>
      <c r="F50" s="134"/>
      <c r="G50" s="135">
        <f>G51</f>
        <v>188447.55</v>
      </c>
      <c r="H50" s="140"/>
      <c r="I50" s="150"/>
      <c r="J50" s="32"/>
    </row>
    <row r="51" spans="1:13" ht="31.5" x14ac:dyDescent="0.25">
      <c r="A51" s="439"/>
      <c r="B51" s="440"/>
      <c r="C51" s="166" t="s">
        <v>102</v>
      </c>
      <c r="D51" s="166"/>
      <c r="E51" s="166"/>
      <c r="F51" s="166"/>
      <c r="G51" s="218">
        <f>SUM(G52:G54)</f>
        <v>188447.55</v>
      </c>
      <c r="H51" s="151"/>
      <c r="I51" s="151"/>
      <c r="J51" s="32"/>
      <c r="K51" s="109"/>
      <c r="L51" s="109"/>
      <c r="M51" s="109"/>
    </row>
    <row r="52" spans="1:13" x14ac:dyDescent="0.25">
      <c r="A52" s="443"/>
      <c r="B52" s="444"/>
      <c r="C52" s="445"/>
      <c r="D52" s="151" t="s">
        <v>83</v>
      </c>
      <c r="E52" s="174">
        <v>164817.54999999999</v>
      </c>
      <c r="F52" s="193">
        <v>1</v>
      </c>
      <c r="G52" s="219">
        <v>164817.54999999999</v>
      </c>
      <c r="H52" s="182">
        <v>101155.98</v>
      </c>
      <c r="I52" s="182">
        <v>63661.57</v>
      </c>
      <c r="J52" s="32"/>
      <c r="K52" s="183"/>
      <c r="L52" s="183"/>
      <c r="M52" s="109"/>
    </row>
    <row r="53" spans="1:13" x14ac:dyDescent="0.25">
      <c r="A53" s="443"/>
      <c r="B53" s="444"/>
      <c r="C53" s="446"/>
      <c r="D53" s="179" t="s">
        <v>85</v>
      </c>
      <c r="E53" s="186">
        <v>250</v>
      </c>
      <c r="F53" s="180">
        <v>68</v>
      </c>
      <c r="G53" s="220">
        <v>17000</v>
      </c>
      <c r="H53" s="182">
        <v>11000</v>
      </c>
      <c r="I53" s="182">
        <v>6000</v>
      </c>
      <c r="J53" s="32"/>
      <c r="K53" s="183"/>
      <c r="L53" s="183"/>
      <c r="M53" s="109"/>
    </row>
    <row r="54" spans="1:13" x14ac:dyDescent="0.25">
      <c r="A54" s="441"/>
      <c r="B54" s="442"/>
      <c r="C54" s="447"/>
      <c r="D54" s="179" t="s">
        <v>91</v>
      </c>
      <c r="E54" s="174" t="s">
        <v>95</v>
      </c>
      <c r="F54" s="180">
        <v>17</v>
      </c>
      <c r="G54" s="182">
        <f>SUM(H54+I54)</f>
        <v>6630</v>
      </c>
      <c r="H54" s="182">
        <v>4290</v>
      </c>
      <c r="I54" s="182">
        <v>2340</v>
      </c>
      <c r="J54" s="32"/>
      <c r="K54" s="183"/>
      <c r="L54" s="183"/>
      <c r="M54" s="109"/>
    </row>
    <row r="55" spans="1:13" x14ac:dyDescent="0.25">
      <c r="A55" s="221" t="s">
        <v>103</v>
      </c>
      <c r="B55" s="222" t="str">
        <f>'[1]Pl. Atividades 18m'!B51</f>
        <v>Atividade ii</v>
      </c>
      <c r="C55" s="223" t="str">
        <f>'[1]Pl. Atividades 18m'!C51</f>
        <v>Realizar reuniões para intercâmbio entre UEGs do projeto e participação em reuniões do CCI</v>
      </c>
      <c r="D55" s="134"/>
      <c r="E55" s="134"/>
      <c r="F55" s="134"/>
      <c r="G55" s="211">
        <f>G56</f>
        <v>57240</v>
      </c>
      <c r="H55" s="140"/>
      <c r="I55" s="150"/>
      <c r="J55" s="32"/>
      <c r="K55" s="189"/>
      <c r="L55" s="189"/>
      <c r="M55" s="189"/>
    </row>
    <row r="56" spans="1:13" x14ac:dyDescent="0.25">
      <c r="A56" s="426"/>
      <c r="B56" s="427"/>
      <c r="C56" s="224" t="s">
        <v>104</v>
      </c>
      <c r="D56" s="224"/>
      <c r="E56" s="224"/>
      <c r="F56" s="224"/>
      <c r="G56" s="225">
        <f>SUM(G57+G58)</f>
        <v>57240</v>
      </c>
      <c r="H56" s="226"/>
      <c r="I56" s="226"/>
      <c r="J56" s="32"/>
      <c r="K56" s="109"/>
      <c r="L56" s="109"/>
      <c r="M56" s="109"/>
    </row>
    <row r="57" spans="1:13" x14ac:dyDescent="0.25">
      <c r="A57" s="428"/>
      <c r="B57" s="429"/>
      <c r="C57" s="432"/>
      <c r="D57" s="227" t="s">
        <v>19</v>
      </c>
      <c r="E57" s="202">
        <v>1200</v>
      </c>
      <c r="F57" s="159">
        <v>36</v>
      </c>
      <c r="G57" s="154">
        <v>43200</v>
      </c>
      <c r="H57" s="192">
        <v>28800</v>
      </c>
      <c r="I57" s="192">
        <v>14400</v>
      </c>
      <c r="J57" s="32"/>
    </row>
    <row r="58" spans="1:13" x14ac:dyDescent="0.25">
      <c r="A58" s="430"/>
      <c r="B58" s="431"/>
      <c r="C58" s="433"/>
      <c r="D58" s="192" t="s">
        <v>91</v>
      </c>
      <c r="E58" s="174" t="s">
        <v>92</v>
      </c>
      <c r="F58" s="180">
        <v>36</v>
      </c>
      <c r="G58" s="182">
        <f>SUM(H58+I58)</f>
        <v>14040</v>
      </c>
      <c r="H58" s="182">
        <v>9360</v>
      </c>
      <c r="I58" s="182">
        <v>4680</v>
      </c>
      <c r="J58" s="32"/>
    </row>
    <row r="59" spans="1:13" x14ac:dyDescent="0.25">
      <c r="H59" s="228">
        <f>SUM(H5:H58)</f>
        <v>942776.06</v>
      </c>
      <c r="I59" s="228">
        <f>SUM(I5:I58)</f>
        <v>398217.26</v>
      </c>
      <c r="J59" s="229"/>
    </row>
    <row r="76" ht="27" customHeight="1" x14ac:dyDescent="0.25"/>
  </sheetData>
  <mergeCells count="20">
    <mergeCell ref="A14:B23"/>
    <mergeCell ref="C19:C23"/>
    <mergeCell ref="A2:C2"/>
    <mergeCell ref="A5:B5"/>
    <mergeCell ref="A7:B8"/>
    <mergeCell ref="A10:B11"/>
    <mergeCell ref="A12:B12"/>
    <mergeCell ref="A56:B58"/>
    <mergeCell ref="C57:C58"/>
    <mergeCell ref="A25:B28"/>
    <mergeCell ref="C26:C28"/>
    <mergeCell ref="A30:B37"/>
    <mergeCell ref="A39:B40"/>
    <mergeCell ref="A41:B41"/>
    <mergeCell ref="A43:B44"/>
    <mergeCell ref="A45:B45"/>
    <mergeCell ref="A47:B48"/>
    <mergeCell ref="A49:B49"/>
    <mergeCell ref="A51:B54"/>
    <mergeCell ref="C52:C54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2:N27"/>
  <sheetViews>
    <sheetView topLeftCell="A13" workbookViewId="0">
      <selection activeCell="C31" sqref="C31"/>
    </sheetView>
  </sheetViews>
  <sheetFormatPr defaultRowHeight="15" x14ac:dyDescent="0.25"/>
  <cols>
    <col min="2" max="2" width="35.5703125" customWidth="1"/>
    <col min="3" max="3" width="27" customWidth="1"/>
    <col min="4" max="4" width="18.7109375" customWidth="1"/>
  </cols>
  <sheetData>
    <row r="2" spans="1:14" s="36" customFormat="1" ht="18.75" x14ac:dyDescent="0.3">
      <c r="A2" s="230" t="s">
        <v>111</v>
      </c>
      <c r="B2" s="230"/>
      <c r="C2" s="97"/>
      <c r="E2" s="37"/>
      <c r="F2" s="38">
        <f>F4+F51+F134+F230</f>
        <v>67840</v>
      </c>
      <c r="G2" s="39">
        <f>F142+F162+F164</f>
        <v>0</v>
      </c>
      <c r="H2" s="40">
        <f>F2-G2</f>
        <v>67840</v>
      </c>
    </row>
    <row r="3" spans="1:14" x14ac:dyDescent="0.25">
      <c r="C3" s="98" t="s">
        <v>16</v>
      </c>
      <c r="D3" s="41" t="s">
        <v>56</v>
      </c>
      <c r="E3" s="42" t="s">
        <v>55</v>
      </c>
      <c r="F3" s="43" t="s">
        <v>17</v>
      </c>
      <c r="G3" s="44" t="s">
        <v>7</v>
      </c>
      <c r="H3" s="44" t="s">
        <v>18</v>
      </c>
      <c r="I3" s="45" t="s">
        <v>12</v>
      </c>
    </row>
    <row r="4" spans="1:14" x14ac:dyDescent="0.25">
      <c r="A4" s="46">
        <f>'[2]IL2-PlanoAquisi'!B13</f>
        <v>0</v>
      </c>
      <c r="B4" s="46"/>
      <c r="C4" s="99"/>
      <c r="D4" s="47"/>
      <c r="E4" s="48"/>
      <c r="F4" s="49">
        <f>F5+F28+F32</f>
        <v>67840</v>
      </c>
      <c r="G4" s="47"/>
      <c r="H4" s="47"/>
      <c r="I4" s="49"/>
    </row>
    <row r="5" spans="1:14" x14ac:dyDescent="0.25">
      <c r="A5" s="50">
        <f>'[2]IL2-PlanoAquisi'!B14</f>
        <v>0</v>
      </c>
      <c r="B5" s="50"/>
      <c r="C5" s="100"/>
      <c r="D5" s="51"/>
      <c r="E5" s="52"/>
      <c r="F5" s="53">
        <f>F6+F10+F15+F20+F24</f>
        <v>67840</v>
      </c>
      <c r="G5" s="51"/>
      <c r="H5" s="51"/>
      <c r="I5" s="54"/>
      <c r="J5" s="32"/>
      <c r="K5" s="32"/>
      <c r="L5" s="32"/>
      <c r="M5" s="32"/>
      <c r="N5" s="32"/>
    </row>
    <row r="6" spans="1:14" ht="22.5" x14ac:dyDescent="0.25">
      <c r="A6" s="55" t="s">
        <v>62</v>
      </c>
      <c r="B6" s="56" t="s">
        <v>105</v>
      </c>
      <c r="C6" s="101"/>
      <c r="D6" s="57"/>
      <c r="E6" s="58"/>
      <c r="F6" s="59">
        <f>SUM(F7:F9)</f>
        <v>16960</v>
      </c>
      <c r="G6" s="60"/>
      <c r="H6" s="60"/>
      <c r="I6" s="61"/>
      <c r="J6" s="62"/>
      <c r="K6" s="62"/>
      <c r="L6" s="62"/>
      <c r="M6" s="32"/>
      <c r="N6" s="32"/>
    </row>
    <row r="7" spans="1:14" x14ac:dyDescent="0.25">
      <c r="A7" s="55"/>
      <c r="B7" s="63"/>
      <c r="C7" s="102" t="s">
        <v>19</v>
      </c>
      <c r="D7" s="60"/>
      <c r="E7" s="64">
        <v>8</v>
      </c>
      <c r="F7" s="65">
        <f>1000*8</f>
        <v>8000</v>
      </c>
      <c r="G7" s="60">
        <f>F7</f>
        <v>8000</v>
      </c>
      <c r="H7" s="60"/>
      <c r="I7" s="61"/>
    </row>
    <row r="8" spans="1:14" x14ac:dyDescent="0.25">
      <c r="A8" s="55"/>
      <c r="B8" s="63"/>
      <c r="C8" s="102" t="s">
        <v>106</v>
      </c>
      <c r="D8" s="60"/>
      <c r="E8" s="64">
        <v>8</v>
      </c>
      <c r="F8" s="65">
        <f>2*250*8</f>
        <v>4000</v>
      </c>
      <c r="G8" s="60"/>
      <c r="H8" s="60"/>
      <c r="I8" s="61"/>
    </row>
    <row r="9" spans="1:14" x14ac:dyDescent="0.25">
      <c r="A9" s="55"/>
      <c r="B9" s="63"/>
      <c r="C9" s="102" t="s">
        <v>107</v>
      </c>
      <c r="D9" s="60"/>
      <c r="E9" s="64">
        <v>8</v>
      </c>
      <c r="F9" s="65">
        <f>310*8*2</f>
        <v>4960</v>
      </c>
      <c r="G9" s="60">
        <f>F9</f>
        <v>4960</v>
      </c>
      <c r="H9" s="60"/>
      <c r="I9" s="61"/>
    </row>
    <row r="10" spans="1:14" x14ac:dyDescent="0.25">
      <c r="A10" s="55"/>
      <c r="B10" s="66"/>
      <c r="C10" s="103"/>
      <c r="D10" s="57"/>
      <c r="E10" s="67"/>
      <c r="F10" s="59">
        <f>SUM(F11:F14)</f>
        <v>16960</v>
      </c>
      <c r="G10" s="60"/>
      <c r="H10" s="60"/>
      <c r="I10" s="61"/>
    </row>
    <row r="11" spans="1:14" x14ac:dyDescent="0.25">
      <c r="A11" s="55"/>
      <c r="B11" s="68" t="s">
        <v>108</v>
      </c>
      <c r="C11" s="102" t="s">
        <v>19</v>
      </c>
      <c r="D11" s="60"/>
      <c r="E11" s="64">
        <v>8</v>
      </c>
      <c r="F11" s="65">
        <f>1000*8</f>
        <v>8000</v>
      </c>
      <c r="G11" s="60"/>
      <c r="H11" s="60"/>
      <c r="I11" s="61"/>
    </row>
    <row r="12" spans="1:14" x14ac:dyDescent="0.25">
      <c r="A12" s="55"/>
      <c r="B12" s="68"/>
      <c r="C12" s="102" t="s">
        <v>106</v>
      </c>
      <c r="D12" s="60"/>
      <c r="E12" s="64">
        <v>8</v>
      </c>
      <c r="F12" s="65">
        <f>2*250*8</f>
        <v>4000</v>
      </c>
      <c r="G12" s="60"/>
      <c r="H12" s="60"/>
      <c r="I12" s="61"/>
    </row>
    <row r="13" spans="1:14" x14ac:dyDescent="0.25">
      <c r="A13" s="55"/>
      <c r="B13" s="68"/>
      <c r="C13" s="102" t="s">
        <v>107</v>
      </c>
      <c r="D13" s="60"/>
      <c r="E13" s="64">
        <v>8</v>
      </c>
      <c r="F13" s="65">
        <f>310*8*2</f>
        <v>4960</v>
      </c>
      <c r="G13" s="60"/>
      <c r="H13" s="60"/>
      <c r="I13" s="61"/>
    </row>
    <row r="14" spans="1:14" x14ac:dyDescent="0.25">
      <c r="A14" s="55"/>
      <c r="B14" s="68"/>
      <c r="C14" s="102"/>
      <c r="D14" s="60"/>
      <c r="E14" s="64"/>
      <c r="F14" s="65">
        <f t="shared" ref="F14:F27" si="0">D14*E14</f>
        <v>0</v>
      </c>
      <c r="G14" s="60"/>
      <c r="H14" s="60"/>
      <c r="I14" s="61"/>
    </row>
    <row r="15" spans="1:14" x14ac:dyDescent="0.25">
      <c r="A15" s="55"/>
      <c r="B15" s="66"/>
      <c r="C15" s="103"/>
      <c r="D15" s="57"/>
      <c r="E15" s="67"/>
      <c r="F15" s="59">
        <f>SUM(F16:F19)</f>
        <v>16960</v>
      </c>
      <c r="G15" s="60"/>
      <c r="H15" s="60"/>
      <c r="I15" s="61"/>
    </row>
    <row r="16" spans="1:14" x14ac:dyDescent="0.25">
      <c r="A16" s="55"/>
      <c r="B16" s="68" t="s">
        <v>109</v>
      </c>
      <c r="C16" s="102" t="s">
        <v>19</v>
      </c>
      <c r="D16" s="60"/>
      <c r="E16" s="64">
        <v>8</v>
      </c>
      <c r="F16" s="65">
        <f>1000*8</f>
        <v>8000</v>
      </c>
      <c r="G16" s="60"/>
      <c r="H16" s="60">
        <f>F16</f>
        <v>8000</v>
      </c>
      <c r="I16" s="61"/>
    </row>
    <row r="17" spans="1:9" x14ac:dyDescent="0.25">
      <c r="A17" s="55"/>
      <c r="B17" s="68"/>
      <c r="C17" s="102" t="s">
        <v>106</v>
      </c>
      <c r="D17" s="60"/>
      <c r="E17" s="64">
        <v>8</v>
      </c>
      <c r="F17" s="65">
        <f>2*250*8</f>
        <v>4000</v>
      </c>
      <c r="G17" s="60"/>
      <c r="H17" s="60">
        <f t="shared" ref="H17:H19" si="1">F17</f>
        <v>4000</v>
      </c>
      <c r="I17" s="61"/>
    </row>
    <row r="18" spans="1:9" x14ac:dyDescent="0.25">
      <c r="A18" s="55"/>
      <c r="B18" s="68"/>
      <c r="C18" s="102" t="s">
        <v>107</v>
      </c>
      <c r="D18" s="60"/>
      <c r="E18" s="64">
        <v>8</v>
      </c>
      <c r="F18" s="65">
        <f>310*8*2</f>
        <v>4960</v>
      </c>
      <c r="G18" s="60"/>
      <c r="H18" s="60">
        <f t="shared" si="1"/>
        <v>4960</v>
      </c>
      <c r="I18" s="61"/>
    </row>
    <row r="19" spans="1:9" x14ac:dyDescent="0.25">
      <c r="A19" s="55"/>
      <c r="B19" s="68"/>
      <c r="C19" s="102"/>
      <c r="D19" s="60"/>
      <c r="E19" s="64"/>
      <c r="F19" s="65">
        <f t="shared" si="0"/>
        <v>0</v>
      </c>
      <c r="G19" s="60"/>
      <c r="H19" s="60">
        <f t="shared" si="1"/>
        <v>0</v>
      </c>
      <c r="I19" s="61"/>
    </row>
    <row r="20" spans="1:9" x14ac:dyDescent="0.25">
      <c r="A20" s="55"/>
      <c r="B20" s="66"/>
      <c r="C20" s="103"/>
      <c r="D20" s="57"/>
      <c r="E20" s="67"/>
      <c r="F20" s="59">
        <f>SUM(F21:F23)</f>
        <v>16960</v>
      </c>
      <c r="G20" s="60"/>
      <c r="H20" s="60"/>
      <c r="I20" s="61"/>
    </row>
    <row r="21" spans="1:9" x14ac:dyDescent="0.25">
      <c r="A21" s="55"/>
      <c r="B21" s="68" t="s">
        <v>110</v>
      </c>
      <c r="C21" s="102" t="s">
        <v>19</v>
      </c>
      <c r="D21" s="60"/>
      <c r="E21" s="64">
        <v>8</v>
      </c>
      <c r="F21" s="65">
        <f>1000*8</f>
        <v>8000</v>
      </c>
      <c r="G21" s="60">
        <f>F21</f>
        <v>8000</v>
      </c>
      <c r="H21" s="60"/>
      <c r="I21" s="61"/>
    </row>
    <row r="22" spans="1:9" x14ac:dyDescent="0.25">
      <c r="A22" s="55"/>
      <c r="B22" s="68"/>
      <c r="C22" s="102" t="s">
        <v>106</v>
      </c>
      <c r="D22" s="60"/>
      <c r="E22" s="64">
        <v>8</v>
      </c>
      <c r="F22" s="65">
        <f>2*250*8</f>
        <v>4000</v>
      </c>
      <c r="G22" s="60">
        <f t="shared" ref="G22:G23" si="2">F22</f>
        <v>4000</v>
      </c>
      <c r="H22" s="60"/>
      <c r="I22" s="61"/>
    </row>
    <row r="23" spans="1:9" x14ac:dyDescent="0.25">
      <c r="A23" s="55"/>
      <c r="B23" s="68"/>
      <c r="C23" s="102" t="s">
        <v>107</v>
      </c>
      <c r="D23" s="60"/>
      <c r="E23" s="64">
        <v>8</v>
      </c>
      <c r="F23" s="65">
        <f>310*8*2</f>
        <v>4960</v>
      </c>
      <c r="G23" s="60">
        <f t="shared" si="2"/>
        <v>4960</v>
      </c>
      <c r="H23" s="60"/>
      <c r="I23" s="61"/>
    </row>
    <row r="24" spans="1:9" x14ac:dyDescent="0.25">
      <c r="A24" s="55"/>
      <c r="B24" s="66"/>
      <c r="C24" s="103"/>
      <c r="D24" s="57"/>
      <c r="E24" s="67"/>
      <c r="F24" s="59">
        <f>SUM(F25:F27)</f>
        <v>0</v>
      </c>
      <c r="G24" s="60"/>
      <c r="H24" s="60"/>
      <c r="I24" s="61"/>
    </row>
    <row r="25" spans="1:9" x14ac:dyDescent="0.25">
      <c r="A25" s="55"/>
      <c r="B25" s="68"/>
      <c r="C25" s="102" t="s">
        <v>19</v>
      </c>
      <c r="D25" s="60"/>
      <c r="E25" s="64"/>
      <c r="F25" s="65">
        <f t="shared" si="0"/>
        <v>0</v>
      </c>
      <c r="G25" s="60"/>
      <c r="H25" s="60">
        <f>F25</f>
        <v>0</v>
      </c>
      <c r="I25" s="61"/>
    </row>
    <row r="26" spans="1:9" x14ac:dyDescent="0.25">
      <c r="A26" s="55"/>
      <c r="B26" s="68"/>
      <c r="C26" s="102" t="s">
        <v>20</v>
      </c>
      <c r="D26" s="60"/>
      <c r="E26" s="64"/>
      <c r="F26" s="65">
        <f t="shared" si="0"/>
        <v>0</v>
      </c>
      <c r="G26" s="60"/>
      <c r="H26" s="60">
        <f t="shared" ref="H26:H27" si="3">F26</f>
        <v>0</v>
      </c>
      <c r="I26" s="61"/>
    </row>
    <row r="27" spans="1:9" x14ac:dyDescent="0.25">
      <c r="A27" s="55"/>
      <c r="B27" s="68"/>
      <c r="C27" s="102" t="s">
        <v>22</v>
      </c>
      <c r="D27" s="60"/>
      <c r="E27" s="64"/>
      <c r="F27" s="65">
        <f t="shared" si="0"/>
        <v>0</v>
      </c>
      <c r="G27" s="60"/>
      <c r="H27" s="60">
        <f t="shared" si="3"/>
        <v>0</v>
      </c>
      <c r="I27" s="6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8"/>
  <dimension ref="A1:R62"/>
  <sheetViews>
    <sheetView topLeftCell="A19" zoomScale="80" zoomScaleNormal="80" workbookViewId="0">
      <selection activeCell="D23" sqref="D23"/>
    </sheetView>
  </sheetViews>
  <sheetFormatPr defaultRowHeight="15.75" x14ac:dyDescent="0.25"/>
  <cols>
    <col min="1" max="1" width="12.85546875" style="113" customWidth="1"/>
    <col min="2" max="2" width="16" style="113" customWidth="1"/>
    <col min="3" max="3" width="91.140625" style="117" customWidth="1"/>
    <col min="4" max="4" width="30.140625" style="289" customWidth="1"/>
    <col min="5" max="5" width="28.5703125" style="113" customWidth="1"/>
    <col min="6" max="6" width="25.140625" style="116" customWidth="1"/>
    <col min="7" max="7" width="20.85546875" style="290" customWidth="1"/>
    <col min="8" max="8" width="15.28515625" style="290" customWidth="1"/>
    <col min="9" max="9" width="18.28515625" style="290" customWidth="1"/>
    <col min="10" max="10" width="30.85546875" style="32" customWidth="1"/>
    <col min="11" max="11" width="16" customWidth="1"/>
    <col min="12" max="12" width="13.28515625" customWidth="1"/>
    <col min="13" max="13" width="15.85546875" bestFit="1" customWidth="1"/>
    <col min="14" max="14" width="16.42578125" customWidth="1"/>
    <col min="15" max="15" width="17.7109375" customWidth="1"/>
    <col min="16" max="16" width="14.7109375" customWidth="1"/>
    <col min="17" max="17" width="16.5703125" customWidth="1"/>
  </cols>
  <sheetData>
    <row r="1" spans="1:15" ht="31.5" x14ac:dyDescent="0.5">
      <c r="C1" s="114"/>
    </row>
    <row r="2" spans="1:15" s="36" customFormat="1" ht="31.5" x14ac:dyDescent="0.3">
      <c r="A2" s="458" t="s">
        <v>203</v>
      </c>
      <c r="B2" s="458"/>
      <c r="C2" s="458"/>
      <c r="D2" s="289"/>
      <c r="E2" s="113"/>
      <c r="F2" s="116"/>
      <c r="G2" s="291"/>
      <c r="H2" s="292" t="s">
        <v>77</v>
      </c>
      <c r="I2" s="293" t="s">
        <v>78</v>
      </c>
      <c r="J2" s="294"/>
    </row>
    <row r="3" spans="1:15" s="36" customFormat="1" ht="18.75" x14ac:dyDescent="0.3">
      <c r="A3" s="113"/>
      <c r="B3" s="121"/>
      <c r="C3" s="122"/>
      <c r="D3" s="289"/>
      <c r="E3" s="113"/>
      <c r="F3" s="116"/>
      <c r="G3" s="295">
        <f>SUM(G5+G15+G19+G23+G27+G31+G38)</f>
        <v>2156313.44</v>
      </c>
      <c r="H3" s="296">
        <v>0</v>
      </c>
      <c r="I3" s="297">
        <f>G3-H3</f>
        <v>2156313.44</v>
      </c>
      <c r="J3" s="294"/>
    </row>
    <row r="4" spans="1:15" x14ac:dyDescent="0.25">
      <c r="D4" s="126" t="s">
        <v>16</v>
      </c>
      <c r="E4" s="126" t="s">
        <v>56</v>
      </c>
      <c r="F4" s="126" t="s">
        <v>55</v>
      </c>
      <c r="G4" s="127" t="s">
        <v>79</v>
      </c>
      <c r="H4" s="128" t="s">
        <v>7</v>
      </c>
      <c r="I4" s="128" t="s">
        <v>80</v>
      </c>
    </row>
    <row r="5" spans="1:15" ht="15.75" customHeight="1" x14ac:dyDescent="0.25">
      <c r="A5" s="437" t="s">
        <v>224</v>
      </c>
      <c r="B5" s="438"/>
      <c r="C5" s="288" t="str">
        <f>'[3]Pl. Atividades 18m'!C40:D40</f>
        <v>Suporte técnico para as Ucs</v>
      </c>
      <c r="D5" s="298"/>
      <c r="E5" s="299"/>
      <c r="F5" s="299"/>
      <c r="G5" s="131">
        <f>G6</f>
        <v>583534.84</v>
      </c>
      <c r="H5" s="300"/>
      <c r="I5" s="300"/>
    </row>
    <row r="6" spans="1:15" x14ac:dyDescent="0.25">
      <c r="A6" s="301" t="str">
        <f>'[3]Pl. Atividades 18m'!A41</f>
        <v>3.1.2.1</v>
      </c>
      <c r="B6" s="302" t="str">
        <f>'[3]Pl. Atividades 18m'!B41</f>
        <v>Atividade i</v>
      </c>
      <c r="C6" s="223" t="str">
        <f>'[3]Pl. Atividades 18m'!C41</f>
        <v>Obter apoio técnico e administrativo para as Ucs abrangidas pelo projeto</v>
      </c>
      <c r="D6" s="134"/>
      <c r="E6" s="162"/>
      <c r="F6" s="162"/>
      <c r="G6" s="135">
        <f>SUM(G7+G11)</f>
        <v>583534.84</v>
      </c>
      <c r="H6" s="300"/>
      <c r="I6" s="300"/>
    </row>
    <row r="7" spans="1:15" ht="31.5" x14ac:dyDescent="0.25">
      <c r="A7" s="459"/>
      <c r="B7" s="460"/>
      <c r="C7" s="136" t="s">
        <v>193</v>
      </c>
      <c r="D7" s="136"/>
      <c r="E7" s="303"/>
      <c r="F7" s="303"/>
      <c r="G7" s="218">
        <f>SUM(G8:G10)</f>
        <v>369722.07999999996</v>
      </c>
      <c r="H7" s="300"/>
      <c r="I7" s="300"/>
      <c r="J7" s="304"/>
      <c r="K7" s="109"/>
      <c r="L7" s="109"/>
      <c r="M7" s="109"/>
      <c r="N7" s="109"/>
      <c r="O7" s="109"/>
    </row>
    <row r="8" spans="1:15" x14ac:dyDescent="0.25">
      <c r="A8" s="461"/>
      <c r="B8" s="462"/>
      <c r="C8" s="465"/>
      <c r="D8" s="305" t="s">
        <v>83</v>
      </c>
      <c r="E8" s="306">
        <v>81222.399999999994</v>
      </c>
      <c r="F8" s="307">
        <v>4</v>
      </c>
      <c r="G8" s="308">
        <v>324889.59999999998</v>
      </c>
      <c r="H8" s="300">
        <v>199835.8</v>
      </c>
      <c r="I8" s="300">
        <v>125053.8</v>
      </c>
      <c r="J8" s="309"/>
      <c r="K8" s="310"/>
      <c r="L8" s="310"/>
      <c r="M8" s="310"/>
      <c r="N8" s="109"/>
      <c r="O8" s="109"/>
    </row>
    <row r="9" spans="1:15" x14ac:dyDescent="0.25">
      <c r="A9" s="461"/>
      <c r="B9" s="462"/>
      <c r="C9" s="466"/>
      <c r="D9" s="305" t="s">
        <v>20</v>
      </c>
      <c r="E9" s="307" t="s">
        <v>86</v>
      </c>
      <c r="F9" s="307">
        <v>48</v>
      </c>
      <c r="G9" s="308">
        <v>18312.48</v>
      </c>
      <c r="H9" s="300">
        <v>12208.32</v>
      </c>
      <c r="I9" s="300">
        <v>6104.16</v>
      </c>
      <c r="J9" s="309"/>
      <c r="K9" s="310"/>
      <c r="L9" s="310"/>
      <c r="M9" s="310"/>
      <c r="N9" s="109"/>
      <c r="O9" s="109"/>
    </row>
    <row r="10" spans="1:15" x14ac:dyDescent="0.25">
      <c r="A10" s="461"/>
      <c r="B10" s="462"/>
      <c r="C10" s="467"/>
      <c r="D10" s="305" t="s">
        <v>91</v>
      </c>
      <c r="E10" s="307" t="s">
        <v>92</v>
      </c>
      <c r="F10" s="307">
        <v>68</v>
      </c>
      <c r="G10" s="308">
        <v>26520</v>
      </c>
      <c r="H10" s="300">
        <v>17160</v>
      </c>
      <c r="I10" s="300">
        <v>9360</v>
      </c>
      <c r="J10" s="309"/>
      <c r="K10" s="310"/>
      <c r="L10" s="310"/>
      <c r="M10" s="310"/>
      <c r="N10" s="109"/>
      <c r="O10" s="109"/>
    </row>
    <row r="11" spans="1:15" ht="31.5" x14ac:dyDescent="0.25">
      <c r="A11" s="461"/>
      <c r="B11" s="462"/>
      <c r="C11" s="136" t="s">
        <v>194</v>
      </c>
      <c r="D11" s="136"/>
      <c r="E11" s="303"/>
      <c r="F11" s="303"/>
      <c r="G11" s="311">
        <f>SUM(G12:G14)</f>
        <v>213812.76</v>
      </c>
      <c r="H11" s="300"/>
      <c r="I11" s="300"/>
      <c r="J11" s="304"/>
      <c r="K11" s="310"/>
      <c r="L11" s="310"/>
      <c r="M11" s="310"/>
      <c r="N11" s="312"/>
      <c r="O11" s="109"/>
    </row>
    <row r="12" spans="1:15" x14ac:dyDescent="0.25">
      <c r="A12" s="461"/>
      <c r="B12" s="462"/>
      <c r="C12" s="468"/>
      <c r="D12" s="305" t="s">
        <v>83</v>
      </c>
      <c r="E12" s="186">
        <v>42245.07</v>
      </c>
      <c r="F12" s="159">
        <v>4</v>
      </c>
      <c r="G12" s="219">
        <v>168980.28</v>
      </c>
      <c r="H12" s="300">
        <v>104350.68</v>
      </c>
      <c r="I12" s="300">
        <v>64629.599999999999</v>
      </c>
      <c r="J12" s="309"/>
      <c r="K12" s="310"/>
      <c r="L12" s="310"/>
      <c r="M12" s="310"/>
      <c r="N12" s="109"/>
      <c r="O12" s="109"/>
    </row>
    <row r="13" spans="1:15" x14ac:dyDescent="0.25">
      <c r="A13" s="461"/>
      <c r="B13" s="462"/>
      <c r="C13" s="469"/>
      <c r="D13" s="305" t="s">
        <v>20</v>
      </c>
      <c r="E13" s="313" t="s">
        <v>86</v>
      </c>
      <c r="F13" s="159">
        <v>48</v>
      </c>
      <c r="G13" s="308">
        <v>18312.48</v>
      </c>
      <c r="H13" s="300">
        <v>12208.32</v>
      </c>
      <c r="I13" s="300">
        <v>6104.16</v>
      </c>
      <c r="J13" s="314"/>
      <c r="K13" s="310"/>
      <c r="L13" s="310"/>
      <c r="M13" s="310"/>
      <c r="N13" s="109"/>
      <c r="O13" s="109"/>
    </row>
    <row r="14" spans="1:15" x14ac:dyDescent="0.25">
      <c r="A14" s="463"/>
      <c r="B14" s="464"/>
      <c r="C14" s="470"/>
      <c r="D14" s="305" t="s">
        <v>91</v>
      </c>
      <c r="E14" s="307" t="s">
        <v>92</v>
      </c>
      <c r="F14" s="307">
        <v>68</v>
      </c>
      <c r="G14" s="308">
        <v>26520</v>
      </c>
      <c r="H14" s="300">
        <v>17160</v>
      </c>
      <c r="I14" s="300">
        <v>9360</v>
      </c>
      <c r="J14" s="314"/>
      <c r="K14" s="310"/>
      <c r="L14" s="310"/>
      <c r="M14" s="310"/>
      <c r="N14" s="109"/>
      <c r="O14" s="109"/>
    </row>
    <row r="15" spans="1:15" x14ac:dyDescent="0.25">
      <c r="A15" s="437" t="e">
        <f>#REF!</f>
        <v>#REF!</v>
      </c>
      <c r="B15" s="438"/>
      <c r="C15" s="288" t="s">
        <v>199</v>
      </c>
      <c r="D15" s="315"/>
      <c r="E15" s="299"/>
      <c r="F15" s="299"/>
      <c r="G15" s="131">
        <f>G16</f>
        <v>80000</v>
      </c>
      <c r="H15" s="300"/>
      <c r="I15" s="300"/>
      <c r="K15" s="310"/>
      <c r="L15" s="310"/>
      <c r="M15" s="309"/>
      <c r="N15" s="109"/>
      <c r="O15" s="109"/>
    </row>
    <row r="16" spans="1:15" ht="30.75" customHeight="1" x14ac:dyDescent="0.25">
      <c r="A16" s="132" t="str">
        <f>'[3]Pl. Atividades 18m'!A43</f>
        <v>3.1.2.2</v>
      </c>
      <c r="B16" s="302" t="str">
        <f>'[3]Pl. Atividades 18m'!B43</f>
        <v>Atividade i</v>
      </c>
      <c r="C16" s="223" t="str">
        <f>'[3]Pl. Atividades 18m'!C43</f>
        <v>Viabilizar oficinas para técnicos, conselheiros e gestores das UC voltadas à melhoria dos serviços prestados junto às Ucs</v>
      </c>
      <c r="D16" s="134"/>
      <c r="E16" s="162"/>
      <c r="F16" s="162"/>
      <c r="G16" s="211">
        <f>G17</f>
        <v>80000</v>
      </c>
      <c r="H16" s="300"/>
      <c r="I16" s="300"/>
      <c r="K16" s="316"/>
      <c r="L16" s="316"/>
      <c r="M16" s="304"/>
      <c r="N16" s="312"/>
      <c r="O16" s="109"/>
    </row>
    <row r="17" spans="1:16" ht="48" customHeight="1" x14ac:dyDescent="0.25">
      <c r="A17" s="471"/>
      <c r="B17" s="472"/>
      <c r="C17" s="136" t="s">
        <v>195</v>
      </c>
      <c r="D17" s="136"/>
      <c r="E17" s="303"/>
      <c r="F17" s="303"/>
      <c r="G17" s="218">
        <f>G18</f>
        <v>80000</v>
      </c>
      <c r="H17" s="317"/>
      <c r="I17" s="318"/>
      <c r="K17" s="319"/>
      <c r="L17" s="319"/>
      <c r="M17" s="304"/>
      <c r="N17" s="109"/>
      <c r="O17" s="109"/>
    </row>
    <row r="18" spans="1:16" x14ac:dyDescent="0.25">
      <c r="A18" s="475"/>
      <c r="B18" s="476"/>
      <c r="C18" s="226"/>
      <c r="D18" s="149" t="s">
        <v>204</v>
      </c>
      <c r="E18" s="165">
        <v>80000</v>
      </c>
      <c r="F18" s="126">
        <v>1</v>
      </c>
      <c r="G18" s="320">
        <v>80000</v>
      </c>
      <c r="H18" s="300">
        <v>80000</v>
      </c>
      <c r="I18" s="300">
        <v>0</v>
      </c>
      <c r="K18" s="316"/>
      <c r="L18" s="316"/>
      <c r="M18" s="304"/>
    </row>
    <row r="19" spans="1:16" x14ac:dyDescent="0.25">
      <c r="A19" s="437" t="e">
        <f>#REF!</f>
        <v>#REF!</v>
      </c>
      <c r="B19" s="438"/>
      <c r="C19" s="288" t="str">
        <f>'[3]Pl. Atividades 18m'!C44</f>
        <v xml:space="preserve">Avaliação da gestão das Ucs </v>
      </c>
      <c r="D19" s="298"/>
      <c r="E19" s="299"/>
      <c r="F19" s="299"/>
      <c r="G19" s="131">
        <f>G20</f>
        <v>52000</v>
      </c>
      <c r="H19" s="300"/>
      <c r="I19" s="300"/>
      <c r="K19" s="316"/>
      <c r="L19" s="316"/>
      <c r="M19" s="304"/>
    </row>
    <row r="20" spans="1:16" ht="21" customHeight="1" x14ac:dyDescent="0.25">
      <c r="A20" s="132" t="s">
        <v>200</v>
      </c>
      <c r="B20" s="302" t="s">
        <v>32</v>
      </c>
      <c r="C20" s="134" t="e">
        <f>#REF!</f>
        <v>#REF!</v>
      </c>
      <c r="D20" s="194"/>
      <c r="E20" s="163"/>
      <c r="F20" s="163"/>
      <c r="G20" s="164">
        <f>G21</f>
        <v>52000</v>
      </c>
      <c r="H20" s="300"/>
      <c r="I20" s="300"/>
      <c r="K20" s="319"/>
      <c r="L20" s="319"/>
      <c r="M20" s="304"/>
    </row>
    <row r="21" spans="1:16" ht="31.5" x14ac:dyDescent="0.25">
      <c r="A21" s="471"/>
      <c r="B21" s="472"/>
      <c r="C21" s="136" t="s">
        <v>196</v>
      </c>
      <c r="D21" s="148"/>
      <c r="E21" s="321"/>
      <c r="F21" s="321"/>
      <c r="G21" s="322">
        <f>G22</f>
        <v>52000</v>
      </c>
      <c r="H21" s="318"/>
      <c r="I21" s="318"/>
      <c r="K21" s="316"/>
      <c r="L21" s="316"/>
      <c r="M21" s="304"/>
    </row>
    <row r="22" spans="1:16" ht="18" x14ac:dyDescent="0.25">
      <c r="A22" s="475"/>
      <c r="B22" s="476"/>
      <c r="C22" s="323"/>
      <c r="D22" s="149" t="s">
        <v>205</v>
      </c>
      <c r="E22" s="165">
        <v>52000</v>
      </c>
      <c r="F22" s="126">
        <v>1</v>
      </c>
      <c r="G22" s="320">
        <v>52000</v>
      </c>
      <c r="H22" s="300">
        <v>52000</v>
      </c>
      <c r="I22" s="300">
        <v>0</v>
      </c>
      <c r="K22" s="316"/>
      <c r="L22" s="316"/>
      <c r="M22" s="304"/>
    </row>
    <row r="23" spans="1:16" x14ac:dyDescent="0.25">
      <c r="A23" s="437" t="e">
        <f>#REF!</f>
        <v>#REF!</v>
      </c>
      <c r="B23" s="438"/>
      <c r="C23" s="288" t="str">
        <f>'[3]Pl. Atividades 18m'!C47</f>
        <v>Mobilização e identificação de demandas por assistência técnica</v>
      </c>
      <c r="D23" s="298"/>
      <c r="E23" s="299"/>
      <c r="F23" s="299"/>
      <c r="G23" s="131">
        <f>G24</f>
        <v>720000</v>
      </c>
      <c r="H23" s="300"/>
      <c r="I23" s="300"/>
      <c r="K23" s="324"/>
      <c r="L23" s="324"/>
      <c r="M23" s="304"/>
    </row>
    <row r="24" spans="1:16" ht="31.5" x14ac:dyDescent="0.25">
      <c r="A24" s="325" t="s">
        <v>201</v>
      </c>
      <c r="B24" s="326" t="s">
        <v>32</v>
      </c>
      <c r="C24" s="223" t="str">
        <f>'[3]Pl. Atividades 18m'!C48</f>
        <v>Identificar potenciais beneficiários do projeto e as demandas para efetivação de suas participações no âmbito do PSA, CVS e CERT.</v>
      </c>
      <c r="D24" s="134"/>
      <c r="E24" s="162"/>
      <c r="F24" s="162"/>
      <c r="G24" s="135">
        <f>G25</f>
        <v>720000</v>
      </c>
      <c r="H24" s="327"/>
      <c r="I24" s="327"/>
      <c r="K24" s="316"/>
      <c r="L24" s="316"/>
      <c r="M24" s="304"/>
    </row>
    <row r="25" spans="1:16" ht="63" x14ac:dyDescent="0.25">
      <c r="A25" s="480"/>
      <c r="B25" s="472"/>
      <c r="C25" s="328" t="s">
        <v>197</v>
      </c>
      <c r="D25" s="136"/>
      <c r="E25" s="303"/>
      <c r="F25" s="303"/>
      <c r="G25" s="218">
        <f>G26</f>
        <v>720000</v>
      </c>
      <c r="H25" s="317"/>
      <c r="I25" s="318"/>
      <c r="K25" s="319"/>
      <c r="L25" s="319"/>
      <c r="M25" s="304"/>
    </row>
    <row r="26" spans="1:16" x14ac:dyDescent="0.25">
      <c r="A26" s="481"/>
      <c r="B26" s="476"/>
      <c r="C26" s="226"/>
      <c r="D26" s="149" t="s">
        <v>204</v>
      </c>
      <c r="E26" s="329">
        <v>720000</v>
      </c>
      <c r="F26" s="126">
        <v>1</v>
      </c>
      <c r="G26" s="330">
        <v>720000</v>
      </c>
      <c r="H26" s="330">
        <v>90000</v>
      </c>
      <c r="I26" s="330">
        <v>630000</v>
      </c>
      <c r="K26" s="319"/>
      <c r="L26" s="319"/>
      <c r="M26" s="304"/>
    </row>
    <row r="27" spans="1:16" ht="27.75" customHeight="1" x14ac:dyDescent="0.25">
      <c r="A27" s="437" t="e">
        <f>#REF!</f>
        <v>#REF!</v>
      </c>
      <c r="B27" s="438"/>
      <c r="C27" s="288" t="str">
        <f>'[3]Pl. Atividades 18m'!C49</f>
        <v>Divulgação das ferramentas de Certificação de Produtos, Cadeias de Valores Sustentáveis e Pagamento por Serviços Ambientais</v>
      </c>
      <c r="D27" s="315"/>
      <c r="E27" s="299"/>
      <c r="F27" s="299"/>
      <c r="G27" s="131">
        <f>G28</f>
        <v>350000</v>
      </c>
      <c r="H27" s="300"/>
      <c r="I27" s="300"/>
      <c r="K27" s="319"/>
      <c r="L27" s="319"/>
      <c r="M27" s="304"/>
    </row>
    <row r="28" spans="1:16" ht="33.75" customHeight="1" x14ac:dyDescent="0.25">
      <c r="A28" s="325" t="s">
        <v>206</v>
      </c>
      <c r="B28" s="331" t="s">
        <v>32</v>
      </c>
      <c r="C28" s="332" t="str">
        <f>'[3]Pl. Atividades 18m'!C50</f>
        <v>Promover ampla divulgação das ferramentas de Certificação, Cadeias de Valores Sustentáveis e PSA</v>
      </c>
      <c r="D28" s="332"/>
      <c r="E28" s="333"/>
      <c r="F28" s="333"/>
      <c r="G28" s="334">
        <f>G29</f>
        <v>350000</v>
      </c>
      <c r="H28" s="327"/>
      <c r="I28" s="327"/>
      <c r="K28" s="319"/>
      <c r="L28" s="319"/>
      <c r="M28" s="304"/>
    </row>
    <row r="29" spans="1:16" ht="31.5" x14ac:dyDescent="0.25">
      <c r="A29" s="480"/>
      <c r="B29" s="472"/>
      <c r="C29" s="148" t="s">
        <v>198</v>
      </c>
      <c r="D29" s="148"/>
      <c r="E29" s="321"/>
      <c r="F29" s="321"/>
      <c r="G29" s="335">
        <f>G30</f>
        <v>350000</v>
      </c>
      <c r="H29" s="318"/>
      <c r="I29" s="318"/>
      <c r="K29" s="309"/>
      <c r="L29" s="309"/>
      <c r="M29" s="304"/>
    </row>
    <row r="30" spans="1:16" x14ac:dyDescent="0.25">
      <c r="A30" s="481"/>
      <c r="B30" s="476"/>
      <c r="C30" s="150"/>
      <c r="D30" s="149" t="s">
        <v>204</v>
      </c>
      <c r="E30" s="165">
        <v>350000</v>
      </c>
      <c r="F30" s="126">
        <v>1</v>
      </c>
      <c r="G30" s="320">
        <v>350000</v>
      </c>
      <c r="H30" s="320">
        <v>140000</v>
      </c>
      <c r="I30" s="320">
        <v>210000</v>
      </c>
    </row>
    <row r="31" spans="1:16" ht="22.5" customHeight="1" x14ac:dyDescent="0.25">
      <c r="A31" s="437" t="e">
        <f>#REF!</f>
        <v>#REF!</v>
      </c>
      <c r="B31" s="438"/>
      <c r="C31" s="287" t="str">
        <f>'[3]Pl. Atividades 18m'!C51</f>
        <v>Apoio à implementação de Cadeias de Valores</v>
      </c>
      <c r="D31" s="315"/>
      <c r="E31" s="299"/>
      <c r="F31" s="299"/>
      <c r="G31" s="131">
        <f>G32</f>
        <v>147000</v>
      </c>
      <c r="H31" s="300"/>
      <c r="I31" s="300"/>
      <c r="L31" s="109"/>
      <c r="M31" s="336"/>
      <c r="N31" s="109"/>
      <c r="O31" s="109"/>
    </row>
    <row r="32" spans="1:16" ht="33.75" customHeight="1" x14ac:dyDescent="0.25">
      <c r="A32" s="208" t="s">
        <v>202</v>
      </c>
      <c r="B32" s="326" t="s">
        <v>32</v>
      </c>
      <c r="C32" s="223" t="str">
        <f>'[3]Pl. Atividades 18m'!C52</f>
        <v>Adequar infraestrutura de UC (Estação Ecológica do Bananal) para apoiar a implementação de CVS</v>
      </c>
      <c r="D32" s="223"/>
      <c r="E32" s="337"/>
      <c r="F32" s="337"/>
      <c r="G32" s="338">
        <f>G33</f>
        <v>147000</v>
      </c>
      <c r="H32" s="327"/>
      <c r="I32" s="327"/>
      <c r="K32" s="32"/>
      <c r="L32" s="316"/>
      <c r="M32" s="324"/>
      <c r="N32" s="324"/>
      <c r="O32" s="304"/>
      <c r="P32" s="32"/>
    </row>
    <row r="33" spans="1:18" ht="30" customHeight="1" x14ac:dyDescent="0.25">
      <c r="A33" s="480"/>
      <c r="B33" s="472"/>
      <c r="C33" s="339" t="s">
        <v>207</v>
      </c>
      <c r="D33" s="136"/>
      <c r="E33" s="303"/>
      <c r="F33" s="303"/>
      <c r="G33" s="218">
        <f>SUM(G34:G37)</f>
        <v>147000</v>
      </c>
      <c r="H33" s="317"/>
      <c r="I33" s="318"/>
      <c r="J33" s="304"/>
      <c r="K33" s="304"/>
      <c r="L33" s="316"/>
      <c r="M33" s="316"/>
      <c r="N33" s="316"/>
      <c r="O33" s="304"/>
      <c r="P33" s="32"/>
    </row>
    <row r="34" spans="1:18" ht="26.25" customHeight="1" x14ac:dyDescent="0.25">
      <c r="A34" s="482"/>
      <c r="B34" s="474"/>
      <c r="C34" s="483" t="s">
        <v>230</v>
      </c>
      <c r="D34" s="149" t="s">
        <v>74</v>
      </c>
      <c r="E34" s="165">
        <v>110000</v>
      </c>
      <c r="F34" s="126">
        <v>1</v>
      </c>
      <c r="G34" s="330">
        <v>110000</v>
      </c>
      <c r="H34" s="330">
        <v>110000</v>
      </c>
      <c r="I34" s="330">
        <v>0</v>
      </c>
      <c r="J34" s="304"/>
      <c r="K34" s="340"/>
      <c r="L34" s="340"/>
      <c r="M34" s="316"/>
      <c r="N34" s="319"/>
      <c r="O34" s="304"/>
      <c r="P34" s="32"/>
    </row>
    <row r="35" spans="1:18" x14ac:dyDescent="0.25">
      <c r="A35" s="482"/>
      <c r="B35" s="474"/>
      <c r="C35" s="484"/>
      <c r="D35" s="149" t="s">
        <v>208</v>
      </c>
      <c r="E35" s="165">
        <v>1000</v>
      </c>
      <c r="F35" s="126">
        <v>16</v>
      </c>
      <c r="G35" s="320">
        <v>16000</v>
      </c>
      <c r="H35" s="320">
        <v>10000</v>
      </c>
      <c r="I35" s="320">
        <v>6000</v>
      </c>
      <c r="J35" s="304"/>
      <c r="K35" s="336"/>
      <c r="L35" s="336"/>
      <c r="M35" s="319"/>
      <c r="N35" s="341"/>
      <c r="O35" s="304"/>
      <c r="P35" s="32"/>
    </row>
    <row r="36" spans="1:18" x14ac:dyDescent="0.25">
      <c r="A36" s="482"/>
      <c r="B36" s="474"/>
      <c r="C36" s="484"/>
      <c r="D36" s="149" t="s">
        <v>209</v>
      </c>
      <c r="E36" s="329">
        <v>2500</v>
      </c>
      <c r="F36" s="126">
        <v>2</v>
      </c>
      <c r="G36" s="330">
        <v>5000</v>
      </c>
      <c r="H36" s="330">
        <v>2500</v>
      </c>
      <c r="I36" s="330">
        <v>2500</v>
      </c>
      <c r="J36" s="304"/>
      <c r="K36" s="340"/>
      <c r="L36" s="340"/>
      <c r="M36" s="340"/>
      <c r="N36" s="336"/>
      <c r="O36" s="109"/>
    </row>
    <row r="37" spans="1:18" x14ac:dyDescent="0.25">
      <c r="A37" s="481"/>
      <c r="B37" s="476"/>
      <c r="C37" s="485"/>
      <c r="D37" s="342" t="s">
        <v>210</v>
      </c>
      <c r="E37" s="329">
        <v>1000</v>
      </c>
      <c r="F37" s="126">
        <v>16</v>
      </c>
      <c r="G37" s="330">
        <v>16000</v>
      </c>
      <c r="H37" s="330">
        <v>10000</v>
      </c>
      <c r="I37" s="330">
        <v>6000</v>
      </c>
      <c r="J37" s="304"/>
      <c r="K37" s="340"/>
      <c r="L37" s="340"/>
      <c r="M37" s="340"/>
      <c r="N37" s="336"/>
      <c r="O37" s="109"/>
    </row>
    <row r="38" spans="1:18" ht="26.25" customHeight="1" x14ac:dyDescent="0.25">
      <c r="A38" s="437" t="e">
        <f>#REF!</f>
        <v>#REF!</v>
      </c>
      <c r="B38" s="438"/>
      <c r="C38" s="287" t="s">
        <v>229</v>
      </c>
      <c r="D38" s="315"/>
      <c r="E38" s="299"/>
      <c r="F38" s="299"/>
      <c r="G38" s="131">
        <f>G39</f>
        <v>223778.59999999998</v>
      </c>
      <c r="H38" s="300"/>
      <c r="I38" s="300"/>
      <c r="J38" s="304"/>
      <c r="K38" s="189"/>
      <c r="L38" s="189"/>
      <c r="M38" s="336"/>
      <c r="N38" s="336"/>
      <c r="O38" s="109"/>
    </row>
    <row r="39" spans="1:18" ht="23.25" customHeight="1" x14ac:dyDescent="0.25">
      <c r="A39" s="208" t="s">
        <v>154</v>
      </c>
      <c r="B39" s="326" t="s">
        <v>32</v>
      </c>
      <c r="C39" s="223" t="str">
        <f>'[3]Pl. Atividades 18m'!C54</f>
        <v>Obter apoio técnico e administrativo para coordenação do componente 3</v>
      </c>
      <c r="D39" s="223"/>
      <c r="E39" s="337"/>
      <c r="F39" s="337"/>
      <c r="G39" s="343">
        <f>SUM(G40+G44)</f>
        <v>223778.59999999998</v>
      </c>
      <c r="H39" s="327"/>
      <c r="I39" s="327"/>
      <c r="J39" s="304"/>
      <c r="K39" s="109"/>
      <c r="L39" s="109"/>
      <c r="M39" s="312"/>
      <c r="N39" s="312"/>
      <c r="O39" s="312"/>
      <c r="P39" s="344"/>
    </row>
    <row r="40" spans="1:18" ht="31.5" x14ac:dyDescent="0.25">
      <c r="A40" s="471"/>
      <c r="B40" s="472"/>
      <c r="C40" s="136" t="s">
        <v>211</v>
      </c>
      <c r="D40" s="136"/>
      <c r="E40" s="303"/>
      <c r="F40" s="303"/>
      <c r="G40" s="218">
        <f>SUM(G41:G43)</f>
        <v>147627.24</v>
      </c>
      <c r="H40" s="317"/>
      <c r="I40" s="318"/>
      <c r="J40" s="304"/>
      <c r="K40" s="109"/>
      <c r="L40" s="109"/>
      <c r="M40" s="324"/>
      <c r="N40" s="304"/>
      <c r="O40" s="304"/>
      <c r="P40" s="109"/>
      <c r="Q40" s="324"/>
      <c r="R40" s="304"/>
    </row>
    <row r="41" spans="1:18" s="32" customFormat="1" x14ac:dyDescent="0.25">
      <c r="A41" s="473"/>
      <c r="B41" s="474"/>
      <c r="C41" s="448"/>
      <c r="D41" s="345" t="s">
        <v>83</v>
      </c>
      <c r="E41" s="346">
        <v>129933.45</v>
      </c>
      <c r="F41" s="347">
        <v>1</v>
      </c>
      <c r="G41" s="348">
        <v>129933.45</v>
      </c>
      <c r="H41" s="349">
        <v>79791.56</v>
      </c>
      <c r="I41" s="350">
        <v>50141.89</v>
      </c>
      <c r="J41" s="351"/>
      <c r="K41" s="324"/>
      <c r="L41" s="324"/>
      <c r="M41" s="324"/>
      <c r="N41" s="304"/>
      <c r="O41" s="336"/>
      <c r="P41" s="336"/>
      <c r="Q41" s="352"/>
      <c r="R41" s="324"/>
    </row>
    <row r="42" spans="1:18" s="109" customFormat="1" x14ac:dyDescent="0.25">
      <c r="A42" s="473"/>
      <c r="B42" s="474"/>
      <c r="C42" s="449"/>
      <c r="D42" s="149" t="s">
        <v>20</v>
      </c>
      <c r="E42" s="165" t="s">
        <v>86</v>
      </c>
      <c r="F42" s="126">
        <v>29</v>
      </c>
      <c r="G42" s="330">
        <v>11063.79</v>
      </c>
      <c r="H42" s="353">
        <v>7248.69</v>
      </c>
      <c r="I42" s="330">
        <v>3815.1</v>
      </c>
      <c r="J42" s="351"/>
      <c r="K42" s="354"/>
      <c r="L42" s="340"/>
      <c r="M42" s="340"/>
      <c r="N42" s="319"/>
      <c r="O42" s="336"/>
      <c r="P42" s="336"/>
      <c r="Q42" s="340"/>
      <c r="R42" s="340"/>
    </row>
    <row r="43" spans="1:18" s="109" customFormat="1" x14ac:dyDescent="0.25">
      <c r="A43" s="473"/>
      <c r="B43" s="474"/>
      <c r="C43" s="450"/>
      <c r="D43" s="149" t="s">
        <v>91</v>
      </c>
      <c r="E43" s="165" t="s">
        <v>95</v>
      </c>
      <c r="F43" s="126">
        <v>17</v>
      </c>
      <c r="G43" s="320">
        <v>6630</v>
      </c>
      <c r="H43" s="320">
        <v>4290</v>
      </c>
      <c r="I43" s="320">
        <v>2340</v>
      </c>
      <c r="J43" s="304"/>
      <c r="K43" s="336"/>
      <c r="L43" s="336"/>
      <c r="M43" s="336"/>
      <c r="N43" s="352"/>
      <c r="O43" s="336"/>
      <c r="P43" s="336"/>
      <c r="Q43" s="336"/>
      <c r="R43" s="336"/>
    </row>
    <row r="44" spans="1:18" s="109" customFormat="1" ht="31.5" x14ac:dyDescent="0.3">
      <c r="A44" s="473"/>
      <c r="B44" s="474"/>
      <c r="C44" s="148" t="s">
        <v>212</v>
      </c>
      <c r="D44" s="136"/>
      <c r="E44" s="303"/>
      <c r="F44" s="303"/>
      <c r="G44" s="218">
        <f>SUM(G45:G47)</f>
        <v>76151.360000000001</v>
      </c>
      <c r="H44" s="355"/>
      <c r="I44" s="355"/>
      <c r="J44" s="304"/>
      <c r="K44" s="356"/>
      <c r="L44" s="356"/>
      <c r="M44" s="357"/>
      <c r="N44" s="340"/>
      <c r="O44" s="336"/>
      <c r="P44" s="358"/>
      <c r="Q44" s="359"/>
      <c r="R44" s="357"/>
    </row>
    <row r="45" spans="1:18" s="109" customFormat="1" x14ac:dyDescent="0.25">
      <c r="A45" s="473"/>
      <c r="B45" s="474"/>
      <c r="C45" s="477"/>
      <c r="D45" s="149" t="s">
        <v>83</v>
      </c>
      <c r="E45" s="165">
        <v>65271.360000000001</v>
      </c>
      <c r="F45" s="126">
        <v>1</v>
      </c>
      <c r="G45" s="320">
        <v>65271.360000000001</v>
      </c>
      <c r="H45" s="320">
        <v>40189.89</v>
      </c>
      <c r="I45" s="320">
        <v>25081.46</v>
      </c>
      <c r="J45" s="304"/>
      <c r="K45" s="336"/>
      <c r="L45" s="336"/>
      <c r="N45" s="336"/>
      <c r="O45" s="336"/>
      <c r="P45" s="360"/>
      <c r="Q45" s="336"/>
      <c r="R45" s="336"/>
    </row>
    <row r="46" spans="1:18" x14ac:dyDescent="0.25">
      <c r="A46" s="473"/>
      <c r="B46" s="474"/>
      <c r="C46" s="478"/>
      <c r="D46" s="149" t="s">
        <v>20</v>
      </c>
      <c r="E46" s="165" t="s">
        <v>213</v>
      </c>
      <c r="F46" s="126">
        <v>17</v>
      </c>
      <c r="G46" s="320">
        <v>4250</v>
      </c>
      <c r="H46" s="320">
        <v>2750</v>
      </c>
      <c r="I46" s="320">
        <v>1500</v>
      </c>
      <c r="J46" s="304"/>
      <c r="K46" s="336"/>
      <c r="L46" s="336"/>
      <c r="M46" s="109"/>
      <c r="N46" s="189"/>
      <c r="O46" s="360"/>
      <c r="P46" s="360"/>
      <c r="Q46" s="360"/>
    </row>
    <row r="47" spans="1:18" x14ac:dyDescent="0.25">
      <c r="A47" s="475"/>
      <c r="B47" s="476"/>
      <c r="C47" s="479"/>
      <c r="D47" s="149" t="s">
        <v>91</v>
      </c>
      <c r="E47" s="165" t="s">
        <v>95</v>
      </c>
      <c r="F47" s="126">
        <v>17</v>
      </c>
      <c r="G47" s="320">
        <v>6630</v>
      </c>
      <c r="H47" s="320">
        <v>4290</v>
      </c>
      <c r="I47" s="320">
        <v>2340</v>
      </c>
      <c r="J47" s="304"/>
      <c r="K47" s="336"/>
      <c r="L47" s="336"/>
      <c r="M47" s="304"/>
      <c r="N47" s="109"/>
      <c r="O47" s="360"/>
      <c r="P47" s="360"/>
      <c r="Q47" s="360"/>
    </row>
    <row r="48" spans="1:18" x14ac:dyDescent="0.25">
      <c r="H48" s="361">
        <f>SUM(H5:H47)</f>
        <v>995983.25999999989</v>
      </c>
      <c r="I48" s="361">
        <f>SUM(I5:I47)</f>
        <v>1160330.17</v>
      </c>
      <c r="J48" s="362"/>
      <c r="K48" s="309"/>
      <c r="L48" s="309"/>
      <c r="M48" s="304"/>
      <c r="N48" s="109"/>
      <c r="O48" s="360"/>
      <c r="P48" s="360"/>
      <c r="Q48" s="360"/>
    </row>
    <row r="49" spans="7:17" x14ac:dyDescent="0.25">
      <c r="J49" s="304"/>
      <c r="K49" s="360"/>
      <c r="L49" s="360"/>
      <c r="M49" s="319"/>
      <c r="N49" s="360"/>
      <c r="O49" s="360"/>
      <c r="P49" s="360"/>
      <c r="Q49" s="360"/>
    </row>
    <row r="50" spans="7:17" x14ac:dyDescent="0.25">
      <c r="J50" s="304"/>
      <c r="K50" s="360"/>
      <c r="L50" s="360"/>
      <c r="M50" s="309"/>
      <c r="N50" s="109"/>
      <c r="O50" s="109"/>
      <c r="P50" s="109"/>
    </row>
    <row r="51" spans="7:17" x14ac:dyDescent="0.25">
      <c r="J51" s="304"/>
      <c r="K51" s="360"/>
      <c r="L51" s="360"/>
      <c r="M51" s="304"/>
      <c r="N51" s="109"/>
      <c r="O51" s="109"/>
      <c r="P51" s="109"/>
    </row>
    <row r="52" spans="7:17" x14ac:dyDescent="0.25">
      <c r="J52" s="304"/>
      <c r="K52" s="360"/>
      <c r="L52" s="360"/>
      <c r="M52" s="304"/>
      <c r="N52" s="109"/>
      <c r="O52" s="109"/>
      <c r="P52" s="109"/>
    </row>
    <row r="53" spans="7:17" x14ac:dyDescent="0.25">
      <c r="J53" s="304"/>
      <c r="K53" s="304"/>
      <c r="L53" s="304"/>
      <c r="M53" s="304"/>
      <c r="N53" s="109"/>
    </row>
    <row r="54" spans="7:17" x14ac:dyDescent="0.25">
      <c r="I54" s="363"/>
      <c r="J54" s="304"/>
      <c r="K54" s="304"/>
      <c r="L54" s="324"/>
      <c r="M54" s="336"/>
      <c r="N54" s="109"/>
    </row>
    <row r="55" spans="7:17" x14ac:dyDescent="0.25">
      <c r="I55" s="363"/>
      <c r="J55" s="304"/>
      <c r="K55" s="109"/>
      <c r="L55" s="340"/>
      <c r="M55" s="336"/>
      <c r="N55" s="109"/>
    </row>
    <row r="56" spans="7:17" x14ac:dyDescent="0.25">
      <c r="I56" s="363"/>
      <c r="J56" s="304"/>
      <c r="K56" s="109"/>
      <c r="L56" s="336"/>
      <c r="M56" s="336"/>
      <c r="N56" s="109"/>
    </row>
    <row r="57" spans="7:17" x14ac:dyDescent="0.25">
      <c r="I57" s="324"/>
      <c r="J57" s="336"/>
      <c r="K57" s="109"/>
      <c r="L57" s="312"/>
      <c r="M57" s="189"/>
      <c r="N57" s="312"/>
    </row>
    <row r="58" spans="7:17" x14ac:dyDescent="0.25">
      <c r="I58" s="340"/>
      <c r="J58" s="336"/>
      <c r="K58" s="109"/>
      <c r="L58" s="109"/>
      <c r="M58" s="109"/>
      <c r="N58" s="109"/>
    </row>
    <row r="59" spans="7:17" x14ac:dyDescent="0.25">
      <c r="I59" s="336"/>
      <c r="J59" s="336"/>
      <c r="K59" s="109"/>
      <c r="L59" s="109"/>
      <c r="M59" s="109"/>
      <c r="N59" s="109"/>
    </row>
    <row r="60" spans="7:17" x14ac:dyDescent="0.25">
      <c r="I60" s="364"/>
      <c r="J60" s="351"/>
      <c r="K60" s="312"/>
      <c r="L60" s="109"/>
      <c r="M60" s="109"/>
      <c r="N60" s="109"/>
    </row>
    <row r="61" spans="7:17" x14ac:dyDescent="0.25">
      <c r="G61" s="365"/>
      <c r="I61" s="363"/>
      <c r="J61" s="304"/>
      <c r="K61" s="109"/>
      <c r="L61" s="109"/>
      <c r="M61" s="109"/>
      <c r="N61" s="109"/>
    </row>
    <row r="62" spans="7:17" x14ac:dyDescent="0.25">
      <c r="I62" s="363"/>
      <c r="J62" s="304"/>
      <c r="K62" s="109"/>
      <c r="L62" s="109"/>
      <c r="M62" s="109"/>
      <c r="N62" s="109"/>
    </row>
  </sheetData>
  <mergeCells count="20">
    <mergeCell ref="A40:B47"/>
    <mergeCell ref="C41:C43"/>
    <mergeCell ref="C45:C47"/>
    <mergeCell ref="A17:B18"/>
    <mergeCell ref="A19:B19"/>
    <mergeCell ref="A21:B22"/>
    <mergeCell ref="A23:B23"/>
    <mergeCell ref="A25:B26"/>
    <mergeCell ref="A27:B27"/>
    <mergeCell ref="A29:B30"/>
    <mergeCell ref="A31:B31"/>
    <mergeCell ref="A33:B37"/>
    <mergeCell ref="C34:C37"/>
    <mergeCell ref="A38:B38"/>
    <mergeCell ref="A15:B15"/>
    <mergeCell ref="A2:C2"/>
    <mergeCell ref="A5:B5"/>
    <mergeCell ref="A7:B14"/>
    <mergeCell ref="C8:C10"/>
    <mergeCell ref="C12:C1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9"/>
  <dimension ref="A2:O188"/>
  <sheetViews>
    <sheetView topLeftCell="A43" workbookViewId="0">
      <selection activeCell="B69" sqref="B69"/>
    </sheetView>
  </sheetViews>
  <sheetFormatPr defaultRowHeight="15" x14ac:dyDescent="0.25"/>
  <cols>
    <col min="1" max="1" width="13.85546875" customWidth="1"/>
    <col min="2" max="2" width="46.140625" customWidth="1"/>
    <col min="3" max="3" width="21.42578125" style="105" customWidth="1"/>
    <col min="4" max="4" width="13.7109375" customWidth="1"/>
    <col min="5" max="5" width="9.28515625" style="72" customWidth="1"/>
    <col min="6" max="6" width="16.140625" style="72" customWidth="1"/>
    <col min="7" max="7" width="12.28515625" style="72" customWidth="1"/>
    <col min="8" max="8" width="28.28515625" style="73" customWidth="1"/>
    <col min="9" max="9" width="16.42578125" bestFit="1" customWidth="1"/>
    <col min="10" max="10" width="13.85546875" customWidth="1"/>
  </cols>
  <sheetData>
    <row r="2" spans="1:10" s="36" customFormat="1" ht="18.75" x14ac:dyDescent="0.3">
      <c r="A2" s="233" t="s">
        <v>59</v>
      </c>
      <c r="B2" s="233"/>
      <c r="C2" s="234"/>
      <c r="D2" s="233"/>
      <c r="E2" s="235"/>
      <c r="F2" s="235"/>
      <c r="G2" s="235"/>
      <c r="H2" s="236"/>
      <c r="I2" s="237">
        <f>I4+I66+I82+I98+I120+I135+I148+I165+I182</f>
        <v>2104294.12</v>
      </c>
      <c r="J2" s="238">
        <f>J4+J66+J82+J98+J120+J135+J148+J165+J182</f>
        <v>829118.62199999997</v>
      </c>
    </row>
    <row r="3" spans="1:10" ht="23.25" x14ac:dyDescent="0.25">
      <c r="C3" s="98" t="s">
        <v>16</v>
      </c>
      <c r="D3" s="239" t="s">
        <v>156</v>
      </c>
      <c r="E3" s="240" t="s">
        <v>157</v>
      </c>
      <c r="F3" s="239" t="s">
        <v>158</v>
      </c>
      <c r="G3" s="240" t="s">
        <v>159</v>
      </c>
      <c r="H3" s="43" t="s">
        <v>17</v>
      </c>
      <c r="I3" s="44" t="s">
        <v>7</v>
      </c>
      <c r="J3" s="44" t="s">
        <v>18</v>
      </c>
    </row>
    <row r="4" spans="1:10" x14ac:dyDescent="0.25">
      <c r="A4" s="46"/>
      <c r="B4" s="46" t="str">
        <f>[4]MarcoLóg!C19</f>
        <v>Mobilização das equipes e recursos</v>
      </c>
      <c r="C4" s="99"/>
      <c r="D4" s="47"/>
      <c r="E4" s="48"/>
      <c r="F4" s="48"/>
      <c r="G4" s="48"/>
      <c r="H4" s="241">
        <f>H5+H7+H9+H42+H45+H47+H52+H56</f>
        <v>1140258.2420000001</v>
      </c>
      <c r="I4" s="242">
        <f>I5+I7+I9+I42+I45+I47+I52+I56</f>
        <v>793582.12</v>
      </c>
      <c r="J4" s="242">
        <f>J5+J7+J9+J42+J45+J47+J52+J56</f>
        <v>346676.12200000003</v>
      </c>
    </row>
    <row r="5" spans="1:10" x14ac:dyDescent="0.25">
      <c r="A5" s="243" t="str">
        <f>[4]MarcoLóg!B20</f>
        <v>Atividade I</v>
      </c>
      <c r="B5" s="243" t="str">
        <f>[4]MarcoLóg!C20</f>
        <v>Lançamento do Projeto (Rio de Janeiro)</v>
      </c>
      <c r="C5" s="243"/>
      <c r="D5" s="243"/>
      <c r="E5" s="243"/>
      <c r="F5" s="243"/>
      <c r="G5" s="243"/>
      <c r="H5" s="244">
        <f>H6</f>
        <v>6000</v>
      </c>
      <c r="I5" s="244">
        <f>I6</f>
        <v>6000</v>
      </c>
      <c r="J5" s="244">
        <f>J6</f>
        <v>0</v>
      </c>
    </row>
    <row r="6" spans="1:10" x14ac:dyDescent="0.25">
      <c r="A6" s="245"/>
      <c r="B6" s="246" t="s">
        <v>160</v>
      </c>
      <c r="C6" s="104" t="s">
        <v>23</v>
      </c>
      <c r="D6" s="70">
        <v>60</v>
      </c>
      <c r="E6" s="247">
        <v>100</v>
      </c>
      <c r="F6" s="71"/>
      <c r="G6" s="71"/>
      <c r="H6" s="248">
        <f>(D6*E6)+(F6*G6)</f>
        <v>6000</v>
      </c>
      <c r="I6" s="248">
        <f>D6*E6</f>
        <v>6000</v>
      </c>
      <c r="J6" s="248">
        <f>F6*G6</f>
        <v>0</v>
      </c>
    </row>
    <row r="7" spans="1:10" x14ac:dyDescent="0.25">
      <c r="A7" s="243" t="str">
        <f>[4]MarcoLóg!B21</f>
        <v>Atividade II</v>
      </c>
      <c r="B7" s="243" t="str">
        <f>[4]MarcoLóg!C21</f>
        <v xml:space="preserve">Lançamento do Projeto (Regional) </v>
      </c>
      <c r="C7" s="243"/>
      <c r="D7" s="243"/>
      <c r="E7" s="243"/>
      <c r="F7" s="243"/>
      <c r="G7" s="243"/>
      <c r="H7" s="244">
        <f>H8</f>
        <v>1000</v>
      </c>
      <c r="I7" s="244">
        <f>I8</f>
        <v>1000</v>
      </c>
      <c r="J7" s="244">
        <f>J8</f>
        <v>0</v>
      </c>
    </row>
    <row r="8" spans="1:10" x14ac:dyDescent="0.25">
      <c r="A8" s="245"/>
      <c r="B8" s="246" t="s">
        <v>161</v>
      </c>
      <c r="C8" s="104" t="s">
        <v>23</v>
      </c>
      <c r="D8" s="70">
        <v>20</v>
      </c>
      <c r="E8" s="247">
        <v>50</v>
      </c>
      <c r="F8" s="71"/>
      <c r="G8" s="71"/>
      <c r="H8" s="248">
        <f>(D8*E8)+(F8*G8)</f>
        <v>1000</v>
      </c>
      <c r="I8" s="249">
        <f>D8*E8</f>
        <v>1000</v>
      </c>
      <c r="J8" s="249">
        <f>F8*G8</f>
        <v>0</v>
      </c>
    </row>
    <row r="9" spans="1:10" x14ac:dyDescent="0.25">
      <c r="A9" s="243" t="str">
        <f>[4]MarcoLóg!B22</f>
        <v>Atividade III</v>
      </c>
      <c r="B9" s="243" t="str">
        <f>[4]MarcoLóg!C22</f>
        <v>Aquisições diversas</v>
      </c>
      <c r="C9" s="243"/>
      <c r="D9" s="243"/>
      <c r="E9" s="243"/>
      <c r="F9" s="243"/>
      <c r="G9" s="243"/>
      <c r="H9" s="244">
        <f>SUM(H10:H41)</f>
        <v>83210</v>
      </c>
      <c r="I9" s="244">
        <f>SUM(I10:I41)</f>
        <v>71210</v>
      </c>
      <c r="J9" s="244">
        <f>SUM(J10:J41)</f>
        <v>12000</v>
      </c>
    </row>
    <row r="10" spans="1:10" x14ac:dyDescent="0.25">
      <c r="A10" s="250"/>
      <c r="B10" s="246" t="s">
        <v>112</v>
      </c>
      <c r="C10" s="102" t="s">
        <v>24</v>
      </c>
      <c r="D10" s="247">
        <v>2500</v>
      </c>
      <c r="E10" s="247">
        <v>5</v>
      </c>
      <c r="F10" s="71"/>
      <c r="G10" s="71"/>
      <c r="H10" s="248">
        <f t="shared" ref="H10:H41" si="0">(D10*E10)+(F10*G10)</f>
        <v>12500</v>
      </c>
      <c r="I10" s="249">
        <f t="shared" ref="I10:I41" si="1">D10*E10</f>
        <v>12500</v>
      </c>
      <c r="J10" s="249">
        <f t="shared" ref="J10:J41" si="2">F10*G10</f>
        <v>0</v>
      </c>
    </row>
    <row r="11" spans="1:10" x14ac:dyDescent="0.25">
      <c r="A11" s="251"/>
      <c r="B11" s="232" t="s">
        <v>139</v>
      </c>
      <c r="C11" s="102" t="s">
        <v>21</v>
      </c>
      <c r="D11" s="247">
        <v>500</v>
      </c>
      <c r="E11" s="247">
        <v>5</v>
      </c>
      <c r="F11" s="71"/>
      <c r="G11" s="71"/>
      <c r="H11" s="248">
        <f t="shared" si="0"/>
        <v>2500</v>
      </c>
      <c r="I11" s="249">
        <f t="shared" si="1"/>
        <v>2500</v>
      </c>
      <c r="J11" s="249">
        <f t="shared" si="2"/>
        <v>0</v>
      </c>
    </row>
    <row r="12" spans="1:10" x14ac:dyDescent="0.25">
      <c r="A12" s="251"/>
      <c r="B12" s="232" t="s">
        <v>113</v>
      </c>
      <c r="C12" s="102" t="s">
        <v>24</v>
      </c>
      <c r="D12" s="247">
        <v>278</v>
      </c>
      <c r="E12" s="247">
        <v>2</v>
      </c>
      <c r="F12" s="71"/>
      <c r="G12" s="71"/>
      <c r="H12" s="248">
        <f t="shared" si="0"/>
        <v>556</v>
      </c>
      <c r="I12" s="249">
        <f t="shared" si="1"/>
        <v>556</v>
      </c>
      <c r="J12" s="249">
        <f t="shared" si="2"/>
        <v>0</v>
      </c>
    </row>
    <row r="13" spans="1:10" x14ac:dyDescent="0.25">
      <c r="A13" s="251"/>
      <c r="B13" s="232" t="s">
        <v>114</v>
      </c>
      <c r="C13" s="102" t="s">
        <v>24</v>
      </c>
      <c r="D13" s="247">
        <v>1000</v>
      </c>
      <c r="E13" s="247">
        <v>1</v>
      </c>
      <c r="F13" s="71"/>
      <c r="G13" s="71"/>
      <c r="H13" s="248">
        <f t="shared" si="0"/>
        <v>1000</v>
      </c>
      <c r="I13" s="249">
        <f t="shared" si="1"/>
        <v>1000</v>
      </c>
      <c r="J13" s="249">
        <f t="shared" si="2"/>
        <v>0</v>
      </c>
    </row>
    <row r="14" spans="1:10" x14ac:dyDescent="0.25">
      <c r="A14" s="251"/>
      <c r="B14" s="232" t="s">
        <v>115</v>
      </c>
      <c r="C14" s="102" t="s">
        <v>24</v>
      </c>
      <c r="D14" s="247">
        <v>1500</v>
      </c>
      <c r="E14" s="247">
        <v>1</v>
      </c>
      <c r="F14" s="71"/>
      <c r="G14" s="71"/>
      <c r="H14" s="248">
        <f t="shared" si="0"/>
        <v>1500</v>
      </c>
      <c r="I14" s="249">
        <f t="shared" si="1"/>
        <v>1500</v>
      </c>
      <c r="J14" s="249">
        <f t="shared" si="2"/>
        <v>0</v>
      </c>
    </row>
    <row r="15" spans="1:10" x14ac:dyDescent="0.25">
      <c r="A15" s="251"/>
      <c r="B15" s="232" t="s">
        <v>116</v>
      </c>
      <c r="C15" s="102" t="s">
        <v>24</v>
      </c>
      <c r="D15" s="247">
        <v>1600</v>
      </c>
      <c r="E15" s="247">
        <v>1</v>
      </c>
      <c r="F15" s="71"/>
      <c r="G15" s="71"/>
      <c r="H15" s="248">
        <f t="shared" si="0"/>
        <v>1600</v>
      </c>
      <c r="I15" s="249">
        <f t="shared" si="1"/>
        <v>1600</v>
      </c>
      <c r="J15" s="249">
        <f t="shared" si="2"/>
        <v>0</v>
      </c>
    </row>
    <row r="16" spans="1:10" x14ac:dyDescent="0.25">
      <c r="A16" s="251"/>
      <c r="B16" s="232" t="s">
        <v>117</v>
      </c>
      <c r="C16" s="102" t="s">
        <v>24</v>
      </c>
      <c r="D16" s="247">
        <v>85</v>
      </c>
      <c r="E16" s="247">
        <v>1</v>
      </c>
      <c r="F16" s="71"/>
      <c r="G16" s="71"/>
      <c r="H16" s="248">
        <f t="shared" si="0"/>
        <v>85</v>
      </c>
      <c r="I16" s="249">
        <f t="shared" si="1"/>
        <v>85</v>
      </c>
      <c r="J16" s="249">
        <f t="shared" si="2"/>
        <v>0</v>
      </c>
    </row>
    <row r="17" spans="1:10" x14ac:dyDescent="0.25">
      <c r="A17" s="251"/>
      <c r="B17" s="232" t="s">
        <v>118</v>
      </c>
      <c r="C17" s="102" t="s">
        <v>24</v>
      </c>
      <c r="D17" s="247">
        <v>350</v>
      </c>
      <c r="E17" s="247">
        <v>4</v>
      </c>
      <c r="F17" s="71"/>
      <c r="G17" s="71"/>
      <c r="H17" s="248">
        <f t="shared" si="0"/>
        <v>1400</v>
      </c>
      <c r="I17" s="249">
        <f t="shared" si="1"/>
        <v>1400</v>
      </c>
      <c r="J17" s="249">
        <f t="shared" si="2"/>
        <v>0</v>
      </c>
    </row>
    <row r="18" spans="1:10" x14ac:dyDescent="0.25">
      <c r="A18" s="251"/>
      <c r="B18" s="232" t="s">
        <v>119</v>
      </c>
      <c r="C18" s="102" t="s">
        <v>24</v>
      </c>
      <c r="D18" s="247">
        <v>1600</v>
      </c>
      <c r="E18" s="247">
        <v>1</v>
      </c>
      <c r="F18" s="71"/>
      <c r="G18" s="71"/>
      <c r="H18" s="248">
        <f t="shared" si="0"/>
        <v>1600</v>
      </c>
      <c r="I18" s="248">
        <f t="shared" si="1"/>
        <v>1600</v>
      </c>
      <c r="J18" s="248">
        <f t="shared" si="2"/>
        <v>0</v>
      </c>
    </row>
    <row r="19" spans="1:10" x14ac:dyDescent="0.25">
      <c r="A19" s="251"/>
      <c r="B19" s="232" t="s">
        <v>120</v>
      </c>
      <c r="C19" s="102" t="s">
        <v>24</v>
      </c>
      <c r="D19" s="247">
        <v>200</v>
      </c>
      <c r="E19" s="247">
        <v>8</v>
      </c>
      <c r="F19" s="71"/>
      <c r="G19" s="71"/>
      <c r="H19" s="248">
        <f t="shared" si="0"/>
        <v>1600</v>
      </c>
      <c r="I19" s="248">
        <f t="shared" si="1"/>
        <v>1600</v>
      </c>
      <c r="J19" s="248">
        <f t="shared" si="2"/>
        <v>0</v>
      </c>
    </row>
    <row r="20" spans="1:10" x14ac:dyDescent="0.25">
      <c r="A20" s="251"/>
      <c r="B20" s="232" t="s">
        <v>121</v>
      </c>
      <c r="C20" s="102" t="s">
        <v>24</v>
      </c>
      <c r="D20" s="247">
        <v>1200</v>
      </c>
      <c r="E20" s="247">
        <v>1</v>
      </c>
      <c r="F20" s="71"/>
      <c r="G20" s="71"/>
      <c r="H20" s="248">
        <f t="shared" si="0"/>
        <v>1200</v>
      </c>
      <c r="I20" s="248">
        <f t="shared" si="1"/>
        <v>1200</v>
      </c>
      <c r="J20" s="248">
        <f t="shared" si="2"/>
        <v>0</v>
      </c>
    </row>
    <row r="21" spans="1:10" x14ac:dyDescent="0.25">
      <c r="A21" s="251"/>
      <c r="B21" s="232" t="s">
        <v>122</v>
      </c>
      <c r="C21" s="102" t="s">
        <v>24</v>
      </c>
      <c r="D21" s="247">
        <v>2221</v>
      </c>
      <c r="E21" s="247">
        <v>1</v>
      </c>
      <c r="F21" s="71"/>
      <c r="G21" s="71"/>
      <c r="H21" s="248">
        <f t="shared" si="0"/>
        <v>2221</v>
      </c>
      <c r="I21" s="248">
        <f t="shared" si="1"/>
        <v>2221</v>
      </c>
      <c r="J21" s="248">
        <f t="shared" si="2"/>
        <v>0</v>
      </c>
    </row>
    <row r="22" spans="1:10" x14ac:dyDescent="0.25">
      <c r="A22" s="251"/>
      <c r="B22" s="232" t="s">
        <v>123</v>
      </c>
      <c r="C22" s="102" t="s">
        <v>24</v>
      </c>
      <c r="D22" s="247">
        <v>600</v>
      </c>
      <c r="E22" s="247">
        <v>1</v>
      </c>
      <c r="F22" s="71"/>
      <c r="G22" s="71"/>
      <c r="H22" s="248">
        <f t="shared" si="0"/>
        <v>600</v>
      </c>
      <c r="I22" s="248">
        <f t="shared" si="1"/>
        <v>600</v>
      </c>
      <c r="J22" s="248">
        <f t="shared" si="2"/>
        <v>0</v>
      </c>
    </row>
    <row r="23" spans="1:10" x14ac:dyDescent="0.25">
      <c r="A23" s="251"/>
      <c r="B23" s="232" t="s">
        <v>124</v>
      </c>
      <c r="C23" s="102" t="s">
        <v>24</v>
      </c>
      <c r="D23" s="247">
        <v>500</v>
      </c>
      <c r="E23" s="247">
        <v>1</v>
      </c>
      <c r="F23" s="71"/>
      <c r="G23" s="71"/>
      <c r="H23" s="248">
        <f t="shared" si="0"/>
        <v>500</v>
      </c>
      <c r="I23" s="248">
        <f t="shared" si="1"/>
        <v>500</v>
      </c>
      <c r="J23" s="248">
        <f t="shared" si="2"/>
        <v>0</v>
      </c>
    </row>
    <row r="24" spans="1:10" x14ac:dyDescent="0.25">
      <c r="A24" s="251"/>
      <c r="B24" s="232" t="s">
        <v>125</v>
      </c>
      <c r="C24" s="102" t="s">
        <v>24</v>
      </c>
      <c r="D24" s="247">
        <v>500</v>
      </c>
      <c r="E24" s="247">
        <v>1</v>
      </c>
      <c r="F24" s="71"/>
      <c r="G24" s="71"/>
      <c r="H24" s="248">
        <f t="shared" si="0"/>
        <v>500</v>
      </c>
      <c r="I24" s="248">
        <f t="shared" si="1"/>
        <v>500</v>
      </c>
      <c r="J24" s="248">
        <f t="shared" si="2"/>
        <v>0</v>
      </c>
    </row>
    <row r="25" spans="1:10" x14ac:dyDescent="0.25">
      <c r="A25" s="251"/>
      <c r="B25" s="232" t="s">
        <v>65</v>
      </c>
      <c r="C25" s="102" t="s">
        <v>24</v>
      </c>
      <c r="D25" s="247">
        <v>2000</v>
      </c>
      <c r="E25" s="247">
        <v>3</v>
      </c>
      <c r="F25" s="71"/>
      <c r="G25" s="71"/>
      <c r="H25" s="248">
        <f t="shared" si="0"/>
        <v>6000</v>
      </c>
      <c r="I25" s="248">
        <f t="shared" si="1"/>
        <v>6000</v>
      </c>
      <c r="J25" s="248">
        <f t="shared" si="2"/>
        <v>0</v>
      </c>
    </row>
    <row r="26" spans="1:10" x14ac:dyDescent="0.25">
      <c r="A26" s="251"/>
      <c r="B26" s="232" t="s">
        <v>140</v>
      </c>
      <c r="C26" s="102" t="s">
        <v>21</v>
      </c>
      <c r="D26" s="247">
        <v>400</v>
      </c>
      <c r="E26" s="247">
        <v>4</v>
      </c>
      <c r="F26" s="71"/>
      <c r="G26" s="71"/>
      <c r="H26" s="248">
        <f t="shared" si="0"/>
        <v>1600</v>
      </c>
      <c r="I26" s="248">
        <f t="shared" si="1"/>
        <v>1600</v>
      </c>
      <c r="J26" s="248">
        <f t="shared" si="2"/>
        <v>0</v>
      </c>
    </row>
    <row r="27" spans="1:10" x14ac:dyDescent="0.25">
      <c r="A27" s="251"/>
      <c r="B27" s="232" t="s">
        <v>126</v>
      </c>
      <c r="C27" s="102" t="s">
        <v>24</v>
      </c>
      <c r="D27" s="247">
        <v>1500</v>
      </c>
      <c r="E27" s="247">
        <v>3</v>
      </c>
      <c r="F27" s="71"/>
      <c r="G27" s="71"/>
      <c r="H27" s="248">
        <f t="shared" si="0"/>
        <v>4500</v>
      </c>
      <c r="I27" s="248">
        <f t="shared" si="1"/>
        <v>4500</v>
      </c>
      <c r="J27" s="248">
        <f t="shared" si="2"/>
        <v>0</v>
      </c>
    </row>
    <row r="28" spans="1:10" x14ac:dyDescent="0.25">
      <c r="A28" s="251"/>
      <c r="B28" s="232" t="s">
        <v>141</v>
      </c>
      <c r="C28" s="102" t="s">
        <v>21</v>
      </c>
      <c r="D28" s="247">
        <v>2000</v>
      </c>
      <c r="E28" s="247">
        <v>12</v>
      </c>
      <c r="F28" s="71">
        <v>2000</v>
      </c>
      <c r="G28" s="71">
        <v>6</v>
      </c>
      <c r="H28" s="248">
        <f t="shared" si="0"/>
        <v>36000</v>
      </c>
      <c r="I28" s="248">
        <f t="shared" si="1"/>
        <v>24000</v>
      </c>
      <c r="J28" s="248">
        <f t="shared" si="2"/>
        <v>12000</v>
      </c>
    </row>
    <row r="29" spans="1:10" x14ac:dyDescent="0.25">
      <c r="A29" s="251"/>
      <c r="B29" s="232" t="s">
        <v>142</v>
      </c>
      <c r="C29" s="102" t="s">
        <v>21</v>
      </c>
      <c r="D29" s="247">
        <v>80</v>
      </c>
      <c r="E29" s="247">
        <v>10</v>
      </c>
      <c r="F29" s="71"/>
      <c r="G29" s="71"/>
      <c r="H29" s="248">
        <f t="shared" si="0"/>
        <v>800</v>
      </c>
      <c r="I29" s="248">
        <f t="shared" si="1"/>
        <v>800</v>
      </c>
      <c r="J29" s="248">
        <f t="shared" si="2"/>
        <v>0</v>
      </c>
    </row>
    <row r="30" spans="1:10" x14ac:dyDescent="0.25">
      <c r="A30" s="251"/>
      <c r="B30" s="232" t="s">
        <v>127</v>
      </c>
      <c r="C30" s="102" t="s">
        <v>24</v>
      </c>
      <c r="D30" s="247">
        <v>200</v>
      </c>
      <c r="E30" s="247">
        <v>2</v>
      </c>
      <c r="F30" s="71"/>
      <c r="G30" s="71"/>
      <c r="H30" s="248">
        <f t="shared" si="0"/>
        <v>400</v>
      </c>
      <c r="I30" s="248">
        <f t="shared" si="1"/>
        <v>400</v>
      </c>
      <c r="J30" s="248">
        <f t="shared" si="2"/>
        <v>0</v>
      </c>
    </row>
    <row r="31" spans="1:10" x14ac:dyDescent="0.25">
      <c r="A31" s="251"/>
      <c r="B31" s="232" t="s">
        <v>143</v>
      </c>
      <c r="C31" s="102" t="s">
        <v>21</v>
      </c>
      <c r="D31" s="247">
        <v>100</v>
      </c>
      <c r="E31" s="247">
        <v>2</v>
      </c>
      <c r="F31" s="71"/>
      <c r="G31" s="71"/>
      <c r="H31" s="248">
        <f t="shared" si="0"/>
        <v>200</v>
      </c>
      <c r="I31" s="248">
        <f t="shared" si="1"/>
        <v>200</v>
      </c>
      <c r="J31" s="248">
        <f t="shared" si="2"/>
        <v>0</v>
      </c>
    </row>
    <row r="32" spans="1:10" x14ac:dyDescent="0.25">
      <c r="A32" s="251"/>
      <c r="B32" s="232" t="s">
        <v>144</v>
      </c>
      <c r="C32" s="102" t="s">
        <v>21</v>
      </c>
      <c r="D32" s="247">
        <v>80</v>
      </c>
      <c r="E32" s="247">
        <v>2</v>
      </c>
      <c r="F32" s="71"/>
      <c r="G32" s="71"/>
      <c r="H32" s="248">
        <f t="shared" si="0"/>
        <v>160</v>
      </c>
      <c r="I32" s="248">
        <f t="shared" si="1"/>
        <v>160</v>
      </c>
      <c r="J32" s="248">
        <f t="shared" si="2"/>
        <v>0</v>
      </c>
    </row>
    <row r="33" spans="1:10" x14ac:dyDescent="0.25">
      <c r="A33" s="251"/>
      <c r="B33" s="232" t="s">
        <v>128</v>
      </c>
      <c r="C33" s="102" t="s">
        <v>24</v>
      </c>
      <c r="D33" s="247">
        <v>729</v>
      </c>
      <c r="E33" s="247">
        <v>2</v>
      </c>
      <c r="F33" s="71"/>
      <c r="G33" s="71"/>
      <c r="H33" s="248">
        <f t="shared" si="0"/>
        <v>1458</v>
      </c>
      <c r="I33" s="248">
        <f t="shared" si="1"/>
        <v>1458</v>
      </c>
      <c r="J33" s="248">
        <f t="shared" si="2"/>
        <v>0</v>
      </c>
    </row>
    <row r="34" spans="1:10" x14ac:dyDescent="0.25">
      <c r="A34" s="251"/>
      <c r="B34" s="232" t="s">
        <v>129</v>
      </c>
      <c r="C34" s="102" t="s">
        <v>24</v>
      </c>
      <c r="D34" s="247">
        <v>80</v>
      </c>
      <c r="E34" s="247">
        <v>2</v>
      </c>
      <c r="F34" s="71"/>
      <c r="G34" s="71"/>
      <c r="H34" s="248">
        <f t="shared" si="0"/>
        <v>160</v>
      </c>
      <c r="I34" s="248">
        <f t="shared" si="1"/>
        <v>160</v>
      </c>
      <c r="J34" s="248">
        <f t="shared" si="2"/>
        <v>0</v>
      </c>
    </row>
    <row r="35" spans="1:10" x14ac:dyDescent="0.25">
      <c r="A35" s="251"/>
      <c r="B35" s="232" t="s">
        <v>145</v>
      </c>
      <c r="C35" s="102" t="s">
        <v>21</v>
      </c>
      <c r="D35" s="247">
        <v>25</v>
      </c>
      <c r="E35" s="247">
        <v>10</v>
      </c>
      <c r="F35" s="71"/>
      <c r="G35" s="71"/>
      <c r="H35" s="248">
        <f t="shared" si="0"/>
        <v>250</v>
      </c>
      <c r="I35" s="248">
        <f t="shared" si="1"/>
        <v>250</v>
      </c>
      <c r="J35" s="248">
        <f t="shared" si="2"/>
        <v>0</v>
      </c>
    </row>
    <row r="36" spans="1:10" x14ac:dyDescent="0.25">
      <c r="A36" s="251"/>
      <c r="B36" s="232" t="s">
        <v>146</v>
      </c>
      <c r="C36" s="102" t="s">
        <v>21</v>
      </c>
      <c r="D36" s="247">
        <v>10</v>
      </c>
      <c r="E36" s="247">
        <v>4</v>
      </c>
      <c r="F36" s="71"/>
      <c r="G36" s="71"/>
      <c r="H36" s="248">
        <f t="shared" si="0"/>
        <v>40</v>
      </c>
      <c r="I36" s="248">
        <f t="shared" si="1"/>
        <v>40</v>
      </c>
      <c r="J36" s="248">
        <f t="shared" si="2"/>
        <v>0</v>
      </c>
    </row>
    <row r="37" spans="1:10" x14ac:dyDescent="0.25">
      <c r="A37" s="251"/>
      <c r="B37" s="232" t="s">
        <v>130</v>
      </c>
      <c r="C37" s="102" t="s">
        <v>24</v>
      </c>
      <c r="D37" s="247">
        <v>400</v>
      </c>
      <c r="E37" s="247">
        <v>2</v>
      </c>
      <c r="F37" s="71"/>
      <c r="G37" s="71"/>
      <c r="H37" s="248">
        <f t="shared" si="0"/>
        <v>800</v>
      </c>
      <c r="I37" s="248">
        <f t="shared" si="1"/>
        <v>800</v>
      </c>
      <c r="J37" s="248">
        <f t="shared" si="2"/>
        <v>0</v>
      </c>
    </row>
    <row r="38" spans="1:10" x14ac:dyDescent="0.25">
      <c r="A38" s="251"/>
      <c r="B38" s="232" t="s">
        <v>131</v>
      </c>
      <c r="C38" s="102" t="s">
        <v>24</v>
      </c>
      <c r="D38" s="247">
        <v>100</v>
      </c>
      <c r="E38" s="247">
        <v>2</v>
      </c>
      <c r="F38" s="71"/>
      <c r="G38" s="71"/>
      <c r="H38" s="248">
        <f t="shared" si="0"/>
        <v>200</v>
      </c>
      <c r="I38" s="248">
        <f t="shared" si="1"/>
        <v>200</v>
      </c>
      <c r="J38" s="248">
        <f t="shared" si="2"/>
        <v>0</v>
      </c>
    </row>
    <row r="39" spans="1:10" x14ac:dyDescent="0.25">
      <c r="A39" s="251"/>
      <c r="B39" s="232" t="s">
        <v>132</v>
      </c>
      <c r="C39" s="102" t="s">
        <v>24</v>
      </c>
      <c r="D39" s="247">
        <v>500</v>
      </c>
      <c r="E39" s="247">
        <v>2</v>
      </c>
      <c r="F39" s="71"/>
      <c r="G39" s="71"/>
      <c r="H39" s="248">
        <f t="shared" si="0"/>
        <v>1000</v>
      </c>
      <c r="I39" s="248">
        <f t="shared" si="1"/>
        <v>1000</v>
      </c>
      <c r="J39" s="248">
        <f t="shared" si="2"/>
        <v>0</v>
      </c>
    </row>
    <row r="40" spans="1:10" x14ac:dyDescent="0.25">
      <c r="A40" s="251"/>
      <c r="B40" s="232" t="s">
        <v>133</v>
      </c>
      <c r="C40" s="102" t="s">
        <v>24</v>
      </c>
      <c r="D40" s="247">
        <v>100</v>
      </c>
      <c r="E40" s="247">
        <v>2</v>
      </c>
      <c r="F40" s="245"/>
      <c r="G40" s="245"/>
      <c r="H40" s="248">
        <f t="shared" si="0"/>
        <v>200</v>
      </c>
      <c r="I40" s="248">
        <f t="shared" si="1"/>
        <v>200</v>
      </c>
      <c r="J40" s="248">
        <f t="shared" si="2"/>
        <v>0</v>
      </c>
    </row>
    <row r="41" spans="1:10" x14ac:dyDescent="0.25">
      <c r="A41" s="251"/>
      <c r="B41" s="232" t="s">
        <v>134</v>
      </c>
      <c r="C41" s="102" t="s">
        <v>24</v>
      </c>
      <c r="D41" s="247">
        <v>40</v>
      </c>
      <c r="E41" s="247">
        <v>2</v>
      </c>
      <c r="F41" s="247"/>
      <c r="G41" s="247"/>
      <c r="H41" s="248">
        <f t="shared" si="0"/>
        <v>80</v>
      </c>
      <c r="I41" s="248">
        <f t="shared" si="1"/>
        <v>80</v>
      </c>
      <c r="J41" s="248">
        <f t="shared" si="2"/>
        <v>0</v>
      </c>
    </row>
    <row r="42" spans="1:10" x14ac:dyDescent="0.25">
      <c r="A42" s="243" t="str">
        <f>[4]MarcoLóg!B23</f>
        <v>Atividade IV</v>
      </c>
      <c r="B42" s="252" t="str">
        <f>[4]MarcoLóg!C23</f>
        <v xml:space="preserve">Contratação do Coordenador Geral e analista </v>
      </c>
      <c r="C42" s="253"/>
      <c r="D42" s="254"/>
      <c r="E42" s="254"/>
      <c r="F42" s="254"/>
      <c r="G42" s="254"/>
      <c r="H42" s="244">
        <f>H43+H44</f>
        <v>321910.14</v>
      </c>
      <c r="I42" s="255">
        <f>I43+I44</f>
        <v>157875.06</v>
      </c>
      <c r="J42" s="255">
        <f>J43+J44</f>
        <v>164035.08000000002</v>
      </c>
    </row>
    <row r="43" spans="1:10" x14ac:dyDescent="0.25">
      <c r="A43" s="55"/>
      <c r="B43" s="231" t="s">
        <v>147</v>
      </c>
      <c r="C43" s="104" t="s">
        <v>83</v>
      </c>
      <c r="D43" s="247">
        <v>15428.12</v>
      </c>
      <c r="E43" s="256">
        <v>6</v>
      </c>
      <c r="F43" s="256">
        <v>16160.36</v>
      </c>
      <c r="G43" s="256">
        <v>6</v>
      </c>
      <c r="H43" s="248">
        <f>(D43*E43)+(F43*G43)</f>
        <v>189530.88</v>
      </c>
      <c r="I43" s="248">
        <f>D43*E43</f>
        <v>92568.72</v>
      </c>
      <c r="J43" s="248">
        <f>F43*G43</f>
        <v>96962.16</v>
      </c>
    </row>
    <row r="44" spans="1:10" x14ac:dyDescent="0.25">
      <c r="A44" s="55"/>
      <c r="B44" s="231" t="s">
        <v>148</v>
      </c>
      <c r="C44" s="104" t="s">
        <v>83</v>
      </c>
      <c r="D44" s="257">
        <v>10884.39</v>
      </c>
      <c r="E44" s="258">
        <v>6</v>
      </c>
      <c r="F44" s="258">
        <v>11178.82</v>
      </c>
      <c r="G44" s="258">
        <v>6</v>
      </c>
      <c r="H44" s="248">
        <f>(D44*E44)+(F44*G44)</f>
        <v>132379.26</v>
      </c>
      <c r="I44" s="248">
        <f>D44*E44</f>
        <v>65306.34</v>
      </c>
      <c r="J44" s="248">
        <f>F44*G44</f>
        <v>67072.92</v>
      </c>
    </row>
    <row r="45" spans="1:10" x14ac:dyDescent="0.25">
      <c r="A45" s="243" t="str">
        <f>[4]MarcoLóg!B24</f>
        <v>Atividade V</v>
      </c>
      <c r="B45" s="252" t="str">
        <f>[4]MarcoLóg!C24</f>
        <v xml:space="preserve">Contratação da equipe técnica </v>
      </c>
      <c r="C45" s="253"/>
      <c r="D45" s="254"/>
      <c r="E45" s="254"/>
      <c r="F45" s="254"/>
      <c r="G45" s="254"/>
      <c r="H45" s="255">
        <f>H46</f>
        <v>191583.18</v>
      </c>
      <c r="I45" s="255">
        <f>I46</f>
        <v>94660.74</v>
      </c>
      <c r="J45" s="255">
        <f>J46</f>
        <v>96922.44</v>
      </c>
    </row>
    <row r="46" spans="1:10" x14ac:dyDescent="0.25">
      <c r="A46" s="245"/>
      <c r="B46" s="231" t="s">
        <v>149</v>
      </c>
      <c r="C46" s="104" t="s">
        <v>83</v>
      </c>
      <c r="D46" s="257">
        <v>5258.93</v>
      </c>
      <c r="E46" s="258">
        <v>18</v>
      </c>
      <c r="F46" s="258">
        <v>5384.58</v>
      </c>
      <c r="G46" s="258">
        <v>18</v>
      </c>
      <c r="H46" s="248">
        <f>(D46*E46)+(F46*G46)</f>
        <v>191583.18</v>
      </c>
      <c r="I46" s="248">
        <f>D46*E46</f>
        <v>94660.74</v>
      </c>
      <c r="J46" s="248">
        <f>F46*G46</f>
        <v>96922.44</v>
      </c>
    </row>
    <row r="47" spans="1:10" x14ac:dyDescent="0.25">
      <c r="A47" s="243" t="str">
        <f>[4]MarcoLóg!B25</f>
        <v>Atividade VI</v>
      </c>
      <c r="B47" s="252" t="str">
        <f>[4]MarcoLóg!C25</f>
        <v xml:space="preserve">Capacitação das equipe do projeto (INEA, SEAPEC,EMATER) </v>
      </c>
      <c r="C47" s="253"/>
      <c r="D47" s="254"/>
      <c r="E47" s="254"/>
      <c r="F47" s="254"/>
      <c r="G47" s="254"/>
      <c r="H47" s="255">
        <f>SUM(H48:H51)</f>
        <v>168600</v>
      </c>
      <c r="I47" s="255">
        <f>SUM(I48:I51)</f>
        <v>144300</v>
      </c>
      <c r="J47" s="255">
        <f>SUM(J48:J51)</f>
        <v>24300</v>
      </c>
    </row>
    <row r="48" spans="1:10" x14ac:dyDescent="0.25">
      <c r="A48" s="245"/>
      <c r="B48" s="232" t="s">
        <v>22</v>
      </c>
      <c r="C48" s="104" t="s">
        <v>23</v>
      </c>
      <c r="D48" s="259">
        <v>120000</v>
      </c>
      <c r="E48" s="259">
        <v>1</v>
      </c>
      <c r="F48" s="260"/>
      <c r="G48" s="260"/>
      <c r="H48" s="248">
        <f>(D48*E48)+(F48*G48)</f>
        <v>120000</v>
      </c>
      <c r="I48" s="248">
        <f>D48*E48</f>
        <v>120000</v>
      </c>
      <c r="J48" s="248">
        <f>F48*G48</f>
        <v>0</v>
      </c>
    </row>
    <row r="49" spans="1:10" x14ac:dyDescent="0.25">
      <c r="A49" s="245"/>
      <c r="B49" s="231" t="s">
        <v>162</v>
      </c>
      <c r="C49" s="104" t="s">
        <v>20</v>
      </c>
      <c r="D49" s="259">
        <v>220</v>
      </c>
      <c r="E49" s="259">
        <f>25+30</f>
        <v>55</v>
      </c>
      <c r="F49" s="259">
        <v>220</v>
      </c>
      <c r="G49" s="259">
        <f>25+30</f>
        <v>55</v>
      </c>
      <c r="H49" s="248">
        <f>(D49*E49)+(F49*G49)</f>
        <v>24200</v>
      </c>
      <c r="I49" s="248">
        <f>D49*E49</f>
        <v>12100</v>
      </c>
      <c r="J49" s="248">
        <f>F49*G49</f>
        <v>12100</v>
      </c>
    </row>
    <row r="50" spans="1:10" x14ac:dyDescent="0.25">
      <c r="A50" s="245"/>
      <c r="B50" s="231" t="s">
        <v>162</v>
      </c>
      <c r="C50" s="104" t="s">
        <v>19</v>
      </c>
      <c r="D50" s="259">
        <v>800</v>
      </c>
      <c r="E50" s="259">
        <v>13</v>
      </c>
      <c r="F50" s="259">
        <v>800</v>
      </c>
      <c r="G50" s="259">
        <v>13</v>
      </c>
      <c r="H50" s="248">
        <f>(D50*E50)+(F50*G50)</f>
        <v>20800</v>
      </c>
      <c r="I50" s="248">
        <f>D50*E50</f>
        <v>10400</v>
      </c>
      <c r="J50" s="248">
        <f>F50*G50</f>
        <v>10400</v>
      </c>
    </row>
    <row r="51" spans="1:10" x14ac:dyDescent="0.25">
      <c r="A51" s="245"/>
      <c r="B51" s="232" t="s">
        <v>160</v>
      </c>
      <c r="C51" s="104" t="s">
        <v>23</v>
      </c>
      <c r="D51" s="259">
        <v>60</v>
      </c>
      <c r="E51" s="259">
        <v>30</v>
      </c>
      <c r="F51" s="259">
        <v>60</v>
      </c>
      <c r="G51" s="259">
        <v>30</v>
      </c>
      <c r="H51" s="248">
        <f>(D51*E51)+(F51*G51)</f>
        <v>3600</v>
      </c>
      <c r="I51" s="248">
        <f>D51*E51</f>
        <v>1800</v>
      </c>
      <c r="J51" s="248">
        <f>F51*G51</f>
        <v>1800</v>
      </c>
    </row>
    <row r="52" spans="1:10" x14ac:dyDescent="0.25">
      <c r="A52" s="252" t="str">
        <f>[4]MarcoLóg!B26</f>
        <v xml:space="preserve">Atividade VII </v>
      </c>
      <c r="B52" s="252" t="str">
        <f>[4]MarcoLóg!C26</f>
        <v>Aquisição de veículos</v>
      </c>
      <c r="C52" s="253"/>
      <c r="D52" s="254"/>
      <c r="E52" s="254"/>
      <c r="F52" s="254"/>
      <c r="G52" s="252"/>
      <c r="H52" s="244">
        <f>SUM(H53:H55)</f>
        <v>264690</v>
      </c>
      <c r="I52" s="255">
        <f>SUM(I53:I55)</f>
        <v>264690</v>
      </c>
      <c r="J52" s="255">
        <f>SUM(J53:J55)</f>
        <v>0</v>
      </c>
    </row>
    <row r="53" spans="1:10" x14ac:dyDescent="0.25">
      <c r="A53" s="245"/>
      <c r="B53" s="261" t="s">
        <v>135</v>
      </c>
      <c r="C53" s="102" t="s">
        <v>24</v>
      </c>
      <c r="D53" s="257">
        <v>105990</v>
      </c>
      <c r="E53" s="258">
        <v>1</v>
      </c>
      <c r="F53" s="259"/>
      <c r="G53" s="259"/>
      <c r="H53" s="248">
        <f>(D53*E53)+(F53*G53)</f>
        <v>105990</v>
      </c>
      <c r="I53" s="248">
        <f>D53*E53</f>
        <v>105990</v>
      </c>
      <c r="J53" s="248">
        <f>F53*G53</f>
        <v>0</v>
      </c>
    </row>
    <row r="54" spans="1:10" x14ac:dyDescent="0.25">
      <c r="A54" s="245"/>
      <c r="B54" s="261" t="s">
        <v>136</v>
      </c>
      <c r="C54" s="102" t="s">
        <v>24</v>
      </c>
      <c r="D54" s="257">
        <v>65500</v>
      </c>
      <c r="E54" s="258">
        <v>1</v>
      </c>
      <c r="F54" s="259"/>
      <c r="G54" s="259"/>
      <c r="H54" s="248">
        <f>(D54*E54)+(F54*G54)</f>
        <v>65500</v>
      </c>
      <c r="I54" s="248">
        <f>D54*E54</f>
        <v>65500</v>
      </c>
      <c r="J54" s="248">
        <f>F54*G54</f>
        <v>0</v>
      </c>
    </row>
    <row r="55" spans="1:10" x14ac:dyDescent="0.25">
      <c r="A55" s="245"/>
      <c r="B55" s="261" t="s">
        <v>163</v>
      </c>
      <c r="C55" s="102" t="s">
        <v>24</v>
      </c>
      <c r="D55" s="257">
        <v>46600</v>
      </c>
      <c r="E55" s="258">
        <v>2</v>
      </c>
      <c r="F55" s="259"/>
      <c r="G55" s="259"/>
      <c r="H55" s="248">
        <f>(D55*E55)+(F55*G55)</f>
        <v>93200</v>
      </c>
      <c r="I55" s="248">
        <f>D55*E55</f>
        <v>93200</v>
      </c>
      <c r="J55" s="248">
        <f>F55*G55</f>
        <v>0</v>
      </c>
    </row>
    <row r="56" spans="1:10" x14ac:dyDescent="0.25">
      <c r="A56" s="252" t="str">
        <f>[4]MarcoLóg!B27</f>
        <v>Atividade VIII</v>
      </c>
      <c r="B56" s="262" t="str">
        <f>[4]MarcoLóg!C27</f>
        <v>Manutenção da frota</v>
      </c>
      <c r="C56" s="253"/>
      <c r="D56" s="254"/>
      <c r="E56" s="254"/>
      <c r="F56" s="254"/>
      <c r="G56" s="252"/>
      <c r="H56" s="255">
        <f>SUM(H57:H65)</f>
        <v>103264.92199999999</v>
      </c>
      <c r="I56" s="255">
        <f>SUM(I57:I65)</f>
        <v>53846.32</v>
      </c>
      <c r="J56" s="255">
        <f>SUM(J57:J65)</f>
        <v>49418.601999999999</v>
      </c>
    </row>
    <row r="57" spans="1:10" x14ac:dyDescent="0.25">
      <c r="A57" s="245"/>
      <c r="B57" s="263" t="s">
        <v>164</v>
      </c>
      <c r="C57" s="104" t="s">
        <v>23</v>
      </c>
      <c r="D57" s="259">
        <v>2262</v>
      </c>
      <c r="E57" s="259">
        <v>1</v>
      </c>
      <c r="F57" s="259">
        <v>2439</v>
      </c>
      <c r="G57" s="259">
        <v>1</v>
      </c>
      <c r="H57" s="248">
        <f t="shared" ref="H57:H65" si="3">(D57*E57)+(F57*G57)</f>
        <v>4701</v>
      </c>
      <c r="I57" s="248">
        <f t="shared" ref="I57:I65" si="4">D57*E57</f>
        <v>2262</v>
      </c>
      <c r="J57" s="248">
        <f t="shared" ref="J57:J65" si="5">F57*G57</f>
        <v>2439</v>
      </c>
    </row>
    <row r="58" spans="1:10" x14ac:dyDescent="0.25">
      <c r="A58" s="245"/>
      <c r="B58" s="263" t="s">
        <v>137</v>
      </c>
      <c r="C58" s="102" t="s">
        <v>24</v>
      </c>
      <c r="D58" s="259">
        <v>4000</v>
      </c>
      <c r="E58" s="259">
        <v>1</v>
      </c>
      <c r="F58" s="259">
        <v>4000</v>
      </c>
      <c r="G58" s="259">
        <v>1</v>
      </c>
      <c r="H58" s="248">
        <f t="shared" si="3"/>
        <v>8000</v>
      </c>
      <c r="I58" s="248">
        <f t="shared" si="4"/>
        <v>4000</v>
      </c>
      <c r="J58" s="248">
        <f t="shared" si="5"/>
        <v>4000</v>
      </c>
    </row>
    <row r="59" spans="1:10" x14ac:dyDescent="0.25">
      <c r="A59" s="245"/>
      <c r="B59" s="263" t="s">
        <v>165</v>
      </c>
      <c r="C59" s="102" t="s">
        <v>166</v>
      </c>
      <c r="D59" s="259">
        <v>10587.6</v>
      </c>
      <c r="E59" s="259">
        <v>1</v>
      </c>
      <c r="F59" s="259">
        <v>8999.4600000000009</v>
      </c>
      <c r="G59" s="259">
        <v>1</v>
      </c>
      <c r="H59" s="248">
        <f t="shared" si="3"/>
        <v>19587.060000000001</v>
      </c>
      <c r="I59" s="248">
        <f t="shared" si="4"/>
        <v>10587.6</v>
      </c>
      <c r="J59" s="248">
        <f t="shared" si="5"/>
        <v>8999.4600000000009</v>
      </c>
    </row>
    <row r="60" spans="1:10" x14ac:dyDescent="0.25">
      <c r="A60" s="245"/>
      <c r="B60" s="264" t="s">
        <v>167</v>
      </c>
      <c r="C60" s="102" t="s">
        <v>168</v>
      </c>
      <c r="D60" s="259">
        <v>13234.5</v>
      </c>
      <c r="E60" s="259">
        <v>1</v>
      </c>
      <c r="F60" s="259">
        <v>11249.324999999999</v>
      </c>
      <c r="G60" s="259">
        <v>1</v>
      </c>
      <c r="H60" s="248">
        <f t="shared" si="3"/>
        <v>24483.824999999997</v>
      </c>
      <c r="I60" s="248">
        <f t="shared" si="4"/>
        <v>13234.5</v>
      </c>
      <c r="J60" s="248">
        <f t="shared" si="5"/>
        <v>11249.324999999999</v>
      </c>
    </row>
    <row r="61" spans="1:10" x14ac:dyDescent="0.25">
      <c r="A61" s="245"/>
      <c r="B61" s="263" t="s">
        <v>169</v>
      </c>
      <c r="C61" s="102" t="s">
        <v>168</v>
      </c>
      <c r="D61" s="259">
        <v>13234.5</v>
      </c>
      <c r="E61" s="259">
        <v>1</v>
      </c>
      <c r="F61" s="259">
        <v>11249.324999999999</v>
      </c>
      <c r="G61" s="259">
        <v>1</v>
      </c>
      <c r="H61" s="248">
        <f t="shared" si="3"/>
        <v>24483.824999999997</v>
      </c>
      <c r="I61" s="248">
        <f t="shared" si="4"/>
        <v>13234.5</v>
      </c>
      <c r="J61" s="248">
        <f t="shared" si="5"/>
        <v>11249.324999999999</v>
      </c>
    </row>
    <row r="62" spans="1:10" x14ac:dyDescent="0.25">
      <c r="A62" s="245"/>
      <c r="B62" s="263" t="s">
        <v>170</v>
      </c>
      <c r="C62" s="102" t="s">
        <v>168</v>
      </c>
      <c r="D62" s="259">
        <v>4.1500000000000004</v>
      </c>
      <c r="E62" s="259">
        <f>6*3*93</f>
        <v>1674</v>
      </c>
      <c r="F62" s="259">
        <f>4.15*1.1</f>
        <v>4.5650000000000004</v>
      </c>
      <c r="G62" s="259">
        <f>6*3*93</f>
        <v>1674</v>
      </c>
      <c r="H62" s="248">
        <f>(D62*E62)+(F62*G62)</f>
        <v>14588.91</v>
      </c>
      <c r="I62" s="248">
        <f t="shared" si="4"/>
        <v>6947.1</v>
      </c>
      <c r="J62" s="248">
        <f t="shared" si="5"/>
        <v>7641.81</v>
      </c>
    </row>
    <row r="63" spans="1:10" x14ac:dyDescent="0.25">
      <c r="A63" s="245"/>
      <c r="B63" s="263" t="s">
        <v>171</v>
      </c>
      <c r="C63" s="102" t="s">
        <v>168</v>
      </c>
      <c r="D63" s="259">
        <v>3.89</v>
      </c>
      <c r="E63" s="259">
        <f>1*6*93</f>
        <v>558</v>
      </c>
      <c r="F63" s="259">
        <f>3.89*1.1</f>
        <v>4.2790000000000008</v>
      </c>
      <c r="G63" s="259">
        <f>1*6*93</f>
        <v>558</v>
      </c>
      <c r="H63" s="248">
        <f t="shared" si="3"/>
        <v>4558.3019999999997</v>
      </c>
      <c r="I63" s="248">
        <f t="shared" si="4"/>
        <v>2170.62</v>
      </c>
      <c r="J63" s="248">
        <f t="shared" si="5"/>
        <v>2387.6820000000002</v>
      </c>
    </row>
    <row r="64" spans="1:10" x14ac:dyDescent="0.25">
      <c r="A64" s="245"/>
      <c r="B64" s="263" t="s">
        <v>172</v>
      </c>
      <c r="C64" s="104" t="s">
        <v>23</v>
      </c>
      <c r="D64" s="259">
        <v>20</v>
      </c>
      <c r="E64" s="259">
        <f>4*6</f>
        <v>24</v>
      </c>
      <c r="F64" s="259">
        <f>20*1.1</f>
        <v>22</v>
      </c>
      <c r="G64" s="259">
        <f>4*6</f>
        <v>24</v>
      </c>
      <c r="H64" s="248">
        <f t="shared" si="3"/>
        <v>1008</v>
      </c>
      <c r="I64" s="248">
        <f t="shared" si="4"/>
        <v>480</v>
      </c>
      <c r="J64" s="248">
        <f t="shared" si="5"/>
        <v>528</v>
      </c>
    </row>
    <row r="65" spans="1:10" x14ac:dyDescent="0.25">
      <c r="A65" s="245"/>
      <c r="B65" s="263" t="s">
        <v>150</v>
      </c>
      <c r="C65" s="102" t="s">
        <v>168</v>
      </c>
      <c r="D65" s="259">
        <v>30</v>
      </c>
      <c r="E65" s="259">
        <v>31</v>
      </c>
      <c r="F65" s="259">
        <f>D65*1.1</f>
        <v>33</v>
      </c>
      <c r="G65" s="259">
        <v>28</v>
      </c>
      <c r="H65" s="248">
        <f t="shared" si="3"/>
        <v>1854</v>
      </c>
      <c r="I65" s="248">
        <f t="shared" si="4"/>
        <v>930</v>
      </c>
      <c r="J65" s="248">
        <f t="shared" si="5"/>
        <v>924</v>
      </c>
    </row>
    <row r="66" spans="1:10" x14ac:dyDescent="0.25">
      <c r="A66" s="99"/>
      <c r="B66" s="46" t="str">
        <f>[4]MarcoLóg!C28</f>
        <v>Estratégia de comunicação e mobilização social</v>
      </c>
      <c r="C66" s="99"/>
      <c r="D66" s="47"/>
      <c r="E66" s="48"/>
      <c r="F66" s="48"/>
      <c r="G66" s="48"/>
      <c r="H66" s="241">
        <f>H67+H69+H73+H77+H80</f>
        <v>103006</v>
      </c>
      <c r="I66" s="241">
        <f>I67+I69+I73+I77+I80</f>
        <v>80632</v>
      </c>
      <c r="J66" s="241">
        <f>J67+J69+J73+J77+J80</f>
        <v>22374</v>
      </c>
    </row>
    <row r="67" spans="1:10" ht="22.5" x14ac:dyDescent="0.25">
      <c r="A67" s="252" t="str">
        <f>[4]MarcoLóg!B29</f>
        <v>Atividade IX</v>
      </c>
      <c r="B67" s="252" t="str">
        <f>[4]MarcoLóg!C29</f>
        <v xml:space="preserve">Contratação de consultoria para elaboração do Plano de Comunicação do Projeto </v>
      </c>
      <c r="C67" s="252"/>
      <c r="D67" s="252"/>
      <c r="E67" s="252"/>
      <c r="F67" s="254"/>
      <c r="G67" s="252"/>
      <c r="H67" s="255">
        <f>H68</f>
        <v>21000</v>
      </c>
      <c r="I67" s="255">
        <f>I68</f>
        <v>21000</v>
      </c>
      <c r="J67" s="255">
        <f>J68</f>
        <v>0</v>
      </c>
    </row>
    <row r="68" spans="1:10" s="32" customFormat="1" x14ac:dyDescent="0.25">
      <c r="A68" s="245"/>
      <c r="B68" s="263" t="s">
        <v>22</v>
      </c>
      <c r="C68" s="104" t="s">
        <v>22</v>
      </c>
      <c r="D68" s="259">
        <v>21000</v>
      </c>
      <c r="E68" s="259">
        <v>1</v>
      </c>
      <c r="F68" s="265"/>
      <c r="G68" s="259"/>
      <c r="H68" s="248">
        <f>(D68*E68)+(F68*G68)</f>
        <v>21000</v>
      </c>
      <c r="I68" s="248">
        <f>D68*E68</f>
        <v>21000</v>
      </c>
      <c r="J68" s="248">
        <f>F68*G68</f>
        <v>0</v>
      </c>
    </row>
    <row r="69" spans="1:10" ht="22.5" customHeight="1" x14ac:dyDescent="0.25">
      <c r="A69" s="252" t="str">
        <f>[4]MarcoLóg!B30</f>
        <v>Atividade X</v>
      </c>
      <c r="B69" s="252" t="str">
        <f>[4]MarcoLóg!C30</f>
        <v>Contratação de consultoria para assessoria de imprensa e atualização do Plano</v>
      </c>
      <c r="C69" s="252"/>
      <c r="D69" s="252"/>
      <c r="E69" s="252"/>
      <c r="F69" s="254"/>
      <c r="G69" s="252"/>
      <c r="H69" s="255">
        <f>H70</f>
        <v>22000</v>
      </c>
      <c r="I69" s="255">
        <f>I70</f>
        <v>0</v>
      </c>
      <c r="J69" s="255">
        <f>J70</f>
        <v>22000</v>
      </c>
    </row>
    <row r="70" spans="1:10" s="32" customFormat="1" x14ac:dyDescent="0.25">
      <c r="A70" s="245"/>
      <c r="B70" s="263" t="s">
        <v>22</v>
      </c>
      <c r="C70" s="104" t="s">
        <v>22</v>
      </c>
      <c r="D70" s="247"/>
      <c r="E70" s="256"/>
      <c r="F70" s="259">
        <v>22000</v>
      </c>
      <c r="G70" s="259">
        <v>1</v>
      </c>
      <c r="H70" s="248">
        <f>(D70*E70)+(F70*G70)</f>
        <v>22000</v>
      </c>
      <c r="I70" s="248">
        <f>D70*E70</f>
        <v>0</v>
      </c>
      <c r="J70" s="248">
        <f>F70*G70</f>
        <v>22000</v>
      </c>
    </row>
    <row r="71" spans="1:10" s="111" customFormat="1" ht="22.5" x14ac:dyDescent="0.25">
      <c r="A71" s="252" t="str">
        <f>[4]MarcoLóg!B31</f>
        <v>Atividade XI</v>
      </c>
      <c r="B71" s="252" t="str">
        <f>[4]MarcoLóg!C31</f>
        <v>Contratação de consultoria para criação de arte visual e diagramação</v>
      </c>
      <c r="C71" s="252"/>
      <c r="D71" s="252"/>
      <c r="E71" s="252"/>
      <c r="F71" s="252"/>
      <c r="G71" s="252"/>
      <c r="H71" s="255">
        <f>H72</f>
        <v>0</v>
      </c>
      <c r="I71" s="255">
        <f>I72</f>
        <v>0</v>
      </c>
      <c r="J71" s="255">
        <f>J72</f>
        <v>0</v>
      </c>
    </row>
    <row r="72" spans="1:10" s="111" customFormat="1" x14ac:dyDescent="0.25">
      <c r="A72" s="266"/>
      <c r="B72" s="267" t="s">
        <v>173</v>
      </c>
      <c r="C72" s="104" t="s">
        <v>22</v>
      </c>
      <c r="D72" s="268"/>
      <c r="E72" s="268"/>
      <c r="F72" s="269"/>
      <c r="G72" s="269"/>
      <c r="H72" s="270">
        <f>(D72*E72)+(F72*G72)</f>
        <v>0</v>
      </c>
      <c r="I72" s="270">
        <f>D72*E72</f>
        <v>0</v>
      </c>
      <c r="J72" s="270">
        <f>F72*G72</f>
        <v>0</v>
      </c>
    </row>
    <row r="73" spans="1:10" ht="22.5" x14ac:dyDescent="0.25">
      <c r="A73" s="252" t="str">
        <f>[4]MarcoLóg!B32</f>
        <v>Atividade XII</v>
      </c>
      <c r="B73" s="252" t="str">
        <f>[4]MarcoLóg!C32</f>
        <v>Produção de material de divulgação (cartilhas, folders, banners, boletins)</v>
      </c>
      <c r="C73" s="252"/>
      <c r="D73" s="252"/>
      <c r="E73" s="252"/>
      <c r="F73" s="254"/>
      <c r="G73" s="252"/>
      <c r="H73" s="255">
        <f>SUM(H74:H76)</f>
        <v>20006</v>
      </c>
      <c r="I73" s="244">
        <f>SUM(I74:I76)</f>
        <v>19632</v>
      </c>
      <c r="J73" s="244">
        <f>SUM(J74:J76)</f>
        <v>374.00000000000006</v>
      </c>
    </row>
    <row r="74" spans="1:10" x14ac:dyDescent="0.25">
      <c r="A74" s="245"/>
      <c r="B74" s="246" t="s">
        <v>151</v>
      </c>
      <c r="C74" s="104" t="s">
        <v>23</v>
      </c>
      <c r="D74" s="247">
        <v>3.44</v>
      </c>
      <c r="E74" s="256">
        <v>2000</v>
      </c>
      <c r="F74" s="259"/>
      <c r="G74" s="259"/>
      <c r="H74" s="248">
        <f>(D74*E74)+(F74*G74)</f>
        <v>6880</v>
      </c>
      <c r="I74" s="248">
        <f>D74*E74</f>
        <v>6880</v>
      </c>
      <c r="J74" s="248">
        <f>F74*G74</f>
        <v>0</v>
      </c>
    </row>
    <row r="75" spans="1:10" x14ac:dyDescent="0.25">
      <c r="A75" s="245"/>
      <c r="B75" s="246" t="s">
        <v>152</v>
      </c>
      <c r="C75" s="104" t="s">
        <v>23</v>
      </c>
      <c r="D75" s="247">
        <v>0.17</v>
      </c>
      <c r="E75" s="256">
        <v>2000</v>
      </c>
      <c r="F75" s="259">
        <f>D75*1.1</f>
        <v>0.18700000000000003</v>
      </c>
      <c r="G75" s="259">
        <v>2000</v>
      </c>
      <c r="H75" s="248">
        <f>(D75*E75)+(F75*G75)</f>
        <v>714</v>
      </c>
      <c r="I75" s="248">
        <f>D75*E75</f>
        <v>340</v>
      </c>
      <c r="J75" s="248">
        <f>F75*G75</f>
        <v>374.00000000000006</v>
      </c>
    </row>
    <row r="76" spans="1:10" x14ac:dyDescent="0.25">
      <c r="A76" s="245"/>
      <c r="B76" s="246" t="s">
        <v>174</v>
      </c>
      <c r="C76" s="104" t="s">
        <v>23</v>
      </c>
      <c r="D76" s="247">
        <v>58</v>
      </c>
      <c r="E76" s="256">
        <v>214</v>
      </c>
      <c r="F76" s="259"/>
      <c r="G76" s="259"/>
      <c r="H76" s="248">
        <f>(D76*E76)+(F76*G76)</f>
        <v>12412</v>
      </c>
      <c r="I76" s="248">
        <f>D76*E76</f>
        <v>12412</v>
      </c>
      <c r="J76" s="248">
        <f>F76*G76</f>
        <v>0</v>
      </c>
    </row>
    <row r="77" spans="1:10" x14ac:dyDescent="0.25">
      <c r="A77" s="252" t="str">
        <f>[4]MarcoLóg!B33</f>
        <v>Atividade XIII</v>
      </c>
      <c r="B77" s="252" t="str">
        <f>[4]MarcoLóg!C33</f>
        <v>Produção de material de divulgação (camisetas e bonés)</v>
      </c>
      <c r="C77" s="254"/>
      <c r="D77" s="252"/>
      <c r="E77" s="254"/>
      <c r="F77" s="254"/>
      <c r="G77" s="252"/>
      <c r="H77" s="255">
        <f>SUM(H78:H79)</f>
        <v>40000</v>
      </c>
      <c r="I77" s="244">
        <f>SUM(I78:I79)</f>
        <v>40000</v>
      </c>
      <c r="J77" s="244">
        <f>SUM(J78:J79)</f>
        <v>0</v>
      </c>
    </row>
    <row r="78" spans="1:10" x14ac:dyDescent="0.25">
      <c r="A78" s="245"/>
      <c r="B78" s="246" t="s">
        <v>153</v>
      </c>
      <c r="C78" s="104" t="s">
        <v>23</v>
      </c>
      <c r="D78" s="259">
        <v>40</v>
      </c>
      <c r="E78" s="259">
        <v>580</v>
      </c>
      <c r="F78" s="260"/>
      <c r="G78" s="259"/>
      <c r="H78" s="248">
        <f>(D78*E78)+(F78*G78)</f>
        <v>23200</v>
      </c>
      <c r="I78" s="248">
        <f>D78*E78</f>
        <v>23200</v>
      </c>
      <c r="J78" s="248">
        <f>F78*G78</f>
        <v>0</v>
      </c>
    </row>
    <row r="79" spans="1:10" x14ac:dyDescent="0.25">
      <c r="A79" s="245"/>
      <c r="B79" s="246" t="s">
        <v>175</v>
      </c>
      <c r="C79" s="104" t="s">
        <v>23</v>
      </c>
      <c r="D79" s="259">
        <v>30</v>
      </c>
      <c r="E79" s="259">
        <v>560</v>
      </c>
      <c r="F79" s="260"/>
      <c r="G79" s="259"/>
      <c r="H79" s="248">
        <f>(D79*E79)+(F79*G79)</f>
        <v>16800</v>
      </c>
      <c r="I79" s="248">
        <f>D79*E79</f>
        <v>16800</v>
      </c>
      <c r="J79" s="248">
        <f>F79*G79</f>
        <v>0</v>
      </c>
    </row>
    <row r="80" spans="1:10" ht="22.5" x14ac:dyDescent="0.25">
      <c r="A80" s="252" t="str">
        <f>[4]MarcoLóg!B34</f>
        <v>Atividade XIV</v>
      </c>
      <c r="B80" s="252" t="str">
        <f>[4]MarcoLóg!C34</f>
        <v>Contratação de uma consultria para a elaboração de um video institucional do projeto</v>
      </c>
      <c r="C80" s="254"/>
      <c r="D80" s="252"/>
      <c r="E80" s="254"/>
      <c r="F80" s="254"/>
      <c r="G80" s="252"/>
      <c r="H80" s="255">
        <f>H81</f>
        <v>0</v>
      </c>
      <c r="I80" s="244">
        <f>I81</f>
        <v>0</v>
      </c>
      <c r="J80" s="244">
        <f>J81</f>
        <v>0</v>
      </c>
    </row>
    <row r="81" spans="1:15" x14ac:dyDescent="0.25">
      <c r="A81" s="245"/>
      <c r="B81" s="263" t="s">
        <v>176</v>
      </c>
      <c r="C81" s="104" t="s">
        <v>23</v>
      </c>
      <c r="D81" s="259"/>
      <c r="E81" s="259"/>
      <c r="F81" s="259"/>
      <c r="G81" s="259"/>
      <c r="H81" s="248">
        <f>(D81*E81)+(F81*G81)</f>
        <v>0</v>
      </c>
      <c r="I81" s="249">
        <f>D81*E81</f>
        <v>0</v>
      </c>
      <c r="J81" s="249">
        <f>F81*G81</f>
        <v>0</v>
      </c>
    </row>
    <row r="82" spans="1:15" x14ac:dyDescent="0.25">
      <c r="A82" s="245"/>
      <c r="B82" s="46" t="str">
        <f>[4]MarcoLóg!C35</f>
        <v>Diagnóstico socioambiental e prepação do edital</v>
      </c>
      <c r="C82" s="46"/>
      <c r="D82" s="46"/>
      <c r="E82" s="46"/>
      <c r="F82" s="46"/>
      <c r="G82" s="46"/>
      <c r="H82" s="241">
        <f>H83+H85+H88+H90+H92+H94+H96</f>
        <v>568800</v>
      </c>
      <c r="I82" s="241">
        <f>I83+I85+I88+I90+I92+I94+I96</f>
        <v>568800</v>
      </c>
      <c r="J82" s="271">
        <f>J83+J85+J88+J90+J92+J94+J96</f>
        <v>0</v>
      </c>
    </row>
    <row r="83" spans="1:15" ht="22.5" x14ac:dyDescent="0.25">
      <c r="A83" s="252" t="str">
        <f>[4]MarcoLóg!B36</f>
        <v>Atividade XV</v>
      </c>
      <c r="B83" s="252" t="str">
        <f>[4]MarcoLóg!C36</f>
        <v xml:space="preserve">Diagnóstico socio ambiental e organização de base de dados e estudos da área de atuação </v>
      </c>
      <c r="C83" s="254"/>
      <c r="D83" s="252"/>
      <c r="E83" s="254"/>
      <c r="F83" s="254"/>
      <c r="G83" s="252"/>
      <c r="H83" s="255">
        <f>H84</f>
        <v>0</v>
      </c>
      <c r="I83" s="244">
        <f>I84</f>
        <v>0</v>
      </c>
      <c r="J83" s="244">
        <f>J84</f>
        <v>0</v>
      </c>
    </row>
    <row r="84" spans="1:15" x14ac:dyDescent="0.25">
      <c r="A84" s="245"/>
      <c r="B84" s="263"/>
      <c r="C84" s="246"/>
      <c r="D84" s="259"/>
      <c r="E84" s="259"/>
      <c r="F84" s="259"/>
      <c r="G84" s="259"/>
      <c r="H84" s="248">
        <f>(D84*E84)+(F84*G84)</f>
        <v>0</v>
      </c>
      <c r="I84" s="248">
        <f>D84*E84</f>
        <v>0</v>
      </c>
      <c r="J84" s="248">
        <f>F84*G84</f>
        <v>0</v>
      </c>
    </row>
    <row r="85" spans="1:15" x14ac:dyDescent="0.25">
      <c r="A85" s="252" t="str">
        <f>[4]MarcoLóg!B37</f>
        <v>Atividade XVI</v>
      </c>
      <c r="B85" s="252" t="str">
        <f>[4]MarcoLóg!C37</f>
        <v>Reconhecimento de campo (ambientação)</v>
      </c>
      <c r="C85" s="254"/>
      <c r="D85" s="252"/>
      <c r="E85" s="254"/>
      <c r="F85" s="254"/>
      <c r="G85" s="252"/>
      <c r="H85" s="255">
        <f>H86+H87</f>
        <v>8800</v>
      </c>
      <c r="I85" s="244">
        <f>I86+I87</f>
        <v>8800</v>
      </c>
      <c r="J85" s="244">
        <f>J86+J87</f>
        <v>0</v>
      </c>
    </row>
    <row r="86" spans="1:15" s="32" customFormat="1" x14ac:dyDescent="0.25">
      <c r="A86" s="245"/>
      <c r="B86" s="263" t="s">
        <v>177</v>
      </c>
      <c r="C86" s="104" t="s">
        <v>168</v>
      </c>
      <c r="D86" s="259">
        <v>220</v>
      </c>
      <c r="E86" s="259">
        <f>10</f>
        <v>10</v>
      </c>
      <c r="F86" s="259"/>
      <c r="G86" s="259"/>
      <c r="H86" s="248">
        <f>(D86*E86)+(F86*G86)</f>
        <v>2200</v>
      </c>
      <c r="I86" s="248">
        <f>D86*E86</f>
        <v>2200</v>
      </c>
      <c r="J86" s="248">
        <f>F86*G86</f>
        <v>0</v>
      </c>
    </row>
    <row r="87" spans="1:15" s="32" customFormat="1" x14ac:dyDescent="0.25">
      <c r="A87" s="245"/>
      <c r="B87" s="263" t="s">
        <v>178</v>
      </c>
      <c r="C87" s="104" t="s">
        <v>168</v>
      </c>
      <c r="D87" s="259">
        <v>220</v>
      </c>
      <c r="E87" s="259">
        <v>30</v>
      </c>
      <c r="F87" s="259"/>
      <c r="G87" s="259"/>
      <c r="H87" s="248">
        <f>(D87*E87)+(F87*G87)</f>
        <v>6600</v>
      </c>
      <c r="I87" s="248">
        <f>D87*E87</f>
        <v>6600</v>
      </c>
      <c r="J87" s="248">
        <f>F87*G87</f>
        <v>0</v>
      </c>
    </row>
    <row r="88" spans="1:15" ht="22.5" x14ac:dyDescent="0.25">
      <c r="A88" s="252" t="str">
        <f>[4]MarcoLóg!B38</f>
        <v xml:space="preserve">Atividade XVII </v>
      </c>
      <c r="B88" s="252" t="str">
        <f>[4]MarcoLóg!C38</f>
        <v>Contratação de consultoria para aferição do custo de oportunidade e critérios de valoração para PSA</v>
      </c>
      <c r="C88" s="254"/>
      <c r="D88" s="252"/>
      <c r="E88" s="254"/>
      <c r="F88" s="254"/>
      <c r="G88" s="252"/>
      <c r="H88" s="255">
        <f>H89</f>
        <v>70000</v>
      </c>
      <c r="I88" s="244">
        <f>I89</f>
        <v>70000</v>
      </c>
      <c r="J88" s="244">
        <f>J89</f>
        <v>0</v>
      </c>
      <c r="M88" s="248">
        <f>(I88*J88)+(K88*L88)</f>
        <v>0</v>
      </c>
      <c r="N88" s="248">
        <f>I88*J88</f>
        <v>0</v>
      </c>
      <c r="O88" s="248">
        <f>K88*L88</f>
        <v>0</v>
      </c>
    </row>
    <row r="89" spans="1:15" x14ac:dyDescent="0.25">
      <c r="A89" s="245"/>
      <c r="B89" s="263" t="s">
        <v>22</v>
      </c>
      <c r="C89" s="104" t="s">
        <v>23</v>
      </c>
      <c r="D89" s="259">
        <v>70000</v>
      </c>
      <c r="E89" s="259">
        <v>1</v>
      </c>
      <c r="F89" s="259"/>
      <c r="G89" s="259"/>
      <c r="H89" s="248">
        <f>(D89*E89)+(F89*G89)</f>
        <v>70000</v>
      </c>
      <c r="I89" s="248">
        <f>D89*E89</f>
        <v>70000</v>
      </c>
      <c r="J89" s="248">
        <f>F89*G89</f>
        <v>0</v>
      </c>
    </row>
    <row r="90" spans="1:15" ht="22.5" x14ac:dyDescent="0.25">
      <c r="A90" s="252" t="str">
        <f>[4]MarcoLóg!B39</f>
        <v>Atividade XVIII</v>
      </c>
      <c r="B90" s="272" t="str">
        <f>[4]MarcoLóg!C39</f>
        <v>Contratação de consultoria para desenvolvimento de um Cadastro Estadual de PSA e base de dados espacial</v>
      </c>
      <c r="C90" s="254"/>
      <c r="D90" s="252"/>
      <c r="E90" s="254"/>
      <c r="F90" s="254"/>
      <c r="G90" s="252"/>
      <c r="H90" s="255">
        <f>H91</f>
        <v>140000</v>
      </c>
      <c r="I90" s="244">
        <f>I91</f>
        <v>140000</v>
      </c>
      <c r="J90" s="244">
        <f>J91</f>
        <v>0</v>
      </c>
    </row>
    <row r="91" spans="1:15" x14ac:dyDescent="0.25">
      <c r="A91" s="245"/>
      <c r="B91" s="263" t="s">
        <v>22</v>
      </c>
      <c r="C91" s="104" t="s">
        <v>23</v>
      </c>
      <c r="D91" s="259">
        <v>140000</v>
      </c>
      <c r="E91" s="259">
        <v>1</v>
      </c>
      <c r="F91" s="259"/>
      <c r="G91" s="259"/>
      <c r="H91" s="248">
        <f>(D91*E91)+(F91*G91)</f>
        <v>140000</v>
      </c>
      <c r="I91" s="248">
        <f>D91*E91</f>
        <v>140000</v>
      </c>
      <c r="J91" s="248">
        <f>F91*G91</f>
        <v>0</v>
      </c>
    </row>
    <row r="92" spans="1:15" ht="22.5" x14ac:dyDescent="0.25">
      <c r="A92" s="252" t="str">
        <f>[4]MarcoLóg!B40</f>
        <v>Atividade XIX</v>
      </c>
      <c r="B92" s="272" t="str">
        <f>[4]MarcoLóg!C40</f>
        <v>Contratação de consultoria para geração do mapa de uso e cobertura do solo da RH IX (1:25.000)</v>
      </c>
      <c r="C92" s="254"/>
      <c r="D92" s="252"/>
      <c r="E92" s="254"/>
      <c r="F92" s="254"/>
      <c r="G92" s="252"/>
      <c r="H92" s="255">
        <f>H93</f>
        <v>350000</v>
      </c>
      <c r="I92" s="244">
        <f>I93</f>
        <v>350000</v>
      </c>
      <c r="J92" s="244">
        <f>J93</f>
        <v>0</v>
      </c>
    </row>
    <row r="93" spans="1:15" x14ac:dyDescent="0.25">
      <c r="A93" s="245"/>
      <c r="B93" s="263" t="s">
        <v>22</v>
      </c>
      <c r="C93" s="104" t="s">
        <v>23</v>
      </c>
      <c r="D93" s="259">
        <v>350000</v>
      </c>
      <c r="E93" s="259">
        <v>1</v>
      </c>
      <c r="F93" s="259"/>
      <c r="G93" s="259"/>
      <c r="H93" s="248">
        <f>(D93*E93)+(F93*G93)</f>
        <v>350000</v>
      </c>
      <c r="I93" s="248">
        <f>D93*E93</f>
        <v>350000</v>
      </c>
      <c r="J93" s="248">
        <f>F93*G93</f>
        <v>0</v>
      </c>
    </row>
    <row r="94" spans="1:15" ht="22.5" x14ac:dyDescent="0.25">
      <c r="A94" s="252" t="str">
        <f>[4]MarcoLóg!B41</f>
        <v>Atividade XX</v>
      </c>
      <c r="B94" s="272" t="str">
        <f>[4]MarcoLóg!C41</f>
        <v>Delimitação das áreas prioritárias para o projeto (critério do edital)</v>
      </c>
      <c r="C94" s="254"/>
      <c r="D94" s="252"/>
      <c r="E94" s="254"/>
      <c r="F94" s="254"/>
      <c r="G94" s="252"/>
      <c r="H94" s="255">
        <f>H95</f>
        <v>0</v>
      </c>
      <c r="I94" s="255">
        <f>I95</f>
        <v>0</v>
      </c>
      <c r="J94" s="255">
        <f>J95</f>
        <v>0</v>
      </c>
    </row>
    <row r="95" spans="1:15" x14ac:dyDescent="0.25">
      <c r="A95" s="245"/>
      <c r="B95" s="263"/>
      <c r="C95" s="246"/>
      <c r="D95" s="259"/>
      <c r="E95" s="259"/>
      <c r="F95" s="259"/>
      <c r="G95" s="259"/>
      <c r="H95" s="248">
        <f>(D95*E95)+(F95*G95)</f>
        <v>0</v>
      </c>
      <c r="I95" s="248">
        <f>D95*E95</f>
        <v>0</v>
      </c>
      <c r="J95" s="248">
        <f>F95*G95</f>
        <v>0</v>
      </c>
    </row>
    <row r="96" spans="1:15" ht="22.5" x14ac:dyDescent="0.25">
      <c r="A96" s="252" t="str">
        <f>[4]MarcoLóg!B42</f>
        <v>Atividade XXI</v>
      </c>
      <c r="B96" s="272" t="str">
        <f>[4]MarcoLóg!C42</f>
        <v xml:space="preserve">Elaborar a minuta do edital de PSA e manual de orientação ao produtor </v>
      </c>
      <c r="C96" s="254"/>
      <c r="D96" s="252"/>
      <c r="E96" s="254"/>
      <c r="F96" s="254"/>
      <c r="G96" s="252"/>
      <c r="H96" s="255">
        <f>H97</f>
        <v>0</v>
      </c>
      <c r="I96" s="255">
        <f>I97</f>
        <v>0</v>
      </c>
      <c r="J96" s="255">
        <f>J97</f>
        <v>0</v>
      </c>
    </row>
    <row r="97" spans="1:10" x14ac:dyDescent="0.25">
      <c r="A97" s="273"/>
      <c r="B97" s="274"/>
      <c r="C97" s="246"/>
      <c r="D97" s="259"/>
      <c r="E97" s="259"/>
      <c r="F97" s="259"/>
      <c r="G97" s="259"/>
      <c r="H97" s="248">
        <f>(D97*E97)+(F97*G97)</f>
        <v>0</v>
      </c>
      <c r="I97" s="248">
        <f>D97*E97</f>
        <v>0</v>
      </c>
      <c r="J97" s="248">
        <f>F97*G97</f>
        <v>0</v>
      </c>
    </row>
    <row r="98" spans="1:10" x14ac:dyDescent="0.25">
      <c r="A98" s="96"/>
      <c r="B98" s="46" t="str">
        <f>[4]MarcoLóg!C43</f>
        <v xml:space="preserve">Lançamento do edital e mobilização dos proprietários </v>
      </c>
      <c r="C98" s="46"/>
      <c r="D98" s="46"/>
      <c r="E98" s="46"/>
      <c r="F98" s="46"/>
      <c r="G98" s="46"/>
      <c r="H98" s="241">
        <f>H99+H101+H104+H106+H108+H110+H112+H114+H116+H118</f>
        <v>12468.5</v>
      </c>
      <c r="I98" s="271">
        <f>I99+I101+I104+I106+I108+I110+I112+I114+I116+I118</f>
        <v>0</v>
      </c>
      <c r="J98" s="241">
        <f>J99+J101+J104+J106+J108+J110+J112+J114+J116+J118</f>
        <v>12468.5</v>
      </c>
    </row>
    <row r="99" spans="1:10" ht="22.5" x14ac:dyDescent="0.25">
      <c r="A99" s="252" t="str">
        <f>[4]MarcoLóg!B44</f>
        <v>Atividade XXII</v>
      </c>
      <c r="B99" s="272" t="str">
        <f>[4]MarcoLóg!C44</f>
        <v>Lançamento e publicação do edital e manual de orientação ao produtor</v>
      </c>
      <c r="C99" s="254"/>
      <c r="D99" s="252"/>
      <c r="E99" s="254"/>
      <c r="F99" s="254"/>
      <c r="G99" s="252"/>
      <c r="H99" s="255">
        <f>H100</f>
        <v>0</v>
      </c>
      <c r="I99" s="255">
        <f>I100</f>
        <v>0</v>
      </c>
      <c r="J99" s="255">
        <f>J100</f>
        <v>0</v>
      </c>
    </row>
    <row r="100" spans="1:10" x14ac:dyDescent="0.25">
      <c r="A100" s="245"/>
      <c r="B100" s="263"/>
      <c r="C100" s="246"/>
      <c r="D100" s="259"/>
      <c r="E100" s="259"/>
      <c r="F100" s="259"/>
      <c r="G100" s="259"/>
      <c r="H100" s="248">
        <f>(D100*E100)+(F100*G100)</f>
        <v>0</v>
      </c>
      <c r="I100" s="248">
        <f>D100*E100</f>
        <v>0</v>
      </c>
      <c r="J100" s="248">
        <f>F100*G100</f>
        <v>0</v>
      </c>
    </row>
    <row r="101" spans="1:10" ht="22.5" x14ac:dyDescent="0.25">
      <c r="A101" s="252" t="str">
        <f>[4]MarcoLóg!B45</f>
        <v>Atividade XXIII</v>
      </c>
      <c r="B101" s="272" t="str">
        <f>[4]MarcoLóg!C45</f>
        <v xml:space="preserve">Mobilização - Veiculação de propaganda de divugação do projeto na mídia local (carros de som, rádio e jornais) </v>
      </c>
      <c r="C101" s="254"/>
      <c r="D101" s="252"/>
      <c r="E101" s="254"/>
      <c r="F101" s="254"/>
      <c r="G101" s="252"/>
      <c r="H101" s="255">
        <f>H102+H103</f>
        <v>9388.5</v>
      </c>
      <c r="I101" s="255">
        <f>I102+I103</f>
        <v>0</v>
      </c>
      <c r="J101" s="255">
        <f>J102+J103</f>
        <v>9388.5</v>
      </c>
    </row>
    <row r="102" spans="1:10" x14ac:dyDescent="0.25">
      <c r="A102" s="245"/>
      <c r="B102" s="263" t="s">
        <v>179</v>
      </c>
      <c r="C102" s="104" t="s">
        <v>23</v>
      </c>
      <c r="D102" s="259"/>
      <c r="E102" s="260"/>
      <c r="F102" s="259">
        <f>687*1.1</f>
        <v>755.7</v>
      </c>
      <c r="G102" s="259">
        <v>5</v>
      </c>
      <c r="H102" s="248">
        <f>(D102*E102)+(F102*G102)</f>
        <v>3778.5</v>
      </c>
      <c r="I102" s="248">
        <f>D102*E102</f>
        <v>0</v>
      </c>
      <c r="J102" s="248">
        <f>F102*G102</f>
        <v>3778.5</v>
      </c>
    </row>
    <row r="103" spans="1:10" x14ac:dyDescent="0.25">
      <c r="A103" s="96"/>
      <c r="B103" s="263" t="s">
        <v>180</v>
      </c>
      <c r="C103" s="104" t="s">
        <v>23</v>
      </c>
      <c r="D103" s="110"/>
      <c r="E103" s="260"/>
      <c r="F103" s="258">
        <f>100*1.1</f>
        <v>110.00000000000001</v>
      </c>
      <c r="G103" s="258">
        <v>51</v>
      </c>
      <c r="H103" s="248">
        <f>(D103*E103)+(F103*G103)</f>
        <v>5610.0000000000009</v>
      </c>
      <c r="I103" s="248">
        <f>D103*E103</f>
        <v>0</v>
      </c>
      <c r="J103" s="248">
        <f>F103*G103</f>
        <v>5610.0000000000009</v>
      </c>
    </row>
    <row r="104" spans="1:10" ht="22.5" x14ac:dyDescent="0.25">
      <c r="A104" s="252" t="str">
        <f>[4]MarcoLóg!B46</f>
        <v>Atividade XXIV</v>
      </c>
      <c r="B104" s="272" t="str">
        <f>[4]MarcoLóg!C46</f>
        <v>Mobilização: reunião comunitárias e visitas de campo às propriedades - ver contrapartida SEAPEC</v>
      </c>
      <c r="C104" s="254"/>
      <c r="D104" s="252"/>
      <c r="E104" s="254"/>
      <c r="F104" s="254"/>
      <c r="G104" s="252"/>
      <c r="H104" s="255">
        <f>H105</f>
        <v>0</v>
      </c>
      <c r="I104" s="255">
        <f>I105</f>
        <v>0</v>
      </c>
      <c r="J104" s="255">
        <f>J105</f>
        <v>0</v>
      </c>
    </row>
    <row r="105" spans="1:10" x14ac:dyDescent="0.25">
      <c r="A105" s="96"/>
      <c r="B105" s="96"/>
      <c r="C105" s="275"/>
      <c r="D105" s="110"/>
      <c r="E105" s="276"/>
      <c r="F105" s="276"/>
      <c r="G105" s="276"/>
      <c r="H105" s="248">
        <f>(D105*E105)+(F105*G105)</f>
        <v>0</v>
      </c>
      <c r="I105" s="248">
        <f>D105*E105</f>
        <v>0</v>
      </c>
      <c r="J105" s="248">
        <f>F105*G105</f>
        <v>0</v>
      </c>
    </row>
    <row r="106" spans="1:10" x14ac:dyDescent="0.25">
      <c r="A106" s="252" t="str">
        <f>[4]MarcoLóg!B47</f>
        <v>Atividade XXV</v>
      </c>
      <c r="B106" s="272" t="str">
        <f>[4]MarcoLóg!C47</f>
        <v>Apoio a inscrição ao CAR</v>
      </c>
      <c r="C106" s="254"/>
      <c r="D106" s="252"/>
      <c r="E106" s="254"/>
      <c r="F106" s="254"/>
      <c r="G106" s="252"/>
      <c r="H106" s="255">
        <f>H107</f>
        <v>0</v>
      </c>
      <c r="I106" s="255">
        <f>I107</f>
        <v>0</v>
      </c>
      <c r="J106" s="255">
        <f>J107</f>
        <v>0</v>
      </c>
    </row>
    <row r="107" spans="1:10" x14ac:dyDescent="0.25">
      <c r="A107" s="96"/>
      <c r="B107" s="96"/>
      <c r="C107" s="275"/>
      <c r="D107" s="110"/>
      <c r="E107" s="276"/>
      <c r="F107" s="276"/>
      <c r="G107" s="276"/>
      <c r="H107" s="248">
        <f>(D107*E107)+(F107*G107)</f>
        <v>0</v>
      </c>
      <c r="I107" s="248">
        <f>D107*E107</f>
        <v>0</v>
      </c>
      <c r="J107" s="248">
        <f>F107*G107</f>
        <v>0</v>
      </c>
    </row>
    <row r="108" spans="1:10" x14ac:dyDescent="0.25">
      <c r="A108" s="252" t="str">
        <f>[4]MarcoLóg!B48</f>
        <v>Atividade XXVI</v>
      </c>
      <c r="B108" s="272" t="str">
        <f>[4]MarcoLóg!C48</f>
        <v xml:space="preserve">Apoio a inscrição no edital </v>
      </c>
      <c r="C108" s="254"/>
      <c r="D108" s="252"/>
      <c r="E108" s="254"/>
      <c r="F108" s="254"/>
      <c r="G108" s="252"/>
      <c r="H108" s="255">
        <f>H109</f>
        <v>0</v>
      </c>
      <c r="I108" s="255">
        <f>I109</f>
        <v>0</v>
      </c>
      <c r="J108" s="255">
        <f>J109</f>
        <v>0</v>
      </c>
    </row>
    <row r="109" spans="1:10" x14ac:dyDescent="0.25">
      <c r="A109" s="96"/>
      <c r="B109" s="96"/>
      <c r="C109" s="275"/>
      <c r="D109" s="110"/>
      <c r="E109" s="276"/>
      <c r="F109" s="276"/>
      <c r="G109" s="276"/>
      <c r="H109" s="248">
        <f>(D109*E109)+(F109*G109)</f>
        <v>0</v>
      </c>
      <c r="I109" s="248">
        <f>D109*E109</f>
        <v>0</v>
      </c>
      <c r="J109" s="248">
        <f>F109*G109</f>
        <v>0</v>
      </c>
    </row>
    <row r="110" spans="1:10" x14ac:dyDescent="0.25">
      <c r="A110" s="252" t="str">
        <f>[4]MarcoLóg!B49</f>
        <v xml:space="preserve">Atividade XXVII </v>
      </c>
      <c r="B110" s="272" t="str">
        <f>[4]MarcoLóg!C49</f>
        <v>Habilitação das propostas</v>
      </c>
      <c r="C110" s="254"/>
      <c r="D110" s="252"/>
      <c r="E110" s="254"/>
      <c r="F110" s="254"/>
      <c r="G110" s="252"/>
      <c r="H110" s="255">
        <f>H111</f>
        <v>0</v>
      </c>
      <c r="I110" s="255">
        <f>I111</f>
        <v>0</v>
      </c>
      <c r="J110" s="255">
        <f>J111</f>
        <v>0</v>
      </c>
    </row>
    <row r="111" spans="1:10" x14ac:dyDescent="0.25">
      <c r="A111" s="96"/>
      <c r="B111" s="96"/>
      <c r="C111" s="275"/>
      <c r="D111" s="110"/>
      <c r="E111" s="276"/>
      <c r="F111" s="276"/>
      <c r="G111" s="276"/>
      <c r="H111" s="248">
        <f>(D111*E111)+(F111*G111)</f>
        <v>0</v>
      </c>
      <c r="I111" s="248">
        <f>D111*E111</f>
        <v>0</v>
      </c>
      <c r="J111" s="248">
        <f>F111*G111</f>
        <v>0</v>
      </c>
    </row>
    <row r="112" spans="1:10" ht="22.5" x14ac:dyDescent="0.25">
      <c r="A112" s="252" t="str">
        <f>[4]MarcoLóg!B50</f>
        <v>Atividade XXVIII</v>
      </c>
      <c r="B112" s="272" t="str">
        <f>[4]MarcoLóg!C50</f>
        <v>Elaboração do Plano de Desenvolvimento da Propriedade e aplicação do questionário de sensibilização</v>
      </c>
      <c r="C112" s="254"/>
      <c r="D112" s="252"/>
      <c r="E112" s="254"/>
      <c r="F112" s="254"/>
      <c r="G112" s="252"/>
      <c r="H112" s="255">
        <f>H113</f>
        <v>0</v>
      </c>
      <c r="I112" s="255">
        <f>I113</f>
        <v>0</v>
      </c>
      <c r="J112" s="255">
        <f>J113</f>
        <v>0</v>
      </c>
    </row>
    <row r="113" spans="1:10" x14ac:dyDescent="0.25">
      <c r="A113" s="96"/>
      <c r="B113" s="96"/>
      <c r="C113" s="275"/>
      <c r="D113" s="110"/>
      <c r="E113" s="276"/>
      <c r="F113" s="276"/>
      <c r="G113" s="276"/>
      <c r="H113" s="248">
        <f>(D113*E113)+(F113*G113)</f>
        <v>0</v>
      </c>
      <c r="I113" s="248">
        <f>D113*E113</f>
        <v>0</v>
      </c>
      <c r="J113" s="248">
        <f>F113*G113</f>
        <v>0</v>
      </c>
    </row>
    <row r="114" spans="1:10" ht="22.5" x14ac:dyDescent="0.25">
      <c r="A114" s="252" t="str">
        <f>[4]MarcoLóg!B51</f>
        <v>Atividade XXIX</v>
      </c>
      <c r="B114" s="272" t="str">
        <f>[4]MarcoLóg!C51</f>
        <v>Elaboração do Plano de Intervenções nas propriedades contratadas</v>
      </c>
      <c r="C114" s="254"/>
      <c r="D114" s="252"/>
      <c r="E114" s="254"/>
      <c r="F114" s="254"/>
      <c r="G114" s="252"/>
      <c r="H114" s="255">
        <f>H115</f>
        <v>0</v>
      </c>
      <c r="I114" s="255">
        <f>I115</f>
        <v>0</v>
      </c>
      <c r="J114" s="255">
        <f>J115</f>
        <v>0</v>
      </c>
    </row>
    <row r="115" spans="1:10" x14ac:dyDescent="0.25">
      <c r="A115" s="96"/>
      <c r="B115" s="96"/>
      <c r="C115" s="275"/>
      <c r="D115" s="110"/>
      <c r="E115" s="276"/>
      <c r="F115" s="276"/>
      <c r="G115" s="276"/>
      <c r="H115" s="248">
        <f>(D115*E115)+(F115*G115)</f>
        <v>0</v>
      </c>
      <c r="I115" s="248">
        <f>D115*E115</f>
        <v>0</v>
      </c>
      <c r="J115" s="248">
        <f>F115*G115</f>
        <v>0</v>
      </c>
    </row>
    <row r="116" spans="1:10" x14ac:dyDescent="0.25">
      <c r="A116" s="252" t="str">
        <f>[4]MarcoLóg!B52</f>
        <v>Atividade XXX</v>
      </c>
      <c r="B116" s="272" t="str">
        <f>[4]MarcoLóg!C52</f>
        <v>Hierarquização das propriedades</v>
      </c>
      <c r="C116" s="254"/>
      <c r="D116" s="252"/>
      <c r="E116" s="254"/>
      <c r="F116" s="254"/>
      <c r="G116" s="252"/>
      <c r="H116" s="255">
        <f>H117</f>
        <v>0</v>
      </c>
      <c r="I116" s="255">
        <f>I117</f>
        <v>0</v>
      </c>
      <c r="J116" s="255">
        <f>J117</f>
        <v>0</v>
      </c>
    </row>
    <row r="117" spans="1:10" x14ac:dyDescent="0.25">
      <c r="A117" s="96"/>
      <c r="B117" s="96"/>
      <c r="C117" s="275"/>
      <c r="D117" s="110"/>
      <c r="E117" s="276"/>
      <c r="F117" s="276"/>
      <c r="G117" s="276"/>
      <c r="H117" s="248">
        <f>(D117*E117)+(F117*G117)</f>
        <v>0</v>
      </c>
      <c r="I117" s="248">
        <f>D117*E117</f>
        <v>0</v>
      </c>
      <c r="J117" s="248">
        <f>F117*G117</f>
        <v>0</v>
      </c>
    </row>
    <row r="118" spans="1:10" ht="22.5" x14ac:dyDescent="0.25">
      <c r="A118" s="252" t="str">
        <f>[4]MarcoLóg!B53</f>
        <v>Atividade XXXI</v>
      </c>
      <c r="B118" s="272" t="str">
        <f>[4]MarcoLóg!C53</f>
        <v>Evento de assinatura dos contratos e capacitação dos produtores contratados</v>
      </c>
      <c r="C118" s="254"/>
      <c r="D118" s="252"/>
      <c r="E118" s="254"/>
      <c r="F118" s="254"/>
      <c r="G118" s="252"/>
      <c r="H118" s="255">
        <f>H119</f>
        <v>3080</v>
      </c>
      <c r="I118" s="255">
        <f>I119</f>
        <v>0</v>
      </c>
      <c r="J118" s="255">
        <f>J119</f>
        <v>3080</v>
      </c>
    </row>
    <row r="119" spans="1:10" s="32" customFormat="1" x14ac:dyDescent="0.25">
      <c r="A119" s="250"/>
      <c r="B119" s="246" t="s">
        <v>161</v>
      </c>
      <c r="C119" s="104" t="s">
        <v>23</v>
      </c>
      <c r="D119" s="277"/>
      <c r="E119" s="278"/>
      <c r="F119" s="259">
        <v>140</v>
      </c>
      <c r="G119" s="259">
        <f>20*1.1</f>
        <v>22</v>
      </c>
      <c r="H119" s="248">
        <f>(D119*E119)+(F119*G119)</f>
        <v>3080</v>
      </c>
      <c r="I119" s="248">
        <f>D119*E119</f>
        <v>0</v>
      </c>
      <c r="J119" s="248">
        <f>F119*G119</f>
        <v>3080</v>
      </c>
    </row>
    <row r="120" spans="1:10" x14ac:dyDescent="0.25">
      <c r="A120" s="96"/>
      <c r="B120" s="46" t="str">
        <f>[4]MarcoLóg!C54</f>
        <v>Implantação das intervenções</v>
      </c>
      <c r="C120" s="46"/>
      <c r="D120" s="46"/>
      <c r="E120" s="46"/>
      <c r="F120" s="46"/>
      <c r="G120" s="46"/>
      <c r="H120" s="241">
        <f>H121+H123+H125+H127+H129+H131+H133</f>
        <v>97020</v>
      </c>
      <c r="I120" s="279">
        <f>I121+I123+I125+I127+I129+I131+I133</f>
        <v>0</v>
      </c>
      <c r="J120" s="241">
        <f>J121+J123+J125+J127+J129+J131+J133</f>
        <v>97020</v>
      </c>
    </row>
    <row r="121" spans="1:10" ht="22.5" x14ac:dyDescent="0.25">
      <c r="A121" s="252" t="str">
        <f>[4]MarcoLóg!B55</f>
        <v>Atividade XXXII</v>
      </c>
      <c r="B121" s="272" t="str">
        <f>[4]MarcoLóg!C55</f>
        <v>Confecção e implantação de placa de identificação do Projeto por propriedade</v>
      </c>
      <c r="C121" s="254"/>
      <c r="D121" s="252"/>
      <c r="E121" s="254"/>
      <c r="F121" s="254"/>
      <c r="G121" s="252"/>
      <c r="H121" s="255">
        <f>H122</f>
        <v>97020</v>
      </c>
      <c r="I121" s="255">
        <f>I122</f>
        <v>0</v>
      </c>
      <c r="J121" s="255">
        <f>J122</f>
        <v>97020</v>
      </c>
    </row>
    <row r="122" spans="1:10" s="32" customFormat="1" x14ac:dyDescent="0.25">
      <c r="A122" s="250"/>
      <c r="B122" s="263" t="s">
        <v>181</v>
      </c>
      <c r="C122" s="104" t="s">
        <v>23</v>
      </c>
      <c r="D122" s="277"/>
      <c r="E122" s="278"/>
      <c r="F122" s="256">
        <v>140</v>
      </c>
      <c r="G122" s="256">
        <f>(460+170)*1.1</f>
        <v>693</v>
      </c>
      <c r="H122" s="248">
        <f>(D122*E122)+(F122*G122)</f>
        <v>97020</v>
      </c>
      <c r="I122" s="248">
        <f>D122*E122</f>
        <v>0</v>
      </c>
      <c r="J122" s="248">
        <f>F122*G122</f>
        <v>97020</v>
      </c>
    </row>
    <row r="123" spans="1:10" ht="22.5" x14ac:dyDescent="0.25">
      <c r="A123" s="252" t="str">
        <f>[4]MarcoLóg!B56</f>
        <v>Atividade XXXIII</v>
      </c>
      <c r="B123" s="272" t="str">
        <f>[4]MarcoLóg!C56</f>
        <v>Projeto executivo de restauração florestal, conservação florestal e conversão produtiva (SAF)</v>
      </c>
      <c r="C123" s="254"/>
      <c r="D123" s="252"/>
      <c r="E123" s="254"/>
      <c r="F123" s="254"/>
      <c r="G123" s="252"/>
      <c r="H123" s="255">
        <f>H124</f>
        <v>0</v>
      </c>
      <c r="I123" s="255">
        <f>I124</f>
        <v>0</v>
      </c>
      <c r="J123" s="255">
        <f>J124</f>
        <v>0</v>
      </c>
    </row>
    <row r="124" spans="1:10" x14ac:dyDescent="0.25">
      <c r="A124" s="96"/>
      <c r="B124" s="96"/>
      <c r="C124" s="275"/>
      <c r="D124" s="110"/>
      <c r="E124" s="276"/>
      <c r="F124" s="276"/>
      <c r="G124" s="276"/>
      <c r="H124" s="248">
        <f>(D124*E124)+(F124*G124)</f>
        <v>0</v>
      </c>
      <c r="I124" s="248">
        <f>D124*E124</f>
        <v>0</v>
      </c>
      <c r="J124" s="248">
        <f>F124*G124</f>
        <v>0</v>
      </c>
    </row>
    <row r="125" spans="1:10" ht="22.5" x14ac:dyDescent="0.25">
      <c r="A125" s="252" t="str">
        <f>[4]MarcoLóg!B57</f>
        <v>Atividade XXXIV</v>
      </c>
      <c r="B125" s="272" t="str">
        <f>[4]MarcoLóg!C57</f>
        <v>Aquisição de insumos de restauração florestal, conservação florestal e conversão produtiva</v>
      </c>
      <c r="C125" s="254"/>
      <c r="D125" s="252"/>
      <c r="E125" s="254"/>
      <c r="F125" s="254"/>
      <c r="G125" s="252"/>
      <c r="H125" s="255">
        <f>H126</f>
        <v>0</v>
      </c>
      <c r="I125" s="255">
        <f>I126</f>
        <v>0</v>
      </c>
      <c r="J125" s="255">
        <f>J126</f>
        <v>0</v>
      </c>
    </row>
    <row r="126" spans="1:10" x14ac:dyDescent="0.25">
      <c r="A126" s="96"/>
      <c r="B126" s="96"/>
      <c r="C126" s="275"/>
      <c r="D126" s="110"/>
      <c r="E126" s="276"/>
      <c r="F126" s="276"/>
      <c r="G126" s="276"/>
      <c r="H126" s="248">
        <f>(D126*E126)+(F126*G126)</f>
        <v>0</v>
      </c>
      <c r="I126" s="248">
        <f>D126*E126</f>
        <v>0</v>
      </c>
      <c r="J126" s="248">
        <f>F126*G126</f>
        <v>0</v>
      </c>
    </row>
    <row r="127" spans="1:10" x14ac:dyDescent="0.25">
      <c r="A127" s="252" t="str">
        <f>[4]MarcoLóg!B58</f>
        <v>Atividade XXXV</v>
      </c>
      <c r="B127" s="272" t="str">
        <f>[4]MarcoLóg!C58</f>
        <v>Salto tecnológico</v>
      </c>
      <c r="C127" s="254"/>
      <c r="D127" s="252"/>
      <c r="E127" s="254"/>
      <c r="F127" s="254"/>
      <c r="G127" s="252"/>
      <c r="H127" s="255">
        <f>H128</f>
        <v>0</v>
      </c>
      <c r="I127" s="255">
        <f>I128</f>
        <v>0</v>
      </c>
      <c r="J127" s="255">
        <f>J128</f>
        <v>0</v>
      </c>
    </row>
    <row r="128" spans="1:10" x14ac:dyDescent="0.25">
      <c r="A128" s="96"/>
      <c r="B128" s="96"/>
      <c r="C128" s="275"/>
      <c r="D128" s="110"/>
      <c r="E128" s="276"/>
      <c r="F128" s="276"/>
      <c r="G128" s="276"/>
      <c r="H128" s="248">
        <f>(D128*E128)+(F128*G128)</f>
        <v>0</v>
      </c>
      <c r="I128" s="248">
        <f>D128*E128</f>
        <v>0</v>
      </c>
      <c r="J128" s="248">
        <f>F128*G128</f>
        <v>0</v>
      </c>
    </row>
    <row r="129" spans="1:10" x14ac:dyDescent="0.25">
      <c r="A129" s="252" t="str">
        <f>[4]MarcoLóg!B59</f>
        <v>Atividade XXXVI</v>
      </c>
      <c r="B129" s="272" t="str">
        <f>[4]MarcoLóg!C59</f>
        <v xml:space="preserve">Execução/implantação da Conservação Florestal </v>
      </c>
      <c r="C129" s="252"/>
      <c r="D129" s="254"/>
      <c r="E129" s="254"/>
      <c r="F129" s="252"/>
      <c r="G129" s="254"/>
      <c r="H129" s="255">
        <f>H130</f>
        <v>0</v>
      </c>
      <c r="I129" s="255">
        <f>I130</f>
        <v>0</v>
      </c>
      <c r="J129" s="255">
        <f>J130</f>
        <v>0</v>
      </c>
    </row>
    <row r="130" spans="1:10" x14ac:dyDescent="0.25">
      <c r="A130" s="96"/>
      <c r="B130" s="96"/>
      <c r="C130" s="275"/>
      <c r="D130" s="110"/>
      <c r="E130" s="276"/>
      <c r="F130" s="276"/>
      <c r="G130" s="276"/>
      <c r="H130" s="248">
        <f>(D130*E130)+(F130*G130)</f>
        <v>0</v>
      </c>
      <c r="I130" s="248">
        <f>D130*E130</f>
        <v>0</v>
      </c>
      <c r="J130" s="248">
        <f>F130*G130</f>
        <v>0</v>
      </c>
    </row>
    <row r="131" spans="1:10" x14ac:dyDescent="0.25">
      <c r="A131" s="252" t="str">
        <f>[4]MarcoLóg!B60</f>
        <v>Atividade XXXVII</v>
      </c>
      <c r="B131" s="272" t="str">
        <f>[4]MarcoLóg!C60</f>
        <v>Execução/implantação da Conversão Produtiva</v>
      </c>
      <c r="C131" s="252"/>
      <c r="D131" s="254"/>
      <c r="E131" s="254"/>
      <c r="F131" s="252"/>
      <c r="G131" s="254"/>
      <c r="H131" s="255">
        <f>H132</f>
        <v>0</v>
      </c>
      <c r="I131" s="255">
        <f>I132</f>
        <v>0</v>
      </c>
      <c r="J131" s="255">
        <f>J132</f>
        <v>0</v>
      </c>
    </row>
    <row r="132" spans="1:10" x14ac:dyDescent="0.25">
      <c r="A132" s="96" t="s">
        <v>182</v>
      </c>
      <c r="B132" s="96"/>
      <c r="C132" s="275"/>
      <c r="D132" s="110"/>
      <c r="E132" s="276"/>
      <c r="F132" s="276"/>
      <c r="G132" s="276"/>
      <c r="H132" s="248">
        <f>(D132*E132)+(F132*G132)</f>
        <v>0</v>
      </c>
      <c r="I132" s="248">
        <f>D132*E132</f>
        <v>0</v>
      </c>
      <c r="J132" s="248">
        <f>F132*G132</f>
        <v>0</v>
      </c>
    </row>
    <row r="133" spans="1:10" ht="22.5" x14ac:dyDescent="0.25">
      <c r="A133" s="252" t="str">
        <f>[4]MarcoLóg!B61</f>
        <v>Atividade XXXVIII</v>
      </c>
      <c r="B133" s="272" t="str">
        <f>[4]MarcoLóg!C61</f>
        <v>Elaboração do relatório de certificação de implantação da restauração, conservação florestal e conversão produtiva</v>
      </c>
      <c r="C133" s="252"/>
      <c r="D133" s="254"/>
      <c r="E133" s="254"/>
      <c r="F133" s="252"/>
      <c r="G133" s="254"/>
      <c r="H133" s="255">
        <f>H134</f>
        <v>0</v>
      </c>
      <c r="I133" s="255">
        <f>I134</f>
        <v>0</v>
      </c>
      <c r="J133" s="255">
        <f>J134</f>
        <v>0</v>
      </c>
    </row>
    <row r="134" spans="1:10" x14ac:dyDescent="0.25">
      <c r="A134" s="96"/>
      <c r="B134" s="96"/>
      <c r="C134" s="275"/>
      <c r="D134" s="110"/>
      <c r="E134" s="276"/>
      <c r="F134" s="276"/>
      <c r="G134" s="276"/>
      <c r="H134" s="248">
        <f>(D134*E134)+(F134*G134)</f>
        <v>0</v>
      </c>
      <c r="I134" s="248">
        <f>D134*E134</f>
        <v>0</v>
      </c>
      <c r="J134" s="248">
        <f>F134*G134</f>
        <v>0</v>
      </c>
    </row>
    <row r="135" spans="1:10" ht="25.5" x14ac:dyDescent="0.25">
      <c r="A135" s="96"/>
      <c r="B135" s="46" t="str">
        <f>[4]MarcoLóg!C62</f>
        <v>Monitoramento dos Contratos (Conservação e manutenção das áreas e PSA )</v>
      </c>
      <c r="C135" s="46"/>
      <c r="D135" s="46"/>
      <c r="E135" s="46"/>
      <c r="F135" s="46"/>
      <c r="G135" s="46"/>
      <c r="H135" s="241">
        <f>H136+H138+H140+H142+H144+H146</f>
        <v>0</v>
      </c>
      <c r="I135" s="271">
        <f>I136+I138+I140+I142+I144+I146</f>
        <v>0</v>
      </c>
      <c r="J135" s="271">
        <f>J136+J138+J140+J142+J144+J146</f>
        <v>0</v>
      </c>
    </row>
    <row r="136" spans="1:10" x14ac:dyDescent="0.25">
      <c r="A136" s="252" t="str">
        <f>[4]MarcoLóg!B63</f>
        <v>Atividade XXXIX</v>
      </c>
      <c r="B136" s="272" t="str">
        <f>[4]MarcoLóg!C63</f>
        <v>Manutenção da restauração e conservação florestal</v>
      </c>
      <c r="C136" s="252"/>
      <c r="D136" s="254"/>
      <c r="E136" s="254"/>
      <c r="F136" s="252"/>
      <c r="G136" s="254"/>
      <c r="H136" s="255">
        <f>H137</f>
        <v>0</v>
      </c>
      <c r="I136" s="255">
        <f>I137</f>
        <v>0</v>
      </c>
      <c r="J136" s="255">
        <f>J137</f>
        <v>0</v>
      </c>
    </row>
    <row r="137" spans="1:10" x14ac:dyDescent="0.25">
      <c r="A137" s="96"/>
      <c r="B137" s="96"/>
      <c r="C137" s="275"/>
      <c r="D137" s="110"/>
      <c r="E137" s="276"/>
      <c r="F137" s="276"/>
      <c r="G137" s="276"/>
      <c r="H137" s="248">
        <f>(D137*E137)+(F137*G137)</f>
        <v>0</v>
      </c>
      <c r="I137" s="248">
        <f>D137*E137</f>
        <v>0</v>
      </c>
      <c r="J137" s="248">
        <f>F137*G137</f>
        <v>0</v>
      </c>
    </row>
    <row r="138" spans="1:10" x14ac:dyDescent="0.25">
      <c r="A138" s="252" t="str">
        <f>[4]MarcoLóg!B64</f>
        <v>Atividade XL</v>
      </c>
      <c r="B138" s="272" t="str">
        <f>[4]MarcoLóg!C64</f>
        <v>Manutenção da Conversão produtiva</v>
      </c>
      <c r="C138" s="252"/>
      <c r="D138" s="254"/>
      <c r="E138" s="254"/>
      <c r="F138" s="252"/>
      <c r="G138" s="254"/>
      <c r="H138" s="255">
        <f>H139</f>
        <v>0</v>
      </c>
      <c r="I138" s="255">
        <f>I139</f>
        <v>0</v>
      </c>
      <c r="J138" s="255">
        <f>J139</f>
        <v>0</v>
      </c>
    </row>
    <row r="139" spans="1:10" x14ac:dyDescent="0.25">
      <c r="A139" s="96"/>
      <c r="B139" s="96"/>
      <c r="C139" s="275"/>
      <c r="D139" s="110"/>
      <c r="E139" s="276"/>
      <c r="F139" s="276"/>
      <c r="G139" s="276"/>
      <c r="H139" s="248">
        <f>(D139*E139)+(F139*G139)</f>
        <v>0</v>
      </c>
      <c r="I139" s="280"/>
      <c r="J139" s="280"/>
    </row>
    <row r="140" spans="1:10" ht="33.75" x14ac:dyDescent="0.25">
      <c r="A140" s="281" t="str">
        <f>[4]MarcoLóg!B65</f>
        <v>Atividade XLI</v>
      </c>
      <c r="B140" s="282" t="str">
        <f>[4]MarcoLóg!C65</f>
        <v>Relatório semestral de manutenção da restauração/conservação/conversão e monitoramento para fins de PSA</v>
      </c>
      <c r="C140" s="252"/>
      <c r="D140" s="254"/>
      <c r="E140" s="254"/>
      <c r="F140" s="252"/>
      <c r="G140" s="254"/>
      <c r="H140" s="255">
        <f>H141</f>
        <v>0</v>
      </c>
      <c r="I140" s="255">
        <f>I141</f>
        <v>0</v>
      </c>
      <c r="J140" s="255">
        <f>J141</f>
        <v>0</v>
      </c>
    </row>
    <row r="141" spans="1:10" x14ac:dyDescent="0.25">
      <c r="A141" s="283"/>
      <c r="B141" s="283"/>
      <c r="C141" s="275"/>
      <c r="D141" s="110"/>
      <c r="E141" s="276"/>
      <c r="F141" s="276"/>
      <c r="G141" s="276"/>
      <c r="H141" s="248">
        <f>(D141*E141)+(F141*G141)</f>
        <v>0</v>
      </c>
      <c r="I141" s="280"/>
      <c r="J141" s="280"/>
    </row>
    <row r="142" spans="1:10" x14ac:dyDescent="0.25">
      <c r="A142" s="281" t="str">
        <f>[4]MarcoLóg!B66</f>
        <v>Atividade XLII</v>
      </c>
      <c r="B142" s="282" t="str">
        <f>[4]MarcoLóg!C66</f>
        <v xml:space="preserve">Certidão de implantação da restauração (quitação) </v>
      </c>
      <c r="C142" s="252"/>
      <c r="D142" s="254"/>
      <c r="E142" s="254"/>
      <c r="F142" s="252"/>
      <c r="G142" s="254"/>
      <c r="H142" s="255">
        <f>H143</f>
        <v>0</v>
      </c>
      <c r="I142" s="255">
        <f>I143</f>
        <v>0</v>
      </c>
      <c r="J142" s="255">
        <f>J143</f>
        <v>0</v>
      </c>
    </row>
    <row r="143" spans="1:10" x14ac:dyDescent="0.25">
      <c r="A143" s="283"/>
      <c r="B143" s="283"/>
      <c r="C143" s="275"/>
      <c r="D143" s="110"/>
      <c r="E143" s="276"/>
      <c r="F143" s="276"/>
      <c r="G143" s="276"/>
      <c r="H143" s="248">
        <f>(D143*E143)+(F143*G143)</f>
        <v>0</v>
      </c>
      <c r="I143" s="280"/>
      <c r="J143" s="280"/>
    </row>
    <row r="144" spans="1:10" x14ac:dyDescent="0.25">
      <c r="A144" s="281" t="str">
        <f>[4]MarcoLóg!B67</f>
        <v>Atividade XLIII</v>
      </c>
      <c r="B144" s="282" t="str">
        <f>[4]MarcoLóg!C67</f>
        <v xml:space="preserve">Assessoria técnica ao produtor rural </v>
      </c>
      <c r="C144" s="252"/>
      <c r="D144" s="254"/>
      <c r="E144" s="254"/>
      <c r="F144" s="252"/>
      <c r="G144" s="254"/>
      <c r="H144" s="255">
        <f>H145</f>
        <v>0</v>
      </c>
      <c r="I144" s="255">
        <f>I145</f>
        <v>0</v>
      </c>
      <c r="J144" s="255">
        <f>J145</f>
        <v>0</v>
      </c>
    </row>
    <row r="145" spans="1:10" x14ac:dyDescent="0.25">
      <c r="A145" s="96"/>
      <c r="B145" s="96"/>
      <c r="C145" s="275"/>
      <c r="D145" s="110"/>
      <c r="E145" s="276"/>
      <c r="F145" s="276"/>
      <c r="G145" s="276"/>
      <c r="H145" s="248">
        <f>(D145*E145)+(F145*G145)</f>
        <v>0</v>
      </c>
      <c r="I145" s="280"/>
      <c r="J145" s="280"/>
    </row>
    <row r="146" spans="1:10" x14ac:dyDescent="0.25">
      <c r="A146" s="252" t="str">
        <f>[4]MarcoLóg!B68</f>
        <v>Atividade XLIV</v>
      </c>
      <c r="B146" s="272" t="str">
        <f>[4]MarcoLóg!C68</f>
        <v>Pagamento ao produtor - PSA</v>
      </c>
      <c r="C146" s="252"/>
      <c r="D146" s="254"/>
      <c r="E146" s="254"/>
      <c r="F146" s="252"/>
      <c r="G146" s="254"/>
      <c r="H146" s="255">
        <f>H147</f>
        <v>0</v>
      </c>
      <c r="I146" s="255">
        <f>I147</f>
        <v>0</v>
      </c>
      <c r="J146" s="255">
        <f>J147</f>
        <v>0</v>
      </c>
    </row>
    <row r="147" spans="1:10" s="32" customFormat="1" x14ac:dyDescent="0.25">
      <c r="A147" s="250"/>
      <c r="B147" s="250"/>
      <c r="C147" s="284"/>
      <c r="D147" s="256"/>
      <c r="E147" s="256"/>
      <c r="F147" s="265"/>
      <c r="G147" s="256"/>
      <c r="H147" s="248">
        <f>(D147*E147)+(F147*G147)</f>
        <v>0</v>
      </c>
      <c r="I147" s="285"/>
      <c r="J147" s="285"/>
    </row>
    <row r="148" spans="1:10" x14ac:dyDescent="0.25">
      <c r="A148" s="96"/>
      <c r="B148" s="46" t="str">
        <f>[4]MarcoLóg!C69</f>
        <v>Monitoramento do projeto (carbono e biodiversidade)</v>
      </c>
      <c r="C148" s="46"/>
      <c r="D148" s="46"/>
      <c r="E148" s="46"/>
      <c r="F148" s="46"/>
      <c r="G148" s="46"/>
      <c r="H148" s="241">
        <f>H149+H154+H156+H158+H160+H162</f>
        <v>347860</v>
      </c>
      <c r="I148" s="241">
        <f>I149+I154+I156+I158+I162</f>
        <v>4280</v>
      </c>
      <c r="J148" s="241">
        <f>J149+J154+J156+J158+J160+J162</f>
        <v>343580</v>
      </c>
    </row>
    <row r="149" spans="1:10" ht="22.5" x14ac:dyDescent="0.25">
      <c r="A149" s="252" t="str">
        <f>[4]MarcoLóg!B70</f>
        <v>Atividade XLV</v>
      </c>
      <c r="B149" s="272" t="str">
        <f>[4]MarcoLóg!C70</f>
        <v xml:space="preserve">Evento (workshop/mesa redonda/seminários) com especialistas sobre monitoramento </v>
      </c>
      <c r="C149" s="252"/>
      <c r="D149" s="254"/>
      <c r="E149" s="254"/>
      <c r="F149" s="252"/>
      <c r="G149" s="254"/>
      <c r="H149" s="255">
        <f>SUM(H150:H153)</f>
        <v>8740</v>
      </c>
      <c r="I149" s="255">
        <f>SUM(I150:I153)</f>
        <v>4280</v>
      </c>
      <c r="J149" s="255">
        <f>SUM(J150:J153)</f>
        <v>4460</v>
      </c>
    </row>
    <row r="150" spans="1:10" x14ac:dyDescent="0.25">
      <c r="A150" s="96"/>
      <c r="B150" s="246" t="s">
        <v>183</v>
      </c>
      <c r="C150" s="102" t="s">
        <v>168</v>
      </c>
      <c r="D150" s="258">
        <v>220</v>
      </c>
      <c r="E150" s="258">
        <v>4</v>
      </c>
      <c r="F150" s="258">
        <v>220</v>
      </c>
      <c r="G150" s="258">
        <v>4</v>
      </c>
      <c r="H150" s="248">
        <f>(D150*E150)+(F150*G150)</f>
        <v>1760</v>
      </c>
      <c r="I150" s="248">
        <f>D150*E150</f>
        <v>880</v>
      </c>
      <c r="J150" s="248">
        <f>F150*G150</f>
        <v>880</v>
      </c>
    </row>
    <row r="151" spans="1:10" x14ac:dyDescent="0.25">
      <c r="A151" s="96"/>
      <c r="B151" s="246" t="s">
        <v>161</v>
      </c>
      <c r="C151" s="104" t="s">
        <v>23</v>
      </c>
      <c r="D151" s="258">
        <v>20</v>
      </c>
      <c r="E151" s="258">
        <v>30</v>
      </c>
      <c r="F151" s="258">
        <v>20</v>
      </c>
      <c r="G151" s="258">
        <f>30*1.1</f>
        <v>33</v>
      </c>
      <c r="H151" s="248">
        <f>(D151*E151)+(F151*G151)</f>
        <v>1260</v>
      </c>
      <c r="I151" s="248">
        <f>D151*E151</f>
        <v>600</v>
      </c>
      <c r="J151" s="248">
        <f>F151*G151</f>
        <v>660</v>
      </c>
    </row>
    <row r="152" spans="1:10" x14ac:dyDescent="0.25">
      <c r="A152" s="96"/>
      <c r="B152" s="246" t="s">
        <v>160</v>
      </c>
      <c r="C152" s="104" t="s">
        <v>23</v>
      </c>
      <c r="D152" s="258">
        <v>60</v>
      </c>
      <c r="E152" s="258">
        <v>20</v>
      </c>
      <c r="F152" s="258">
        <v>60</v>
      </c>
      <c r="G152" s="258">
        <f>20*1.1</f>
        <v>22</v>
      </c>
      <c r="H152" s="248">
        <f>(D152*E152)+(F152*G152)</f>
        <v>2520</v>
      </c>
      <c r="I152" s="248">
        <f>D152*E152</f>
        <v>1200</v>
      </c>
      <c r="J152" s="248">
        <f>F152*G152</f>
        <v>1320</v>
      </c>
    </row>
    <row r="153" spans="1:10" x14ac:dyDescent="0.25">
      <c r="A153" s="96"/>
      <c r="B153" s="246" t="s">
        <v>184</v>
      </c>
      <c r="C153" s="104" t="s">
        <v>19</v>
      </c>
      <c r="D153" s="258">
        <v>800</v>
      </c>
      <c r="E153" s="258">
        <v>2</v>
      </c>
      <c r="F153" s="258">
        <v>800</v>
      </c>
      <c r="G153" s="258">
        <v>2</v>
      </c>
      <c r="H153" s="248">
        <f>(D153*E153)+(F153*G153)</f>
        <v>3200</v>
      </c>
      <c r="I153" s="248">
        <f>D153*E153</f>
        <v>1600</v>
      </c>
      <c r="J153" s="248">
        <f>F153*G153</f>
        <v>1600</v>
      </c>
    </row>
    <row r="154" spans="1:10" x14ac:dyDescent="0.25">
      <c r="A154" s="252" t="str">
        <f>[4]MarcoLóg!B71</f>
        <v>Atividade XLVI</v>
      </c>
      <c r="B154" s="272" t="str">
        <f>[4]MarcoLóg!C71</f>
        <v>Definição de indicadores (variáveis para o monoramento)</v>
      </c>
      <c r="C154" s="252"/>
      <c r="D154" s="254"/>
      <c r="E154" s="254"/>
      <c r="F154" s="252"/>
      <c r="G154" s="254"/>
      <c r="H154" s="255">
        <f>H155</f>
        <v>0</v>
      </c>
      <c r="I154" s="255">
        <f>I155</f>
        <v>0</v>
      </c>
      <c r="J154" s="255">
        <f>J155</f>
        <v>0</v>
      </c>
    </row>
    <row r="155" spans="1:10" x14ac:dyDescent="0.25">
      <c r="A155" s="96"/>
      <c r="B155" s="96"/>
      <c r="C155" s="275"/>
      <c r="D155" s="286"/>
      <c r="E155" s="260"/>
      <c r="F155" s="286"/>
      <c r="G155" s="286"/>
      <c r="H155" s="248">
        <f>(D155*E155)+(F155*G155)</f>
        <v>0</v>
      </c>
      <c r="I155" s="248">
        <f>D155*E155</f>
        <v>0</v>
      </c>
      <c r="J155" s="280"/>
    </row>
    <row r="156" spans="1:10" ht="22.5" x14ac:dyDescent="0.25">
      <c r="A156" s="252" t="str">
        <f>[4]MarcoLóg!B72</f>
        <v>Atividade XLVII</v>
      </c>
      <c r="B156" s="272" t="str">
        <f>[4]MarcoLóg!C72</f>
        <v>Desenho experimental para monitoramento do projeto (biodiversidde e carbono)</v>
      </c>
      <c r="C156" s="252"/>
      <c r="D156" s="254"/>
      <c r="E156" s="254"/>
      <c r="F156" s="252"/>
      <c r="G156" s="254"/>
      <c r="H156" s="255">
        <f>H157</f>
        <v>0</v>
      </c>
      <c r="I156" s="255">
        <f>I157</f>
        <v>0</v>
      </c>
      <c r="J156" s="255">
        <f>J157</f>
        <v>0</v>
      </c>
    </row>
    <row r="157" spans="1:10" x14ac:dyDescent="0.25">
      <c r="A157" s="96"/>
      <c r="B157" s="96"/>
      <c r="C157" s="275"/>
      <c r="D157" s="96"/>
      <c r="E157" s="260"/>
      <c r="F157" s="260"/>
      <c r="G157" s="260"/>
      <c r="H157" s="248">
        <f>(D157*E157)+(F157*G157)</f>
        <v>0</v>
      </c>
      <c r="I157" s="248">
        <f>D157*E157</f>
        <v>0</v>
      </c>
      <c r="J157" s="280"/>
    </row>
    <row r="158" spans="1:10" x14ac:dyDescent="0.25">
      <c r="A158" s="252" t="str">
        <f>[4]MarcoLóg!B73</f>
        <v>Atividade XLVIII</v>
      </c>
      <c r="B158" s="272" t="str">
        <f>[4]MarcoLóg!C73</f>
        <v>Definição da linha de base</v>
      </c>
      <c r="C158" s="252"/>
      <c r="D158" s="254"/>
      <c r="E158" s="254"/>
      <c r="F158" s="252"/>
      <c r="G158" s="252"/>
      <c r="H158" s="255">
        <f>H159</f>
        <v>0</v>
      </c>
      <c r="I158" s="255">
        <f>I159</f>
        <v>0</v>
      </c>
      <c r="J158" s="255">
        <f>J159</f>
        <v>0</v>
      </c>
    </row>
    <row r="159" spans="1:10" x14ac:dyDescent="0.25">
      <c r="A159" s="96"/>
      <c r="B159" s="96"/>
      <c r="C159" s="275"/>
      <c r="D159" s="96"/>
      <c r="E159" s="260"/>
      <c r="F159" s="260"/>
      <c r="G159" s="260"/>
      <c r="H159" s="248">
        <f>(D159*E159)+(F159*G159)</f>
        <v>0</v>
      </c>
      <c r="I159" s="248">
        <f>D159*E159</f>
        <v>0</v>
      </c>
      <c r="J159" s="280"/>
    </row>
    <row r="160" spans="1:10" x14ac:dyDescent="0.25">
      <c r="A160" s="252" t="str">
        <f>[4]MarcoLóg!B74</f>
        <v>Atividade XLVIX</v>
      </c>
      <c r="B160" s="272" t="str">
        <f>[4]MarcoLóg!C74</f>
        <v>Análise de solos</v>
      </c>
      <c r="C160" s="275"/>
      <c r="D160" s="96"/>
      <c r="E160" s="260"/>
      <c r="F160" s="260"/>
      <c r="G160" s="260"/>
      <c r="H160" s="255">
        <f>H161</f>
        <v>97020</v>
      </c>
      <c r="I160" s="255">
        <f>I161</f>
        <v>0</v>
      </c>
      <c r="J160" s="255">
        <f>J161</f>
        <v>97020</v>
      </c>
    </row>
    <row r="161" spans="1:10" s="32" customFormat="1" x14ac:dyDescent="0.25">
      <c r="A161" s="250"/>
      <c r="B161" s="263" t="s">
        <v>185</v>
      </c>
      <c r="C161" s="104" t="s">
        <v>168</v>
      </c>
      <c r="D161" s="250"/>
      <c r="E161" s="265"/>
      <c r="F161" s="256">
        <f>60*1.1</f>
        <v>66</v>
      </c>
      <c r="G161" s="256">
        <v>1470</v>
      </c>
      <c r="H161" s="248">
        <f>(D161*E161)+(F161*G161)</f>
        <v>97020</v>
      </c>
      <c r="I161" s="248">
        <f>D161*E161</f>
        <v>0</v>
      </c>
      <c r="J161" s="248">
        <f>F161*G161</f>
        <v>97020</v>
      </c>
    </row>
    <row r="162" spans="1:10" x14ac:dyDescent="0.25">
      <c r="A162" s="252" t="str">
        <f>[4]MarcoLóg!B75</f>
        <v>Atividade L</v>
      </c>
      <c r="B162" s="272" t="str">
        <f>[4]MarcoLóg!C75</f>
        <v>Monitoramento dos indicadores</v>
      </c>
      <c r="C162" s="252"/>
      <c r="D162" s="254"/>
      <c r="E162" s="254"/>
      <c r="F162" s="252"/>
      <c r="G162" s="252"/>
      <c r="H162" s="255">
        <f>SUM(H163:H164)</f>
        <v>242100</v>
      </c>
      <c r="I162" s="255">
        <f>SUM(I163:I164)</f>
        <v>0</v>
      </c>
      <c r="J162" s="255">
        <f>SUM(J163:J164)</f>
        <v>242100</v>
      </c>
    </row>
    <row r="163" spans="1:10" x14ac:dyDescent="0.25">
      <c r="A163" s="273"/>
      <c r="B163" s="263" t="s">
        <v>186</v>
      </c>
      <c r="C163" s="104" t="s">
        <v>23</v>
      </c>
      <c r="D163" s="96"/>
      <c r="E163" s="260"/>
      <c r="F163" s="258">
        <v>200700</v>
      </c>
      <c r="G163" s="258">
        <v>1</v>
      </c>
      <c r="H163" s="248">
        <f>(D163*E163)+(F163*G163)</f>
        <v>200700</v>
      </c>
      <c r="I163" s="248">
        <f>D163*E163</f>
        <v>0</v>
      </c>
      <c r="J163" s="248">
        <f>F163*G163</f>
        <v>200700</v>
      </c>
    </row>
    <row r="164" spans="1:10" x14ac:dyDescent="0.25">
      <c r="A164" s="96"/>
      <c r="B164" s="263" t="s">
        <v>187</v>
      </c>
      <c r="C164" s="104" t="s">
        <v>23</v>
      </c>
      <c r="D164" s="96"/>
      <c r="E164" s="260"/>
      <c r="F164" s="258">
        <v>41400</v>
      </c>
      <c r="G164" s="258">
        <v>1</v>
      </c>
      <c r="H164" s="248">
        <f>(D164*E164)+(F164*G164)</f>
        <v>41400</v>
      </c>
      <c r="I164" s="248">
        <f>D164*E164</f>
        <v>0</v>
      </c>
      <c r="J164" s="248">
        <f>F164*G164</f>
        <v>41400</v>
      </c>
    </row>
    <row r="165" spans="1:10" x14ac:dyDescent="0.25">
      <c r="A165" s="96"/>
      <c r="B165" s="46" t="str">
        <f>[4]MarcoLóg!C76</f>
        <v>Disseminação do projeto e intercâmbio técnico científico</v>
      </c>
      <c r="C165" s="46"/>
      <c r="D165" s="46"/>
      <c r="E165" s="46"/>
      <c r="F165" s="46"/>
      <c r="G165" s="46"/>
      <c r="H165" s="241">
        <f>H166+H168+H177</f>
        <v>14000</v>
      </c>
      <c r="I165" s="241">
        <f>I166+I168+I177</f>
        <v>7000</v>
      </c>
      <c r="J165" s="241">
        <f>J166+J168+J177</f>
        <v>7000</v>
      </c>
    </row>
    <row r="166" spans="1:10" x14ac:dyDescent="0.25">
      <c r="A166" s="252" t="str">
        <f>[4]MarcoLóg!B77</f>
        <v>Atividade LI</v>
      </c>
      <c r="B166" s="272" t="str">
        <f>[4]MarcoLóg!C77</f>
        <v>Seminário sobre PSA no ERJ</v>
      </c>
      <c r="C166" s="252"/>
      <c r="D166" s="254"/>
      <c r="E166" s="254"/>
      <c r="F166" s="252"/>
      <c r="G166" s="252"/>
      <c r="H166" s="255">
        <f>H167</f>
        <v>0</v>
      </c>
      <c r="I166" s="255">
        <f>I167</f>
        <v>0</v>
      </c>
      <c r="J166" s="255">
        <f>J167</f>
        <v>0</v>
      </c>
    </row>
    <row r="167" spans="1:10" x14ac:dyDescent="0.25">
      <c r="A167" s="96"/>
      <c r="B167" s="96"/>
      <c r="C167" s="275"/>
      <c r="D167" s="96"/>
      <c r="E167" s="260"/>
      <c r="F167" s="260"/>
      <c r="G167" s="260"/>
      <c r="H167" s="248">
        <f>(D167*E167)+(F167*G167)</f>
        <v>0</v>
      </c>
      <c r="I167" s="248">
        <f>D167*E167</f>
        <v>0</v>
      </c>
      <c r="J167" s="248">
        <f>F167*G167</f>
        <v>0</v>
      </c>
    </row>
    <row r="168" spans="1:10" ht="22.5" x14ac:dyDescent="0.25">
      <c r="A168" s="252" t="str">
        <f>[4]MarcoLóg!B78</f>
        <v>Atividade LII</v>
      </c>
      <c r="B168" s="272" t="str">
        <f>[4]MarcoLóg!C78</f>
        <v>Participação eventos, seminários, workshops, troca de experiências e reuniões CCI</v>
      </c>
      <c r="C168" s="252"/>
      <c r="D168" s="254"/>
      <c r="E168" s="254"/>
      <c r="F168" s="252"/>
      <c r="G168" s="252"/>
      <c r="H168" s="255">
        <f>SUM(H169:H176)</f>
        <v>14000</v>
      </c>
      <c r="I168" s="255">
        <f>SUM(I169:I176)</f>
        <v>7000</v>
      </c>
      <c r="J168" s="255">
        <f>SUM(J169:J176)</f>
        <v>7000</v>
      </c>
    </row>
    <row r="169" spans="1:10" x14ac:dyDescent="0.25">
      <c r="A169" s="273"/>
      <c r="B169" s="274" t="s">
        <v>147</v>
      </c>
      <c r="C169" s="104" t="s">
        <v>20</v>
      </c>
      <c r="D169" s="96"/>
      <c r="E169" s="260"/>
      <c r="F169" s="260"/>
      <c r="G169" s="260"/>
      <c r="H169" s="248">
        <f>(D169*E169)+(F169*G169)</f>
        <v>0</v>
      </c>
      <c r="I169" s="248">
        <f>D169*E169</f>
        <v>0</v>
      </c>
      <c r="J169" s="248">
        <f>F169*G169</f>
        <v>0</v>
      </c>
    </row>
    <row r="170" spans="1:10" x14ac:dyDescent="0.25">
      <c r="A170" s="273"/>
      <c r="B170" s="274" t="s">
        <v>147</v>
      </c>
      <c r="C170" s="104" t="s">
        <v>19</v>
      </c>
      <c r="D170" s="96"/>
      <c r="E170" s="260"/>
      <c r="F170" s="260"/>
      <c r="G170" s="260"/>
      <c r="H170" s="248">
        <f>(D170*E170)+(F170*G170)</f>
        <v>0</v>
      </c>
      <c r="I170" s="248">
        <f>D170*E170</f>
        <v>0</v>
      </c>
      <c r="J170" s="248">
        <f>F170*G170</f>
        <v>0</v>
      </c>
    </row>
    <row r="171" spans="1:10" x14ac:dyDescent="0.25">
      <c r="A171" s="273"/>
      <c r="B171" s="274" t="s">
        <v>188</v>
      </c>
      <c r="C171" s="104" t="s">
        <v>20</v>
      </c>
      <c r="D171" s="96"/>
      <c r="E171" s="260"/>
      <c r="F171" s="260"/>
      <c r="G171" s="260"/>
      <c r="H171" s="248"/>
      <c r="I171" s="248"/>
      <c r="J171" s="248"/>
    </row>
    <row r="172" spans="1:10" x14ac:dyDescent="0.25">
      <c r="A172" s="273"/>
      <c r="B172" s="274" t="s">
        <v>188</v>
      </c>
      <c r="C172" s="104" t="s">
        <v>19</v>
      </c>
      <c r="D172" s="258"/>
      <c r="E172" s="256"/>
      <c r="F172" s="260"/>
      <c r="G172" s="260"/>
      <c r="H172" s="248"/>
      <c r="I172" s="248"/>
      <c r="J172" s="248"/>
    </row>
    <row r="173" spans="1:10" s="32" customFormat="1" x14ac:dyDescent="0.25">
      <c r="A173" s="273"/>
      <c r="B173" s="274" t="s">
        <v>189</v>
      </c>
      <c r="C173" s="104" t="s">
        <v>20</v>
      </c>
      <c r="D173" s="256">
        <v>220</v>
      </c>
      <c r="E173" s="256">
        <v>8</v>
      </c>
      <c r="F173" s="256">
        <v>220</v>
      </c>
      <c r="G173" s="256">
        <v>8</v>
      </c>
      <c r="H173" s="248">
        <f>(D173*E173)+(F173*G173)</f>
        <v>3520</v>
      </c>
      <c r="I173" s="248">
        <f>D173*E173</f>
        <v>1760</v>
      </c>
      <c r="J173" s="248">
        <f>F173*G173</f>
        <v>1760</v>
      </c>
    </row>
    <row r="174" spans="1:10" s="32" customFormat="1" x14ac:dyDescent="0.25">
      <c r="A174" s="273"/>
      <c r="B174" s="274" t="s">
        <v>189</v>
      </c>
      <c r="C174" s="104" t="s">
        <v>19</v>
      </c>
      <c r="D174" s="256">
        <v>800</v>
      </c>
      <c r="E174" s="256">
        <v>4</v>
      </c>
      <c r="F174" s="256">
        <v>800</v>
      </c>
      <c r="G174" s="256">
        <v>4</v>
      </c>
      <c r="H174" s="248">
        <f>(D174*E174)+(F174*G174)</f>
        <v>6400</v>
      </c>
      <c r="I174" s="248">
        <f>D174*E174</f>
        <v>3200</v>
      </c>
      <c r="J174" s="248">
        <f>F174*G174</f>
        <v>3200</v>
      </c>
    </row>
    <row r="175" spans="1:10" x14ac:dyDescent="0.25">
      <c r="A175" s="96"/>
      <c r="B175" s="274" t="s">
        <v>190</v>
      </c>
      <c r="C175" s="104" t="s">
        <v>19</v>
      </c>
      <c r="D175" s="258">
        <v>800</v>
      </c>
      <c r="E175" s="258">
        <v>2</v>
      </c>
      <c r="F175" s="258">
        <v>800</v>
      </c>
      <c r="G175" s="258">
        <v>2</v>
      </c>
      <c r="H175" s="248">
        <f>(D175*E175)+(F175*G175)</f>
        <v>3200</v>
      </c>
      <c r="I175" s="248">
        <f>D175*E175</f>
        <v>1600</v>
      </c>
      <c r="J175" s="248">
        <f>F175*G175</f>
        <v>1600</v>
      </c>
    </row>
    <row r="176" spans="1:10" x14ac:dyDescent="0.25">
      <c r="A176" s="96"/>
      <c r="B176" s="274" t="s">
        <v>190</v>
      </c>
      <c r="C176" s="104" t="s">
        <v>20</v>
      </c>
      <c r="D176" s="258">
        <v>220</v>
      </c>
      <c r="E176" s="258">
        <v>2</v>
      </c>
      <c r="F176" s="258">
        <v>220</v>
      </c>
      <c r="G176" s="258">
        <v>2</v>
      </c>
      <c r="H176" s="248">
        <f>(D176*E176)+(F176*G176)</f>
        <v>880</v>
      </c>
      <c r="I176" s="248">
        <f>D176*E176</f>
        <v>440</v>
      </c>
      <c r="J176" s="248">
        <f>F176*G176</f>
        <v>440</v>
      </c>
    </row>
    <row r="177" spans="1:10" x14ac:dyDescent="0.25">
      <c r="A177" s="252" t="str">
        <f>[4]MarcoLóg!B79</f>
        <v>Atividade LIII</v>
      </c>
      <c r="B177" s="272" t="str">
        <f>[4]MarcoLóg!C79</f>
        <v>Benchmark Internacional</v>
      </c>
      <c r="C177" s="252"/>
      <c r="D177" s="254"/>
      <c r="E177" s="254"/>
      <c r="F177" s="252"/>
      <c r="G177" s="252"/>
      <c r="H177" s="255">
        <f>H178+H181</f>
        <v>0</v>
      </c>
      <c r="I177" s="255">
        <f>SUM(I178:I181)</f>
        <v>0</v>
      </c>
      <c r="J177" s="255">
        <f>SUM(J178:J181)</f>
        <v>0</v>
      </c>
    </row>
    <row r="178" spans="1:10" x14ac:dyDescent="0.25">
      <c r="A178" s="273"/>
      <c r="B178" s="274" t="s">
        <v>147</v>
      </c>
      <c r="C178" s="104" t="s">
        <v>20</v>
      </c>
      <c r="D178" s="96"/>
      <c r="E178" s="260"/>
      <c r="F178" s="260"/>
      <c r="G178" s="260"/>
      <c r="H178" s="248">
        <f>(D178*E178)+(F178*G178)</f>
        <v>0</v>
      </c>
      <c r="I178" s="248">
        <f>D178*E178</f>
        <v>0</v>
      </c>
      <c r="J178" s="248">
        <f>F178*G178</f>
        <v>0</v>
      </c>
    </row>
    <row r="179" spans="1:10" x14ac:dyDescent="0.25">
      <c r="A179" s="273"/>
      <c r="B179" s="274" t="s">
        <v>147</v>
      </c>
      <c r="C179" s="104" t="s">
        <v>19</v>
      </c>
      <c r="D179" s="96"/>
      <c r="E179" s="260"/>
      <c r="F179" s="260"/>
      <c r="G179" s="260"/>
      <c r="H179" s="248"/>
      <c r="I179" s="248"/>
      <c r="J179" s="248"/>
    </row>
    <row r="180" spans="1:10" x14ac:dyDescent="0.25">
      <c r="A180" s="273"/>
      <c r="B180" s="274" t="s">
        <v>191</v>
      </c>
      <c r="C180" s="104" t="s">
        <v>20</v>
      </c>
      <c r="D180" s="96"/>
      <c r="E180" s="260"/>
      <c r="F180" s="260"/>
      <c r="G180" s="260"/>
      <c r="H180" s="248"/>
      <c r="I180" s="248"/>
      <c r="J180" s="248"/>
    </row>
    <row r="181" spans="1:10" x14ac:dyDescent="0.25">
      <c r="A181" s="273"/>
      <c r="B181" s="274" t="s">
        <v>191</v>
      </c>
      <c r="C181" s="104" t="s">
        <v>19</v>
      </c>
      <c r="D181" s="96"/>
      <c r="E181" s="260"/>
      <c r="F181" s="260"/>
      <c r="G181" s="260"/>
      <c r="H181" s="248">
        <f>(D181*E181)+(F181*G181)</f>
        <v>0</v>
      </c>
      <c r="I181" s="248">
        <f>D181*E181</f>
        <v>0</v>
      </c>
      <c r="J181" s="248">
        <f>F181*G181</f>
        <v>0</v>
      </c>
    </row>
    <row r="182" spans="1:10" ht="25.5" x14ac:dyDescent="0.25">
      <c r="A182" s="96"/>
      <c r="B182" s="46" t="str">
        <f>[4]MarcoLóg!C80</f>
        <v>Avaliação custo-efetividade e sustentatibilidade financeira do projeto</v>
      </c>
      <c r="C182" s="46"/>
      <c r="D182" s="46"/>
      <c r="E182" s="46"/>
      <c r="F182" s="46"/>
      <c r="G182" s="46"/>
      <c r="H182" s="241">
        <f>H183+H185+H187</f>
        <v>650000</v>
      </c>
      <c r="I182" s="241">
        <f>I183+I185+I187</f>
        <v>650000</v>
      </c>
      <c r="J182" s="279">
        <f>J183+J185+J187</f>
        <v>0</v>
      </c>
    </row>
    <row r="183" spans="1:10" ht="22.5" x14ac:dyDescent="0.25">
      <c r="A183" s="252" t="str">
        <f>[4]MarcoLóg!B81</f>
        <v>Atividade LIV</v>
      </c>
      <c r="B183" s="272" t="str">
        <f>[4]MarcoLóg!C81</f>
        <v>Pesquisa semi-estruturada para levantamento da percepção dos impactos do projeto pelos proprietários contratados</v>
      </c>
      <c r="C183" s="252"/>
      <c r="D183" s="254"/>
      <c r="E183" s="254"/>
      <c r="F183" s="252"/>
      <c r="G183" s="252"/>
      <c r="H183" s="255">
        <f>H184</f>
        <v>0</v>
      </c>
      <c r="I183" s="255">
        <f>I184</f>
        <v>0</v>
      </c>
      <c r="J183" s="255">
        <f>J184</f>
        <v>0</v>
      </c>
    </row>
    <row r="184" spans="1:10" x14ac:dyDescent="0.25">
      <c r="A184" s="96"/>
      <c r="B184" s="246" t="s">
        <v>22</v>
      </c>
      <c r="C184" s="104" t="s">
        <v>23</v>
      </c>
      <c r="D184" s="96"/>
      <c r="E184" s="260"/>
      <c r="F184" s="260"/>
      <c r="G184" s="260"/>
      <c r="H184" s="248">
        <f>(D184*E184)+(F184*G184)</f>
        <v>0</v>
      </c>
      <c r="I184" s="248">
        <f>D184*E184</f>
        <v>0</v>
      </c>
      <c r="J184" s="248">
        <f>F184*G184</f>
        <v>0</v>
      </c>
    </row>
    <row r="185" spans="1:10" ht="22.5" x14ac:dyDescent="0.25">
      <c r="A185" s="252" t="str">
        <f>[4]MarcoLóg!B82</f>
        <v>Atividade LV</v>
      </c>
      <c r="B185" s="272" t="str">
        <f>[4]MarcoLóg!C82</f>
        <v>Contratação de consutoria para avaliação do custo-efetividade das modalidades de PSA</v>
      </c>
      <c r="C185" s="252"/>
      <c r="D185" s="254"/>
      <c r="E185" s="254"/>
      <c r="F185" s="252"/>
      <c r="G185" s="252"/>
      <c r="H185" s="255">
        <f>H186</f>
        <v>0</v>
      </c>
      <c r="I185" s="255">
        <f>I186</f>
        <v>0</v>
      </c>
      <c r="J185" s="255">
        <f>J186</f>
        <v>0</v>
      </c>
    </row>
    <row r="186" spans="1:10" x14ac:dyDescent="0.25">
      <c r="A186" s="96"/>
      <c r="B186" s="246" t="s">
        <v>22</v>
      </c>
      <c r="C186" s="104" t="s">
        <v>23</v>
      </c>
      <c r="D186" s="258"/>
      <c r="E186" s="258"/>
      <c r="F186" s="260"/>
      <c r="G186" s="260"/>
      <c r="H186" s="248">
        <f>(D186*E186)+(F186*G186)</f>
        <v>0</v>
      </c>
      <c r="I186" s="248">
        <f>D186*E186</f>
        <v>0</v>
      </c>
      <c r="J186" s="248">
        <f>F186*G186</f>
        <v>0</v>
      </c>
    </row>
    <row r="187" spans="1:10" ht="33.75" x14ac:dyDescent="0.25">
      <c r="A187" s="252" t="str">
        <f>[4]MarcoLóg!B83</f>
        <v>Atividade LVI</v>
      </c>
      <c r="B187" s="272" t="str">
        <f>[4]MarcoLóg!C83</f>
        <v>Contratação de consultoria para a concepção de um modelo organizacional que proporcione sustentabilidade financeira aos sistemas de PSA</v>
      </c>
      <c r="C187" s="252"/>
      <c r="D187" s="252"/>
      <c r="E187" s="252"/>
      <c r="F187" s="252"/>
      <c r="G187" s="252"/>
      <c r="H187" s="255">
        <f>H188</f>
        <v>650000</v>
      </c>
      <c r="I187" s="255">
        <f>I188</f>
        <v>650000</v>
      </c>
      <c r="J187" s="255">
        <f>J188</f>
        <v>0</v>
      </c>
    </row>
    <row r="188" spans="1:10" ht="15" customHeight="1" x14ac:dyDescent="0.25">
      <c r="A188" s="96"/>
      <c r="B188" s="246" t="s">
        <v>22</v>
      </c>
      <c r="C188" s="104" t="s">
        <v>23</v>
      </c>
      <c r="D188" s="258">
        <v>650000</v>
      </c>
      <c r="E188" s="258">
        <v>1</v>
      </c>
      <c r="F188" s="260"/>
      <c r="G188" s="260"/>
      <c r="H188" s="70">
        <f>(D188*E188)+(F188*G188)</f>
        <v>650000</v>
      </c>
      <c r="I188" s="70">
        <f>D188*E188</f>
        <v>650000</v>
      </c>
      <c r="J188" s="70">
        <f>F188*G188</f>
        <v>0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0"/>
  <dimension ref="A2:I38"/>
  <sheetViews>
    <sheetView workbookViewId="0">
      <selection activeCell="B17" sqref="B17"/>
    </sheetView>
  </sheetViews>
  <sheetFormatPr defaultRowHeight="15" x14ac:dyDescent="0.25"/>
  <cols>
    <col min="1" max="1" width="12.28515625" customWidth="1"/>
    <col min="2" max="2" width="65" customWidth="1"/>
    <col min="3" max="3" width="21.42578125" style="105" customWidth="1"/>
    <col min="4" max="4" width="9.85546875" customWidth="1"/>
    <col min="5" max="5" width="9.28515625" style="72" customWidth="1"/>
    <col min="6" max="6" width="28.28515625" style="73" customWidth="1"/>
    <col min="7" max="7" width="16.42578125" bestFit="1" customWidth="1"/>
    <col min="8" max="8" width="13.85546875" customWidth="1"/>
    <col min="9" max="9" width="12.42578125" bestFit="1" customWidth="1"/>
  </cols>
  <sheetData>
    <row r="2" spans="1:9" s="36" customFormat="1" ht="18.75" x14ac:dyDescent="0.3">
      <c r="A2" s="36" t="s">
        <v>59</v>
      </c>
      <c r="C2" s="97"/>
      <c r="E2" s="37"/>
      <c r="F2" s="38">
        <f>F4</f>
        <v>3749.5</v>
      </c>
      <c r="G2" s="39" t="e">
        <f>#REF!+#REF!+#REF!</f>
        <v>#REF!</v>
      </c>
      <c r="H2" s="40" t="e">
        <f>F2-G2</f>
        <v>#REF!</v>
      </c>
    </row>
    <row r="3" spans="1:9" x14ac:dyDescent="0.25">
      <c r="C3" s="98" t="s">
        <v>16</v>
      </c>
      <c r="D3" s="41" t="s">
        <v>56</v>
      </c>
      <c r="E3" s="42" t="s">
        <v>55</v>
      </c>
      <c r="F3" s="43" t="s">
        <v>17</v>
      </c>
      <c r="G3" s="44" t="s">
        <v>7</v>
      </c>
      <c r="H3" s="44" t="s">
        <v>18</v>
      </c>
      <c r="I3" s="45" t="s">
        <v>12</v>
      </c>
    </row>
    <row r="4" spans="1:9" x14ac:dyDescent="0.25">
      <c r="A4" s="46" t="str">
        <f>[2]MLogico!B13</f>
        <v>Resultado 1.1</v>
      </c>
      <c r="B4" s="46" t="s">
        <v>225</v>
      </c>
      <c r="C4" s="99"/>
      <c r="D4" s="47"/>
      <c r="E4" s="48"/>
      <c r="F4" s="49">
        <f>F5+F9+F13</f>
        <v>3749.5</v>
      </c>
      <c r="G4" s="47"/>
      <c r="H4" s="47"/>
      <c r="I4" s="49"/>
    </row>
    <row r="5" spans="1:9" x14ac:dyDescent="0.25">
      <c r="A5" s="50" t="str">
        <f>[2]MLogico!B14</f>
        <v>Atividade i</v>
      </c>
      <c r="B5" s="50"/>
      <c r="C5" s="100"/>
      <c r="D5" s="51"/>
      <c r="E5" s="52"/>
      <c r="F5" s="53">
        <f>F6</f>
        <v>313</v>
      </c>
      <c r="G5" s="51"/>
      <c r="H5" s="51"/>
      <c r="I5" s="54"/>
    </row>
    <row r="6" spans="1:9" x14ac:dyDescent="0.25">
      <c r="A6" s="55"/>
      <c r="B6" s="56"/>
      <c r="C6" s="101"/>
      <c r="D6" s="57"/>
      <c r="E6" s="58"/>
      <c r="F6" s="59">
        <f>SUM(F7:F7)</f>
        <v>313</v>
      </c>
      <c r="G6" s="60"/>
      <c r="H6" s="60"/>
      <c r="I6" s="61"/>
    </row>
    <row r="7" spans="1:9" x14ac:dyDescent="0.25">
      <c r="A7" s="55"/>
      <c r="B7" s="96" t="s">
        <v>218</v>
      </c>
      <c r="C7" s="102" t="s">
        <v>75</v>
      </c>
      <c r="D7" s="60">
        <v>313</v>
      </c>
      <c r="E7" s="64">
        <v>1</v>
      </c>
      <c r="F7" s="65">
        <f>D7*E7</f>
        <v>313</v>
      </c>
      <c r="G7" s="60">
        <f>F7</f>
        <v>313</v>
      </c>
      <c r="H7" s="60"/>
      <c r="I7" s="61"/>
    </row>
    <row r="8" spans="1:9" x14ac:dyDescent="0.25">
      <c r="A8" s="55"/>
      <c r="B8" s="96"/>
      <c r="C8" s="102"/>
      <c r="D8" s="60"/>
      <c r="E8" s="64"/>
      <c r="F8" s="65"/>
      <c r="G8" s="60"/>
      <c r="H8" s="60"/>
      <c r="I8" s="61"/>
    </row>
    <row r="9" spans="1:9" x14ac:dyDescent="0.25">
      <c r="A9" s="366" t="str">
        <f>[2]MLogico!B15</f>
        <v>Atividade ii</v>
      </c>
      <c r="B9" s="96" t="s">
        <v>216</v>
      </c>
      <c r="C9" s="367"/>
      <c r="D9" s="51"/>
      <c r="E9" s="52"/>
      <c r="F9" s="54">
        <f>F10</f>
        <v>624</v>
      </c>
      <c r="G9" s="51"/>
      <c r="H9" s="51"/>
      <c r="I9" s="54"/>
    </row>
    <row r="10" spans="1:9" x14ac:dyDescent="0.25">
      <c r="A10" s="55"/>
      <c r="B10" s="66"/>
      <c r="C10" s="101"/>
      <c r="D10" s="57"/>
      <c r="E10" s="58"/>
      <c r="F10" s="59">
        <f>SUM(F11:F12)</f>
        <v>624</v>
      </c>
      <c r="G10" s="60"/>
      <c r="H10" s="60"/>
      <c r="I10" s="61"/>
    </row>
    <row r="11" spans="1:9" x14ac:dyDescent="0.25">
      <c r="A11" s="55"/>
      <c r="B11" s="63"/>
      <c r="C11" s="102" t="s">
        <v>226</v>
      </c>
      <c r="D11" s="60">
        <v>0.20799999999999999</v>
      </c>
      <c r="E11" s="64">
        <v>3000</v>
      </c>
      <c r="F11" s="65">
        <f t="shared" ref="F11:F16" si="0">D11*E11</f>
        <v>624</v>
      </c>
      <c r="G11" s="60">
        <f>F11</f>
        <v>624</v>
      </c>
      <c r="H11" s="60"/>
      <c r="I11" s="61"/>
    </row>
    <row r="12" spans="1:9" x14ac:dyDescent="0.25">
      <c r="A12" s="55"/>
      <c r="B12" s="63"/>
      <c r="C12" s="102" t="s">
        <v>20</v>
      </c>
      <c r="D12" s="60"/>
      <c r="E12" s="64"/>
      <c r="F12" s="65">
        <f t="shared" si="0"/>
        <v>0</v>
      </c>
      <c r="G12" s="60">
        <f>F12</f>
        <v>0</v>
      </c>
      <c r="H12" s="60"/>
      <c r="I12" s="61"/>
    </row>
    <row r="13" spans="1:9" x14ac:dyDescent="0.25">
      <c r="A13" s="366" t="str">
        <f>[2]MLogico!B16</f>
        <v>Atividade iii</v>
      </c>
      <c r="B13" s="366" t="s">
        <v>219</v>
      </c>
      <c r="C13" s="367"/>
      <c r="D13" s="51"/>
      <c r="E13" s="52"/>
      <c r="F13" s="54">
        <f>F14</f>
        <v>2812.5</v>
      </c>
      <c r="G13" s="51"/>
      <c r="H13" s="51"/>
      <c r="I13" s="54"/>
    </row>
    <row r="14" spans="1:9" x14ac:dyDescent="0.25">
      <c r="A14" s="55"/>
      <c r="B14" s="66"/>
      <c r="C14" s="101"/>
      <c r="D14" s="57"/>
      <c r="E14" s="58"/>
      <c r="F14" s="59">
        <f>SUM(F15:F16)</f>
        <v>2812.5</v>
      </c>
      <c r="G14" s="60"/>
      <c r="H14" s="60"/>
      <c r="I14" s="61"/>
    </row>
    <row r="15" spans="1:9" x14ac:dyDescent="0.25">
      <c r="A15" s="55"/>
      <c r="B15" s="63"/>
      <c r="C15" s="102" t="s">
        <v>226</v>
      </c>
      <c r="D15" s="60">
        <v>937.5</v>
      </c>
      <c r="E15" s="64">
        <v>3</v>
      </c>
      <c r="F15" s="65">
        <f t="shared" si="0"/>
        <v>2812.5</v>
      </c>
      <c r="G15" s="60"/>
      <c r="H15" s="60">
        <v>2812.5</v>
      </c>
      <c r="I15" s="61"/>
    </row>
    <row r="16" spans="1:9" x14ac:dyDescent="0.25">
      <c r="A16" s="55"/>
      <c r="B16" s="63"/>
      <c r="C16" s="102" t="s">
        <v>20</v>
      </c>
      <c r="D16" s="60"/>
      <c r="E16" s="64"/>
      <c r="F16" s="65">
        <f t="shared" si="0"/>
        <v>0</v>
      </c>
      <c r="G16" s="60">
        <f>F16</f>
        <v>0</v>
      </c>
      <c r="H16" s="60"/>
      <c r="I16" s="61"/>
    </row>
    <row r="17" spans="1:9" x14ac:dyDescent="0.25">
      <c r="A17" s="366" t="s">
        <v>36</v>
      </c>
      <c r="B17" s="366" t="s">
        <v>220</v>
      </c>
      <c r="C17" s="367"/>
      <c r="D17" s="51"/>
      <c r="E17" s="52"/>
      <c r="F17" s="54">
        <f>F18</f>
        <v>7500</v>
      </c>
      <c r="G17" s="51"/>
      <c r="H17" s="51"/>
      <c r="I17" s="54"/>
    </row>
    <row r="18" spans="1:9" x14ac:dyDescent="0.25">
      <c r="A18" s="55"/>
      <c r="B18" s="66"/>
      <c r="C18" s="101"/>
      <c r="D18" s="57"/>
      <c r="E18" s="58"/>
      <c r="F18" s="59">
        <f>SUM(F19:F19)</f>
        <v>7500</v>
      </c>
      <c r="G18" s="60"/>
      <c r="H18" s="60"/>
      <c r="I18" s="61"/>
    </row>
    <row r="19" spans="1:9" x14ac:dyDescent="0.25">
      <c r="A19" s="55"/>
      <c r="B19" s="63"/>
      <c r="C19" s="102" t="s">
        <v>226</v>
      </c>
      <c r="D19" s="60">
        <v>2500</v>
      </c>
      <c r="E19" s="64">
        <v>3</v>
      </c>
      <c r="F19" s="65">
        <f t="shared" ref="F19" si="1">D19*E19</f>
        <v>7500</v>
      </c>
      <c r="G19" s="60"/>
      <c r="H19" s="60">
        <v>7500</v>
      </c>
      <c r="I19" s="61"/>
    </row>
    <row r="20" spans="1:9" x14ac:dyDescent="0.25">
      <c r="A20" s="366" t="s">
        <v>37</v>
      </c>
      <c r="B20" s="366" t="s">
        <v>221</v>
      </c>
      <c r="C20" s="367"/>
      <c r="D20" s="51"/>
      <c r="E20" s="52"/>
      <c r="F20" s="54">
        <f>F21</f>
        <v>42187.5</v>
      </c>
      <c r="G20" s="51"/>
      <c r="H20" s="51"/>
      <c r="I20" s="54"/>
    </row>
    <row r="21" spans="1:9" x14ac:dyDescent="0.25">
      <c r="A21" s="55"/>
      <c r="B21" s="66"/>
      <c r="C21" s="101"/>
      <c r="D21" s="57"/>
      <c r="E21" s="58"/>
      <c r="F21" s="59">
        <f>SUM(F22:F23)</f>
        <v>42187.5</v>
      </c>
      <c r="G21" s="60"/>
      <c r="H21" s="60"/>
      <c r="I21" s="61"/>
    </row>
    <row r="22" spans="1:9" x14ac:dyDescent="0.25">
      <c r="A22" s="55"/>
      <c r="B22" s="63"/>
      <c r="C22" s="102" t="s">
        <v>226</v>
      </c>
      <c r="D22" s="60">
        <v>14062.5</v>
      </c>
      <c r="E22" s="64">
        <v>3</v>
      </c>
      <c r="F22" s="65">
        <f t="shared" ref="F22:F23" si="2">D22*E22</f>
        <v>42187.5</v>
      </c>
      <c r="G22" s="60"/>
      <c r="H22" s="60">
        <v>42187.5</v>
      </c>
      <c r="I22" s="61"/>
    </row>
    <row r="23" spans="1:9" x14ac:dyDescent="0.25">
      <c r="A23" s="55"/>
      <c r="B23" s="63"/>
      <c r="C23" s="102" t="s">
        <v>20</v>
      </c>
      <c r="D23" s="60"/>
      <c r="E23" s="64"/>
      <c r="F23" s="65">
        <f t="shared" si="2"/>
        <v>0</v>
      </c>
      <c r="G23" s="60">
        <f>F23</f>
        <v>0</v>
      </c>
      <c r="H23" s="60"/>
      <c r="I23" s="61"/>
    </row>
    <row r="24" spans="1:9" x14ac:dyDescent="0.25">
      <c r="A24" s="366" t="s">
        <v>38</v>
      </c>
      <c r="B24" s="366" t="s">
        <v>222</v>
      </c>
      <c r="C24" s="367"/>
      <c r="D24" s="51"/>
      <c r="E24" s="52"/>
      <c r="F24" s="54">
        <f>F25</f>
        <v>1560</v>
      </c>
      <c r="G24" s="51"/>
      <c r="H24" s="51"/>
      <c r="I24" s="54"/>
    </row>
    <row r="25" spans="1:9" x14ac:dyDescent="0.25">
      <c r="A25" s="55"/>
      <c r="B25" s="66"/>
      <c r="C25" s="101"/>
      <c r="D25" s="57"/>
      <c r="E25" s="58"/>
      <c r="F25" s="59">
        <f>SUM(F26:F26)</f>
        <v>1560</v>
      </c>
      <c r="G25" s="60"/>
      <c r="H25" s="60"/>
      <c r="I25" s="61"/>
    </row>
    <row r="26" spans="1:9" x14ac:dyDescent="0.25">
      <c r="A26" s="55"/>
      <c r="B26" s="63"/>
      <c r="C26" s="102" t="s">
        <v>226</v>
      </c>
      <c r="D26" s="60">
        <v>260</v>
      </c>
      <c r="E26" s="64">
        <v>6</v>
      </c>
      <c r="F26" s="65">
        <f t="shared" ref="F26" si="3">D26*E26</f>
        <v>1560</v>
      </c>
      <c r="G26" s="60"/>
      <c r="H26" s="60">
        <v>1560</v>
      </c>
      <c r="I26" s="61"/>
    </row>
    <row r="27" spans="1:9" x14ac:dyDescent="0.25">
      <c r="A27" s="366" t="s">
        <v>71</v>
      </c>
      <c r="B27" s="366" t="s">
        <v>217</v>
      </c>
      <c r="C27" s="367"/>
      <c r="D27" s="51"/>
      <c r="E27" s="52"/>
      <c r="F27" s="54">
        <f>F28</f>
        <v>17814</v>
      </c>
      <c r="G27" s="51"/>
      <c r="H27" s="51"/>
      <c r="I27" s="54"/>
    </row>
    <row r="28" spans="1:9" x14ac:dyDescent="0.25">
      <c r="A28" s="55"/>
      <c r="B28" s="66"/>
      <c r="C28" s="101"/>
      <c r="D28" s="57"/>
      <c r="E28" s="58"/>
      <c r="F28" s="59">
        <f>SUM(F29:F29)</f>
        <v>17814</v>
      </c>
      <c r="G28" s="60"/>
      <c r="H28" s="60"/>
      <c r="I28" s="61"/>
    </row>
    <row r="29" spans="1:9" x14ac:dyDescent="0.25">
      <c r="A29" s="55"/>
      <c r="B29" s="63"/>
      <c r="C29" s="102" t="s">
        <v>226</v>
      </c>
      <c r="D29" s="60">
        <v>5938</v>
      </c>
      <c r="E29" s="64">
        <v>3</v>
      </c>
      <c r="F29" s="65">
        <f t="shared" ref="F29:F30" si="4">D29*E29</f>
        <v>17814</v>
      </c>
      <c r="G29" s="60"/>
      <c r="H29" s="60">
        <v>17814</v>
      </c>
      <c r="I29" s="61"/>
    </row>
    <row r="30" spans="1:9" x14ac:dyDescent="0.25">
      <c r="A30" s="55"/>
      <c r="B30" s="68"/>
      <c r="C30" s="102" t="s">
        <v>21</v>
      </c>
      <c r="D30" s="60"/>
      <c r="E30" s="64"/>
      <c r="F30" s="65">
        <f t="shared" si="4"/>
        <v>0</v>
      </c>
      <c r="G30" s="60">
        <f t="shared" ref="G30" si="5">F30/4</f>
        <v>0</v>
      </c>
      <c r="H30" s="60"/>
      <c r="I30" s="61"/>
    </row>
    <row r="31" spans="1:9" x14ac:dyDescent="0.25">
      <c r="A31" s="366" t="s">
        <v>72</v>
      </c>
      <c r="B31" s="366" t="s">
        <v>223</v>
      </c>
      <c r="C31" s="367"/>
      <c r="D31" s="51"/>
      <c r="E31" s="52"/>
      <c r="F31" s="54">
        <f>F32</f>
        <v>1125</v>
      </c>
      <c r="G31" s="51"/>
      <c r="H31" s="51"/>
      <c r="I31" s="54"/>
    </row>
    <row r="32" spans="1:9" x14ac:dyDescent="0.25">
      <c r="A32" s="55"/>
      <c r="B32" s="66"/>
      <c r="C32" s="101"/>
      <c r="D32" s="57"/>
      <c r="E32" s="58"/>
      <c r="F32" s="59">
        <f>SUM(F33:F34)</f>
        <v>1125</v>
      </c>
      <c r="G32" s="60"/>
      <c r="H32" s="60"/>
      <c r="I32" s="61"/>
    </row>
    <row r="33" spans="1:9" x14ac:dyDescent="0.25">
      <c r="A33" s="55"/>
      <c r="B33" s="63"/>
      <c r="C33" s="102" t="s">
        <v>226</v>
      </c>
      <c r="D33" s="60">
        <v>375</v>
      </c>
      <c r="E33" s="64">
        <v>3</v>
      </c>
      <c r="F33" s="65">
        <f t="shared" ref="F33:F34" si="6">D33*E33</f>
        <v>1125</v>
      </c>
      <c r="G33" s="60"/>
      <c r="H33" s="60">
        <v>1125</v>
      </c>
      <c r="I33" s="61"/>
    </row>
    <row r="34" spans="1:9" x14ac:dyDescent="0.25">
      <c r="A34" s="55"/>
      <c r="B34" s="63"/>
      <c r="C34" s="102" t="s">
        <v>20</v>
      </c>
      <c r="D34" s="60"/>
      <c r="E34" s="64"/>
      <c r="F34" s="65">
        <f t="shared" si="6"/>
        <v>0</v>
      </c>
      <c r="G34" s="60">
        <f>F34</f>
        <v>0</v>
      </c>
      <c r="H34" s="60"/>
      <c r="I34" s="61"/>
    </row>
    <row r="35" spans="1:9" x14ac:dyDescent="0.25">
      <c r="A35" s="366" t="s">
        <v>155</v>
      </c>
      <c r="B35" s="366" t="s">
        <v>215</v>
      </c>
      <c r="C35" s="367"/>
      <c r="D35" s="51"/>
      <c r="E35" s="52"/>
      <c r="F35" s="54" t="e">
        <f>F36+#REF!+#REF!+#REF!</f>
        <v>#REF!</v>
      </c>
      <c r="G35" s="51"/>
      <c r="H35" s="51"/>
      <c r="I35" s="54"/>
    </row>
    <row r="36" spans="1:9" x14ac:dyDescent="0.25">
      <c r="A36" s="55"/>
      <c r="B36" s="66"/>
      <c r="C36" s="101"/>
      <c r="D36" s="57"/>
      <c r="E36" s="58"/>
      <c r="F36" s="59">
        <f>SUM(F37:F38)</f>
        <v>93.7</v>
      </c>
      <c r="G36" s="60"/>
      <c r="H36" s="60"/>
      <c r="I36" s="61"/>
    </row>
    <row r="37" spans="1:9" x14ac:dyDescent="0.25">
      <c r="A37" s="55"/>
      <c r="B37" s="63"/>
      <c r="C37" s="102" t="s">
        <v>226</v>
      </c>
      <c r="D37" s="60">
        <v>0.93700000000000006</v>
      </c>
      <c r="E37" s="64">
        <v>100</v>
      </c>
      <c r="F37" s="65">
        <f t="shared" ref="F37:F38" si="7">D37*E37</f>
        <v>93.7</v>
      </c>
      <c r="G37" s="60">
        <f>F37</f>
        <v>93.7</v>
      </c>
      <c r="H37" s="60"/>
      <c r="I37" s="61"/>
    </row>
    <row r="38" spans="1:9" x14ac:dyDescent="0.25">
      <c r="A38" s="55"/>
      <c r="B38" s="63"/>
      <c r="C38" s="102" t="s">
        <v>20</v>
      </c>
      <c r="D38" s="60"/>
      <c r="E38" s="64"/>
      <c r="F38" s="65">
        <f t="shared" si="7"/>
        <v>0</v>
      </c>
      <c r="G38" s="60">
        <f>F38</f>
        <v>0</v>
      </c>
      <c r="H38" s="60"/>
      <c r="I38" s="6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1"/>
  <dimension ref="A1:N65"/>
  <sheetViews>
    <sheetView topLeftCell="A22" workbookViewId="0">
      <selection activeCell="C69" sqref="C69"/>
    </sheetView>
  </sheetViews>
  <sheetFormatPr defaultRowHeight="15" x14ac:dyDescent="0.25"/>
  <cols>
    <col min="1" max="1" width="13.85546875" customWidth="1"/>
    <col min="2" max="2" width="20.7109375" customWidth="1"/>
    <col min="3" max="3" width="65.42578125" customWidth="1"/>
    <col min="4" max="4" width="1.5703125" customWidth="1"/>
    <col min="5" max="5" width="10.7109375" customWidth="1"/>
    <col min="6" max="6" width="14" customWidth="1"/>
    <col min="7" max="7" width="10.7109375" customWidth="1"/>
    <col min="8" max="8" width="18" bestFit="1" customWidth="1"/>
    <col min="9" max="9" width="16.7109375" customWidth="1"/>
    <col min="10" max="10" width="16.5703125" customWidth="1"/>
    <col min="12" max="12" width="15.42578125" bestFit="1" customWidth="1"/>
  </cols>
  <sheetData>
    <row r="1" spans="1:14" x14ac:dyDescent="0.25">
      <c r="A1" s="489" t="s">
        <v>25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4" s="3" customFormat="1" x14ac:dyDescent="0.25">
      <c r="A2" s="1"/>
      <c r="B2" s="2" t="s">
        <v>0</v>
      </c>
      <c r="C2" s="498" t="s">
        <v>57</v>
      </c>
      <c r="D2" s="498"/>
      <c r="E2" s="498"/>
      <c r="F2" s="498"/>
      <c r="G2" s="498"/>
      <c r="H2" s="498"/>
      <c r="I2" s="498"/>
      <c r="J2" s="498"/>
      <c r="K2" s="498"/>
      <c r="L2" s="498"/>
    </row>
    <row r="3" spans="1:14" s="3" customFormat="1" x14ac:dyDescent="0.25">
      <c r="A3" s="1"/>
      <c r="C3" s="4" t="s">
        <v>1</v>
      </c>
      <c r="E3" s="106"/>
      <c r="F3" s="5" t="s">
        <v>58</v>
      </c>
      <c r="G3" s="107"/>
      <c r="H3" s="107"/>
      <c r="I3" s="107"/>
      <c r="J3" s="107"/>
      <c r="L3" s="6"/>
    </row>
    <row r="4" spans="1:14" x14ac:dyDescent="0.25">
      <c r="C4" s="499" t="s">
        <v>60</v>
      </c>
      <c r="D4" s="500"/>
      <c r="E4" s="4" t="s">
        <v>2</v>
      </c>
      <c r="F4" s="7" t="s">
        <v>4</v>
      </c>
      <c r="G4" s="4" t="s">
        <v>3</v>
      </c>
      <c r="H4" s="7" t="s">
        <v>5</v>
      </c>
    </row>
    <row r="5" spans="1:14" x14ac:dyDescent="0.25">
      <c r="C5" s="106"/>
      <c r="D5" s="108"/>
      <c r="E5" s="4"/>
      <c r="F5" s="7"/>
      <c r="G5" s="4"/>
      <c r="H5" s="7"/>
    </row>
    <row r="6" spans="1:14" ht="24" customHeight="1" x14ac:dyDescent="0.25">
      <c r="A6" s="74"/>
      <c r="B6" s="490" t="s">
        <v>6</v>
      </c>
      <c r="C6" s="491"/>
      <c r="D6" s="74"/>
      <c r="E6" s="74" t="s">
        <v>26</v>
      </c>
      <c r="F6" s="74" t="s">
        <v>27</v>
      </c>
      <c r="G6" s="74" t="s">
        <v>28</v>
      </c>
      <c r="H6" s="74" t="s">
        <v>29</v>
      </c>
      <c r="I6" s="74" t="s">
        <v>53</v>
      </c>
      <c r="J6" s="74" t="s">
        <v>54</v>
      </c>
      <c r="L6" s="75" t="s">
        <v>15</v>
      </c>
    </row>
    <row r="7" spans="1:14" ht="15.75" thickBot="1" x14ac:dyDescent="0.3">
      <c r="A7" s="8" t="s">
        <v>30</v>
      </c>
      <c r="B7" s="9"/>
      <c r="C7" s="10"/>
      <c r="D7" s="10"/>
      <c r="E7" s="10"/>
      <c r="F7" s="10"/>
      <c r="G7" s="10"/>
      <c r="H7" s="10"/>
      <c r="I7" s="10"/>
      <c r="J7" s="10"/>
    </row>
    <row r="8" spans="1:14" x14ac:dyDescent="0.25">
      <c r="A8" s="11"/>
      <c r="B8" s="76" t="s">
        <v>8</v>
      </c>
      <c r="C8" s="12"/>
      <c r="D8" s="13"/>
      <c r="E8" s="13"/>
      <c r="F8" s="13"/>
      <c r="G8" s="13"/>
      <c r="H8" s="14">
        <f>H13</f>
        <v>0</v>
      </c>
      <c r="I8" s="14">
        <f t="shared" ref="I8:J8" si="0">I13</f>
        <v>0</v>
      </c>
      <c r="J8" s="14">
        <f t="shared" si="0"/>
        <v>0</v>
      </c>
    </row>
    <row r="9" spans="1:14" x14ac:dyDescent="0.25">
      <c r="A9" s="11"/>
      <c r="B9" s="77" t="s">
        <v>9</v>
      </c>
      <c r="C9" s="15"/>
      <c r="D9" s="16"/>
      <c r="E9" s="16"/>
      <c r="F9" s="16"/>
      <c r="G9" s="16"/>
      <c r="H9" s="14">
        <f>H37</f>
        <v>0</v>
      </c>
      <c r="I9" s="14">
        <f t="shared" ref="I9:J9" si="1">I37</f>
        <v>0</v>
      </c>
      <c r="J9" s="14">
        <f t="shared" si="1"/>
        <v>0</v>
      </c>
    </row>
    <row r="10" spans="1:14" x14ac:dyDescent="0.25">
      <c r="A10" s="11"/>
      <c r="B10" s="77" t="s">
        <v>10</v>
      </c>
      <c r="C10" s="15"/>
      <c r="D10" s="16"/>
      <c r="E10" s="16"/>
      <c r="F10" s="16"/>
      <c r="G10" s="16"/>
      <c r="H10" s="14">
        <f>H51</f>
        <v>0</v>
      </c>
      <c r="I10" s="14">
        <f t="shared" ref="I10:J10" si="2">I51</f>
        <v>0</v>
      </c>
      <c r="J10" s="14">
        <f t="shared" si="2"/>
        <v>0</v>
      </c>
      <c r="L10" t="s">
        <v>15</v>
      </c>
    </row>
    <row r="11" spans="1:14" ht="15.75" thickBot="1" x14ac:dyDescent="0.3">
      <c r="A11" s="11"/>
      <c r="B11" s="78"/>
      <c r="C11" s="17" t="s">
        <v>11</v>
      </c>
      <c r="D11" s="18"/>
      <c r="E11" s="18"/>
      <c r="F11" s="18"/>
      <c r="G11" s="18"/>
      <c r="H11" s="14">
        <f>H64</f>
        <v>0</v>
      </c>
      <c r="I11" s="14">
        <f t="shared" ref="I11:J11" si="3">I64</f>
        <v>0</v>
      </c>
      <c r="J11" s="14">
        <f t="shared" si="3"/>
        <v>0</v>
      </c>
      <c r="L11" t="s">
        <v>15</v>
      </c>
    </row>
    <row r="12" spans="1:14" ht="15.75" thickBot="1" x14ac:dyDescent="0.3">
      <c r="A12" s="19"/>
      <c r="B12" s="20"/>
      <c r="C12" s="21"/>
      <c r="D12" s="22"/>
      <c r="E12" s="22"/>
      <c r="F12" s="23"/>
      <c r="G12" s="24" t="s">
        <v>12</v>
      </c>
      <c r="H12" s="25">
        <f t="shared" ref="H12:J12" si="4">SUM(H8:H11)</f>
        <v>0</v>
      </c>
      <c r="I12" s="25">
        <f t="shared" si="4"/>
        <v>0</v>
      </c>
      <c r="J12" s="25">
        <f t="shared" si="4"/>
        <v>0</v>
      </c>
    </row>
    <row r="13" spans="1:14" x14ac:dyDescent="0.25">
      <c r="A13" s="26" t="s">
        <v>31</v>
      </c>
      <c r="B13" s="492"/>
      <c r="C13" s="493"/>
      <c r="D13" s="493"/>
      <c r="E13" s="493"/>
      <c r="F13" s="493"/>
      <c r="G13" s="494"/>
      <c r="H13" s="27">
        <f t="shared" ref="H13:J13" si="5">H14+H18+H25+H31</f>
        <v>0</v>
      </c>
      <c r="I13" s="27">
        <f t="shared" si="5"/>
        <v>0</v>
      </c>
      <c r="J13" s="27">
        <f t="shared" si="5"/>
        <v>0</v>
      </c>
      <c r="L13" t="s">
        <v>15</v>
      </c>
    </row>
    <row r="14" spans="1:14" x14ac:dyDescent="0.25">
      <c r="A14" s="28"/>
      <c r="B14" s="79" t="s">
        <v>13</v>
      </c>
      <c r="C14" s="46"/>
      <c r="D14" s="80"/>
      <c r="E14" s="81"/>
      <c r="F14" s="80"/>
      <c r="G14" s="80"/>
      <c r="H14" s="29">
        <f t="shared" ref="H14:J14" si="6">SUM(H15:H17)</f>
        <v>0</v>
      </c>
      <c r="I14" s="29">
        <f t="shared" si="6"/>
        <v>0</v>
      </c>
      <c r="J14" s="29">
        <f t="shared" si="6"/>
        <v>0</v>
      </c>
      <c r="L14" s="82" t="s">
        <v>15</v>
      </c>
      <c r="M14" t="s">
        <v>15</v>
      </c>
      <c r="N14" t="s">
        <v>15</v>
      </c>
    </row>
    <row r="15" spans="1:14" ht="21" customHeight="1" x14ac:dyDescent="0.25">
      <c r="A15" s="28"/>
      <c r="B15" s="55" t="s">
        <v>32</v>
      </c>
      <c r="C15" s="83"/>
      <c r="D15" s="55"/>
      <c r="E15" s="84"/>
      <c r="F15" s="55" t="s">
        <v>35</v>
      </c>
      <c r="G15" s="85">
        <v>0</v>
      </c>
      <c r="H15" s="14">
        <f>I15+J15</f>
        <v>0</v>
      </c>
      <c r="I15" s="14">
        <f>G15*E15</f>
        <v>0</v>
      </c>
      <c r="J15" s="14">
        <v>0</v>
      </c>
      <c r="L15" s="82" t="s">
        <v>15</v>
      </c>
      <c r="M15" t="s">
        <v>15</v>
      </c>
    </row>
    <row r="16" spans="1:14" ht="14.25" customHeight="1" x14ac:dyDescent="0.25">
      <c r="A16" s="28"/>
      <c r="B16" s="55" t="s">
        <v>33</v>
      </c>
      <c r="C16" s="83"/>
      <c r="D16" s="55"/>
      <c r="E16" s="84"/>
      <c r="F16" s="55" t="s">
        <v>35</v>
      </c>
      <c r="G16" s="85">
        <v>30</v>
      </c>
      <c r="H16" s="14">
        <f>I16+J16</f>
        <v>0</v>
      </c>
      <c r="I16" s="14">
        <f>G16*E16</f>
        <v>0</v>
      </c>
      <c r="J16" s="14">
        <v>0</v>
      </c>
    </row>
    <row r="17" spans="1:10" ht="17.25" customHeight="1" x14ac:dyDescent="0.25">
      <c r="A17" s="28"/>
      <c r="B17" s="55" t="s">
        <v>34</v>
      </c>
      <c r="C17" s="83"/>
      <c r="D17" s="55"/>
      <c r="E17" s="84"/>
      <c r="F17" s="55" t="s">
        <v>35</v>
      </c>
      <c r="G17" s="85">
        <v>0</v>
      </c>
      <c r="H17" s="14">
        <f>I17+J17</f>
        <v>0</v>
      </c>
      <c r="I17" s="14"/>
      <c r="J17" s="14"/>
    </row>
    <row r="18" spans="1:10" x14ac:dyDescent="0.25">
      <c r="A18" s="28"/>
      <c r="B18" s="79" t="s">
        <v>14</v>
      </c>
      <c r="C18" s="46"/>
      <c r="D18" s="80"/>
      <c r="E18" s="81"/>
      <c r="F18" s="80"/>
      <c r="G18" s="80">
        <v>0</v>
      </c>
      <c r="H18" s="29">
        <f>SUM(H19:H24)</f>
        <v>0</v>
      </c>
      <c r="I18" s="29">
        <f t="shared" ref="I18:J18" si="7">SUM(I19:I24)</f>
        <v>0</v>
      </c>
      <c r="J18" s="29">
        <f t="shared" si="7"/>
        <v>0</v>
      </c>
    </row>
    <row r="19" spans="1:10" ht="17.25" customHeight="1" x14ac:dyDescent="0.25">
      <c r="A19" s="28"/>
      <c r="B19" s="55" t="s">
        <v>32</v>
      </c>
      <c r="C19" s="83"/>
      <c r="D19" s="55"/>
      <c r="E19" s="84">
        <v>5000</v>
      </c>
      <c r="F19" s="55" t="s">
        <v>35</v>
      </c>
      <c r="G19" s="85">
        <v>0</v>
      </c>
      <c r="H19" s="14">
        <v>0</v>
      </c>
      <c r="I19" s="14">
        <v>0</v>
      </c>
      <c r="J19" s="14">
        <v>0</v>
      </c>
    </row>
    <row r="20" spans="1:10" ht="16.5" customHeight="1" x14ac:dyDescent="0.25">
      <c r="A20" s="28"/>
      <c r="B20" s="55" t="s">
        <v>33</v>
      </c>
      <c r="C20" s="83"/>
      <c r="D20" s="55"/>
      <c r="E20" s="84">
        <v>5000</v>
      </c>
      <c r="F20" s="55" t="s">
        <v>35</v>
      </c>
      <c r="G20" s="85">
        <v>0</v>
      </c>
      <c r="H20" s="14">
        <v>0</v>
      </c>
      <c r="I20" s="14">
        <v>0</v>
      </c>
      <c r="J20" s="14">
        <v>0</v>
      </c>
    </row>
    <row r="21" spans="1:10" ht="21" customHeight="1" x14ac:dyDescent="0.25">
      <c r="A21" s="28"/>
      <c r="B21" s="55" t="s">
        <v>34</v>
      </c>
      <c r="C21" s="83"/>
      <c r="D21" s="55"/>
      <c r="E21" s="84">
        <v>2000</v>
      </c>
      <c r="F21" s="55" t="s">
        <v>35</v>
      </c>
      <c r="G21" s="85">
        <v>0</v>
      </c>
      <c r="H21" s="14">
        <v>0</v>
      </c>
      <c r="I21" s="14">
        <v>0</v>
      </c>
      <c r="J21" s="14">
        <v>0</v>
      </c>
    </row>
    <row r="22" spans="1:10" ht="14.25" customHeight="1" x14ac:dyDescent="0.25">
      <c r="A22" s="28"/>
      <c r="B22" s="55" t="s">
        <v>36</v>
      </c>
      <c r="C22" s="83"/>
      <c r="D22" s="55"/>
      <c r="E22" s="84">
        <v>5000</v>
      </c>
      <c r="F22" s="55" t="s">
        <v>35</v>
      </c>
      <c r="G22" s="85">
        <v>0</v>
      </c>
      <c r="H22" s="14">
        <v>0</v>
      </c>
      <c r="I22" s="14">
        <v>0</v>
      </c>
      <c r="J22" s="14">
        <v>0</v>
      </c>
    </row>
    <row r="23" spans="1:10" ht="14.25" customHeight="1" x14ac:dyDescent="0.25">
      <c r="A23" s="28"/>
      <c r="B23" s="55" t="s">
        <v>37</v>
      </c>
      <c r="C23" s="83"/>
      <c r="D23" s="55"/>
      <c r="E23" s="84">
        <v>70000</v>
      </c>
      <c r="F23" s="55" t="s">
        <v>35</v>
      </c>
      <c r="G23" s="85">
        <v>0</v>
      </c>
      <c r="H23" s="14">
        <v>0</v>
      </c>
      <c r="I23" s="14">
        <v>0</v>
      </c>
      <c r="J23" s="14">
        <v>0</v>
      </c>
    </row>
    <row r="24" spans="1:10" ht="16.5" customHeight="1" x14ac:dyDescent="0.25">
      <c r="A24" s="28"/>
      <c r="B24" s="55" t="s">
        <v>38</v>
      </c>
      <c r="C24" s="41"/>
      <c r="D24" s="55"/>
      <c r="E24" s="84">
        <v>50</v>
      </c>
      <c r="F24" s="55" t="s">
        <v>35</v>
      </c>
      <c r="G24" s="85">
        <v>0</v>
      </c>
      <c r="H24" s="14">
        <v>0</v>
      </c>
      <c r="I24" s="14">
        <v>0</v>
      </c>
      <c r="J24" s="14">
        <v>0</v>
      </c>
    </row>
    <row r="25" spans="1:10" x14ac:dyDescent="0.25">
      <c r="A25" s="28"/>
      <c r="B25" s="79" t="s">
        <v>39</v>
      </c>
      <c r="C25" s="46"/>
      <c r="D25" s="80"/>
      <c r="E25" s="81"/>
      <c r="F25" s="80"/>
      <c r="G25" s="80"/>
      <c r="H25" s="29">
        <f>SUM(H26:H30)</f>
        <v>0</v>
      </c>
      <c r="I25" s="29">
        <f t="shared" ref="I25:J25" si="8">SUM(I26:I30)</f>
        <v>0</v>
      </c>
      <c r="J25" s="29">
        <f t="shared" si="8"/>
        <v>0</v>
      </c>
    </row>
    <row r="26" spans="1:10" ht="17.25" customHeight="1" x14ac:dyDescent="0.25">
      <c r="A26" s="28"/>
      <c r="B26" s="55" t="s">
        <v>32</v>
      </c>
      <c r="C26" s="83"/>
      <c r="D26" s="55"/>
      <c r="E26" s="84">
        <v>10</v>
      </c>
      <c r="F26" s="55" t="s">
        <v>35</v>
      </c>
      <c r="G26" s="85">
        <v>0</v>
      </c>
      <c r="H26" s="14">
        <v>0</v>
      </c>
      <c r="I26" s="14">
        <f>E26*G26*0.25</f>
        <v>0</v>
      </c>
      <c r="J26" s="14">
        <f>E26*G26*0.2</f>
        <v>0</v>
      </c>
    </row>
    <row r="27" spans="1:10" ht="16.5" customHeight="1" x14ac:dyDescent="0.25">
      <c r="A27" s="28"/>
      <c r="B27" s="55" t="s">
        <v>33</v>
      </c>
      <c r="C27" s="83"/>
      <c r="D27" s="55"/>
      <c r="E27" s="84">
        <v>1</v>
      </c>
      <c r="F27" s="55" t="s">
        <v>35</v>
      </c>
      <c r="G27" s="85">
        <v>0</v>
      </c>
      <c r="H27" s="14">
        <v>0</v>
      </c>
      <c r="I27" s="14">
        <f t="shared" ref="I27" si="9">E27*G27*0.25</f>
        <v>0</v>
      </c>
      <c r="J27" s="14">
        <f t="shared" ref="J27:J28" si="10">E27*G27*0.2</f>
        <v>0</v>
      </c>
    </row>
    <row r="28" spans="1:10" ht="17.25" customHeight="1" x14ac:dyDescent="0.25">
      <c r="A28" s="28"/>
      <c r="B28" s="55" t="s">
        <v>34</v>
      </c>
      <c r="C28" s="83"/>
      <c r="D28" s="55"/>
      <c r="E28" s="84">
        <v>10</v>
      </c>
      <c r="F28" s="55" t="s">
        <v>35</v>
      </c>
      <c r="G28" s="85">
        <v>0</v>
      </c>
      <c r="H28" s="14">
        <v>0</v>
      </c>
      <c r="I28" s="14">
        <v>0</v>
      </c>
      <c r="J28" s="14">
        <f t="shared" si="10"/>
        <v>0</v>
      </c>
    </row>
    <row r="29" spans="1:10" ht="16.5" customHeight="1" x14ac:dyDescent="0.25">
      <c r="A29" s="28"/>
      <c r="B29" s="55" t="s">
        <v>36</v>
      </c>
      <c r="C29" s="83"/>
      <c r="D29" s="55"/>
      <c r="E29" s="84">
        <v>50000</v>
      </c>
      <c r="F29" s="55" t="s">
        <v>35</v>
      </c>
      <c r="G29" s="85">
        <v>0</v>
      </c>
      <c r="H29" s="14">
        <v>0</v>
      </c>
      <c r="I29" s="14">
        <v>0</v>
      </c>
      <c r="J29" s="14">
        <v>0</v>
      </c>
    </row>
    <row r="30" spans="1:10" ht="17.25" customHeight="1" x14ac:dyDescent="0.25">
      <c r="A30" s="28"/>
      <c r="B30" s="55" t="s">
        <v>37</v>
      </c>
      <c r="C30" s="83"/>
      <c r="D30" s="55"/>
      <c r="E30" s="84">
        <v>25000</v>
      </c>
      <c r="F30" s="55" t="s">
        <v>40</v>
      </c>
      <c r="G30" s="85">
        <v>0</v>
      </c>
      <c r="H30" s="14">
        <v>0</v>
      </c>
      <c r="I30" s="14">
        <v>0</v>
      </c>
      <c r="J30" s="14">
        <v>0</v>
      </c>
    </row>
    <row r="31" spans="1:10" x14ac:dyDescent="0.25">
      <c r="A31" s="28"/>
      <c r="B31" s="79" t="s">
        <v>41</v>
      </c>
      <c r="C31" s="46"/>
      <c r="D31" s="80"/>
      <c r="E31" s="81"/>
      <c r="F31" s="80"/>
      <c r="G31" s="80"/>
      <c r="H31" s="29">
        <f>SUM(H32:H36)</f>
        <v>0</v>
      </c>
      <c r="I31" s="29">
        <f t="shared" ref="I31:J31" si="11">SUM(I32:I36)</f>
        <v>0</v>
      </c>
      <c r="J31" s="29">
        <f t="shared" si="11"/>
        <v>0</v>
      </c>
    </row>
    <row r="32" spans="1:10" ht="14.25" customHeight="1" x14ac:dyDescent="0.25">
      <c r="A32" s="28"/>
      <c r="B32" s="55" t="s">
        <v>32</v>
      </c>
      <c r="C32" s="83"/>
      <c r="D32" s="55"/>
      <c r="E32" s="84">
        <v>100000</v>
      </c>
      <c r="F32" s="55" t="s">
        <v>42</v>
      </c>
      <c r="G32" s="85">
        <v>0</v>
      </c>
      <c r="H32" s="14">
        <f t="shared" ref="H32:H35" si="12">I32+J32</f>
        <v>0</v>
      </c>
      <c r="I32" s="14">
        <v>0</v>
      </c>
      <c r="J32" s="14">
        <v>0</v>
      </c>
    </row>
    <row r="33" spans="1:12" ht="15.75" customHeight="1" x14ac:dyDescent="0.25">
      <c r="A33" s="28"/>
      <c r="B33" s="55" t="s">
        <v>33</v>
      </c>
      <c r="C33" s="83"/>
      <c r="D33" s="55"/>
      <c r="E33" s="84">
        <v>30000</v>
      </c>
      <c r="F33" s="55" t="s">
        <v>40</v>
      </c>
      <c r="G33" s="85">
        <v>0</v>
      </c>
      <c r="H33" s="14">
        <f t="shared" si="12"/>
        <v>0</v>
      </c>
      <c r="I33" s="14">
        <v>0</v>
      </c>
      <c r="J33" s="14">
        <v>0</v>
      </c>
    </row>
    <row r="34" spans="1:12" ht="21" customHeight="1" x14ac:dyDescent="0.25">
      <c r="A34" s="28"/>
      <c r="B34" s="55" t="s">
        <v>34</v>
      </c>
      <c r="C34" s="83"/>
      <c r="D34" s="55"/>
      <c r="E34" s="84">
        <v>30000</v>
      </c>
      <c r="F34" s="55" t="s">
        <v>40</v>
      </c>
      <c r="G34" s="85">
        <v>0</v>
      </c>
      <c r="H34" s="14">
        <f t="shared" si="12"/>
        <v>0</v>
      </c>
      <c r="I34" s="14">
        <v>0</v>
      </c>
      <c r="J34" s="14">
        <v>0</v>
      </c>
    </row>
    <row r="35" spans="1:12" ht="15.75" customHeight="1" x14ac:dyDescent="0.25">
      <c r="A35" s="28"/>
      <c r="B35" s="55" t="s">
        <v>36</v>
      </c>
      <c r="C35" s="83"/>
      <c r="D35" s="55"/>
      <c r="E35" s="84">
        <v>25000</v>
      </c>
      <c r="F35" s="55" t="s">
        <v>40</v>
      </c>
      <c r="G35" s="85">
        <v>0</v>
      </c>
      <c r="H35" s="14">
        <f t="shared" si="12"/>
        <v>0</v>
      </c>
      <c r="I35" s="14">
        <v>0</v>
      </c>
      <c r="J35" s="14">
        <v>0</v>
      </c>
    </row>
    <row r="36" spans="1:12" ht="14.25" customHeight="1" x14ac:dyDescent="0.25">
      <c r="A36" s="28"/>
      <c r="B36" s="55" t="s">
        <v>37</v>
      </c>
      <c r="C36" s="83"/>
      <c r="D36" s="55"/>
      <c r="E36" s="84">
        <v>2000</v>
      </c>
      <c r="F36" s="55" t="s">
        <v>40</v>
      </c>
      <c r="G36" s="85">
        <v>0</v>
      </c>
      <c r="H36" s="14">
        <f>I36+J36</f>
        <v>0</v>
      </c>
      <c r="I36" s="14">
        <v>0</v>
      </c>
      <c r="J36" s="14">
        <v>0</v>
      </c>
      <c r="L36" t="s">
        <v>15</v>
      </c>
    </row>
    <row r="37" spans="1:12" x14ac:dyDescent="0.25">
      <c r="A37" s="26" t="s">
        <v>43</v>
      </c>
      <c r="B37" s="495"/>
      <c r="C37" s="496"/>
      <c r="D37" s="496"/>
      <c r="E37" s="496"/>
      <c r="F37" s="496"/>
      <c r="G37" s="497"/>
      <c r="H37" s="30">
        <f>H38+H42+H45</f>
        <v>0</v>
      </c>
      <c r="I37" s="30">
        <f t="shared" ref="I37:J37" si="13">I38+I42+I45</f>
        <v>0</v>
      </c>
      <c r="J37" s="30">
        <f t="shared" si="13"/>
        <v>0</v>
      </c>
    </row>
    <row r="38" spans="1:12" x14ac:dyDescent="0.25">
      <c r="A38" s="28"/>
      <c r="B38" s="79" t="s">
        <v>44</v>
      </c>
      <c r="C38" s="86"/>
      <c r="D38" s="80"/>
      <c r="E38" s="81"/>
      <c r="F38" s="80"/>
      <c r="G38" s="80"/>
      <c r="H38" s="29">
        <f>SUM(H39:H41)</f>
        <v>0</v>
      </c>
      <c r="I38" s="29">
        <f>SUM(I39:I41)</f>
        <v>0</v>
      </c>
      <c r="J38" s="29">
        <f t="shared" ref="J38" si="14">SUM(J39:J41)</f>
        <v>0</v>
      </c>
    </row>
    <row r="39" spans="1:12" ht="19.5" customHeight="1" x14ac:dyDescent="0.25">
      <c r="A39" s="31"/>
      <c r="B39" s="55" t="s">
        <v>32</v>
      </c>
      <c r="C39" s="83"/>
      <c r="D39" s="55"/>
      <c r="E39" s="84">
        <v>50000</v>
      </c>
      <c r="F39" s="55" t="s">
        <v>35</v>
      </c>
      <c r="G39" s="85">
        <v>0</v>
      </c>
      <c r="H39" s="14">
        <f>I39+J39</f>
        <v>0</v>
      </c>
      <c r="I39" s="14">
        <f>+G39*E39</f>
        <v>0</v>
      </c>
      <c r="J39" s="87">
        <v>0</v>
      </c>
    </row>
    <row r="40" spans="1:12" ht="16.5" customHeight="1" x14ac:dyDescent="0.25">
      <c r="A40" s="31"/>
      <c r="B40" s="55" t="s">
        <v>33</v>
      </c>
      <c r="C40" s="83"/>
      <c r="D40" s="55"/>
      <c r="E40" s="84">
        <v>2000</v>
      </c>
      <c r="F40" s="55" t="s">
        <v>35</v>
      </c>
      <c r="G40" s="85">
        <v>0</v>
      </c>
      <c r="H40" s="14">
        <f>I40+J40</f>
        <v>0</v>
      </c>
      <c r="I40" s="14">
        <f>+G40*E40</f>
        <v>0</v>
      </c>
      <c r="J40" s="87">
        <v>0</v>
      </c>
    </row>
    <row r="41" spans="1:12" ht="20.25" customHeight="1" x14ac:dyDescent="0.25">
      <c r="A41" s="31"/>
      <c r="B41" s="55" t="s">
        <v>34</v>
      </c>
      <c r="C41" s="83"/>
      <c r="D41" s="55"/>
      <c r="E41" s="84">
        <v>5000</v>
      </c>
      <c r="F41" s="55" t="s">
        <v>35</v>
      </c>
      <c r="G41" s="85">
        <v>0</v>
      </c>
      <c r="H41" s="14">
        <v>0</v>
      </c>
      <c r="I41" s="14">
        <v>0</v>
      </c>
      <c r="J41" s="87">
        <v>0</v>
      </c>
    </row>
    <row r="42" spans="1:12" x14ac:dyDescent="0.25">
      <c r="A42" s="28"/>
      <c r="B42" s="79" t="s">
        <v>45</v>
      </c>
      <c r="C42" s="79"/>
      <c r="D42" s="80"/>
      <c r="E42" s="81"/>
      <c r="F42" s="80"/>
      <c r="G42" s="80"/>
      <c r="H42" s="29">
        <f t="shared" ref="H42:J42" si="15">SUM(H43:H44)</f>
        <v>0</v>
      </c>
      <c r="I42" s="29">
        <f t="shared" si="15"/>
        <v>0</v>
      </c>
      <c r="J42" s="29">
        <f t="shared" si="15"/>
        <v>0</v>
      </c>
    </row>
    <row r="43" spans="1:12" ht="14.25" customHeight="1" x14ac:dyDescent="0.25">
      <c r="A43" s="28"/>
      <c r="B43" s="55" t="s">
        <v>32</v>
      </c>
      <c r="C43" s="83"/>
      <c r="D43" s="55"/>
      <c r="E43" s="84">
        <v>50000</v>
      </c>
      <c r="F43" s="55" t="s">
        <v>35</v>
      </c>
      <c r="G43" s="85">
        <v>0</v>
      </c>
      <c r="H43" s="14">
        <v>0</v>
      </c>
      <c r="I43" s="14">
        <v>0</v>
      </c>
      <c r="J43" s="14">
        <v>0</v>
      </c>
    </row>
    <row r="44" spans="1:12" ht="14.25" customHeight="1" x14ac:dyDescent="0.25">
      <c r="A44" s="28"/>
      <c r="B44" s="55" t="s">
        <v>33</v>
      </c>
      <c r="C44" s="41"/>
      <c r="D44" s="55"/>
      <c r="E44" s="84">
        <v>50000</v>
      </c>
      <c r="F44" s="55" t="s">
        <v>46</v>
      </c>
      <c r="G44" s="85">
        <v>0</v>
      </c>
      <c r="H44" s="14">
        <v>0</v>
      </c>
      <c r="I44" s="14">
        <v>0</v>
      </c>
      <c r="J44" s="14">
        <v>0</v>
      </c>
    </row>
    <row r="45" spans="1:12" ht="29.25" customHeight="1" x14ac:dyDescent="0.25">
      <c r="A45" s="28"/>
      <c r="B45" s="79" t="s">
        <v>47</v>
      </c>
      <c r="C45" s="86"/>
      <c r="D45" s="80"/>
      <c r="E45" s="81" t="s">
        <v>15</v>
      </c>
      <c r="F45" s="80" t="s">
        <v>15</v>
      </c>
      <c r="G45" s="80" t="s">
        <v>15</v>
      </c>
      <c r="H45" s="29">
        <f t="shared" ref="H45:J45" si="16">SUM(H46:H50)</f>
        <v>0</v>
      </c>
      <c r="I45" s="29">
        <f t="shared" si="16"/>
        <v>0</v>
      </c>
      <c r="J45" s="29">
        <f t="shared" si="16"/>
        <v>0</v>
      </c>
    </row>
    <row r="46" spans="1:12" ht="14.25" customHeight="1" x14ac:dyDescent="0.25">
      <c r="A46" s="28"/>
      <c r="B46" s="55" t="s">
        <v>32</v>
      </c>
      <c r="C46" s="41"/>
      <c r="D46" s="55"/>
      <c r="E46" s="84">
        <v>40000</v>
      </c>
      <c r="F46" s="55" t="s">
        <v>46</v>
      </c>
      <c r="G46" s="85">
        <v>0</v>
      </c>
      <c r="H46" s="14">
        <f t="shared" ref="H46:H48" si="17">I46+J46</f>
        <v>0</v>
      </c>
      <c r="I46" s="14">
        <f t="shared" ref="I46:I48" si="18">+G46*E46</f>
        <v>0</v>
      </c>
      <c r="J46" s="14">
        <v>0</v>
      </c>
    </row>
    <row r="47" spans="1:12" ht="14.25" customHeight="1" x14ac:dyDescent="0.25">
      <c r="A47" s="28"/>
      <c r="B47" s="55" t="s">
        <v>33</v>
      </c>
      <c r="C47" s="83"/>
      <c r="D47" s="55"/>
      <c r="E47" s="84">
        <v>50000</v>
      </c>
      <c r="F47" s="55" t="s">
        <v>35</v>
      </c>
      <c r="G47" s="85">
        <v>0</v>
      </c>
      <c r="H47" s="14">
        <f t="shared" si="17"/>
        <v>0</v>
      </c>
      <c r="I47" s="14">
        <f t="shared" si="18"/>
        <v>0</v>
      </c>
      <c r="J47" s="14">
        <v>0</v>
      </c>
    </row>
    <row r="48" spans="1:12" ht="14.25" customHeight="1" x14ac:dyDescent="0.25">
      <c r="A48" s="28"/>
      <c r="B48" s="55" t="s">
        <v>34</v>
      </c>
      <c r="C48" s="83"/>
      <c r="D48" s="55"/>
      <c r="E48" s="84">
        <v>50000</v>
      </c>
      <c r="F48" s="55" t="s">
        <v>46</v>
      </c>
      <c r="G48" s="85">
        <v>0</v>
      </c>
      <c r="H48" s="14">
        <f t="shared" si="17"/>
        <v>0</v>
      </c>
      <c r="I48" s="14">
        <f t="shared" si="18"/>
        <v>0</v>
      </c>
      <c r="J48" s="14">
        <v>0</v>
      </c>
    </row>
    <row r="49" spans="1:10" ht="14.25" customHeight="1" x14ac:dyDescent="0.25">
      <c r="A49" s="28"/>
      <c r="B49" s="55" t="s">
        <v>36</v>
      </c>
      <c r="C49" s="83"/>
      <c r="D49" s="55"/>
      <c r="E49" s="84">
        <v>50000</v>
      </c>
      <c r="F49" s="55" t="s">
        <v>46</v>
      </c>
      <c r="G49" s="85">
        <v>0</v>
      </c>
      <c r="H49" s="14">
        <v>0</v>
      </c>
      <c r="I49" s="14">
        <v>0</v>
      </c>
      <c r="J49" s="14">
        <v>0</v>
      </c>
    </row>
    <row r="50" spans="1:10" ht="14.25" customHeight="1" x14ac:dyDescent="0.25">
      <c r="A50" s="28"/>
      <c r="B50" s="55" t="s">
        <v>37</v>
      </c>
      <c r="C50" s="83"/>
      <c r="D50" s="55"/>
      <c r="E50" s="84">
        <v>20000</v>
      </c>
      <c r="F50" s="55" t="s">
        <v>40</v>
      </c>
      <c r="G50" s="85">
        <v>0</v>
      </c>
      <c r="H50" s="14">
        <v>0</v>
      </c>
      <c r="I50" s="14">
        <v>0</v>
      </c>
      <c r="J50" s="14">
        <v>0</v>
      </c>
    </row>
    <row r="51" spans="1:10" x14ac:dyDescent="0.25">
      <c r="A51" s="26" t="s">
        <v>48</v>
      </c>
      <c r="B51" s="486"/>
      <c r="C51" s="487"/>
      <c r="D51" s="487"/>
      <c r="E51" s="487"/>
      <c r="F51" s="487"/>
      <c r="G51" s="488"/>
      <c r="H51" s="30">
        <f t="shared" ref="H51:J51" si="19">H52+H56+H58</f>
        <v>0</v>
      </c>
      <c r="I51" s="30">
        <f>I52+I56+I58</f>
        <v>0</v>
      </c>
      <c r="J51" s="30">
        <f t="shared" si="19"/>
        <v>0</v>
      </c>
    </row>
    <row r="52" spans="1:10" x14ac:dyDescent="0.25">
      <c r="A52" s="28"/>
      <c r="B52" s="79" t="s">
        <v>49</v>
      </c>
      <c r="C52" s="79"/>
      <c r="D52" s="80"/>
      <c r="E52" s="81"/>
      <c r="F52" s="80"/>
      <c r="G52" s="80"/>
      <c r="H52" s="29">
        <f t="shared" ref="H52:J52" si="20">SUM(H53:H55)</f>
        <v>0</v>
      </c>
      <c r="I52" s="29">
        <f t="shared" si="20"/>
        <v>0</v>
      </c>
      <c r="J52" s="29">
        <f t="shared" si="20"/>
        <v>0</v>
      </c>
    </row>
    <row r="53" spans="1:10" ht="19.5" customHeight="1" x14ac:dyDescent="0.25">
      <c r="A53" s="28"/>
      <c r="B53" s="55" t="s">
        <v>32</v>
      </c>
      <c r="C53" s="83"/>
      <c r="D53" s="55"/>
      <c r="E53" s="84">
        <v>200000</v>
      </c>
      <c r="F53" s="55" t="s">
        <v>50</v>
      </c>
      <c r="G53" s="85">
        <v>0</v>
      </c>
      <c r="H53" s="14">
        <v>0</v>
      </c>
      <c r="I53" s="14">
        <v>0</v>
      </c>
      <c r="J53" s="14">
        <v>0</v>
      </c>
    </row>
    <row r="54" spans="1:10" ht="14.25" customHeight="1" x14ac:dyDescent="0.25">
      <c r="A54" s="28"/>
      <c r="B54" s="55" t="s">
        <v>33</v>
      </c>
      <c r="C54" s="83"/>
      <c r="D54" s="55"/>
      <c r="E54" s="84">
        <v>10000</v>
      </c>
      <c r="F54" s="55" t="s">
        <v>35</v>
      </c>
      <c r="G54" s="85">
        <v>0</v>
      </c>
      <c r="H54" s="14">
        <v>0</v>
      </c>
      <c r="I54" s="14">
        <v>0</v>
      </c>
      <c r="J54" s="14">
        <v>0</v>
      </c>
    </row>
    <row r="55" spans="1:10" ht="14.25" customHeight="1" x14ac:dyDescent="0.25">
      <c r="A55" s="28"/>
      <c r="B55" s="55" t="s">
        <v>34</v>
      </c>
      <c r="C55" s="83"/>
      <c r="D55" s="55"/>
      <c r="E55" s="84">
        <v>2000</v>
      </c>
      <c r="F55" s="55" t="s">
        <v>35</v>
      </c>
      <c r="G55" s="85">
        <v>0</v>
      </c>
      <c r="H55" s="14">
        <v>0</v>
      </c>
      <c r="I55" s="14">
        <v>0</v>
      </c>
      <c r="J55" s="14">
        <v>0</v>
      </c>
    </row>
    <row r="56" spans="1:10" x14ac:dyDescent="0.25">
      <c r="A56" s="28"/>
      <c r="B56" s="79" t="s">
        <v>51</v>
      </c>
      <c r="C56" s="79"/>
      <c r="D56" s="80"/>
      <c r="E56" s="81"/>
      <c r="F56" s="80"/>
      <c r="G56" s="80"/>
      <c r="H56" s="29">
        <f t="shared" ref="H56:J56" si="21">SUM(H57:H57)</f>
        <v>0</v>
      </c>
      <c r="I56" s="29">
        <f t="shared" si="21"/>
        <v>0</v>
      </c>
      <c r="J56" s="29">
        <f t="shared" si="21"/>
        <v>0</v>
      </c>
    </row>
    <row r="57" spans="1:10" ht="14.25" customHeight="1" x14ac:dyDescent="0.25">
      <c r="A57" s="28"/>
      <c r="B57" s="55" t="s">
        <v>32</v>
      </c>
      <c r="C57" s="41"/>
      <c r="D57" s="55"/>
      <c r="E57" s="84">
        <v>1000</v>
      </c>
      <c r="F57" s="55" t="s">
        <v>35</v>
      </c>
      <c r="G57" s="85">
        <v>0</v>
      </c>
      <c r="H57" s="14">
        <v>0</v>
      </c>
      <c r="I57" s="14">
        <v>0</v>
      </c>
      <c r="J57" s="14">
        <v>0</v>
      </c>
    </row>
    <row r="58" spans="1:10" x14ac:dyDescent="0.25">
      <c r="A58" s="28"/>
      <c r="B58" s="79" t="s">
        <v>52</v>
      </c>
      <c r="C58" s="79"/>
      <c r="D58" s="80"/>
      <c r="E58" s="81"/>
      <c r="F58" s="80"/>
      <c r="G58" s="80"/>
      <c r="H58" s="29">
        <f t="shared" ref="H58:J58" si="22">SUM(H60:H63)</f>
        <v>0</v>
      </c>
      <c r="I58" s="29">
        <f t="shared" si="22"/>
        <v>0</v>
      </c>
      <c r="J58" s="29">
        <f t="shared" si="22"/>
        <v>0</v>
      </c>
    </row>
    <row r="59" spans="1:10" s="32" customFormat="1" x14ac:dyDescent="0.25">
      <c r="A59" s="31"/>
      <c r="B59" s="69" t="s">
        <v>32</v>
      </c>
      <c r="C59" s="88"/>
      <c r="D59" s="89"/>
      <c r="E59" s="84">
        <v>1000</v>
      </c>
      <c r="F59" s="89" t="s">
        <v>35</v>
      </c>
      <c r="G59" s="85">
        <v>0</v>
      </c>
      <c r="H59" s="14">
        <f t="shared" ref="H59:H62" si="23">I59+J59</f>
        <v>0</v>
      </c>
      <c r="I59" s="14">
        <v>0</v>
      </c>
      <c r="J59" s="14">
        <v>0</v>
      </c>
    </row>
    <row r="60" spans="1:10" ht="14.25" customHeight="1" x14ac:dyDescent="0.25">
      <c r="A60" s="28"/>
      <c r="B60" s="55" t="s">
        <v>33</v>
      </c>
      <c r="C60" s="83"/>
      <c r="D60" s="55"/>
      <c r="E60" s="84">
        <v>40000</v>
      </c>
      <c r="F60" s="55" t="s">
        <v>35</v>
      </c>
      <c r="G60" s="85">
        <v>0</v>
      </c>
      <c r="H60" s="14">
        <f t="shared" si="23"/>
        <v>0</v>
      </c>
      <c r="I60" s="14">
        <v>0</v>
      </c>
      <c r="J60" s="14">
        <v>0</v>
      </c>
    </row>
    <row r="61" spans="1:10" x14ac:dyDescent="0.25">
      <c r="A61" s="19"/>
      <c r="B61" s="55" t="s">
        <v>34</v>
      </c>
      <c r="C61" s="83"/>
      <c r="D61" s="90"/>
      <c r="E61" s="84">
        <v>50000</v>
      </c>
      <c r="F61" s="55" t="s">
        <v>35</v>
      </c>
      <c r="G61" s="91">
        <v>0</v>
      </c>
      <c r="H61" s="14">
        <f t="shared" si="23"/>
        <v>0</v>
      </c>
      <c r="I61" s="14">
        <v>0</v>
      </c>
      <c r="J61" s="14">
        <v>0</v>
      </c>
    </row>
    <row r="62" spans="1:10" x14ac:dyDescent="0.25">
      <c r="A62" s="19"/>
      <c r="B62" s="55" t="s">
        <v>36</v>
      </c>
      <c r="C62" s="83"/>
      <c r="D62" s="90"/>
      <c r="E62" s="84">
        <v>50000</v>
      </c>
      <c r="F62" s="55" t="s">
        <v>35</v>
      </c>
      <c r="G62" s="91">
        <v>0</v>
      </c>
      <c r="H62" s="14">
        <f t="shared" si="23"/>
        <v>0</v>
      </c>
      <c r="I62" s="14">
        <v>0</v>
      </c>
      <c r="J62" s="14">
        <v>0</v>
      </c>
    </row>
    <row r="63" spans="1:10" x14ac:dyDescent="0.25">
      <c r="A63" s="31"/>
      <c r="B63" s="55" t="s">
        <v>37</v>
      </c>
      <c r="C63" s="83"/>
      <c r="D63" s="55"/>
      <c r="E63" s="84">
        <v>70000</v>
      </c>
      <c r="F63" s="55" t="s">
        <v>35</v>
      </c>
      <c r="G63" s="92">
        <v>0</v>
      </c>
      <c r="H63" s="14">
        <f>I63+J63</f>
        <v>0</v>
      </c>
      <c r="I63" s="87">
        <v>0</v>
      </c>
      <c r="J63" s="87">
        <v>0</v>
      </c>
    </row>
    <row r="64" spans="1:10" x14ac:dyDescent="0.25">
      <c r="A64" s="33" t="s">
        <v>11</v>
      </c>
      <c r="B64" s="93"/>
      <c r="C64" s="94" t="s">
        <v>11</v>
      </c>
      <c r="D64" s="95"/>
      <c r="E64" s="95"/>
      <c r="F64" s="95"/>
      <c r="G64" s="33"/>
      <c r="H64" s="34">
        <v>0</v>
      </c>
      <c r="I64" s="34">
        <v>0</v>
      </c>
      <c r="J64" s="34">
        <v>0</v>
      </c>
    </row>
    <row r="65" spans="1:10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</row>
  </sheetData>
  <mergeCells count="7">
    <mergeCell ref="B51:G51"/>
    <mergeCell ref="A1:J1"/>
    <mergeCell ref="B6:C6"/>
    <mergeCell ref="B13:G13"/>
    <mergeCell ref="B37:G37"/>
    <mergeCell ref="C2:L2"/>
    <mergeCell ref="C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2" sqref="A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PA18M</vt:lpstr>
      <vt:lpstr>Pl. MemCálc.AtividadesC2_SP</vt:lpstr>
      <vt:lpstr>Pl. MemCálc.Atividades_MCTI</vt:lpstr>
      <vt:lpstr>Pl. MemCálc.AtividadesC3_SP</vt:lpstr>
      <vt:lpstr>Pl. MemCálc.Atividades_RJ</vt:lpstr>
      <vt:lpstr>Pl. MemCálc.Atividades_IEF</vt:lpstr>
      <vt:lpstr>MarcoLóg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</dc:creator>
  <cp:lastModifiedBy>Maria Alcimar Bezerra Tolentino Aguiar</cp:lastModifiedBy>
  <cp:lastPrinted>2017-08-02T14:51:50Z</cp:lastPrinted>
  <dcterms:created xsi:type="dcterms:W3CDTF">2014-03-05T21:47:02Z</dcterms:created>
  <dcterms:modified xsi:type="dcterms:W3CDTF">2019-06-24T18:15:21Z</dcterms:modified>
</cp:coreProperties>
</file>