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BR-LON/BR-L1429/05 Basic Data/"/>
    </mc:Choice>
  </mc:AlternateContent>
  <xr:revisionPtr revIDLastSave="75" documentId="8_{6DC5A78C-C96F-4DDD-8459-D71FEFE853B9}" xr6:coauthVersionLast="36" xr6:coauthVersionMax="37" xr10:uidLastSave="{1D20D792-3245-4CA0-9715-C989CE5ECBC5}"/>
  <bookViews>
    <workbookView xWindow="0" yWindow="60" windowWidth="19440" windowHeight="11700" xr2:uid="{00000000-000D-0000-FFFF-FFFF00000000}"/>
  </bookViews>
  <sheets>
    <sheet name="PEP_Versao 20180523_12-05" sheetId="4" r:id="rId1"/>
    <sheet name="Memória" sheetId="3" r:id="rId2"/>
    <sheet name="POA" sheetId="6" r:id="rId3"/>
  </sheets>
  <definedNames>
    <definedName name="_xlnm.Print_Area" localSheetId="0">'PEP_Versao 20180523_12-05'!$A$233:$O$310</definedName>
    <definedName name="_xlnm.Print_Area" localSheetId="2">POA!$A$221:$U$298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4" l="1"/>
  <c r="T77" i="6"/>
  <c r="S77" i="6"/>
  <c r="R77" i="6"/>
  <c r="Q77" i="6"/>
  <c r="P77" i="6"/>
  <c r="O77" i="6"/>
  <c r="N77" i="6"/>
  <c r="M77" i="6"/>
  <c r="L77" i="6"/>
  <c r="K77" i="6"/>
  <c r="J77" i="6"/>
  <c r="I77" i="6"/>
  <c r="V75" i="6"/>
  <c r="V74" i="6"/>
  <c r="J89" i="4"/>
  <c r="J95" i="4"/>
  <c r="M87" i="4"/>
  <c r="J87" i="4"/>
  <c r="N87" i="4" s="1"/>
  <c r="K86" i="4"/>
  <c r="J86" i="4"/>
  <c r="P267" i="6"/>
  <c r="K267" i="6"/>
  <c r="F279" i="4"/>
  <c r="U267" i="6" s="1"/>
  <c r="E279" i="4"/>
  <c r="Q267" i="6" s="1"/>
  <c r="M279" i="4"/>
  <c r="J279" i="4"/>
  <c r="E17" i="4"/>
  <c r="L267" i="6" l="1"/>
  <c r="R267" i="6"/>
  <c r="N267" i="6"/>
  <c r="N272" i="6" s="1"/>
  <c r="S267" i="6"/>
  <c r="S272" i="6" s="1"/>
  <c r="O267" i="6"/>
  <c r="T267" i="6"/>
  <c r="F87" i="4"/>
  <c r="G87" i="4"/>
  <c r="M267" i="6"/>
  <c r="U275" i="6"/>
  <c r="U282" i="6"/>
  <c r="Q275" i="6"/>
  <c r="Q282" i="6" s="1"/>
  <c r="Q279" i="6"/>
  <c r="M275" i="6"/>
  <c r="M279" i="6"/>
  <c r="M282" i="6"/>
  <c r="I275" i="6"/>
  <c r="I282" i="6"/>
  <c r="H282" i="6"/>
  <c r="G282" i="6"/>
  <c r="F282" i="6"/>
  <c r="E282" i="6"/>
  <c r="D282" i="6"/>
  <c r="C282" i="6"/>
  <c r="V281" i="6"/>
  <c r="V280" i="6"/>
  <c r="T279" i="6"/>
  <c r="S279" i="6"/>
  <c r="R279" i="6"/>
  <c r="P279" i="6"/>
  <c r="O279" i="6"/>
  <c r="N279" i="6"/>
  <c r="V279" i="6" s="1"/>
  <c r="L279" i="6"/>
  <c r="V278" i="6"/>
  <c r="V277" i="6"/>
  <c r="V276" i="6"/>
  <c r="T275" i="6"/>
  <c r="S275" i="6"/>
  <c r="R275" i="6"/>
  <c r="R282" i="6"/>
  <c r="P275" i="6"/>
  <c r="O275" i="6"/>
  <c r="O282" i="6"/>
  <c r="N275" i="6"/>
  <c r="N282" i="6" s="1"/>
  <c r="L275" i="6"/>
  <c r="L282" i="6"/>
  <c r="K275" i="6"/>
  <c r="K282" i="6" s="1"/>
  <c r="J275" i="6"/>
  <c r="V275" i="6" s="1"/>
  <c r="V274" i="6"/>
  <c r="V273" i="6"/>
  <c r="J272" i="6"/>
  <c r="I272" i="6"/>
  <c r="H272" i="6"/>
  <c r="G272" i="6"/>
  <c r="F272" i="6"/>
  <c r="E272" i="6"/>
  <c r="D272" i="6"/>
  <c r="C272" i="6"/>
  <c r="U271" i="6"/>
  <c r="T271" i="6"/>
  <c r="S271" i="6"/>
  <c r="R271" i="6"/>
  <c r="Q271" i="6"/>
  <c r="P271" i="6"/>
  <c r="O271" i="6"/>
  <c r="V270" i="6"/>
  <c r="U269" i="6"/>
  <c r="U272" i="6" s="1"/>
  <c r="T269" i="6"/>
  <c r="T272" i="6" s="1"/>
  <c r="S269" i="6"/>
  <c r="R269" i="6"/>
  <c r="Q269" i="6"/>
  <c r="V268" i="6"/>
  <c r="Q272" i="6"/>
  <c r="P272" i="6"/>
  <c r="O272" i="6"/>
  <c r="L272" i="6"/>
  <c r="K272" i="6"/>
  <c r="V266" i="6"/>
  <c r="V265" i="6"/>
  <c r="K264" i="6"/>
  <c r="J264" i="6"/>
  <c r="I264" i="6"/>
  <c r="H264" i="6"/>
  <c r="G264" i="6"/>
  <c r="F264" i="6"/>
  <c r="E264" i="6"/>
  <c r="D264" i="6"/>
  <c r="C264" i="6"/>
  <c r="C283" i="6"/>
  <c r="V263" i="6"/>
  <c r="V262" i="6"/>
  <c r="V261" i="6"/>
  <c r="V260" i="6"/>
  <c r="O259" i="6"/>
  <c r="P259" i="6"/>
  <c r="Q259" i="6"/>
  <c r="R259" i="6"/>
  <c r="S259" i="6"/>
  <c r="T259" i="6"/>
  <c r="U259" i="6"/>
  <c r="V259" i="6"/>
  <c r="V258" i="6"/>
  <c r="V257" i="6"/>
  <c r="V256" i="6"/>
  <c r="N255" i="6"/>
  <c r="N264" i="6" s="1"/>
  <c r="M255" i="6"/>
  <c r="M264" i="6"/>
  <c r="L255" i="6"/>
  <c r="L264" i="6" s="1"/>
  <c r="V254" i="6"/>
  <c r="O253" i="6"/>
  <c r="P253" i="6"/>
  <c r="P264" i="6" s="1"/>
  <c r="Q253" i="6"/>
  <c r="R253" i="6"/>
  <c r="S253" i="6"/>
  <c r="T253" i="6"/>
  <c r="T264" i="6" s="1"/>
  <c r="U253" i="6"/>
  <c r="R251" i="6"/>
  <c r="V252" i="6"/>
  <c r="U251" i="6"/>
  <c r="U264" i="6"/>
  <c r="T251" i="6"/>
  <c r="S251" i="6"/>
  <c r="S264" i="6"/>
  <c r="Q251" i="6"/>
  <c r="Q264" i="6" s="1"/>
  <c r="V250" i="6"/>
  <c r="V249" i="6"/>
  <c r="K237" i="6"/>
  <c r="K248" i="6" s="1"/>
  <c r="H248" i="6"/>
  <c r="G248" i="6"/>
  <c r="F248" i="6"/>
  <c r="E248" i="6"/>
  <c r="D248" i="6"/>
  <c r="U247" i="6"/>
  <c r="T247" i="6"/>
  <c r="V247" i="6" s="1"/>
  <c r="S247" i="6"/>
  <c r="R247" i="6"/>
  <c r="V246" i="6"/>
  <c r="T245" i="6"/>
  <c r="S245" i="6"/>
  <c r="R245" i="6"/>
  <c r="V245" i="6" s="1"/>
  <c r="V244" i="6"/>
  <c r="U243" i="6"/>
  <c r="T243" i="6"/>
  <c r="S243" i="6"/>
  <c r="R243" i="6"/>
  <c r="Q243" i="6"/>
  <c r="P243" i="6"/>
  <c r="O243" i="6"/>
  <c r="V243" i="6"/>
  <c r="V242" i="6"/>
  <c r="V241" i="6"/>
  <c r="V240" i="6"/>
  <c r="T239" i="6"/>
  <c r="S239" i="6"/>
  <c r="R239" i="6"/>
  <c r="V238" i="6"/>
  <c r="U237" i="6"/>
  <c r="T237" i="6"/>
  <c r="S237" i="6"/>
  <c r="R237" i="6"/>
  <c r="Q237" i="6"/>
  <c r="P237" i="6"/>
  <c r="O237" i="6"/>
  <c r="N237" i="6"/>
  <c r="N248" i="6"/>
  <c r="M237" i="6"/>
  <c r="M248" i="6" s="1"/>
  <c r="L237" i="6"/>
  <c r="L248" i="6"/>
  <c r="J237" i="6"/>
  <c r="J248" i="6" s="1"/>
  <c r="I237" i="6"/>
  <c r="I248" i="6" s="1"/>
  <c r="V236" i="6"/>
  <c r="U235" i="6"/>
  <c r="T235" i="6"/>
  <c r="S235" i="6"/>
  <c r="R235" i="6"/>
  <c r="Q235" i="6"/>
  <c r="P235" i="6"/>
  <c r="V235" i="6" s="1"/>
  <c r="O235" i="6"/>
  <c r="V234" i="6"/>
  <c r="U233" i="6"/>
  <c r="T233" i="6"/>
  <c r="S233" i="6"/>
  <c r="R233" i="6"/>
  <c r="Q233" i="6"/>
  <c r="P233" i="6"/>
  <c r="O233" i="6"/>
  <c r="V232" i="6"/>
  <c r="O231" i="6"/>
  <c r="P231" i="6"/>
  <c r="Q231" i="6"/>
  <c r="R231" i="6"/>
  <c r="S231" i="6"/>
  <c r="T231" i="6"/>
  <c r="V230" i="6"/>
  <c r="T229" i="6"/>
  <c r="S229" i="6"/>
  <c r="R229" i="6"/>
  <c r="Q229" i="6"/>
  <c r="O229" i="6"/>
  <c r="P229" i="6"/>
  <c r="V228" i="6"/>
  <c r="O227" i="6"/>
  <c r="P227" i="6"/>
  <c r="Q227" i="6"/>
  <c r="R227" i="6"/>
  <c r="S227" i="6"/>
  <c r="T227" i="6"/>
  <c r="V226" i="6"/>
  <c r="U225" i="6"/>
  <c r="T225" i="6"/>
  <c r="S225" i="6"/>
  <c r="R225" i="6"/>
  <c r="O225" i="6"/>
  <c r="P225" i="6"/>
  <c r="Q225" i="6"/>
  <c r="V224" i="6"/>
  <c r="U223" i="6"/>
  <c r="T223" i="6"/>
  <c r="S223" i="6"/>
  <c r="R223" i="6"/>
  <c r="R248" i="6" s="1"/>
  <c r="Q223" i="6"/>
  <c r="P223" i="6"/>
  <c r="O223" i="6"/>
  <c r="V223" i="6" s="1"/>
  <c r="V222" i="6"/>
  <c r="V221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V218" i="6"/>
  <c r="P217" i="6"/>
  <c r="V217" i="6" s="1"/>
  <c r="V216" i="6"/>
  <c r="P215" i="6"/>
  <c r="V215" i="6" s="1"/>
  <c r="V214" i="6"/>
  <c r="V213" i="6"/>
  <c r="V212" i="6"/>
  <c r="V211" i="6"/>
  <c r="V210" i="6"/>
  <c r="V209" i="6"/>
  <c r="V208" i="6"/>
  <c r="V207" i="6"/>
  <c r="V206" i="6"/>
  <c r="U205" i="6"/>
  <c r="T205" i="6"/>
  <c r="S205" i="6"/>
  <c r="R205" i="6"/>
  <c r="Q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U204" i="6"/>
  <c r="V204" i="6" s="1"/>
  <c r="V203" i="6"/>
  <c r="V202" i="6"/>
  <c r="V201" i="6"/>
  <c r="V200" i="6"/>
  <c r="V199" i="6"/>
  <c r="V198" i="6"/>
  <c r="V197" i="6"/>
  <c r="V196" i="6"/>
  <c r="V195" i="6"/>
  <c r="V194" i="6"/>
  <c r="V193" i="6"/>
  <c r="V192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D191" i="6"/>
  <c r="E191" i="6"/>
  <c r="U190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U139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U127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U115" i="6"/>
  <c r="V115" i="6" s="1"/>
  <c r="V114" i="6"/>
  <c r="U113" i="6"/>
  <c r="V113" i="6"/>
  <c r="V112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V109" i="6"/>
  <c r="V108" i="6"/>
  <c r="V107" i="6"/>
  <c r="V106" i="6"/>
  <c r="V105" i="6"/>
  <c r="V104" i="6"/>
  <c r="V103" i="6"/>
  <c r="V102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D101" i="6"/>
  <c r="V101" i="6" s="1"/>
  <c r="E101" i="6"/>
  <c r="V100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D99" i="6"/>
  <c r="V99" i="6" s="1"/>
  <c r="E99" i="6"/>
  <c r="V98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D97" i="6"/>
  <c r="V97" i="6" s="1"/>
  <c r="E97" i="6"/>
  <c r="V96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D95" i="6"/>
  <c r="V95" i="6" s="1"/>
  <c r="E95" i="6"/>
  <c r="V94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D93" i="6"/>
  <c r="V93" i="6" s="1"/>
  <c r="E93" i="6"/>
  <c r="V92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D91" i="6"/>
  <c r="V91" i="6" s="1"/>
  <c r="E91" i="6"/>
  <c r="V90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D89" i="6"/>
  <c r="V89" i="6" s="1"/>
  <c r="E89" i="6"/>
  <c r="V88" i="6"/>
  <c r="V87" i="6"/>
  <c r="V86" i="6"/>
  <c r="U85" i="6"/>
  <c r="V84" i="6"/>
  <c r="V82" i="6"/>
  <c r="T81" i="6"/>
  <c r="T79" i="6" s="1"/>
  <c r="S81" i="6"/>
  <c r="S79" i="6"/>
  <c r="R81" i="6"/>
  <c r="R79" i="6" s="1"/>
  <c r="V80" i="6"/>
  <c r="V78" i="6"/>
  <c r="V77" i="6"/>
  <c r="V76" i="6"/>
  <c r="V73" i="6"/>
  <c r="V72" i="6"/>
  <c r="V71" i="6"/>
  <c r="V70" i="6"/>
  <c r="V69" i="6"/>
  <c r="V68" i="6"/>
  <c r="U67" i="6"/>
  <c r="U65" i="6" s="1"/>
  <c r="T67" i="6"/>
  <c r="T65" i="6" s="1"/>
  <c r="S67" i="6"/>
  <c r="S65" i="6" s="1"/>
  <c r="R67" i="6"/>
  <c r="Q67" i="6"/>
  <c r="Q65" i="6" s="1"/>
  <c r="P67" i="6"/>
  <c r="P65" i="6" s="1"/>
  <c r="O67" i="6"/>
  <c r="O65" i="6" s="1"/>
  <c r="N67" i="6"/>
  <c r="M67" i="6"/>
  <c r="M65" i="6" s="1"/>
  <c r="L67" i="6"/>
  <c r="L65" i="6" s="1"/>
  <c r="K67" i="6"/>
  <c r="K65" i="6" s="1"/>
  <c r="J67" i="6"/>
  <c r="I67" i="6"/>
  <c r="I65" i="6" s="1"/>
  <c r="H67" i="6"/>
  <c r="H65" i="6" s="1"/>
  <c r="G67" i="6"/>
  <c r="G65" i="6" s="1"/>
  <c r="F67" i="6"/>
  <c r="E67" i="6"/>
  <c r="E65" i="6" s="1"/>
  <c r="D67" i="6"/>
  <c r="D65" i="6" s="1"/>
  <c r="V66" i="6"/>
  <c r="R65" i="6"/>
  <c r="N65" i="6"/>
  <c r="J65" i="6"/>
  <c r="F65" i="6"/>
  <c r="V64" i="6"/>
  <c r="U63" i="6"/>
  <c r="U61" i="6" s="1"/>
  <c r="O63" i="6"/>
  <c r="O61" i="6"/>
  <c r="N63" i="6"/>
  <c r="N61" i="6" s="1"/>
  <c r="M63" i="6"/>
  <c r="V63" i="6" s="1"/>
  <c r="V62" i="6"/>
  <c r="T61" i="6"/>
  <c r="S61" i="6"/>
  <c r="R61" i="6"/>
  <c r="Q61" i="6"/>
  <c r="P61" i="6"/>
  <c r="M9" i="6"/>
  <c r="M21" i="6"/>
  <c r="M33" i="6"/>
  <c r="M41" i="6"/>
  <c r="M55" i="6"/>
  <c r="L61" i="6"/>
  <c r="K61" i="6"/>
  <c r="J61" i="6"/>
  <c r="I61" i="6"/>
  <c r="I9" i="6"/>
  <c r="I21" i="6"/>
  <c r="I33" i="6"/>
  <c r="I41" i="6"/>
  <c r="I55" i="6"/>
  <c r="H61" i="6"/>
  <c r="G61" i="6"/>
  <c r="F61" i="6"/>
  <c r="E61" i="6"/>
  <c r="D61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U59" i="6"/>
  <c r="T59" i="6"/>
  <c r="S59" i="6"/>
  <c r="S57" i="6"/>
  <c r="S55" i="6" s="1"/>
  <c r="R59" i="6"/>
  <c r="R57" i="6"/>
  <c r="R55" i="6"/>
  <c r="Q59" i="6"/>
  <c r="P59" i="6"/>
  <c r="O59" i="6"/>
  <c r="O55" i="6" s="1"/>
  <c r="V58" i="6"/>
  <c r="U57" i="6"/>
  <c r="T57" i="6"/>
  <c r="Q57" i="6"/>
  <c r="Q55" i="6" s="1"/>
  <c r="P57" i="6"/>
  <c r="P55" i="6" s="1"/>
  <c r="V56" i="6"/>
  <c r="T55" i="6"/>
  <c r="N55" i="6"/>
  <c r="L55" i="6"/>
  <c r="K55" i="6"/>
  <c r="J55" i="6"/>
  <c r="H55" i="6"/>
  <c r="G55" i="6"/>
  <c r="F55" i="6"/>
  <c r="E55" i="6"/>
  <c r="D55" i="6"/>
  <c r="V54" i="6"/>
  <c r="V53" i="6"/>
  <c r="V52" i="6"/>
  <c r="V51" i="6"/>
  <c r="V50" i="6"/>
  <c r="V49" i="6"/>
  <c r="V48" i="6"/>
  <c r="V47" i="6"/>
  <c r="V46" i="6"/>
  <c r="U45" i="6"/>
  <c r="T45" i="6"/>
  <c r="S45" i="6"/>
  <c r="R45" i="6"/>
  <c r="Q45" i="6"/>
  <c r="P45" i="6"/>
  <c r="V44" i="6"/>
  <c r="V43" i="6"/>
  <c r="V42" i="6"/>
  <c r="U41" i="6"/>
  <c r="T41" i="6"/>
  <c r="S41" i="6"/>
  <c r="R41" i="6"/>
  <c r="Q41" i="6"/>
  <c r="P41" i="6"/>
  <c r="O41" i="6"/>
  <c r="N41" i="6"/>
  <c r="L41" i="6"/>
  <c r="K41" i="6"/>
  <c r="J41" i="6"/>
  <c r="H41" i="6"/>
  <c r="G41" i="6"/>
  <c r="F41" i="6"/>
  <c r="D41" i="6"/>
  <c r="E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V39" i="6"/>
  <c r="V38" i="6"/>
  <c r="P37" i="6"/>
  <c r="Q37" i="6"/>
  <c r="Q33" i="6" s="1"/>
  <c r="R37" i="6"/>
  <c r="R33" i="6" s="1"/>
  <c r="S37" i="6"/>
  <c r="T37" i="6"/>
  <c r="T33" i="6" s="1"/>
  <c r="U37" i="6"/>
  <c r="U33" i="6" s="1"/>
  <c r="S33" i="6"/>
  <c r="V36" i="6"/>
  <c r="V35" i="6"/>
  <c r="V34" i="6"/>
  <c r="O33" i="6"/>
  <c r="N33" i="6"/>
  <c r="L33" i="6"/>
  <c r="K33" i="6"/>
  <c r="J33" i="6"/>
  <c r="H33" i="6"/>
  <c r="G33" i="6"/>
  <c r="F33" i="6"/>
  <c r="E33" i="6"/>
  <c r="D33" i="6"/>
  <c r="V32" i="6"/>
  <c r="V31" i="6"/>
  <c r="V30" i="6"/>
  <c r="U29" i="6"/>
  <c r="V29" i="6" s="1"/>
  <c r="V28" i="6"/>
  <c r="U27" i="6"/>
  <c r="T27" i="6"/>
  <c r="S27" i="6"/>
  <c r="R27" i="6"/>
  <c r="Q27" i="6"/>
  <c r="P27" i="6"/>
  <c r="V26" i="6"/>
  <c r="T25" i="6"/>
  <c r="S25" i="6"/>
  <c r="S21" i="6" s="1"/>
  <c r="R25" i="6"/>
  <c r="R21" i="6" s="1"/>
  <c r="Q25" i="6"/>
  <c r="P25" i="6"/>
  <c r="V24" i="6"/>
  <c r="V23" i="6"/>
  <c r="V22" i="6"/>
  <c r="O21" i="6"/>
  <c r="N21" i="6"/>
  <c r="L21" i="6"/>
  <c r="K21" i="6"/>
  <c r="J21" i="6"/>
  <c r="H21" i="6"/>
  <c r="G21" i="6"/>
  <c r="F21" i="6"/>
  <c r="E21" i="6"/>
  <c r="D21" i="6"/>
  <c r="V20" i="6"/>
  <c r="O19" i="6"/>
  <c r="P19" i="6"/>
  <c r="Q19" i="6"/>
  <c r="R19" i="6"/>
  <c r="S19" i="6"/>
  <c r="T19" i="6"/>
  <c r="U19" i="6"/>
  <c r="U9" i="6" s="1"/>
  <c r="V18" i="6"/>
  <c r="U17" i="6"/>
  <c r="T17" i="6"/>
  <c r="S17" i="6"/>
  <c r="R17" i="6"/>
  <c r="Q17" i="6"/>
  <c r="P17" i="6"/>
  <c r="O17" i="6"/>
  <c r="V16" i="6"/>
  <c r="U15" i="6"/>
  <c r="T15" i="6"/>
  <c r="T11" i="6"/>
  <c r="T9" i="6" s="1"/>
  <c r="T13" i="6"/>
  <c r="S15" i="6"/>
  <c r="R15" i="6"/>
  <c r="Q15" i="6"/>
  <c r="P15" i="6"/>
  <c r="P11" i="6"/>
  <c r="P13" i="6"/>
  <c r="O15" i="6"/>
  <c r="V14" i="6"/>
  <c r="U13" i="6"/>
  <c r="S13" i="6"/>
  <c r="S9" i="6" s="1"/>
  <c r="R13" i="6"/>
  <c r="Q13" i="6"/>
  <c r="O13" i="6"/>
  <c r="V13" i="6"/>
  <c r="V12" i="6"/>
  <c r="O11" i="6"/>
  <c r="O9" i="6" s="1"/>
  <c r="Q11" i="6"/>
  <c r="R11" i="6"/>
  <c r="R9" i="6" s="1"/>
  <c r="S11" i="6"/>
  <c r="U11" i="6"/>
  <c r="V10" i="6"/>
  <c r="N9" i="6"/>
  <c r="L9" i="6"/>
  <c r="K9" i="6"/>
  <c r="J9" i="6"/>
  <c r="H9" i="6"/>
  <c r="G9" i="6"/>
  <c r="F9" i="6"/>
  <c r="F220" i="6" s="1"/>
  <c r="F283" i="6" s="1"/>
  <c r="E9" i="6"/>
  <c r="D9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S5" i="6"/>
  <c r="J282" i="6"/>
  <c r="F59" i="4"/>
  <c r="F65" i="4"/>
  <c r="G65" i="4" s="1"/>
  <c r="K65" i="4" s="1"/>
  <c r="E37" i="4"/>
  <c r="E113" i="4"/>
  <c r="E111" i="4"/>
  <c r="E109" i="4"/>
  <c r="K109" i="4" s="1"/>
  <c r="E107" i="4"/>
  <c r="E105" i="4"/>
  <c r="D105" i="4"/>
  <c r="D103" i="4"/>
  <c r="D101" i="4" s="1"/>
  <c r="D232" i="4" s="1"/>
  <c r="D295" i="4" s="1"/>
  <c r="E103" i="4"/>
  <c r="D107" i="4"/>
  <c r="D109" i="4"/>
  <c r="D111" i="4"/>
  <c r="D113" i="4"/>
  <c r="M217" i="4"/>
  <c r="M181" i="4"/>
  <c r="J181" i="4" s="1"/>
  <c r="M179" i="4"/>
  <c r="J179" i="4" s="1"/>
  <c r="M177" i="4"/>
  <c r="J177" i="4" s="1"/>
  <c r="M175" i="4"/>
  <c r="M173" i="4"/>
  <c r="J173" i="4" s="1"/>
  <c r="M171" i="4"/>
  <c r="J171" i="4" s="1"/>
  <c r="M169" i="4"/>
  <c r="J169" i="4" s="1"/>
  <c r="M167" i="4"/>
  <c r="M165" i="4"/>
  <c r="J165" i="4" s="1"/>
  <c r="M163" i="4"/>
  <c r="J163" i="4" s="1"/>
  <c r="M161" i="4"/>
  <c r="M159" i="4"/>
  <c r="M157" i="4"/>
  <c r="J157" i="4" s="1"/>
  <c r="M155" i="4"/>
  <c r="E90" i="4"/>
  <c r="E93" i="4"/>
  <c r="E91" i="4" s="1"/>
  <c r="K91" i="4" s="1"/>
  <c r="F79" i="4"/>
  <c r="F77" i="4" s="1"/>
  <c r="E79" i="4"/>
  <c r="K79" i="4" s="1"/>
  <c r="D79" i="4"/>
  <c r="F2" i="3"/>
  <c r="E2" i="3"/>
  <c r="D2" i="3"/>
  <c r="C2" i="3"/>
  <c r="B2" i="3"/>
  <c r="G2" i="3"/>
  <c r="O294" i="4"/>
  <c r="D294" i="4"/>
  <c r="I293" i="4"/>
  <c r="K293" i="4"/>
  <c r="M293" i="4" s="1"/>
  <c r="J293" i="4" s="1"/>
  <c r="K292" i="4"/>
  <c r="J292" i="4"/>
  <c r="K291" i="4"/>
  <c r="M291" i="4" s="1"/>
  <c r="J291" i="4" s="1"/>
  <c r="N291" i="4" s="1"/>
  <c r="K290" i="4"/>
  <c r="J290" i="4"/>
  <c r="J289" i="4"/>
  <c r="N289" i="4" s="1"/>
  <c r="E289" i="4"/>
  <c r="K288" i="4"/>
  <c r="J288" i="4"/>
  <c r="F287" i="4"/>
  <c r="K286" i="4"/>
  <c r="J286" i="4"/>
  <c r="O284" i="4"/>
  <c r="D284" i="4"/>
  <c r="M283" i="4"/>
  <c r="J283" i="4" s="1"/>
  <c r="F283" i="4"/>
  <c r="E283" i="4"/>
  <c r="J282" i="4"/>
  <c r="M281" i="4"/>
  <c r="J281" i="4" s="1"/>
  <c r="F281" i="4"/>
  <c r="E281" i="4"/>
  <c r="E284" i="4" s="1"/>
  <c r="K280" i="4"/>
  <c r="J280" i="4"/>
  <c r="N284" i="4"/>
  <c r="J278" i="4"/>
  <c r="J284" i="4" s="1"/>
  <c r="D276" i="4"/>
  <c r="J275" i="4"/>
  <c r="O275" i="4" s="1"/>
  <c r="I275" i="4"/>
  <c r="H275" i="4"/>
  <c r="H276" i="4" s="1"/>
  <c r="G275" i="4"/>
  <c r="K274" i="4"/>
  <c r="J274" i="4"/>
  <c r="J273" i="4"/>
  <c r="N273" i="4" s="1"/>
  <c r="H273" i="4"/>
  <c r="G273" i="4"/>
  <c r="F273" i="4"/>
  <c r="K272" i="4"/>
  <c r="J272" i="4"/>
  <c r="J271" i="4"/>
  <c r="N271" i="4" s="1"/>
  <c r="E271" i="4"/>
  <c r="K270" i="4"/>
  <c r="J270" i="4"/>
  <c r="J269" i="4"/>
  <c r="F269" i="4"/>
  <c r="K268" i="4"/>
  <c r="J268" i="4"/>
  <c r="J267" i="4"/>
  <c r="O267" i="4"/>
  <c r="E267" i="4"/>
  <c r="K267" i="4" s="1"/>
  <c r="J266" i="4"/>
  <c r="F265" i="4"/>
  <c r="E265" i="4"/>
  <c r="K264" i="4"/>
  <c r="J264" i="4"/>
  <c r="E263" i="4"/>
  <c r="K262" i="4"/>
  <c r="J262" i="4"/>
  <c r="O260" i="4"/>
  <c r="D260" i="4"/>
  <c r="J259" i="4"/>
  <c r="K258" i="4"/>
  <c r="J258" i="4"/>
  <c r="M257" i="4"/>
  <c r="E257" i="4" s="1"/>
  <c r="M260" i="4"/>
  <c r="K256" i="4"/>
  <c r="J256" i="4"/>
  <c r="J255" i="4"/>
  <c r="F255" i="4" s="1"/>
  <c r="K254" i="4"/>
  <c r="J254" i="4"/>
  <c r="J253" i="4"/>
  <c r="G253" i="4"/>
  <c r="K252" i="4"/>
  <c r="J252" i="4"/>
  <c r="J251" i="4"/>
  <c r="E251" i="4"/>
  <c r="I251" i="4"/>
  <c r="K250" i="4"/>
  <c r="J250" i="4"/>
  <c r="J249" i="4"/>
  <c r="E249" i="4"/>
  <c r="F249" i="4" s="1"/>
  <c r="I248" i="4"/>
  <c r="I260" i="4" s="1"/>
  <c r="H248" i="4"/>
  <c r="G248" i="4"/>
  <c r="F248" i="4"/>
  <c r="E248" i="4"/>
  <c r="J248" i="4" s="1"/>
  <c r="J260" i="4" s="1"/>
  <c r="J247" i="4"/>
  <c r="E247" i="4"/>
  <c r="K246" i="4"/>
  <c r="J246" i="4"/>
  <c r="J245" i="4"/>
  <c r="E245" i="4"/>
  <c r="K244" i="4"/>
  <c r="J244" i="4"/>
  <c r="E243" i="4"/>
  <c r="K243" i="4" s="1"/>
  <c r="N243" i="4" s="1"/>
  <c r="J243" i="4"/>
  <c r="K242" i="4"/>
  <c r="J242" i="4"/>
  <c r="E241" i="4"/>
  <c r="K241" i="4" s="1"/>
  <c r="J241" i="4"/>
  <c r="N241" i="4" s="1"/>
  <c r="K240" i="4"/>
  <c r="J240" i="4"/>
  <c r="J239" i="4"/>
  <c r="N239" i="4" s="1"/>
  <c r="E239" i="4"/>
  <c r="K239" i="4"/>
  <c r="K238" i="4"/>
  <c r="J238" i="4"/>
  <c r="J237" i="4"/>
  <c r="E237" i="4"/>
  <c r="E260" i="4" s="1"/>
  <c r="K236" i="4"/>
  <c r="J236" i="4"/>
  <c r="J235" i="4"/>
  <c r="N235" i="4"/>
  <c r="E235" i="4"/>
  <c r="K234" i="4"/>
  <c r="J234" i="4"/>
  <c r="N231" i="4"/>
  <c r="F231" i="4" s="1"/>
  <c r="K231" i="4" s="1"/>
  <c r="K230" i="4"/>
  <c r="J229" i="4"/>
  <c r="K228" i="4"/>
  <c r="J227" i="4"/>
  <c r="E227" i="4" s="1"/>
  <c r="E216" i="4" s="1"/>
  <c r="K226" i="4"/>
  <c r="J225" i="4"/>
  <c r="N225" i="4"/>
  <c r="G225" i="4"/>
  <c r="K225" i="4" s="1"/>
  <c r="K224" i="4"/>
  <c r="J223" i="4"/>
  <c r="N223" i="4" s="1"/>
  <c r="K222" i="4"/>
  <c r="J221" i="4"/>
  <c r="N221" i="4" s="1"/>
  <c r="K220" i="4"/>
  <c r="J219" i="4"/>
  <c r="N219" i="4" s="1"/>
  <c r="K218" i="4"/>
  <c r="O217" i="4"/>
  <c r="I217" i="4"/>
  <c r="H217" i="4"/>
  <c r="D217" i="4"/>
  <c r="I216" i="4"/>
  <c r="H216" i="4"/>
  <c r="D216" i="4"/>
  <c r="J215" i="4"/>
  <c r="F215" i="4" s="1"/>
  <c r="K215" i="4" s="1"/>
  <c r="K214" i="4"/>
  <c r="J213" i="4"/>
  <c r="F213" i="4"/>
  <c r="K213" i="4" s="1"/>
  <c r="K212" i="4"/>
  <c r="J211" i="4"/>
  <c r="N211" i="4" s="1"/>
  <c r="I211" i="4"/>
  <c r="K211" i="4" s="1"/>
  <c r="K210" i="4"/>
  <c r="J209" i="4"/>
  <c r="N209" i="4" s="1"/>
  <c r="K208" i="4"/>
  <c r="J207" i="4"/>
  <c r="J203" i="4" s="1"/>
  <c r="K206" i="4"/>
  <c r="J205" i="4"/>
  <c r="F205" i="4" s="1"/>
  <c r="K204" i="4"/>
  <c r="O203" i="4"/>
  <c r="M203" i="4"/>
  <c r="H203" i="4"/>
  <c r="G203" i="4"/>
  <c r="E203" i="4"/>
  <c r="D203" i="4"/>
  <c r="H202" i="4"/>
  <c r="G202" i="4"/>
  <c r="E202" i="4"/>
  <c r="D202" i="4"/>
  <c r="O183" i="4"/>
  <c r="O199" i="4" s="1"/>
  <c r="M199" i="4" s="1"/>
  <c r="K184" i="4"/>
  <c r="J184" i="4"/>
  <c r="J182" i="4" s="1"/>
  <c r="N183" i="4"/>
  <c r="J175" i="4"/>
  <c r="N175" i="4" s="1"/>
  <c r="F169" i="4"/>
  <c r="K169" i="4" s="1"/>
  <c r="J167" i="4"/>
  <c r="N167" i="4" s="1"/>
  <c r="J161" i="4"/>
  <c r="N161" i="4" s="1"/>
  <c r="J159" i="4"/>
  <c r="G159" i="4" s="1"/>
  <c r="K159" i="4" s="1"/>
  <c r="K156" i="4"/>
  <c r="J156" i="4"/>
  <c r="J155" i="4"/>
  <c r="N155" i="4" s="1"/>
  <c r="K154" i="4"/>
  <c r="J154" i="4"/>
  <c r="O153" i="4"/>
  <c r="I153" i="4"/>
  <c r="I152" i="4"/>
  <c r="J151" i="4"/>
  <c r="N151" i="4" s="1"/>
  <c r="J149" i="4"/>
  <c r="N149" i="4" s="1"/>
  <c r="G149" i="4"/>
  <c r="F149" i="4"/>
  <c r="J147" i="4"/>
  <c r="N147" i="4" s="1"/>
  <c r="H147" i="4"/>
  <c r="G147" i="4"/>
  <c r="J145" i="4"/>
  <c r="N145" i="4" s="1"/>
  <c r="G145" i="4"/>
  <c r="F145" i="4"/>
  <c r="J143" i="4"/>
  <c r="N143" i="4" s="1"/>
  <c r="H143" i="4"/>
  <c r="G143" i="4"/>
  <c r="J141" i="4"/>
  <c r="N141" i="4" s="1"/>
  <c r="H141" i="4"/>
  <c r="K141" i="4" s="1"/>
  <c r="G141" i="4"/>
  <c r="J139" i="4"/>
  <c r="J137" i="4"/>
  <c r="N137" i="4" s="1"/>
  <c r="G137" i="4"/>
  <c r="K137" i="4" s="1"/>
  <c r="F137" i="4"/>
  <c r="J135" i="4"/>
  <c r="N135" i="4" s="1"/>
  <c r="G135" i="4"/>
  <c r="F135" i="4"/>
  <c r="K135" i="4" s="1"/>
  <c r="J133" i="4"/>
  <c r="N133" i="4" s="1"/>
  <c r="G133" i="4"/>
  <c r="F133" i="4"/>
  <c r="K133" i="4"/>
  <c r="J131" i="4"/>
  <c r="N131" i="4" s="1"/>
  <c r="H131" i="4"/>
  <c r="H123" i="4"/>
  <c r="G131" i="4"/>
  <c r="J129" i="4"/>
  <c r="N129" i="4" s="1"/>
  <c r="G129" i="4"/>
  <c r="G122" i="4"/>
  <c r="F129" i="4"/>
  <c r="J127" i="4"/>
  <c r="K126" i="4"/>
  <c r="J126" i="4"/>
  <c r="J123" i="4" s="1"/>
  <c r="J125" i="4"/>
  <c r="K124" i="4"/>
  <c r="J124" i="4"/>
  <c r="J122" i="4" s="1"/>
  <c r="O123" i="4"/>
  <c r="M123" i="4"/>
  <c r="I123" i="4"/>
  <c r="D123" i="4"/>
  <c r="I122" i="4"/>
  <c r="D122" i="4"/>
  <c r="J121" i="4"/>
  <c r="I121" i="4"/>
  <c r="H121" i="4"/>
  <c r="K121" i="4" s="1"/>
  <c r="H119" i="4"/>
  <c r="K119" i="4" s="1"/>
  <c r="K120" i="4"/>
  <c r="J120" i="4"/>
  <c r="J119" i="4"/>
  <c r="O119" i="4" s="1"/>
  <c r="I119" i="4"/>
  <c r="K118" i="4"/>
  <c r="J118" i="4"/>
  <c r="M117" i="4"/>
  <c r="K116" i="4"/>
  <c r="J116" i="4"/>
  <c r="J115" i="4"/>
  <c r="O115" i="4" s="1"/>
  <c r="I115" i="4"/>
  <c r="I101" i="4" s="1"/>
  <c r="H115" i="4"/>
  <c r="J113" i="4"/>
  <c r="O113" i="4" s="1"/>
  <c r="K112" i="4"/>
  <c r="J112" i="4"/>
  <c r="J111" i="4"/>
  <c r="O111" i="4" s="1"/>
  <c r="K110" i="4"/>
  <c r="J110" i="4"/>
  <c r="J109" i="4"/>
  <c r="O109" i="4" s="1"/>
  <c r="K108" i="4"/>
  <c r="J108" i="4"/>
  <c r="J107" i="4"/>
  <c r="O107" i="4" s="1"/>
  <c r="K106" i="4"/>
  <c r="J106" i="4"/>
  <c r="J105" i="4"/>
  <c r="O105" i="4" s="1"/>
  <c r="K104" i="4"/>
  <c r="J104" i="4"/>
  <c r="J103" i="4"/>
  <c r="O103" i="4" s="1"/>
  <c r="K102" i="4"/>
  <c r="J102" i="4"/>
  <c r="M101" i="4"/>
  <c r="G101" i="4"/>
  <c r="F100" i="4"/>
  <c r="J100" i="4" s="1"/>
  <c r="J99" i="4"/>
  <c r="F99" i="4" s="1"/>
  <c r="K98" i="4"/>
  <c r="J98" i="4"/>
  <c r="J97" i="4"/>
  <c r="O97" i="4" s="1"/>
  <c r="O95" i="4" s="1"/>
  <c r="K96" i="4"/>
  <c r="J96" i="4"/>
  <c r="N95" i="4"/>
  <c r="M95" i="4"/>
  <c r="I94" i="4"/>
  <c r="J93" i="4"/>
  <c r="K93" i="4"/>
  <c r="K92" i="4"/>
  <c r="J92" i="4"/>
  <c r="J90" i="4" s="1"/>
  <c r="M91" i="4"/>
  <c r="K90" i="4"/>
  <c r="M89" i="4"/>
  <c r="M81" i="4" s="1"/>
  <c r="K88" i="4"/>
  <c r="J88" i="4"/>
  <c r="F89" i="4" s="1"/>
  <c r="J85" i="4"/>
  <c r="N85" i="4" s="1"/>
  <c r="F85" i="4"/>
  <c r="K84" i="4"/>
  <c r="J84" i="4"/>
  <c r="J83" i="4"/>
  <c r="F83" i="4"/>
  <c r="K83" i="4" s="1"/>
  <c r="N83" i="4" s="1"/>
  <c r="K82" i="4"/>
  <c r="J82" i="4"/>
  <c r="O81" i="4"/>
  <c r="J79" i="4"/>
  <c r="J77" i="4" s="1"/>
  <c r="O77" i="4" s="1"/>
  <c r="K78" i="4"/>
  <c r="J78" i="4"/>
  <c r="D77" i="4"/>
  <c r="F76" i="4"/>
  <c r="F75" i="4"/>
  <c r="F73" i="4" s="1"/>
  <c r="E75" i="4"/>
  <c r="E73" i="4" s="1"/>
  <c r="K74" i="4"/>
  <c r="J74" i="4" s="1"/>
  <c r="D73" i="4"/>
  <c r="F72" i="4"/>
  <c r="K72" i="4" s="1"/>
  <c r="E72" i="4"/>
  <c r="J71" i="4"/>
  <c r="N71" i="4"/>
  <c r="E71" i="4"/>
  <c r="F71" i="4" s="1"/>
  <c r="K71" i="4" s="1"/>
  <c r="K70" i="4"/>
  <c r="J70" i="4"/>
  <c r="J69" i="4"/>
  <c r="N69" i="4" s="1"/>
  <c r="E69" i="4"/>
  <c r="E67" i="4" s="1"/>
  <c r="K68" i="4"/>
  <c r="J68" i="4"/>
  <c r="M67" i="4"/>
  <c r="F66" i="4"/>
  <c r="J66" i="4" s="1"/>
  <c r="J65" i="4"/>
  <c r="K64" i="4"/>
  <c r="J64" i="4"/>
  <c r="J63" i="4"/>
  <c r="G63" i="4" s="1"/>
  <c r="K63" i="4" s="1"/>
  <c r="K62" i="4"/>
  <c r="J62" i="4"/>
  <c r="J61" i="4"/>
  <c r="N61" i="4" s="1"/>
  <c r="K60" i="4"/>
  <c r="J60" i="4"/>
  <c r="J59" i="4"/>
  <c r="N59" i="4" s="1"/>
  <c r="K58" i="4"/>
  <c r="J58" i="4"/>
  <c r="M57" i="4"/>
  <c r="J55" i="4"/>
  <c r="N55" i="4" s="1"/>
  <c r="N53" i="4" s="1"/>
  <c r="K54" i="4"/>
  <c r="J54" i="4"/>
  <c r="J52" i="4" s="1"/>
  <c r="M53" i="4"/>
  <c r="E52" i="4"/>
  <c r="K52" i="4" s="1"/>
  <c r="J51" i="4"/>
  <c r="G51" i="4" s="1"/>
  <c r="K51" i="4" s="1"/>
  <c r="F51" i="4"/>
  <c r="K50" i="4"/>
  <c r="J50" i="4"/>
  <c r="J49" i="4"/>
  <c r="N49" i="4" s="1"/>
  <c r="E49" i="4"/>
  <c r="E45" i="4" s="1"/>
  <c r="K48" i="4"/>
  <c r="J48" i="4"/>
  <c r="J47" i="4"/>
  <c r="N47" i="4" s="1"/>
  <c r="F47" i="4"/>
  <c r="K46" i="4"/>
  <c r="J46" i="4"/>
  <c r="M45" i="4"/>
  <c r="G44" i="4"/>
  <c r="F44" i="4"/>
  <c r="K44" i="4" s="1"/>
  <c r="J43" i="4"/>
  <c r="F43" i="4" s="1"/>
  <c r="K43" i="4" s="1"/>
  <c r="K42" i="4"/>
  <c r="J42" i="4"/>
  <c r="J41" i="4"/>
  <c r="N41" i="4" s="1"/>
  <c r="K40" i="4"/>
  <c r="J40" i="4"/>
  <c r="J39" i="4"/>
  <c r="N39" i="4"/>
  <c r="E39" i="4"/>
  <c r="E33" i="4" s="1"/>
  <c r="K38" i="4"/>
  <c r="J38" i="4"/>
  <c r="J37" i="4"/>
  <c r="N37" i="4" s="1"/>
  <c r="K36" i="4"/>
  <c r="J36" i="4"/>
  <c r="J35" i="4"/>
  <c r="N35" i="4" s="1"/>
  <c r="M33" i="4"/>
  <c r="J31" i="4"/>
  <c r="J29" i="4"/>
  <c r="E29" i="4" s="1"/>
  <c r="J27" i="4"/>
  <c r="E27" i="4" s="1"/>
  <c r="K26" i="4"/>
  <c r="J26" i="4"/>
  <c r="J25" i="4"/>
  <c r="F25" i="4" s="1"/>
  <c r="K24" i="4"/>
  <c r="J24" i="4"/>
  <c r="J23" i="4"/>
  <c r="K22" i="4"/>
  <c r="J22" i="4"/>
  <c r="M21" i="4"/>
  <c r="F20" i="4"/>
  <c r="K20" i="4"/>
  <c r="M17" i="4"/>
  <c r="E31" i="4"/>
  <c r="F31" i="4"/>
  <c r="N293" i="4"/>
  <c r="F27" i="4"/>
  <c r="F97" i="4"/>
  <c r="F95" i="4" s="1"/>
  <c r="N125" i="4"/>
  <c r="F125" i="4"/>
  <c r="K129" i="4"/>
  <c r="K131" i="4"/>
  <c r="N139" i="4"/>
  <c r="F139" i="4"/>
  <c r="K145" i="4"/>
  <c r="K149" i="4"/>
  <c r="N23" i="4"/>
  <c r="F23" i="4"/>
  <c r="E23" i="4"/>
  <c r="K23" i="4" s="1"/>
  <c r="N65" i="4"/>
  <c r="N169" i="4"/>
  <c r="G175" i="4"/>
  <c r="K175" i="4" s="1"/>
  <c r="N127" i="4"/>
  <c r="F127" i="4"/>
  <c r="K127" i="4"/>
  <c r="N229" i="4"/>
  <c r="E229" i="4"/>
  <c r="H253" i="4"/>
  <c r="K253" i="4" s="1"/>
  <c r="N253" i="4" s="1"/>
  <c r="K265" i="4"/>
  <c r="M265" i="4" s="1"/>
  <c r="J265" i="4" s="1"/>
  <c r="N265" i="4" s="1"/>
  <c r="K275" i="4"/>
  <c r="G221" i="4"/>
  <c r="K221" i="4" s="1"/>
  <c r="F247" i="4"/>
  <c r="K247" i="4" s="1"/>
  <c r="N247" i="4" s="1"/>
  <c r="H249" i="4"/>
  <c r="F284" i="4"/>
  <c r="N205" i="4"/>
  <c r="I209" i="4"/>
  <c r="N213" i="4"/>
  <c r="E255" i="4"/>
  <c r="K255" i="4" s="1"/>
  <c r="N255" i="4" s="1"/>
  <c r="G279" i="4"/>
  <c r="H279" i="4" s="1"/>
  <c r="H284" i="4" s="1"/>
  <c r="N89" i="4"/>
  <c r="K139" i="4"/>
  <c r="K229" i="4"/>
  <c r="F271" i="4"/>
  <c r="K271" i="4"/>
  <c r="G281" i="4"/>
  <c r="K281" i="4" s="1"/>
  <c r="F109" i="4"/>
  <c r="F107" i="4"/>
  <c r="K107" i="4" s="1"/>
  <c r="J81" i="4"/>
  <c r="O79" i="4"/>
  <c r="J67" i="4"/>
  <c r="N67" i="4" s="1"/>
  <c r="F49" i="4"/>
  <c r="K49" i="4" s="1"/>
  <c r="N51" i="4"/>
  <c r="N93" i="4"/>
  <c r="J91" i="4"/>
  <c r="N91" i="4" s="1"/>
  <c r="N31" i="4"/>
  <c r="O121" i="4"/>
  <c r="J117" i="4"/>
  <c r="O117" i="4" s="1"/>
  <c r="G219" i="4"/>
  <c r="E259" i="4"/>
  <c r="F259" i="4" s="1"/>
  <c r="G259" i="4" s="1"/>
  <c r="H259" i="4" s="1"/>
  <c r="I259" i="4" s="1"/>
  <c r="J20" i="4"/>
  <c r="E123" i="4"/>
  <c r="K125" i="4"/>
  <c r="M153" i="4"/>
  <c r="N215" i="4"/>
  <c r="G47" i="4"/>
  <c r="K47" i="4" s="1"/>
  <c r="O99" i="4"/>
  <c r="K115" i="4"/>
  <c r="H101" i="4"/>
  <c r="J44" i="4"/>
  <c r="N63" i="4"/>
  <c r="K76" i="4"/>
  <c r="J76" i="4"/>
  <c r="E122" i="4"/>
  <c r="K143" i="4"/>
  <c r="K263" i="4"/>
  <c r="M263" i="4" s="1"/>
  <c r="I117" i="4"/>
  <c r="E55" i="4"/>
  <c r="G85" i="4"/>
  <c r="K85" i="4" s="1"/>
  <c r="I202" i="4"/>
  <c r="K209" i="4"/>
  <c r="N237" i="4"/>
  <c r="N177" i="4"/>
  <c r="H177" i="4"/>
  <c r="K177" i="4" s="1"/>
  <c r="H289" i="4"/>
  <c r="E294" i="4"/>
  <c r="G289" i="4"/>
  <c r="F289" i="4"/>
  <c r="F294" i="4" s="1"/>
  <c r="H251" i="4"/>
  <c r="H260" i="4" s="1"/>
  <c r="G251" i="4"/>
  <c r="F251" i="4"/>
  <c r="I269" i="4"/>
  <c r="I276" i="4" s="1"/>
  <c r="N269" i="4"/>
  <c r="H269" i="4"/>
  <c r="G269" i="4"/>
  <c r="K269" i="4" s="1"/>
  <c r="G276" i="4"/>
  <c r="I289" i="4"/>
  <c r="O185" i="4"/>
  <c r="M185" i="4"/>
  <c r="H185" i="4" s="1"/>
  <c r="O189" i="4"/>
  <c r="M189" i="4"/>
  <c r="J189" i="4" s="1"/>
  <c r="O193" i="4"/>
  <c r="M193" i="4"/>
  <c r="H193" i="4" s="1"/>
  <c r="O197" i="4"/>
  <c r="M197" i="4"/>
  <c r="H197" i="4" s="1"/>
  <c r="O201" i="4"/>
  <c r="M201" i="4"/>
  <c r="H201" i="4" s="1"/>
  <c r="I249" i="4"/>
  <c r="O187" i="4"/>
  <c r="M187" i="4" s="1"/>
  <c r="G189" i="4" s="1"/>
  <c r="O191" i="4"/>
  <c r="M191" i="4" s="1"/>
  <c r="H191" i="4" s="1"/>
  <c r="O195" i="4"/>
  <c r="M195" i="4" s="1"/>
  <c r="H195" i="4" s="1"/>
  <c r="G287" i="4"/>
  <c r="M284" i="4"/>
  <c r="F276" i="4"/>
  <c r="F45" i="4"/>
  <c r="F217" i="4"/>
  <c r="F216" i="4"/>
  <c r="K219" i="4"/>
  <c r="G294" i="4"/>
  <c r="H287" i="4"/>
  <c r="H294" i="4" s="1"/>
  <c r="J197" i="4"/>
  <c r="K55" i="4"/>
  <c r="E53" i="4"/>
  <c r="G187" i="4"/>
  <c r="J185" i="4"/>
  <c r="K53" i="4"/>
  <c r="I287" i="4"/>
  <c r="K287" i="4"/>
  <c r="M287" i="4" s="1"/>
  <c r="M294" i="4" s="1"/>
  <c r="J287" i="4"/>
  <c r="J294" i="4" s="1"/>
  <c r="I9" i="3"/>
  <c r="J9" i="3" s="1"/>
  <c r="M5" i="3"/>
  <c r="I14" i="3"/>
  <c r="J14" i="3"/>
  <c r="L5" i="3" s="1"/>
  <c r="G13" i="3"/>
  <c r="G14" i="3" s="1"/>
  <c r="L4" i="3" s="1"/>
  <c r="I27" i="3"/>
  <c r="J27" i="3" s="1"/>
  <c r="L6" i="3" s="1"/>
  <c r="F27" i="3"/>
  <c r="G27" i="3"/>
  <c r="L8" i="3" s="1"/>
  <c r="D37" i="3"/>
  <c r="D36" i="3"/>
  <c r="D38" i="3" s="1"/>
  <c r="E38" i="3" s="1"/>
  <c r="L7" i="3" s="1"/>
  <c r="E36" i="3"/>
  <c r="G12" i="3"/>
  <c r="F5" i="3"/>
  <c r="G5" i="3" s="1"/>
  <c r="F6" i="3"/>
  <c r="G6" i="3"/>
  <c r="F7" i="3"/>
  <c r="G7" i="3" s="1"/>
  <c r="F8" i="3"/>
  <c r="G8" i="3"/>
  <c r="F4" i="3"/>
  <c r="G4" i="3" s="1"/>
  <c r="K99" i="4"/>
  <c r="G59" i="4"/>
  <c r="R220" i="6" l="1"/>
  <c r="S220" i="6"/>
  <c r="R264" i="6"/>
  <c r="O248" i="6"/>
  <c r="L220" i="6"/>
  <c r="V79" i="6"/>
  <c r="P248" i="6"/>
  <c r="V255" i="6"/>
  <c r="T21" i="6"/>
  <c r="V37" i="6"/>
  <c r="U110" i="6"/>
  <c r="V110" i="6" s="1"/>
  <c r="V205" i="6"/>
  <c r="P205" i="6"/>
  <c r="T248" i="6"/>
  <c r="V225" i="6"/>
  <c r="V233" i="6"/>
  <c r="S282" i="6"/>
  <c r="V65" i="6"/>
  <c r="Q9" i="6"/>
  <c r="Q220" i="6" s="1"/>
  <c r="V17" i="6"/>
  <c r="V27" i="6"/>
  <c r="U21" i="6"/>
  <c r="V40" i="6"/>
  <c r="V219" i="6"/>
  <c r="V229" i="6"/>
  <c r="V269" i="6"/>
  <c r="V237" i="6"/>
  <c r="E220" i="6"/>
  <c r="E283" i="6" s="1"/>
  <c r="Q21" i="6"/>
  <c r="V45" i="6"/>
  <c r="V59" i="6"/>
  <c r="U55" i="6"/>
  <c r="V55" i="6" s="1"/>
  <c r="V67" i="6"/>
  <c r="V191" i="6"/>
  <c r="V271" i="6"/>
  <c r="P282" i="6"/>
  <c r="T282" i="6"/>
  <c r="J220" i="6"/>
  <c r="J283" i="6" s="1"/>
  <c r="K220" i="6"/>
  <c r="K283" i="6" s="1"/>
  <c r="D220" i="6"/>
  <c r="D283" i="6" s="1"/>
  <c r="G163" i="4"/>
  <c r="K163" i="4" s="1"/>
  <c r="N163" i="4"/>
  <c r="N171" i="4"/>
  <c r="H171" i="4"/>
  <c r="K171" i="4" s="1"/>
  <c r="G179" i="4"/>
  <c r="N179" i="4"/>
  <c r="F157" i="4"/>
  <c r="K157" i="4" s="1"/>
  <c r="N157" i="4"/>
  <c r="N165" i="4"/>
  <c r="G165" i="4"/>
  <c r="K165" i="4" s="1"/>
  <c r="H173" i="4"/>
  <c r="K173" i="4" s="1"/>
  <c r="N173" i="4"/>
  <c r="N181" i="4"/>
  <c r="F181" i="4"/>
  <c r="K181" i="4" s="1"/>
  <c r="K227" i="4"/>
  <c r="H122" i="4"/>
  <c r="J216" i="4"/>
  <c r="J152" i="4"/>
  <c r="G167" i="4"/>
  <c r="K167" i="4" s="1"/>
  <c r="F303" i="4"/>
  <c r="E77" i="4"/>
  <c r="K77" i="4" s="1"/>
  <c r="K147" i="4"/>
  <c r="K249" i="4"/>
  <c r="N249" i="4" s="1"/>
  <c r="I97" i="4"/>
  <c r="G123" i="4"/>
  <c r="F57" i="4"/>
  <c r="G45" i="4"/>
  <c r="K45" i="4" s="1"/>
  <c r="K251" i="4"/>
  <c r="N251" i="4" s="1"/>
  <c r="N207" i="4"/>
  <c r="N203" i="4" s="1"/>
  <c r="N227" i="4"/>
  <c r="N217" i="4" s="1"/>
  <c r="F237" i="4"/>
  <c r="K237" i="4" s="1"/>
  <c r="E276" i="4"/>
  <c r="H161" i="4"/>
  <c r="J202" i="4"/>
  <c r="N159" i="4"/>
  <c r="J217" i="4"/>
  <c r="N43" i="4"/>
  <c r="F111" i="4"/>
  <c r="K111" i="4" s="1"/>
  <c r="F113" i="4"/>
  <c r="K113" i="4" s="1"/>
  <c r="J101" i="4"/>
  <c r="O101" i="4" s="1"/>
  <c r="F69" i="4"/>
  <c r="I203" i="4"/>
  <c r="J153" i="4"/>
  <c r="F35" i="4"/>
  <c r="K35" i="4" s="1"/>
  <c r="G249" i="4"/>
  <c r="G260" i="4" s="1"/>
  <c r="O276" i="4"/>
  <c r="V267" i="6"/>
  <c r="J201" i="4"/>
  <c r="N27" i="4"/>
  <c r="F155" i="4"/>
  <c r="J32" i="4"/>
  <c r="F94" i="4"/>
  <c r="K94" i="4" s="1"/>
  <c r="K259" i="4"/>
  <c r="N259" i="4" s="1"/>
  <c r="J193" i="4"/>
  <c r="I193" i="4" s="1"/>
  <c r="K193" i="4" s="1"/>
  <c r="N287" i="4"/>
  <c r="G197" i="4"/>
  <c r="F207" i="4"/>
  <c r="J57" i="4"/>
  <c r="N57" i="4" s="1"/>
  <c r="F39" i="4"/>
  <c r="K39" i="4" s="1"/>
  <c r="J45" i="4"/>
  <c r="K100" i="4"/>
  <c r="F37" i="4"/>
  <c r="K37" i="4" s="1"/>
  <c r="K31" i="4"/>
  <c r="J72" i="4"/>
  <c r="M75" i="4" s="1"/>
  <c r="N81" i="4"/>
  <c r="F235" i="4"/>
  <c r="K235" i="4" s="1"/>
  <c r="F245" i="4"/>
  <c r="K245" i="4" s="1"/>
  <c r="N245" i="4" s="1"/>
  <c r="E101" i="4"/>
  <c r="F81" i="4"/>
  <c r="F80" i="4"/>
  <c r="G89" i="4"/>
  <c r="G81" i="4" s="1"/>
  <c r="K87" i="4"/>
  <c r="V60" i="6"/>
  <c r="O220" i="6"/>
  <c r="I220" i="6"/>
  <c r="I283" i="6" s="1"/>
  <c r="H220" i="6"/>
  <c r="H283" i="6" s="1"/>
  <c r="N220" i="6"/>
  <c r="N283" i="6" s="1"/>
  <c r="V41" i="6"/>
  <c r="F304" i="4"/>
  <c r="K73" i="4"/>
  <c r="K179" i="4"/>
  <c r="N294" i="4"/>
  <c r="J195" i="4"/>
  <c r="I195" i="4" s="1"/>
  <c r="J21" i="4"/>
  <c r="E25" i="4"/>
  <c r="E21" i="4" s="1"/>
  <c r="F151" i="4"/>
  <c r="K283" i="4"/>
  <c r="M272" i="6"/>
  <c r="I294" i="4"/>
  <c r="N29" i="4"/>
  <c r="K289" i="4"/>
  <c r="K294" i="4" s="1"/>
  <c r="K27" i="4"/>
  <c r="N45" i="4"/>
  <c r="E217" i="4"/>
  <c r="F105" i="4"/>
  <c r="K105" i="4" s="1"/>
  <c r="I185" i="4"/>
  <c r="K185" i="4" s="1"/>
  <c r="N33" i="4"/>
  <c r="G284" i="4"/>
  <c r="I279" i="4"/>
  <c r="I284" i="4" s="1"/>
  <c r="L9" i="3"/>
  <c r="K197" i="4"/>
  <c r="J187" i="4"/>
  <c r="H187" i="4" s="1"/>
  <c r="M183" i="4"/>
  <c r="E303" i="4"/>
  <c r="D303" i="4"/>
  <c r="M276" i="4"/>
  <c r="J263" i="4"/>
  <c r="N123" i="4"/>
  <c r="J199" i="4"/>
  <c r="G201" i="4"/>
  <c r="K201" i="4" s="1"/>
  <c r="H199" i="4"/>
  <c r="F9" i="3"/>
  <c r="G9" i="3" s="1"/>
  <c r="M4" i="3" s="1"/>
  <c r="M9" i="3" s="1"/>
  <c r="M11" i="3" s="1"/>
  <c r="K205" i="4"/>
  <c r="F203" i="4"/>
  <c r="K59" i="4"/>
  <c r="J94" i="4"/>
  <c r="J191" i="4"/>
  <c r="I191" i="4" s="1"/>
  <c r="K195" i="4"/>
  <c r="M73" i="4"/>
  <c r="J75" i="4"/>
  <c r="L283" i="6"/>
  <c r="H189" i="4"/>
  <c r="K189" i="4" s="1"/>
  <c r="K66" i="4"/>
  <c r="F41" i="4"/>
  <c r="J33" i="4"/>
  <c r="N25" i="4"/>
  <c r="J53" i="4"/>
  <c r="K75" i="4"/>
  <c r="M231" i="4"/>
  <c r="J231" i="4" s="1"/>
  <c r="F257" i="4"/>
  <c r="V11" i="6"/>
  <c r="T220" i="6"/>
  <c r="T283" i="6" s="1"/>
  <c r="V85" i="6"/>
  <c r="U83" i="6"/>
  <c r="V83" i="6" s="1"/>
  <c r="U111" i="6"/>
  <c r="V111" i="6" s="1"/>
  <c r="U248" i="6"/>
  <c r="V227" i="6"/>
  <c r="V253" i="6"/>
  <c r="O264" i="6"/>
  <c r="V264" i="6" s="1"/>
  <c r="F29" i="4"/>
  <c r="K29" i="4" s="1"/>
  <c r="G61" i="4"/>
  <c r="K61" i="4" s="1"/>
  <c r="G223" i="4"/>
  <c r="V19" i="6"/>
  <c r="P21" i="6"/>
  <c r="V21" i="6" s="1"/>
  <c r="V25" i="6"/>
  <c r="M61" i="6"/>
  <c r="V61" i="6" s="1"/>
  <c r="S248" i="6"/>
  <c r="S283" i="6" s="1"/>
  <c r="V239" i="6"/>
  <c r="V251" i="6"/>
  <c r="H117" i="4"/>
  <c r="K248" i="4"/>
  <c r="K273" i="4"/>
  <c r="K276" i="4" s="1"/>
  <c r="F103" i="4"/>
  <c r="G220" i="6"/>
  <c r="G283" i="6" s="1"/>
  <c r="V15" i="6"/>
  <c r="P9" i="6"/>
  <c r="P33" i="6"/>
  <c r="V33" i="6" s="1"/>
  <c r="V57" i="6"/>
  <c r="Q248" i="6"/>
  <c r="V248" i="6" s="1"/>
  <c r="V231" i="6"/>
  <c r="R272" i="6"/>
  <c r="R283" i="6" l="1"/>
  <c r="V282" i="6"/>
  <c r="K155" i="4"/>
  <c r="F153" i="4"/>
  <c r="F152" i="4"/>
  <c r="H152" i="4"/>
  <c r="G152" i="4"/>
  <c r="K207" i="4"/>
  <c r="K203" i="4" s="1"/>
  <c r="F202" i="4"/>
  <c r="K202" i="4" s="1"/>
  <c r="K69" i="4"/>
  <c r="F67" i="4"/>
  <c r="K67" i="4" s="1"/>
  <c r="K161" i="4"/>
  <c r="H153" i="4"/>
  <c r="G80" i="4"/>
  <c r="J80" i="4" s="1"/>
  <c r="G153" i="4"/>
  <c r="I95" i="4"/>
  <c r="K95" i="4" s="1"/>
  <c r="K97" i="4"/>
  <c r="N153" i="4"/>
  <c r="K89" i="4"/>
  <c r="K81" i="4"/>
  <c r="K25" i="4"/>
  <c r="N21" i="4"/>
  <c r="N232" i="4" s="1"/>
  <c r="F21" i="4"/>
  <c r="I199" i="4"/>
  <c r="K199" i="4" s="1"/>
  <c r="K279" i="4"/>
  <c r="K151" i="4"/>
  <c r="F123" i="4"/>
  <c r="K123" i="4" s="1"/>
  <c r="F122" i="4"/>
  <c r="K122" i="4" s="1"/>
  <c r="K284" i="4"/>
  <c r="K223" i="4"/>
  <c r="K217" i="4" s="1"/>
  <c r="G217" i="4"/>
  <c r="G216" i="4"/>
  <c r="K216" i="4" s="1"/>
  <c r="O283" i="6"/>
  <c r="H183" i="4"/>
  <c r="H182" i="4"/>
  <c r="Q283" i="6"/>
  <c r="P220" i="6"/>
  <c r="P283" i="6" s="1"/>
  <c r="V9" i="6"/>
  <c r="H284" i="6"/>
  <c r="I182" i="4"/>
  <c r="G56" i="4"/>
  <c r="G303" i="4"/>
  <c r="U220" i="6"/>
  <c r="U283" i="6" s="1"/>
  <c r="O75" i="4"/>
  <c r="J73" i="4"/>
  <c r="O73" i="4" s="1"/>
  <c r="O232" i="4" s="1"/>
  <c r="O295" i="4" s="1"/>
  <c r="J183" i="4"/>
  <c r="E232" i="4"/>
  <c r="E295" i="4" s="1"/>
  <c r="F32" i="4"/>
  <c r="F33" i="4"/>
  <c r="K33" i="4" s="1"/>
  <c r="K41" i="4"/>
  <c r="K32" i="4" s="1"/>
  <c r="K117" i="4"/>
  <c r="F307" i="4"/>
  <c r="F101" i="4"/>
  <c r="K103" i="4"/>
  <c r="V272" i="6"/>
  <c r="M220" i="6"/>
  <c r="K257" i="4"/>
  <c r="N257" i="4" s="1"/>
  <c r="N260" i="4" s="1"/>
  <c r="F260" i="4"/>
  <c r="M232" i="4"/>
  <c r="M295" i="4" s="1"/>
  <c r="K187" i="4"/>
  <c r="G183" i="4"/>
  <c r="N263" i="4"/>
  <c r="N276" i="4" s="1"/>
  <c r="J276" i="4"/>
  <c r="G57" i="4"/>
  <c r="K191" i="4"/>
  <c r="K80" i="4" l="1"/>
  <c r="N295" i="4"/>
  <c r="F232" i="4"/>
  <c r="F295" i="4" s="1"/>
  <c r="H232" i="4"/>
  <c r="H295" i="4" s="1"/>
  <c r="E307" i="4" s="1"/>
  <c r="K152" i="4"/>
  <c r="K153" i="4"/>
  <c r="K21" i="4"/>
  <c r="I183" i="4"/>
  <c r="K183" i="4" s="1"/>
  <c r="K232" i="4" s="1"/>
  <c r="K182" i="4"/>
  <c r="N300" i="4"/>
  <c r="N296" i="4"/>
  <c r="N297" i="4" s="1"/>
  <c r="F306" i="4"/>
  <c r="I232" i="4"/>
  <c r="I295" i="4" s="1"/>
  <c r="G232" i="4"/>
  <c r="G295" i="4" s="1"/>
  <c r="K57" i="4"/>
  <c r="E304" i="4"/>
  <c r="D304" i="4"/>
  <c r="O300" i="4"/>
  <c r="D305" i="4"/>
  <c r="E305" i="4"/>
  <c r="F305" i="4"/>
  <c r="K101" i="4"/>
  <c r="M283" i="6"/>
  <c r="T284" i="6" s="1"/>
  <c r="V220" i="6"/>
  <c r="J232" i="4"/>
  <c r="J295" i="4" s="1"/>
  <c r="J56" i="4"/>
  <c r="K56" i="4"/>
  <c r="K260" i="4"/>
  <c r="F308" i="4" l="1"/>
  <c r="D307" i="4"/>
  <c r="G307" i="4" s="1"/>
  <c r="K295" i="4"/>
  <c r="O297" i="4"/>
  <c r="F309" i="4"/>
  <c r="E306" i="4"/>
  <c r="D306" i="4"/>
  <c r="G304" i="4"/>
  <c r="V283" i="6"/>
  <c r="G305" i="4"/>
  <c r="D308" i="4"/>
  <c r="E308" i="4"/>
  <c r="E309" i="4" l="1"/>
  <c r="G306" i="4"/>
  <c r="G308" i="4"/>
  <c r="D309" i="4"/>
  <c r="G309" i="4" s="1"/>
</calcChain>
</file>

<file path=xl/sharedStrings.xml><?xml version="1.0" encoding="utf-8"?>
<sst xmlns="http://schemas.openxmlformats.org/spreadsheetml/2006/main" count="926" uniqueCount="225">
  <si>
    <t>Objetivo del Projecto</t>
  </si>
  <si>
    <t>El objetivo del programa es mejorar la salud y las condiciones de vida de la población del Municipio de São Paulo, por medio del incremento del acceso y de la calidad de los servicios y de la mejora del desempeño y eficiencia del sistema.</t>
  </si>
  <si>
    <t>Indicadores</t>
  </si>
  <si>
    <t>Unidad de medida</t>
  </si>
  <si>
    <t>Linea de base</t>
  </si>
  <si>
    <t>Año de la Linea de base</t>
  </si>
  <si>
    <t>Meta final</t>
  </si>
  <si>
    <t>Medio de verificación</t>
  </si>
  <si>
    <t>Comentarios</t>
  </si>
  <si>
    <t>Resultados esperados 1:</t>
  </si>
  <si>
    <t>Resultados esperados 2:</t>
  </si>
  <si>
    <t xml:space="preserve">Resultados esperados 3: </t>
  </si>
  <si>
    <t xml:space="preserve">Resultados esperados 4: </t>
  </si>
  <si>
    <t>Taxa de Dolar</t>
  </si>
  <si>
    <t>Año 0</t>
  </si>
  <si>
    <t>Año 1</t>
  </si>
  <si>
    <t>Año 2</t>
  </si>
  <si>
    <t>Año 3</t>
  </si>
  <si>
    <t>Año 4</t>
  </si>
  <si>
    <t>Año 5</t>
  </si>
  <si>
    <t>Valor total</t>
  </si>
  <si>
    <t>Meta final (física y financiera)</t>
  </si>
  <si>
    <t>Valores em R$</t>
  </si>
  <si>
    <t>Montos</t>
  </si>
  <si>
    <t>Componente 1. Apoyo a la reestructuración, reorganización e integración de las redes locales de atención a salud (BID US$46,6 millones; Local US$100 millones)</t>
  </si>
  <si>
    <t>BID</t>
  </si>
  <si>
    <t>Contrapartida</t>
  </si>
  <si>
    <t>Unidades de Pronto Atendimento a construir</t>
  </si>
  <si>
    <t>UPA</t>
  </si>
  <si>
    <t>US$</t>
  </si>
  <si>
    <t>UPA Jardim Peri</t>
  </si>
  <si>
    <t>UPA Rio Pequeno</t>
  </si>
  <si>
    <t>UPA Parque Anhanguera</t>
  </si>
  <si>
    <t>UPA Laranjeiras</t>
  </si>
  <si>
    <t>UPA Jardim Helena</t>
  </si>
  <si>
    <t>Unidades de Pronto Atendimento a serem reformadas e ampliadas (PS Caetano Virgílio, PS Santana, PS Barra Funda, PS 21 de junho, PS Vila Maria Baixa)</t>
  </si>
  <si>
    <t>UPA Butantã</t>
  </si>
  <si>
    <t>UPA Santana</t>
  </si>
  <si>
    <t>UPA Barra Funda</t>
  </si>
  <si>
    <t>UPA 21 de Junho</t>
  </si>
  <si>
    <t>UPA Vila Maria Baixa</t>
  </si>
  <si>
    <t>Equipamentos de Saúde a reformar (Sacomã, Vila Buarque e Sé)</t>
  </si>
  <si>
    <t>UPA Sacomã</t>
  </si>
  <si>
    <t>UPA Vila Buarque</t>
  </si>
  <si>
    <t>UPA Sé</t>
  </si>
  <si>
    <t>Sede da Coordenadoria Norte a reformar</t>
  </si>
  <si>
    <t xml:space="preserve">Regionais </t>
  </si>
  <si>
    <t>Sede Norte</t>
  </si>
  <si>
    <t>Sede</t>
  </si>
  <si>
    <t>Centro de Cuidado do Integrado a construir (CCI Leste, Sul, Oeste e Sudeste)</t>
  </si>
  <si>
    <t>CCI</t>
  </si>
  <si>
    <t>CCI Leste</t>
  </si>
  <si>
    <t>CCI Sul</t>
  </si>
  <si>
    <t>CCI Oeste</t>
  </si>
  <si>
    <t>CCI Sudeste</t>
  </si>
  <si>
    <t>Centro de Cuidado do Integrado a reformar (CCI Norte e Centro)</t>
  </si>
  <si>
    <t>CCI Norte</t>
  </si>
  <si>
    <t>CCI Centro</t>
  </si>
  <si>
    <t>Projetos Arquitetônicos e Executivos de unidades a construir</t>
  </si>
  <si>
    <t>Projetos</t>
  </si>
  <si>
    <t>Projetos Arquitetônicos e Executivos de Equipamentos de Saúde a serem construídos e reformados</t>
  </si>
  <si>
    <t>Hospital construído (Contrapartida)</t>
  </si>
  <si>
    <t>Hospital</t>
  </si>
  <si>
    <t>Hospital de Brasilandia construído</t>
  </si>
  <si>
    <t>Equipados</t>
  </si>
  <si>
    <t>Equipamentos e mobiliarios UPA construída</t>
  </si>
  <si>
    <t>UPA equipada</t>
  </si>
  <si>
    <t>Equipamentos e mobiliarios UPA reformada</t>
  </si>
  <si>
    <t>Equipamentos e mobiliarios CCI implantada</t>
  </si>
  <si>
    <t>CCI equipada</t>
  </si>
  <si>
    <t>Equipamentos e mobiliarios para as Sedes das Coordenadorias Norte, Centro e Oeste</t>
  </si>
  <si>
    <t>Equipamentos</t>
  </si>
  <si>
    <t>Coordenadoria</t>
  </si>
  <si>
    <t>Equipamentos e mobiliarios para o Hospital e UPAS (Contrapartida)</t>
  </si>
  <si>
    <t>Equipamentos e mobiliarios de Hospital construído</t>
  </si>
  <si>
    <t>Unidades de Pronto Atendimento em andamento e a construir (Contrapartida)</t>
  </si>
  <si>
    <t>UPA City Jaraguá</t>
  </si>
  <si>
    <t>UPA Cidade Tiradentes</t>
  </si>
  <si>
    <t>UPA Jabaquara</t>
  </si>
  <si>
    <t>UPA Vila Mariana II</t>
  </si>
  <si>
    <t>UPA Mooca</t>
  </si>
  <si>
    <t>UPA Parelheiros</t>
  </si>
  <si>
    <t>UPA Jardim Myrna (a construir)</t>
  </si>
  <si>
    <t>Unidades de Pronto Atendimento a serem reformadas e ampliadas (Contrapartida)</t>
  </si>
  <si>
    <t>UPA Lapa</t>
  </si>
  <si>
    <t>UPA São Mateus</t>
  </si>
  <si>
    <t>Unidades Básicas de Saúde a serem reformadas</t>
  </si>
  <si>
    <t>UBS</t>
  </si>
  <si>
    <t>UBS Bom Retiro</t>
  </si>
  <si>
    <t>UBS Humaitá</t>
  </si>
  <si>
    <t>UBS Jardim Ladeira Rosa</t>
  </si>
  <si>
    <t>UBS Parque Anhanguera</t>
  </si>
  <si>
    <t>UBS Wamberto Dias Costa</t>
  </si>
  <si>
    <t>UBS Vila Zatt</t>
  </si>
  <si>
    <t>UBS Jardim Vera Cruz</t>
  </si>
  <si>
    <t>UBS Dr. José de Barros Magaldi</t>
  </si>
  <si>
    <t>UBS Vila Regina</t>
  </si>
  <si>
    <t>UBS Roseli</t>
  </si>
  <si>
    <t>UBS Parque Arthur Alvim</t>
  </si>
  <si>
    <t>UBS Vila Santo Estevão</t>
  </si>
  <si>
    <t>UBS Jardim Aeroporto</t>
  </si>
  <si>
    <t>UBS Veleiros</t>
  </si>
  <si>
    <t>Equipamentos e mobiliários para as UBSs reformadas</t>
  </si>
  <si>
    <t>Unidades Básicas de Saúde a serem construídas (contrapartida)</t>
  </si>
  <si>
    <t>UBS Liberdade</t>
  </si>
  <si>
    <t>UBS Jardim Brasília</t>
  </si>
  <si>
    <t>UBS Jardim Antartica</t>
  </si>
  <si>
    <t>UBS Caju</t>
  </si>
  <si>
    <t>UBS Malta II</t>
  </si>
  <si>
    <t>UBS Parque das Flores</t>
  </si>
  <si>
    <t>UBS Keralux</t>
  </si>
  <si>
    <t>UBS Primavera Colorado</t>
  </si>
  <si>
    <t>UBS Engenheiro Trindade</t>
  </si>
  <si>
    <t>Painéis Fotovoltaicos em UPAs selecionadas</t>
  </si>
  <si>
    <t>UPA Vila buarque</t>
  </si>
  <si>
    <t>UPA Jardim Mirna</t>
  </si>
  <si>
    <t>Painéis Fotovoltaicos em CCIs</t>
  </si>
  <si>
    <t>Serviços de consultoria para proposta de reestruturação da rede</t>
  </si>
  <si>
    <t>Consultoria</t>
  </si>
  <si>
    <t>Total Componente 1</t>
  </si>
  <si>
    <t>Componente 2A. Instrumentos para ampliar las capacidades institucionais de la SMMSP</t>
  </si>
  <si>
    <t>Atualização tecnológica do sistema de almoxarifado das Unidades de Saúde</t>
  </si>
  <si>
    <t>Sistema</t>
  </si>
  <si>
    <t>Equipe de apoio para a implantação e capacitação do sistema de almoxarifado das Unidades de Saúde</t>
  </si>
  <si>
    <t>Equipes</t>
  </si>
  <si>
    <t>Software de planejamento de demanda de medicamentos e insumos médicos-hospitalares</t>
  </si>
  <si>
    <t>Consultoria para implantação do sistema de demanda</t>
  </si>
  <si>
    <t>Integração do fluxo de compras</t>
  </si>
  <si>
    <t>Consultoria para implantação de um novo modelo de planejamento e controle de distribuição.</t>
  </si>
  <si>
    <t>Aquisição de solução de analytics para o Gerenciamento de Convênios e Contratos</t>
  </si>
  <si>
    <t>Formação e capacitação de gestores e profissionais da rede</t>
  </si>
  <si>
    <t>Gestores</t>
  </si>
  <si>
    <t>Formação de lideres gestores e gerentes em Saúde</t>
  </si>
  <si>
    <t>Lideres</t>
  </si>
  <si>
    <t>Projeto e implementação de sistema de apropriação de custos</t>
  </si>
  <si>
    <t>Levantamento e pesquisa para estruturação de metodologia do sistema de apropriaçao de custos</t>
  </si>
  <si>
    <t>Analise e Implementação das linhas de cuidados através da qualificação do acesso e otimizando os recursos ofertados.</t>
  </si>
  <si>
    <t>Núcleo Estratégico da Saúde (Escritório de Monitoramento de Projetos)</t>
  </si>
  <si>
    <t>Unidade</t>
  </si>
  <si>
    <t>Total Componente 2 A</t>
  </si>
  <si>
    <t>Componente 2B. Mejora continua de la productividade interna y de la calidad del sector salud</t>
  </si>
  <si>
    <t>Gerenciamento integrado de classificação de riscos e articulação de rede</t>
  </si>
  <si>
    <t>Procedimentos</t>
  </si>
  <si>
    <t>Integração dos centros de regulação SAMU e Urgencia e Emergencia</t>
  </si>
  <si>
    <t>Unidades</t>
  </si>
  <si>
    <t>Elaboração e validação do padrão PMSP de Certificação de Unidades de Saúde</t>
  </si>
  <si>
    <t>Diagnóstico, elaboração e implementação de planos de ação para a Certificação de Unidades de Saúde</t>
  </si>
  <si>
    <t>Assessoria para implantação do plano de ação para a certificação de Unidades de Saúde</t>
  </si>
  <si>
    <t>Certificação de Unidades de Saúde e auditoria de manutenção (externa)</t>
  </si>
  <si>
    <t>Certificados</t>
  </si>
  <si>
    <t>Auditoria interna de manutenção das Unidades de Saúde Certificadas</t>
  </si>
  <si>
    <t>Total Componente 2 B</t>
  </si>
  <si>
    <t>Componente 3. Fortalecimiento de la gestión de la información e impulso a la innovación y al uso de nuevas tecnologías en salud</t>
  </si>
  <si>
    <t>Software para consolidação e compartilhamento de dados clínicos para fins assistenciais</t>
  </si>
  <si>
    <t>Equipe de apoio para a implantação do Prontuario Eletronico no Municipio</t>
  </si>
  <si>
    <t>Consultoria a modelos tecnológicos digitais e CCI</t>
  </si>
  <si>
    <t>Total Componente 3</t>
  </si>
  <si>
    <t>Componente 4: Administración y Evaluación del programa</t>
  </si>
  <si>
    <t>Gerenciadora</t>
  </si>
  <si>
    <t>Contratação de Auditoria</t>
  </si>
  <si>
    <t>Análise de Impacto</t>
  </si>
  <si>
    <t>Avaliações Intermediárias e final</t>
  </si>
  <si>
    <t>Total Componente 4</t>
  </si>
  <si>
    <t>Total Geral do Programa</t>
  </si>
  <si>
    <t>Total del Programa</t>
  </si>
  <si>
    <t>Pari-Passu</t>
  </si>
  <si>
    <t>ANO</t>
  </si>
  <si>
    <t>TOTAL</t>
  </si>
  <si>
    <t>BANCO</t>
  </si>
  <si>
    <t>PMSP</t>
  </si>
  <si>
    <t>ano 0</t>
  </si>
  <si>
    <t>ano 1</t>
  </si>
  <si>
    <t>ano 2</t>
  </si>
  <si>
    <t>ano 3</t>
  </si>
  <si>
    <t>ano 4</t>
  </si>
  <si>
    <t>ano 5</t>
  </si>
  <si>
    <t>quant</t>
  </si>
  <si>
    <t>valor</t>
  </si>
  <si>
    <t>Equipamentos e mobiliário</t>
  </si>
  <si>
    <t>UBS (novas/indiretas)</t>
  </si>
  <si>
    <t>norte</t>
  </si>
  <si>
    <t>contrapartida</t>
  </si>
  <si>
    <t>centro</t>
  </si>
  <si>
    <t>oeste</t>
  </si>
  <si>
    <t>leste</t>
  </si>
  <si>
    <t>sudeste</t>
  </si>
  <si>
    <t>UPAs (BID</t>
  </si>
  <si>
    <t>upa (BID)</t>
  </si>
  <si>
    <t>leste (UPA Laranjeiras)</t>
  </si>
  <si>
    <t>Leste (UPA Jardim Helena)</t>
  </si>
  <si>
    <t>Bid</t>
  </si>
  <si>
    <t>UBS reformas (BID)</t>
  </si>
  <si>
    <t>Equipamento e mobiliário (reforma e ampliação)</t>
  </si>
  <si>
    <t>Centro</t>
  </si>
  <si>
    <t>Bom Retiro</t>
  </si>
  <si>
    <t>Humaitá</t>
  </si>
  <si>
    <t>Leste</t>
  </si>
  <si>
    <t>Reforma e amplicação = recursos BID</t>
  </si>
  <si>
    <t>Norte</t>
  </si>
  <si>
    <t>Sudeste</t>
  </si>
  <si>
    <t>Oeste</t>
  </si>
  <si>
    <t>Fotovoltáicas</t>
  </si>
  <si>
    <t>CCIs (6)</t>
  </si>
  <si>
    <t>Ago/2018</t>
  </si>
  <si>
    <t>Set/2018</t>
  </si>
  <si>
    <t>Out/2018</t>
  </si>
  <si>
    <t>Dez/2018</t>
  </si>
  <si>
    <t>Fev/2019</t>
  </si>
  <si>
    <t>Março/2019</t>
  </si>
  <si>
    <t>Abril/2019</t>
  </si>
  <si>
    <t>Maio/2019</t>
  </si>
  <si>
    <t>Junho/2019</t>
  </si>
  <si>
    <t>Julho/2019</t>
  </si>
  <si>
    <t>Agosto/2019</t>
  </si>
  <si>
    <t>Setembro/2019</t>
  </si>
  <si>
    <t>Outubro/2019</t>
  </si>
  <si>
    <t>Novembro/2019</t>
  </si>
  <si>
    <t>Dezembro/2019</t>
  </si>
  <si>
    <t>Janeiro/2020</t>
  </si>
  <si>
    <t>Componente 3. Fortalecimiento de la gestión de la información e impulso a la innovación y al uso de nuevas tecnologías en salud (BID US$25,3 millones)</t>
  </si>
  <si>
    <t>Componente 4: Administración y Evaluación del programa (BID US$6 millones)</t>
  </si>
  <si>
    <t>Hospital equipado</t>
  </si>
  <si>
    <t>Hospital Equipado</t>
  </si>
  <si>
    <t>Equipamentos e mobiliarios para as UPAS, CCI e Hospital de Parrelheiros</t>
  </si>
  <si>
    <t>Equipamentos médico hospitalares para o Hospital de Parrelheiros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</si>
</sst>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R$&quot;* #,##0.00_-;\-&quot;R$&quot;* #,##0.00_-;_-&quot;R$&quot;* &quot;-&quot;??_-;_-@_-"/>
    <numFmt numFmtId="166" formatCode="_-[$R$-416]\ * #,##0.00_-;\-[$R$-416]\ * #,##0.00_-;_-[$R$-416]\ * &quot;-&quot;??_-;_-@_-"/>
    <numFmt numFmtId="167" formatCode="_-[$$-409]* #,##0.00_ ;_-[$$-409]* \-#,##0.00\ ;_-[$$-409]* &quot;-&quot;??_ ;_-@_ "/>
    <numFmt numFmtId="168" formatCode="_([$R$ -416]* #,##0.00_);_([$R$ -416]* \(#,##0.00\);_([$R$ -416]* &quot;-&quot;??_);_(@_)"/>
    <numFmt numFmtId="169" formatCode="_([$$-409]* #,##0.00_);_([$$-409]* \(#,##0.00\);_([$$-409]* &quot;-&quot;??_);_(@_)"/>
    <numFmt numFmtId="170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8" tint="0.59996337778862885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10" borderId="0" applyNumberFormat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3" fontId="2" fillId="0" borderId="0" xfId="1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9" fontId="2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2" fillId="0" borderId="0" xfId="2" applyFont="1" applyAlignment="1">
      <alignment horizontal="justify" vertical="center" wrapText="1"/>
    </xf>
    <xf numFmtId="44" fontId="2" fillId="0" borderId="0" xfId="2" applyFont="1"/>
    <xf numFmtId="43" fontId="2" fillId="0" borderId="0" xfId="0" applyNumberFormat="1" applyFont="1"/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3" fillId="4" borderId="28" xfId="0" applyFont="1" applyFill="1" applyBorder="1" applyAlignment="1">
      <alignment horizontal="center" vertical="center" wrapText="1"/>
    </xf>
    <xf numFmtId="44" fontId="3" fillId="3" borderId="20" xfId="2" applyFont="1" applyFill="1" applyBorder="1" applyAlignment="1">
      <alignment horizontal="center" vertical="center" wrapText="1"/>
    </xf>
    <xf numFmtId="44" fontId="2" fillId="0" borderId="8" xfId="2" applyFont="1" applyBorder="1" applyAlignment="1">
      <alignment horizontal="center" vertical="center" wrapText="1"/>
    </xf>
    <xf numFmtId="44" fontId="3" fillId="0" borderId="8" xfId="2" applyFont="1" applyBorder="1" applyAlignment="1">
      <alignment horizontal="center" vertical="center" wrapText="1"/>
    </xf>
    <xf numFmtId="166" fontId="2" fillId="0" borderId="8" xfId="2" applyNumberFormat="1" applyFont="1" applyBorder="1" applyAlignment="1">
      <alignment horizontal="justify" vertical="center" wrapText="1"/>
    </xf>
    <xf numFmtId="167" fontId="2" fillId="0" borderId="8" xfId="2" applyNumberFormat="1" applyFont="1" applyBorder="1" applyAlignment="1">
      <alignment horizontal="center" vertical="center" wrapText="1"/>
    </xf>
    <xf numFmtId="1" fontId="3" fillId="0" borderId="8" xfId="2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8" borderId="5" xfId="0" applyFont="1" applyFill="1" applyBorder="1" applyAlignment="1">
      <alignment horizontal="center" vertical="center" wrapText="1"/>
    </xf>
    <xf numFmtId="1" fontId="3" fillId="8" borderId="5" xfId="2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44" fontId="3" fillId="8" borderId="5" xfId="2" applyFont="1" applyFill="1" applyBorder="1" applyAlignment="1">
      <alignment horizontal="center" vertical="center" wrapText="1"/>
    </xf>
    <xf numFmtId="44" fontId="3" fillId="8" borderId="4" xfId="2" applyFont="1" applyFill="1" applyBorder="1" applyAlignment="1">
      <alignment horizontal="center" vertical="center" wrapText="1"/>
    </xf>
    <xf numFmtId="166" fontId="3" fillId="8" borderId="19" xfId="2" applyNumberFormat="1" applyFont="1" applyFill="1" applyBorder="1" applyAlignment="1">
      <alignment horizontal="justify" vertical="center" wrapText="1"/>
    </xf>
    <xf numFmtId="0" fontId="2" fillId="9" borderId="5" xfId="0" applyFont="1" applyFill="1" applyBorder="1" applyAlignment="1">
      <alignment horizontal="center" vertical="center" wrapText="1"/>
    </xf>
    <xf numFmtId="1" fontId="3" fillId="9" borderId="5" xfId="2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166" fontId="2" fillId="9" borderId="18" xfId="2" applyNumberFormat="1" applyFont="1" applyFill="1" applyBorder="1" applyAlignment="1">
      <alignment horizontal="justify" vertical="center" wrapText="1"/>
    </xf>
    <xf numFmtId="44" fontId="2" fillId="9" borderId="5" xfId="2" applyFont="1" applyFill="1" applyBorder="1" applyAlignment="1">
      <alignment horizontal="center" vertical="center" wrapText="1"/>
    </xf>
    <xf numFmtId="44" fontId="3" fillId="9" borderId="5" xfId="2" applyFont="1" applyFill="1" applyBorder="1" applyAlignment="1">
      <alignment horizontal="center" vertical="center" wrapText="1"/>
    </xf>
    <xf numFmtId="44" fontId="2" fillId="9" borderId="4" xfId="2" applyFont="1" applyFill="1" applyBorder="1" applyAlignment="1">
      <alignment horizontal="center" vertical="center" wrapText="1"/>
    </xf>
    <xf numFmtId="166" fontId="2" fillId="9" borderId="19" xfId="2" applyNumberFormat="1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9" borderId="0" xfId="0" applyFont="1" applyFill="1"/>
    <xf numFmtId="0" fontId="3" fillId="9" borderId="5" xfId="2" applyNumberFormat="1" applyFont="1" applyFill="1" applyBorder="1" applyAlignment="1">
      <alignment horizontal="center" vertical="center" wrapText="1"/>
    </xf>
    <xf numFmtId="44" fontId="2" fillId="9" borderId="1" xfId="2" applyFont="1" applyFill="1" applyBorder="1" applyAlignment="1">
      <alignment horizontal="center" vertical="center" wrapText="1"/>
    </xf>
    <xf numFmtId="166" fontId="2" fillId="9" borderId="1" xfId="2" applyNumberFormat="1" applyFont="1" applyFill="1" applyBorder="1" applyAlignment="1">
      <alignment horizontal="justify" vertical="center" wrapText="1"/>
    </xf>
    <xf numFmtId="0" fontId="2" fillId="9" borderId="1" xfId="2" applyNumberFormat="1" applyFont="1" applyFill="1" applyBorder="1" applyAlignment="1">
      <alignment horizontal="center" vertical="center" wrapText="1"/>
    </xf>
    <xf numFmtId="44" fontId="2" fillId="9" borderId="23" xfId="2" applyFont="1" applyFill="1" applyBorder="1" applyAlignment="1">
      <alignment horizontal="center" vertical="center" wrapText="1"/>
    </xf>
    <xf numFmtId="44" fontId="2" fillId="9" borderId="0" xfId="0" applyNumberFormat="1" applyFont="1" applyFill="1"/>
    <xf numFmtId="0" fontId="3" fillId="0" borderId="8" xfId="2" applyNumberFormat="1" applyFont="1" applyBorder="1" applyAlignment="1">
      <alignment horizontal="center" vertical="center" wrapText="1"/>
    </xf>
    <xf numFmtId="0" fontId="2" fillId="9" borderId="5" xfId="2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165" fontId="0" fillId="0" borderId="0" xfId="0" applyNumberFormat="1"/>
    <xf numFmtId="39" fontId="0" fillId="0" borderId="0" xfId="0" applyNumberFormat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3" xfId="0" applyBorder="1"/>
    <xf numFmtId="4" fontId="0" fillId="0" borderId="31" xfId="0" applyNumberFormat="1" applyBorder="1" applyAlignment="1">
      <alignment horizontal="right"/>
    </xf>
    <xf numFmtId="37" fontId="0" fillId="0" borderId="0" xfId="0" applyNumberFormat="1"/>
    <xf numFmtId="0" fontId="5" fillId="10" borderId="32" xfId="7" applyBorder="1" applyAlignment="1">
      <alignment horizontal="right"/>
    </xf>
    <xf numFmtId="0" fontId="5" fillId="10" borderId="0" xfId="7"/>
    <xf numFmtId="2" fontId="5" fillId="10" borderId="0" xfId="7" applyNumberFormat="1"/>
    <xf numFmtId="4" fontId="5" fillId="10" borderId="0" xfId="7" applyNumberFormat="1" applyAlignment="1">
      <alignment horizontal="right"/>
    </xf>
    <xf numFmtId="0" fontId="5" fillId="10" borderId="0" xfId="7" applyAlignment="1">
      <alignment horizontal="right"/>
    </xf>
    <xf numFmtId="4" fontId="5" fillId="10" borderId="32" xfId="7" applyNumberFormat="1" applyBorder="1" applyAlignment="1">
      <alignment horizontal="right"/>
    </xf>
    <xf numFmtId="0" fontId="5" fillId="10" borderId="32" xfId="7" applyBorder="1"/>
    <xf numFmtId="0" fontId="2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4" fontId="3" fillId="8" borderId="1" xfId="2" applyFont="1" applyFill="1" applyBorder="1" applyAlignment="1">
      <alignment horizontal="center" vertical="center" wrapText="1"/>
    </xf>
    <xf numFmtId="0" fontId="3" fillId="9" borderId="1" xfId="2" applyNumberFormat="1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justify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2" fillId="0" borderId="1" xfId="0" applyFont="1" applyBorder="1"/>
    <xf numFmtId="0" fontId="2" fillId="0" borderId="8" xfId="2" applyNumberFormat="1" applyFont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44" fontId="3" fillId="9" borderId="8" xfId="2" applyFont="1" applyFill="1" applyBorder="1" applyAlignment="1">
      <alignment horizontal="center" vertical="center" wrapText="1"/>
    </xf>
    <xf numFmtId="166" fontId="3" fillId="9" borderId="8" xfId="2" applyNumberFormat="1" applyFont="1" applyFill="1" applyBorder="1" applyAlignment="1">
      <alignment horizontal="justify" vertical="center" wrapText="1"/>
    </xf>
    <xf numFmtId="0" fontId="3" fillId="8" borderId="8" xfId="0" applyFont="1" applyFill="1" applyBorder="1" applyAlignment="1">
      <alignment horizontal="center" vertical="center" wrapText="1"/>
    </xf>
    <xf numFmtId="166" fontId="3" fillId="8" borderId="8" xfId="2" applyNumberFormat="1" applyFont="1" applyFill="1" applyBorder="1" applyAlignment="1">
      <alignment horizontal="justify" vertical="center" wrapText="1"/>
    </xf>
    <xf numFmtId="44" fontId="3" fillId="8" borderId="8" xfId="2" applyFont="1" applyFill="1" applyBorder="1" applyAlignment="1">
      <alignment horizontal="center" vertical="center" wrapText="1"/>
    </xf>
    <xf numFmtId="44" fontId="2" fillId="9" borderId="8" xfId="2" applyFont="1" applyFill="1" applyBorder="1" applyAlignment="1">
      <alignment horizontal="center" vertical="center" wrapText="1"/>
    </xf>
    <xf numFmtId="0" fontId="2" fillId="9" borderId="8" xfId="2" applyNumberFormat="1" applyFont="1" applyFill="1" applyBorder="1" applyAlignment="1">
      <alignment horizontal="center" vertical="center" wrapText="1"/>
    </xf>
    <xf numFmtId="0" fontId="3" fillId="9" borderId="8" xfId="2" applyNumberFormat="1" applyFont="1" applyFill="1" applyBorder="1" applyAlignment="1">
      <alignment horizontal="center" vertical="center" wrapText="1"/>
    </xf>
    <xf numFmtId="1" fontId="3" fillId="9" borderId="8" xfId="2" applyNumberFormat="1" applyFont="1" applyFill="1" applyBorder="1" applyAlignment="1">
      <alignment horizontal="center" vertical="center" wrapText="1"/>
    </xf>
    <xf numFmtId="166" fontId="2" fillId="9" borderId="8" xfId="2" applyNumberFormat="1" applyFont="1" applyFill="1" applyBorder="1" applyAlignment="1">
      <alignment horizontal="justify" vertical="center" wrapText="1"/>
    </xf>
    <xf numFmtId="44" fontId="7" fillId="11" borderId="5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8" borderId="5" xfId="5" applyFont="1" applyFill="1" applyBorder="1" applyAlignment="1">
      <alignment horizontal="center" vertical="center" wrapText="1"/>
    </xf>
    <xf numFmtId="1" fontId="3" fillId="8" borderId="5" xfId="5" applyNumberFormat="1" applyFont="1" applyFill="1" applyBorder="1" applyAlignment="1">
      <alignment horizontal="center" vertical="center" wrapText="1"/>
    </xf>
    <xf numFmtId="0" fontId="3" fillId="8" borderId="5" xfId="5" applyFont="1" applyFill="1" applyBorder="1" applyAlignment="1">
      <alignment horizontal="center" vertical="center" wrapText="1"/>
    </xf>
    <xf numFmtId="44" fontId="2" fillId="8" borderId="4" xfId="5" applyNumberFormat="1" applyFont="1" applyFill="1" applyBorder="1" applyAlignment="1">
      <alignment horizontal="center" vertical="center" wrapText="1"/>
    </xf>
    <xf numFmtId="166" fontId="2" fillId="8" borderId="19" xfId="5" applyNumberFormat="1" applyFont="1" applyFill="1" applyBorder="1" applyAlignment="1">
      <alignment horizontal="justify" vertical="center" wrapText="1"/>
    </xf>
    <xf numFmtId="44" fontId="2" fillId="8" borderId="5" xfId="5" applyNumberFormat="1" applyFont="1" applyFill="1" applyBorder="1" applyAlignment="1">
      <alignment horizontal="center" vertical="center" wrapText="1"/>
    </xf>
    <xf numFmtId="44" fontId="3" fillId="8" borderId="5" xfId="5" applyNumberFormat="1" applyFont="1" applyFill="1" applyBorder="1" applyAlignment="1">
      <alignment horizontal="center" vertical="center" wrapText="1"/>
    </xf>
    <xf numFmtId="0" fontId="2" fillId="9" borderId="8" xfId="6" applyFont="1" applyFill="1" applyBorder="1" applyAlignment="1">
      <alignment horizontal="center" vertical="center" wrapText="1"/>
    </xf>
    <xf numFmtId="167" fontId="2" fillId="9" borderId="8" xfId="6" applyNumberFormat="1" applyFont="1" applyFill="1" applyBorder="1" applyAlignment="1">
      <alignment horizontal="center" vertical="center" wrapText="1"/>
    </xf>
    <xf numFmtId="1" fontId="3" fillId="9" borderId="8" xfId="6" applyNumberFormat="1" applyFont="1" applyFill="1" applyBorder="1" applyAlignment="1">
      <alignment horizontal="center" vertical="center" wrapText="1"/>
    </xf>
    <xf numFmtId="44" fontId="2" fillId="9" borderId="8" xfId="6" applyNumberFormat="1" applyFont="1" applyFill="1" applyBorder="1" applyAlignment="1">
      <alignment horizontal="center" vertical="center" wrapText="1"/>
    </xf>
    <xf numFmtId="166" fontId="2" fillId="9" borderId="8" xfId="6" applyNumberFormat="1" applyFont="1" applyFill="1" applyBorder="1" applyAlignment="1">
      <alignment horizontal="justify" vertical="center" wrapText="1"/>
    </xf>
    <xf numFmtId="44" fontId="3" fillId="9" borderId="8" xfId="6" applyNumberFormat="1" applyFont="1" applyFill="1" applyBorder="1" applyAlignment="1">
      <alignment horizontal="center" vertical="center" wrapText="1"/>
    </xf>
    <xf numFmtId="0" fontId="2" fillId="9" borderId="8" xfId="5" applyFont="1" applyFill="1" applyBorder="1" applyAlignment="1">
      <alignment horizontal="center" vertical="center" wrapText="1"/>
    </xf>
    <xf numFmtId="0" fontId="2" fillId="9" borderId="8" xfId="5" applyFont="1" applyFill="1" applyBorder="1" applyAlignment="1">
      <alignment vertical="center" wrapText="1"/>
    </xf>
    <xf numFmtId="44" fontId="2" fillId="9" borderId="8" xfId="5" applyNumberFormat="1" applyFont="1" applyFill="1" applyBorder="1" applyAlignment="1">
      <alignment vertical="center" wrapText="1"/>
    </xf>
    <xf numFmtId="44" fontId="3" fillId="9" borderId="8" xfId="5" applyNumberFormat="1" applyFont="1" applyFill="1" applyBorder="1" applyAlignment="1">
      <alignment vertical="center" wrapText="1"/>
    </xf>
    <xf numFmtId="166" fontId="2" fillId="9" borderId="8" xfId="5" applyNumberFormat="1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44" fontId="3" fillId="3" borderId="43" xfId="2" applyFont="1" applyFill="1" applyBorder="1" applyAlignment="1">
      <alignment horizontal="center" vertical="center" wrapText="1"/>
    </xf>
    <xf numFmtId="44" fontId="3" fillId="3" borderId="46" xfId="2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vertical="center" wrapText="1"/>
    </xf>
    <xf numFmtId="0" fontId="3" fillId="12" borderId="44" xfId="0" applyFont="1" applyFill="1" applyBorder="1" applyAlignment="1">
      <alignment vertical="center"/>
    </xf>
    <xf numFmtId="0" fontId="3" fillId="12" borderId="43" xfId="0" applyFont="1" applyFill="1" applyBorder="1" applyAlignment="1">
      <alignment vertical="center"/>
    </xf>
    <xf numFmtId="44" fontId="3" fillId="12" borderId="43" xfId="2" applyFont="1" applyFill="1" applyBorder="1" applyAlignment="1">
      <alignment horizontal="center" vertical="center" wrapText="1"/>
    </xf>
    <xf numFmtId="168" fontId="3" fillId="12" borderId="43" xfId="2" applyNumberFormat="1" applyFont="1" applyFill="1" applyBorder="1" applyAlignment="1">
      <alignment horizontal="center" vertical="center" wrapText="1"/>
    </xf>
    <xf numFmtId="44" fontId="3" fillId="12" borderId="46" xfId="2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44" fontId="2" fillId="9" borderId="34" xfId="2" applyFont="1" applyFill="1" applyBorder="1" applyAlignment="1">
      <alignment horizontal="center" vertical="center" wrapText="1"/>
    </xf>
    <xf numFmtId="44" fontId="3" fillId="9" borderId="17" xfId="2" applyFont="1" applyFill="1" applyBorder="1" applyAlignment="1">
      <alignment horizontal="center" vertical="center" wrapText="1"/>
    </xf>
    <xf numFmtId="166" fontId="2" fillId="9" borderId="34" xfId="2" applyNumberFormat="1" applyFont="1" applyFill="1" applyBorder="1" applyAlignment="1">
      <alignment horizontal="justify" vertical="center" wrapText="1"/>
    </xf>
    <xf numFmtId="44" fontId="2" fillId="9" borderId="17" xfId="2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44" fontId="2" fillId="8" borderId="38" xfId="2" applyFont="1" applyFill="1" applyBorder="1" applyAlignment="1">
      <alignment horizontal="center" vertical="center" wrapText="1"/>
    </xf>
    <xf numFmtId="0" fontId="2" fillId="8" borderId="38" xfId="2" applyNumberFormat="1" applyFont="1" applyFill="1" applyBorder="1" applyAlignment="1">
      <alignment horizontal="center" vertical="center" wrapText="1"/>
    </xf>
    <xf numFmtId="0" fontId="3" fillId="8" borderId="38" xfId="2" applyNumberFormat="1" applyFont="1" applyFill="1" applyBorder="1" applyAlignment="1">
      <alignment horizontal="center" vertical="center" wrapText="1"/>
    </xf>
    <xf numFmtId="166" fontId="2" fillId="8" borderId="38" xfId="2" applyNumberFormat="1" applyFont="1" applyFill="1" applyBorder="1" applyAlignment="1">
      <alignment horizontal="justify" vertical="center" wrapText="1"/>
    </xf>
    <xf numFmtId="44" fontId="2" fillId="8" borderId="39" xfId="2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44" fontId="2" fillId="8" borderId="41" xfId="2" applyFont="1" applyFill="1" applyBorder="1" applyAlignment="1">
      <alignment horizontal="center" vertical="center" wrapText="1"/>
    </xf>
    <xf numFmtId="44" fontId="3" fillId="8" borderId="41" xfId="2" applyFont="1" applyFill="1" applyBorder="1" applyAlignment="1">
      <alignment horizontal="center" vertical="center" wrapText="1"/>
    </xf>
    <xf numFmtId="166" fontId="2" fillId="8" borderId="41" xfId="2" applyNumberFormat="1" applyFont="1" applyFill="1" applyBorder="1" applyAlignment="1">
      <alignment horizontal="justify" vertical="center" wrapText="1"/>
    </xf>
    <xf numFmtId="44" fontId="2" fillId="8" borderId="42" xfId="2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44" fontId="3" fillId="8" borderId="17" xfId="2" applyFont="1" applyFill="1" applyBorder="1" applyAlignment="1">
      <alignment horizontal="center" vertical="center" wrapText="1"/>
    </xf>
    <xf numFmtId="44" fontId="3" fillId="8" borderId="0" xfId="2" applyFont="1" applyFill="1" applyAlignment="1">
      <alignment horizontal="center" vertical="center" wrapText="1"/>
    </xf>
    <xf numFmtId="166" fontId="3" fillId="8" borderId="30" xfId="2" applyNumberFormat="1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9" borderId="8" xfId="6" applyFont="1" applyFill="1" applyBorder="1" applyAlignment="1">
      <alignment horizontal="center" vertical="center" wrapText="1"/>
    </xf>
    <xf numFmtId="0" fontId="2" fillId="9" borderId="8" xfId="6" applyFont="1" applyFill="1" applyBorder="1" applyAlignment="1">
      <alignment horizontal="justify" vertical="center" wrapText="1"/>
    </xf>
    <xf numFmtId="44" fontId="2" fillId="9" borderId="8" xfId="5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44" fontId="3" fillId="3" borderId="45" xfId="2" applyFont="1" applyFill="1" applyBorder="1" applyAlignment="1">
      <alignment horizontal="center" vertical="center" wrapText="1"/>
    </xf>
    <xf numFmtId="44" fontId="3" fillId="3" borderId="48" xfId="2" applyFont="1" applyFill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 wrapText="1"/>
    </xf>
    <xf numFmtId="1" fontId="3" fillId="9" borderId="8" xfId="5" applyNumberFormat="1" applyFont="1" applyFill="1" applyBorder="1" applyAlignment="1">
      <alignment horizontal="center" vertical="center" wrapText="1"/>
    </xf>
    <xf numFmtId="0" fontId="3" fillId="9" borderId="8" xfId="5" applyFont="1" applyFill="1" applyBorder="1" applyAlignment="1">
      <alignment horizontal="center" vertical="center" wrapText="1"/>
    </xf>
    <xf numFmtId="0" fontId="2" fillId="9" borderId="8" xfId="5" applyFont="1" applyFill="1" applyBorder="1" applyAlignment="1">
      <alignment horizontal="justify" vertical="center" wrapText="1"/>
    </xf>
    <xf numFmtId="44" fontId="3" fillId="9" borderId="8" xfId="5" applyNumberFormat="1" applyFont="1" applyFill="1" applyBorder="1" applyAlignment="1">
      <alignment horizontal="center" vertical="center" wrapText="1"/>
    </xf>
    <xf numFmtId="166" fontId="2" fillId="9" borderId="8" xfId="5" applyNumberFormat="1" applyFont="1" applyFill="1" applyBorder="1" applyAlignment="1">
      <alignment horizontal="justify" vertical="center" wrapText="1"/>
    </xf>
    <xf numFmtId="168" fontId="2" fillId="0" borderId="8" xfId="2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166" fontId="2" fillId="0" borderId="8" xfId="2" applyNumberFormat="1" applyFont="1" applyBorder="1" applyAlignment="1">
      <alignment vertical="center" wrapText="1"/>
    </xf>
    <xf numFmtId="167" fontId="3" fillId="0" borderId="8" xfId="2" applyNumberFormat="1" applyFont="1" applyBorder="1" applyAlignment="1">
      <alignment horizontal="center" vertical="center" wrapText="1"/>
    </xf>
    <xf numFmtId="44" fontId="2" fillId="9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6" fontId="3" fillId="0" borderId="0" xfId="0" applyNumberFormat="1" applyFont="1"/>
    <xf numFmtId="0" fontId="3" fillId="8" borderId="8" xfId="2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0" borderId="0" xfId="0" applyNumberFormat="1" applyFont="1"/>
    <xf numFmtId="164" fontId="2" fillId="9" borderId="0" xfId="0" applyNumberFormat="1" applyFont="1" applyFill="1"/>
    <xf numFmtId="164" fontId="2" fillId="9" borderId="5" xfId="0" applyNumberFormat="1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 vertical="center" wrapText="1"/>
    </xf>
    <xf numFmtId="1" fontId="3" fillId="8" borderId="17" xfId="2" applyNumberFormat="1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44" fontId="3" fillId="8" borderId="51" xfId="2" applyFont="1" applyFill="1" applyBorder="1" applyAlignment="1">
      <alignment horizontal="center" vertical="center" wrapText="1"/>
    </xf>
    <xf numFmtId="44" fontId="2" fillId="9" borderId="8" xfId="0" applyNumberFormat="1" applyFont="1" applyFill="1" applyBorder="1" applyAlignment="1">
      <alignment horizontal="center" vertical="center" wrapText="1"/>
    </xf>
    <xf numFmtId="1" fontId="2" fillId="8" borderId="5" xfId="5" applyNumberFormat="1" applyFont="1" applyFill="1" applyBorder="1" applyAlignment="1">
      <alignment horizontal="center" vertical="center" wrapText="1"/>
    </xf>
    <xf numFmtId="167" fontId="3" fillId="8" borderId="5" xfId="0" applyNumberFormat="1" applyFont="1" applyFill="1" applyBorder="1" applyAlignment="1">
      <alignment horizontal="center" vertical="center" wrapText="1"/>
    </xf>
    <xf numFmtId="170" fontId="2" fillId="0" borderId="0" xfId="0" applyNumberFormat="1" applyFont="1"/>
    <xf numFmtId="0" fontId="3" fillId="4" borderId="4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9" fontId="2" fillId="0" borderId="8" xfId="0" applyNumberFormat="1" applyFont="1" applyBorder="1" applyAlignment="1">
      <alignment horizontal="center" vertical="center" wrapText="1"/>
    </xf>
    <xf numFmtId="44" fontId="2" fillId="9" borderId="8" xfId="2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" fontId="2" fillId="0" borderId="8" xfId="2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/>
    </xf>
    <xf numFmtId="0" fontId="3" fillId="8" borderId="2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3" fillId="8" borderId="15" xfId="5" applyFont="1" applyFill="1" applyBorder="1" applyAlignment="1">
      <alignment horizontal="left" vertical="center" wrapText="1"/>
    </xf>
    <xf numFmtId="0" fontId="3" fillId="8" borderId="16" xfId="5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" fillId="9" borderId="8" xfId="5" applyFont="1" applyFill="1" applyBorder="1" applyAlignment="1">
      <alignment horizontal="left" vertical="center" wrapText="1"/>
    </xf>
    <xf numFmtId="0" fontId="2" fillId="9" borderId="8" xfId="6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44" fontId="3" fillId="4" borderId="9" xfId="0" applyNumberFormat="1" applyFont="1" applyFill="1" applyBorder="1" applyAlignment="1">
      <alignment horizontal="center" vertical="center"/>
    </xf>
    <xf numFmtId="44" fontId="3" fillId="4" borderId="1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8" borderId="49" xfId="0" applyFont="1" applyFill="1" applyBorder="1" applyAlignment="1">
      <alignment horizontal="left" vertical="center" wrapText="1"/>
    </xf>
  </cellXfs>
  <cellStyles count="8">
    <cellStyle name="20% - Accent6" xfId="5" builtinId="50"/>
    <cellStyle name="40% - Accent2" xfId="6" builtinId="35"/>
    <cellStyle name="Bad" xfId="4" builtinId="27"/>
    <cellStyle name="Comma" xfId="1" builtinId="3"/>
    <cellStyle name="Currency" xfId="2" builtinId="4"/>
    <cellStyle name="Good" xfId="7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'PEP_Versao 20180523_12-05'!$E$302</c:f>
              <c:strCache>
                <c:ptCount val="1"/>
                <c:pt idx="0">
                  <c:v>BANCO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'PEP_Versao 20180523_12-05'!$C$303:$C$308</c:f>
              <c:strCache>
                <c:ptCount val="6"/>
                <c:pt idx="0">
                  <c:v>ano 0</c:v>
                </c:pt>
                <c:pt idx="1">
                  <c:v>ano 1</c:v>
                </c:pt>
                <c:pt idx="2">
                  <c:v>ano 2</c:v>
                </c:pt>
                <c:pt idx="3">
                  <c:v>ano 3</c:v>
                </c:pt>
                <c:pt idx="4">
                  <c:v>ano 4</c:v>
                </c:pt>
                <c:pt idx="5">
                  <c:v>ano 5</c:v>
                </c:pt>
              </c:strCache>
            </c:strRef>
          </c:cat>
          <c:val>
            <c:numRef>
              <c:f>'PEP_Versao 20180523_12-05'!$E$303:$E$308</c:f>
              <c:numCache>
                <c:formatCode>_-* #,##0.00_-;\-* #,##0.00_-;_-* "-"??_-;_-@_-</c:formatCode>
                <c:ptCount val="6"/>
                <c:pt idx="0">
                  <c:v>2.3283064365386963E-10</c:v>
                </c:pt>
                <c:pt idx="1">
                  <c:v>33362931.060606051</c:v>
                </c:pt>
                <c:pt idx="2">
                  <c:v>39660736.183939382</c:v>
                </c:pt>
                <c:pt idx="3">
                  <c:v>15096969.876666669</c:v>
                </c:pt>
                <c:pt idx="4">
                  <c:v>7796558.4975757562</c:v>
                </c:pt>
                <c:pt idx="5">
                  <c:v>4082804.3848484834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9-4A3D-9EED-AEB9863CE72B}"/>
            </c:ext>
          </c:extLst>
        </c:ser>
        <c:ser>
          <c:idx val="2"/>
          <c:order val="1"/>
          <c:tx>
            <c:strRef>
              <c:f>'PEP_Versao 20180523_12-05'!$F$302</c:f>
              <c:strCache>
                <c:ptCount val="1"/>
                <c:pt idx="0">
                  <c:v>PMSP</c:v>
                </c:pt>
              </c:strCache>
            </c:strRef>
          </c:tx>
          <c:spPr>
            <a:ln w="3810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'PEP_Versao 20180523_12-05'!$C$303:$C$308</c:f>
              <c:strCache>
                <c:ptCount val="6"/>
                <c:pt idx="0">
                  <c:v>ano 0</c:v>
                </c:pt>
                <c:pt idx="1">
                  <c:v>ano 1</c:v>
                </c:pt>
                <c:pt idx="2">
                  <c:v>ano 2</c:v>
                </c:pt>
                <c:pt idx="3">
                  <c:v>ano 3</c:v>
                </c:pt>
                <c:pt idx="4">
                  <c:v>ano 4</c:v>
                </c:pt>
                <c:pt idx="5">
                  <c:v>ano 5</c:v>
                </c:pt>
              </c:strCache>
            </c:strRef>
          </c:cat>
          <c:val>
            <c:numRef>
              <c:f>'PEP_Versao 20180523_12-05'!$F$303:$F$308</c:f>
              <c:numCache>
                <c:formatCode>_-* #,##0.00_-;\-* #,##0.00_-;_-* "-"??_-;_-@_-</c:formatCode>
                <c:ptCount val="6"/>
                <c:pt idx="0">
                  <c:v>11919191.919191919</c:v>
                </c:pt>
                <c:pt idx="1">
                  <c:v>30203030.303030301</c:v>
                </c:pt>
                <c:pt idx="2">
                  <c:v>37114141.414141417</c:v>
                </c:pt>
                <c:pt idx="3">
                  <c:v>3558859.2592592612</c:v>
                </c:pt>
                <c:pt idx="4">
                  <c:v>9811206.0606060661</c:v>
                </c:pt>
                <c:pt idx="5">
                  <c:v>7393571.0437710471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9-4A3D-9EED-AEB9863CE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64096"/>
        <c:axId val="74165632"/>
      </c:lineChart>
      <c:catAx>
        <c:axId val="7416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165632"/>
        <c:crosses val="autoZero"/>
        <c:auto val="1"/>
        <c:lblAlgn val="ctr"/>
        <c:lblOffset val="100"/>
        <c:noMultiLvlLbl val="0"/>
      </c:catAx>
      <c:valAx>
        <c:axId val="74165632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7416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</xdr:colOff>
      <xdr:row>310</xdr:row>
      <xdr:rowOff>0</xdr:rowOff>
    </xdr:from>
    <xdr:to>
      <xdr:col>10</xdr:col>
      <xdr:colOff>36830</xdr:colOff>
      <xdr:row>331</xdr:row>
      <xdr:rowOff>12065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08891405-2920-41C5-9F72-98CEEA94F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09"/>
  <sheetViews>
    <sheetView tabSelected="1" topLeftCell="A7" zoomScale="60" zoomScaleNormal="60" workbookViewId="0">
      <pane xSplit="2" ySplit="12" topLeftCell="C377" activePane="bottomRight" state="frozen"/>
      <selection pane="topRight" activeCell="C7" sqref="C7"/>
      <selection pane="bottomLeft" activeCell="A19" sqref="A19"/>
      <selection pane="bottomRight" activeCell="E81" sqref="E81"/>
    </sheetView>
  </sheetViews>
  <sheetFormatPr defaultColWidth="8.86328125" defaultRowHeight="13.9" outlineLevelRow="1" x14ac:dyDescent="0.4"/>
  <cols>
    <col min="1" max="1" width="5.3984375" style="1" customWidth="1"/>
    <col min="2" max="2" width="31" style="17" customWidth="1"/>
    <col min="3" max="3" width="19.1328125" style="13" customWidth="1"/>
    <col min="4" max="5" width="23.3984375" style="1" bestFit="1" customWidth="1"/>
    <col min="6" max="6" width="23" style="1" bestFit="1" customWidth="1"/>
    <col min="7" max="7" width="20.3984375" style="1" bestFit="1" customWidth="1"/>
    <col min="8" max="8" width="24.73046875" style="1" customWidth="1"/>
    <col min="9" max="9" width="20.3984375" style="1" bestFit="1" customWidth="1"/>
    <col min="10" max="10" width="22.3984375" style="16" bestFit="1" customWidth="1"/>
    <col min="11" max="11" width="24.86328125" style="16" bestFit="1" customWidth="1"/>
    <col min="12" max="12" width="17.265625" style="1" bestFit="1" customWidth="1"/>
    <col min="13" max="13" width="26.265625" style="1" bestFit="1" customWidth="1"/>
    <col min="14" max="15" width="22" style="1" bestFit="1" customWidth="1"/>
    <col min="16" max="16" width="27.59765625" style="1" customWidth="1"/>
    <col min="17" max="16384" width="8.86328125" style="1"/>
  </cols>
  <sheetData>
    <row r="1" spans="2:15" ht="14.25" thickBot="1" x14ac:dyDescent="0.45"/>
    <row r="2" spans="2:15" ht="48" customHeight="1" thickBot="1" x14ac:dyDescent="0.4">
      <c r="B2" s="9" t="s">
        <v>0</v>
      </c>
      <c r="C2" s="216" t="s">
        <v>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2:15" ht="14.25" thickBot="1" x14ac:dyDescent="0.45">
      <c r="B3" s="8"/>
    </row>
    <row r="4" spans="2:15" ht="14.25" thickBot="1" x14ac:dyDescent="0.45">
      <c r="B4" s="18" t="s">
        <v>2</v>
      </c>
      <c r="C4" s="3" t="s">
        <v>3</v>
      </c>
      <c r="D4" s="3" t="s">
        <v>4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25"/>
    </row>
    <row r="5" spans="2:15" ht="15" customHeight="1" thickBot="1" x14ac:dyDescent="0.45">
      <c r="B5" s="219" t="s">
        <v>9</v>
      </c>
      <c r="C5" s="220"/>
      <c r="D5" s="220"/>
      <c r="E5" s="220"/>
      <c r="F5" s="220"/>
      <c r="G5" s="220"/>
      <c r="H5" s="220"/>
      <c r="I5" s="221"/>
      <c r="J5" s="15"/>
    </row>
    <row r="6" spans="2:15" ht="14.25" thickBot="1" x14ac:dyDescent="0.45">
      <c r="B6" s="19"/>
      <c r="C6" s="5"/>
      <c r="D6" s="4"/>
      <c r="E6" s="4"/>
      <c r="F6" s="4"/>
      <c r="G6" s="5"/>
      <c r="H6" s="2"/>
      <c r="I6" s="2"/>
      <c r="J6" s="34"/>
    </row>
    <row r="7" spans="2:15" ht="14.25" thickBot="1" x14ac:dyDescent="0.45">
      <c r="B7" s="219" t="s">
        <v>10</v>
      </c>
      <c r="C7" s="220"/>
      <c r="D7" s="220"/>
      <c r="E7" s="220"/>
      <c r="F7" s="220"/>
      <c r="G7" s="220"/>
      <c r="H7" s="220"/>
      <c r="I7" s="221"/>
      <c r="J7" s="15"/>
    </row>
    <row r="8" spans="2:15" ht="14.25" thickBot="1" x14ac:dyDescent="0.45">
      <c r="B8" s="19"/>
      <c r="C8" s="5"/>
      <c r="D8" s="4"/>
      <c r="E8" s="4"/>
      <c r="F8" s="4"/>
      <c r="G8" s="5"/>
      <c r="H8" s="2"/>
      <c r="I8" s="2"/>
      <c r="J8" s="34"/>
    </row>
    <row r="9" spans="2:15" ht="14.25" thickBot="1" x14ac:dyDescent="0.45">
      <c r="B9" s="219" t="s">
        <v>11</v>
      </c>
      <c r="C9" s="220"/>
      <c r="D9" s="220"/>
      <c r="E9" s="220"/>
      <c r="F9" s="220"/>
      <c r="G9" s="220"/>
      <c r="H9" s="220"/>
      <c r="I9" s="221"/>
      <c r="J9" s="15"/>
    </row>
    <row r="10" spans="2:15" ht="14.25" thickBot="1" x14ac:dyDescent="0.45">
      <c r="B10" s="19"/>
      <c r="C10" s="5"/>
      <c r="D10" s="4"/>
      <c r="E10" s="4"/>
      <c r="F10" s="4"/>
      <c r="G10" s="6"/>
      <c r="H10" s="7"/>
      <c r="I10" s="2"/>
      <c r="J10" s="34"/>
    </row>
    <row r="11" spans="2:15" ht="14.25" thickBot="1" x14ac:dyDescent="0.45">
      <c r="B11" s="219" t="s">
        <v>12</v>
      </c>
      <c r="C11" s="220"/>
      <c r="D11" s="220"/>
      <c r="E11" s="220"/>
      <c r="F11" s="220"/>
      <c r="G11" s="220"/>
      <c r="H11" s="220"/>
      <c r="I11" s="221"/>
      <c r="J11" s="15"/>
    </row>
    <row r="12" spans="2:15" ht="14.25" thickBot="1" x14ac:dyDescent="0.45">
      <c r="B12" s="20"/>
      <c r="C12" s="5"/>
      <c r="D12" s="4"/>
      <c r="E12" s="4"/>
      <c r="F12" s="4"/>
      <c r="G12" s="6"/>
      <c r="H12" s="7"/>
      <c r="I12" s="2"/>
      <c r="J12" s="34"/>
    </row>
    <row r="13" spans="2:15" x14ac:dyDescent="0.4">
      <c r="K13" s="190"/>
    </row>
    <row r="15" spans="2:15" x14ac:dyDescent="0.4">
      <c r="O15" s="12"/>
    </row>
    <row r="17" spans="2:16" ht="14.25" thickBot="1" x14ac:dyDescent="0.45">
      <c r="E17" s="1">
        <f>26500000</f>
        <v>26500000</v>
      </c>
      <c r="F17" s="1">
        <v>14875000</v>
      </c>
      <c r="M17" s="1">
        <f>(100+46.6)*O17</f>
        <v>483.78</v>
      </c>
      <c r="N17" s="1" t="s">
        <v>13</v>
      </c>
      <c r="O17" s="1">
        <v>3.3</v>
      </c>
    </row>
    <row r="18" spans="2:16" ht="36" customHeight="1" thickBot="1" x14ac:dyDescent="0.4">
      <c r="B18" s="21" t="s">
        <v>2</v>
      </c>
      <c r="C18" s="10" t="s">
        <v>3</v>
      </c>
      <c r="D18" s="10" t="s">
        <v>14</v>
      </c>
      <c r="E18" s="10" t="s">
        <v>15</v>
      </c>
      <c r="F18" s="10" t="s">
        <v>16</v>
      </c>
      <c r="G18" s="10" t="s">
        <v>17</v>
      </c>
      <c r="H18" s="10" t="s">
        <v>18</v>
      </c>
      <c r="I18" s="10" t="s">
        <v>19</v>
      </c>
      <c r="J18" s="10" t="s">
        <v>20</v>
      </c>
      <c r="K18" s="10" t="s">
        <v>21</v>
      </c>
      <c r="L18" s="11" t="s">
        <v>7</v>
      </c>
      <c r="M18" s="11" t="s">
        <v>22</v>
      </c>
      <c r="N18" s="222" t="s">
        <v>23</v>
      </c>
      <c r="O18" s="223"/>
    </row>
    <row r="19" spans="2:16" ht="33.75" customHeight="1" thickBot="1" x14ac:dyDescent="0.4">
      <c r="B19" s="64" t="s">
        <v>24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33" t="s">
        <v>25</v>
      </c>
      <c r="O19" s="33" t="s">
        <v>26</v>
      </c>
    </row>
    <row r="20" spans="2:16" ht="31.35" customHeight="1" thickBot="1" x14ac:dyDescent="0.4">
      <c r="B20" s="214" t="s">
        <v>27</v>
      </c>
      <c r="C20" s="49" t="s">
        <v>28</v>
      </c>
      <c r="D20" s="50"/>
      <c r="E20" s="50"/>
      <c r="F20" s="50">
        <f>SUM(F22,F24,F26,F28,F30)</f>
        <v>5</v>
      </c>
      <c r="G20" s="50"/>
      <c r="H20" s="50"/>
      <c r="I20" s="50"/>
      <c r="J20" s="50">
        <f>SUM(D20:I20)</f>
        <v>5</v>
      </c>
      <c r="K20" s="50">
        <f t="shared" ref="K20:K83" si="0">SUM(D20:I20)</f>
        <v>5</v>
      </c>
      <c r="L20" s="51"/>
      <c r="M20" s="54"/>
      <c r="N20" s="49"/>
      <c r="O20" s="49"/>
    </row>
    <row r="21" spans="2:16" ht="36" customHeight="1" thickBot="1" x14ac:dyDescent="0.4">
      <c r="B21" s="214"/>
      <c r="C21" s="165" t="s">
        <v>29</v>
      </c>
      <c r="D21" s="166"/>
      <c r="E21" s="166">
        <f>SUM(E23,E25,E27,E29,E31)</f>
        <v>4121212.1212121216</v>
      </c>
      <c r="F21" s="166">
        <f>SUM(F23,F25,F27,F29,F31)</f>
        <v>8242424.2424242431</v>
      </c>
      <c r="G21" s="166"/>
      <c r="H21" s="166"/>
      <c r="I21" s="166"/>
      <c r="J21" s="166">
        <f>SUM(J23,J25,J27,J29,J31)</f>
        <v>12363636.363636365</v>
      </c>
      <c r="K21" s="166">
        <f>SUM(D21:I21)</f>
        <v>12363636.363636365</v>
      </c>
      <c r="L21" s="167"/>
      <c r="M21" s="168">
        <f>SUM(M22:M31)</f>
        <v>40800000</v>
      </c>
      <c r="N21" s="166">
        <f>SUM(N22:N31)</f>
        <v>12363636.363636365</v>
      </c>
      <c r="O21" s="166">
        <v>0</v>
      </c>
      <c r="P21" s="192"/>
    </row>
    <row r="22" spans="2:16" ht="23.25" customHeight="1" outlineLevel="1" thickBot="1" x14ac:dyDescent="0.4">
      <c r="B22" s="215" t="s">
        <v>30</v>
      </c>
      <c r="C22" s="169" t="s">
        <v>28</v>
      </c>
      <c r="D22" s="169"/>
      <c r="E22" s="169"/>
      <c r="F22" s="169">
        <v>1</v>
      </c>
      <c r="G22" s="169"/>
      <c r="H22" s="169"/>
      <c r="I22" s="169"/>
      <c r="J22" s="46">
        <f>SUM(D22:I22)</f>
        <v>1</v>
      </c>
      <c r="K22" s="47">
        <f t="shared" si="0"/>
        <v>1</v>
      </c>
      <c r="L22" s="169"/>
      <c r="M22" s="44"/>
      <c r="N22" s="169"/>
      <c r="O22" s="169"/>
    </row>
    <row r="23" spans="2:16" ht="23.25" customHeight="1" outlineLevel="1" thickBot="1" x14ac:dyDescent="0.4">
      <c r="B23" s="215"/>
      <c r="C23" s="169" t="s">
        <v>29</v>
      </c>
      <c r="D23" s="42"/>
      <c r="E23" s="42">
        <f>J23*6/18</f>
        <v>824242.42424242431</v>
      </c>
      <c r="F23" s="42">
        <f>J23*12/18</f>
        <v>1648484.8484848486</v>
      </c>
      <c r="G23" s="42"/>
      <c r="H23" s="42"/>
      <c r="I23" s="42"/>
      <c r="J23" s="43">
        <f>M23/$O$17</f>
        <v>2472727.2727272729</v>
      </c>
      <c r="K23" s="43">
        <f t="shared" si="0"/>
        <v>2472727.2727272729</v>
      </c>
      <c r="L23" s="42"/>
      <c r="M23" s="44">
        <v>8160000</v>
      </c>
      <c r="N23" s="42">
        <f>J23</f>
        <v>2472727.2727272729</v>
      </c>
      <c r="O23" s="42"/>
    </row>
    <row r="24" spans="2:16" ht="23.25" customHeight="1" outlineLevel="1" thickBot="1" x14ac:dyDescent="0.4">
      <c r="B24" s="215" t="s">
        <v>31</v>
      </c>
      <c r="C24" s="169" t="s">
        <v>28</v>
      </c>
      <c r="D24" s="169"/>
      <c r="E24" s="169"/>
      <c r="F24" s="169">
        <v>1</v>
      </c>
      <c r="G24" s="169"/>
      <c r="H24" s="169"/>
      <c r="I24" s="169"/>
      <c r="J24" s="46">
        <f>SUM(D24:I24)</f>
        <v>1</v>
      </c>
      <c r="K24" s="47">
        <f t="shared" si="0"/>
        <v>1</v>
      </c>
      <c r="L24" s="169"/>
      <c r="M24" s="44"/>
      <c r="N24" s="169"/>
      <c r="O24" s="169"/>
    </row>
    <row r="25" spans="2:16" ht="23.25" customHeight="1" outlineLevel="1" thickBot="1" x14ac:dyDescent="0.4">
      <c r="B25" s="215"/>
      <c r="C25" s="169" t="s">
        <v>29</v>
      </c>
      <c r="D25" s="42"/>
      <c r="E25" s="42">
        <f>J25*6/18</f>
        <v>824242.42424242431</v>
      </c>
      <c r="F25" s="42">
        <f>J25*12/18</f>
        <v>1648484.8484848486</v>
      </c>
      <c r="G25" s="42"/>
      <c r="H25" s="42"/>
      <c r="I25" s="42"/>
      <c r="J25" s="43">
        <f>M25/$O$17</f>
        <v>2472727.2727272729</v>
      </c>
      <c r="K25" s="43">
        <f t="shared" si="0"/>
        <v>2472727.2727272729</v>
      </c>
      <c r="L25" s="42"/>
      <c r="M25" s="44">
        <v>8160000</v>
      </c>
      <c r="N25" s="42">
        <f>J25</f>
        <v>2472727.2727272729</v>
      </c>
      <c r="O25" s="42"/>
    </row>
    <row r="26" spans="2:16" ht="23.25" customHeight="1" outlineLevel="1" thickBot="1" x14ac:dyDescent="0.4">
      <c r="B26" s="215" t="s">
        <v>32</v>
      </c>
      <c r="C26" s="169" t="s">
        <v>28</v>
      </c>
      <c r="D26" s="169"/>
      <c r="E26" s="169"/>
      <c r="F26" s="169">
        <v>1</v>
      </c>
      <c r="G26" s="169"/>
      <c r="H26" s="169"/>
      <c r="I26" s="169"/>
      <c r="J26" s="46">
        <f>SUM(D26:I26)</f>
        <v>1</v>
      </c>
      <c r="K26" s="47">
        <f t="shared" si="0"/>
        <v>1</v>
      </c>
      <c r="L26" s="169"/>
      <c r="M26" s="44"/>
      <c r="N26" s="169"/>
      <c r="O26" s="169"/>
    </row>
    <row r="27" spans="2:16" ht="23.25" customHeight="1" outlineLevel="1" thickBot="1" x14ac:dyDescent="0.4">
      <c r="B27" s="215"/>
      <c r="C27" s="169" t="s">
        <v>29</v>
      </c>
      <c r="D27" s="42"/>
      <c r="E27" s="42">
        <f>J27*6/18</f>
        <v>824242.42424242431</v>
      </c>
      <c r="F27" s="42">
        <f>J27*12/18</f>
        <v>1648484.8484848486</v>
      </c>
      <c r="G27" s="42"/>
      <c r="H27" s="42"/>
      <c r="I27" s="42"/>
      <c r="J27" s="43">
        <f>M27/$O$17</f>
        <v>2472727.2727272729</v>
      </c>
      <c r="K27" s="43">
        <f t="shared" si="0"/>
        <v>2472727.2727272729</v>
      </c>
      <c r="L27" s="42"/>
      <c r="M27" s="44">
        <v>8160000</v>
      </c>
      <c r="N27" s="42">
        <f>J27</f>
        <v>2472727.2727272729</v>
      </c>
      <c r="O27" s="42"/>
    </row>
    <row r="28" spans="2:16" ht="23.25" customHeight="1" outlineLevel="1" thickBot="1" x14ac:dyDescent="0.4">
      <c r="B28" s="215" t="s">
        <v>33</v>
      </c>
      <c r="C28" s="169" t="s">
        <v>28</v>
      </c>
      <c r="D28" s="42"/>
      <c r="E28" s="42"/>
      <c r="F28" s="105">
        <v>1</v>
      </c>
      <c r="G28" s="42"/>
      <c r="H28" s="42"/>
      <c r="I28" s="42"/>
      <c r="J28" s="43"/>
      <c r="K28" s="43"/>
      <c r="L28" s="42"/>
      <c r="M28" s="44"/>
      <c r="N28" s="42"/>
      <c r="O28" s="42"/>
    </row>
    <row r="29" spans="2:16" ht="23.25" customHeight="1" outlineLevel="1" thickBot="1" x14ac:dyDescent="0.4">
      <c r="B29" s="215"/>
      <c r="C29" s="169" t="s">
        <v>29</v>
      </c>
      <c r="D29" s="42"/>
      <c r="E29" s="42">
        <f>J29*6/18</f>
        <v>824242.42424242431</v>
      </c>
      <c r="F29" s="42">
        <f>J29*12/18</f>
        <v>1648484.8484848486</v>
      </c>
      <c r="G29" s="42"/>
      <c r="H29" s="42"/>
      <c r="I29" s="42"/>
      <c r="J29" s="43">
        <f>M29/$O$17</f>
        <v>2472727.2727272729</v>
      </c>
      <c r="K29" s="43">
        <f t="shared" si="0"/>
        <v>2472727.2727272729</v>
      </c>
      <c r="L29" s="42"/>
      <c r="M29" s="44">
        <v>8160000</v>
      </c>
      <c r="N29" s="42">
        <f>J29</f>
        <v>2472727.2727272729</v>
      </c>
      <c r="O29" s="42"/>
    </row>
    <row r="30" spans="2:16" ht="23.25" customHeight="1" outlineLevel="1" thickBot="1" x14ac:dyDescent="0.4">
      <c r="B30" s="215" t="s">
        <v>34</v>
      </c>
      <c r="C30" s="169" t="s">
        <v>28</v>
      </c>
      <c r="D30" s="42"/>
      <c r="E30" s="42"/>
      <c r="F30" s="105">
        <v>1</v>
      </c>
      <c r="G30" s="42"/>
      <c r="H30" s="42"/>
      <c r="I30" s="42"/>
      <c r="J30" s="43"/>
      <c r="K30" s="43"/>
      <c r="L30" s="42"/>
      <c r="M30" s="44"/>
      <c r="N30" s="42"/>
      <c r="O30" s="42"/>
    </row>
    <row r="31" spans="2:16" ht="23.25" customHeight="1" outlineLevel="1" thickBot="1" x14ac:dyDescent="0.4">
      <c r="B31" s="215"/>
      <c r="C31" s="169" t="s">
        <v>29</v>
      </c>
      <c r="D31" s="42"/>
      <c r="E31" s="42">
        <f>J31*6/18</f>
        <v>824242.42424242431</v>
      </c>
      <c r="F31" s="42">
        <f>J31*12/18</f>
        <v>1648484.8484848486</v>
      </c>
      <c r="G31" s="42"/>
      <c r="H31" s="42"/>
      <c r="I31" s="42"/>
      <c r="J31" s="43">
        <f>M31/$O$17</f>
        <v>2472727.2727272729</v>
      </c>
      <c r="K31" s="43">
        <f t="shared" si="0"/>
        <v>2472727.2727272729</v>
      </c>
      <c r="L31" s="42"/>
      <c r="M31" s="44">
        <v>8160000</v>
      </c>
      <c r="N31" s="42">
        <f>J31</f>
        <v>2472727.2727272729</v>
      </c>
      <c r="O31" s="42"/>
    </row>
    <row r="32" spans="2:16" ht="41.1" customHeight="1" thickBot="1" x14ac:dyDescent="0.4">
      <c r="B32" s="228" t="s">
        <v>35</v>
      </c>
      <c r="C32" s="109" t="s">
        <v>28</v>
      </c>
      <c r="D32" s="109"/>
      <c r="E32" s="109"/>
      <c r="F32" s="191">
        <f>SUMIF(F34:F43,"=1")</f>
        <v>5</v>
      </c>
      <c r="G32" s="109"/>
      <c r="H32" s="109"/>
      <c r="I32" s="109"/>
      <c r="J32" s="191">
        <f>SUMIF(J34:J43,"=1")</f>
        <v>5</v>
      </c>
      <c r="K32" s="191">
        <f>SUMIF(K34:K43,"=1")</f>
        <v>5</v>
      </c>
      <c r="L32" s="109"/>
      <c r="M32" s="110"/>
      <c r="N32" s="109"/>
      <c r="O32" s="109"/>
    </row>
    <row r="33" spans="2:16" ht="73.5" customHeight="1" thickBot="1" x14ac:dyDescent="0.4">
      <c r="B33" s="228"/>
      <c r="C33" s="109" t="s">
        <v>29</v>
      </c>
      <c r="D33" s="111"/>
      <c r="E33" s="111">
        <f>SUMIF(E34:E43,"&gt;100")</f>
        <v>2121212.1212121211</v>
      </c>
      <c r="F33" s="111">
        <f>SUMIF(F34:F43,"&gt;100")</f>
        <v>7151515.1515151523</v>
      </c>
      <c r="G33" s="111"/>
      <c r="H33" s="111"/>
      <c r="I33" s="111"/>
      <c r="J33" s="111">
        <f>SUMIF(J34:J43,"&gt;100")</f>
        <v>9272727.2727272715</v>
      </c>
      <c r="K33" s="111">
        <f t="shared" si="0"/>
        <v>9272727.2727272734</v>
      </c>
      <c r="L33" s="111"/>
      <c r="M33" s="110">
        <f>SUM(M35:M43)</f>
        <v>30600000</v>
      </c>
      <c r="N33" s="111">
        <f>SUM(N34:N43)</f>
        <v>9272727.2727272715</v>
      </c>
      <c r="O33" s="111">
        <v>0</v>
      </c>
      <c r="P33" s="192"/>
    </row>
    <row r="34" spans="2:16" ht="33" customHeight="1" thickBot="1" x14ac:dyDescent="0.4">
      <c r="B34" s="229" t="s">
        <v>36</v>
      </c>
      <c r="C34" s="118" t="s">
        <v>28</v>
      </c>
      <c r="D34" s="112"/>
      <c r="E34" s="112"/>
      <c r="F34" s="113">
        <v>1</v>
      </c>
      <c r="G34" s="112"/>
      <c r="H34" s="112"/>
      <c r="I34" s="112"/>
      <c r="J34" s="114">
        <v>1</v>
      </c>
      <c r="K34" s="114">
        <v>1</v>
      </c>
      <c r="L34" s="107"/>
      <c r="M34" s="108"/>
      <c r="N34" s="107"/>
      <c r="O34" s="107"/>
    </row>
    <row r="35" spans="2:16" ht="36" customHeight="1" thickBot="1" x14ac:dyDescent="0.4">
      <c r="B35" s="229"/>
      <c r="C35" s="118" t="s">
        <v>29</v>
      </c>
      <c r="D35" s="112"/>
      <c r="E35" s="42"/>
      <c r="F35" s="42">
        <f>J35</f>
        <v>2472727.2727272729</v>
      </c>
      <c r="G35" s="112"/>
      <c r="H35" s="112"/>
      <c r="I35" s="112"/>
      <c r="J35" s="107">
        <f>M35/$O$17</f>
        <v>2472727.2727272729</v>
      </c>
      <c r="K35" s="107">
        <f>SUM(D35:I35)</f>
        <v>2472727.2727272729</v>
      </c>
      <c r="L35" s="107"/>
      <c r="M35" s="44">
        <v>8160000</v>
      </c>
      <c r="N35" s="112">
        <f>J35</f>
        <v>2472727.2727272729</v>
      </c>
      <c r="O35" s="107"/>
    </row>
    <row r="36" spans="2:16" ht="27.75" customHeight="1" outlineLevel="1" thickBot="1" x14ac:dyDescent="0.4">
      <c r="B36" s="229" t="s">
        <v>37</v>
      </c>
      <c r="C36" s="118" t="s">
        <v>28</v>
      </c>
      <c r="D36" s="118"/>
      <c r="E36" s="118"/>
      <c r="F36" s="118">
        <v>1</v>
      </c>
      <c r="G36" s="118"/>
      <c r="H36" s="118"/>
      <c r="I36" s="118"/>
      <c r="J36" s="115">
        <f>SUM(D36:I36)</f>
        <v>1</v>
      </c>
      <c r="K36" s="106">
        <f t="shared" si="0"/>
        <v>1</v>
      </c>
      <c r="L36" s="118"/>
      <c r="M36" s="116"/>
      <c r="N36" s="118"/>
      <c r="O36" s="118"/>
    </row>
    <row r="37" spans="2:16" ht="27.75" customHeight="1" outlineLevel="1" thickBot="1" x14ac:dyDescent="0.4">
      <c r="B37" s="229"/>
      <c r="C37" s="118" t="s">
        <v>29</v>
      </c>
      <c r="D37" s="112"/>
      <c r="E37" s="112">
        <f>2000000/O17</f>
        <v>606060.60606060608</v>
      </c>
      <c r="F37" s="112">
        <f>J37-E37</f>
        <v>321212.12121212122</v>
      </c>
      <c r="G37" s="112"/>
      <c r="H37" s="112"/>
      <c r="I37" s="112"/>
      <c r="J37" s="107">
        <f>M37/$O$17</f>
        <v>927272.72727272729</v>
      </c>
      <c r="K37" s="107">
        <f t="shared" si="0"/>
        <v>927272.72727272729</v>
      </c>
      <c r="L37" s="112"/>
      <c r="M37" s="116">
        <v>3060000</v>
      </c>
      <c r="N37" s="112">
        <f>J37</f>
        <v>927272.72727272729</v>
      </c>
      <c r="O37" s="112"/>
    </row>
    <row r="38" spans="2:16" ht="27.75" customHeight="1" outlineLevel="1" thickBot="1" x14ac:dyDescent="0.4">
      <c r="B38" s="230" t="s">
        <v>38</v>
      </c>
      <c r="C38" s="55" t="s">
        <v>28</v>
      </c>
      <c r="D38" s="55"/>
      <c r="E38" s="55"/>
      <c r="F38" s="55">
        <v>1</v>
      </c>
      <c r="G38" s="55"/>
      <c r="H38" s="55"/>
      <c r="I38" s="55"/>
      <c r="J38" s="56">
        <f>SUM(D38:I38)</f>
        <v>1</v>
      </c>
      <c r="K38" s="57">
        <f t="shared" si="0"/>
        <v>1</v>
      </c>
      <c r="L38" s="58"/>
      <c r="M38" s="63"/>
      <c r="N38" s="55"/>
      <c r="O38" s="55"/>
    </row>
    <row r="39" spans="2:16" ht="27.75" customHeight="1" outlineLevel="1" thickBot="1" x14ac:dyDescent="0.4">
      <c r="B39" s="227"/>
      <c r="C39" s="55" t="s">
        <v>29</v>
      </c>
      <c r="D39" s="60"/>
      <c r="E39" s="60">
        <f>5000000/O17</f>
        <v>1515151.5151515151</v>
      </c>
      <c r="F39" s="60">
        <f>J39-E39</f>
        <v>648484.84848484863</v>
      </c>
      <c r="G39" s="60"/>
      <c r="H39" s="60"/>
      <c r="I39" s="60"/>
      <c r="J39" s="61">
        <f>M39/$O$17</f>
        <v>2163636.3636363638</v>
      </c>
      <c r="K39" s="61">
        <f t="shared" si="0"/>
        <v>2163636.3636363638</v>
      </c>
      <c r="L39" s="62"/>
      <c r="M39" s="63">
        <v>7140000</v>
      </c>
      <c r="N39" s="60">
        <f>J39</f>
        <v>2163636.3636363638</v>
      </c>
      <c r="O39" s="60"/>
    </row>
    <row r="40" spans="2:16" ht="27.75" customHeight="1" outlineLevel="1" thickBot="1" x14ac:dyDescent="0.4">
      <c r="B40" s="226" t="s">
        <v>39</v>
      </c>
      <c r="C40" s="55" t="s">
        <v>28</v>
      </c>
      <c r="D40" s="55"/>
      <c r="E40" s="55"/>
      <c r="F40" s="55">
        <v>1</v>
      </c>
      <c r="G40" s="55"/>
      <c r="H40" s="55"/>
      <c r="I40" s="55"/>
      <c r="J40" s="56">
        <f>SUM(D40:I40)</f>
        <v>1</v>
      </c>
      <c r="K40" s="57">
        <f t="shared" si="0"/>
        <v>1</v>
      </c>
      <c r="L40" s="58"/>
      <c r="M40" s="59"/>
      <c r="N40" s="55"/>
      <c r="O40" s="55"/>
    </row>
    <row r="41" spans="2:16" ht="27.75" customHeight="1" outlineLevel="1" thickBot="1" x14ac:dyDescent="0.4">
      <c r="B41" s="227"/>
      <c r="C41" s="55" t="s">
        <v>29</v>
      </c>
      <c r="D41" s="60"/>
      <c r="E41" s="60"/>
      <c r="F41" s="60">
        <f>J41</f>
        <v>2163636.3636363638</v>
      </c>
      <c r="G41" s="60"/>
      <c r="H41" s="60"/>
      <c r="I41" s="60"/>
      <c r="J41" s="61">
        <f>M41/$O$17</f>
        <v>2163636.3636363638</v>
      </c>
      <c r="K41" s="61">
        <f t="shared" si="0"/>
        <v>2163636.3636363638</v>
      </c>
      <c r="L41" s="62"/>
      <c r="M41" s="63">
        <v>7140000</v>
      </c>
      <c r="N41" s="60">
        <f>J41</f>
        <v>2163636.3636363638</v>
      </c>
      <c r="O41" s="60"/>
    </row>
    <row r="42" spans="2:16" ht="27.75" customHeight="1" outlineLevel="1" thickBot="1" x14ac:dyDescent="0.4">
      <c r="B42" s="226" t="s">
        <v>40</v>
      </c>
      <c r="C42" s="55" t="s">
        <v>28</v>
      </c>
      <c r="D42" s="55"/>
      <c r="E42" s="55"/>
      <c r="F42" s="55">
        <v>1</v>
      </c>
      <c r="G42" s="55"/>
      <c r="H42" s="55"/>
      <c r="I42" s="55"/>
      <c r="J42" s="56">
        <f>SUM(D42:I42)</f>
        <v>1</v>
      </c>
      <c r="K42" s="57">
        <f t="shared" si="0"/>
        <v>1</v>
      </c>
      <c r="L42" s="58"/>
      <c r="M42" s="59"/>
      <c r="N42" s="55"/>
      <c r="O42" s="55"/>
    </row>
    <row r="43" spans="2:16" ht="27.75" customHeight="1" outlineLevel="1" thickBot="1" x14ac:dyDescent="0.4">
      <c r="B43" s="227"/>
      <c r="C43" s="55" t="s">
        <v>29</v>
      </c>
      <c r="D43" s="60"/>
      <c r="E43" s="60"/>
      <c r="F43" s="60">
        <f>J43</f>
        <v>1545454.5454545456</v>
      </c>
      <c r="G43" s="60"/>
      <c r="H43" s="60"/>
      <c r="I43" s="60"/>
      <c r="J43" s="61">
        <f>M43/$O$17</f>
        <v>1545454.5454545456</v>
      </c>
      <c r="K43" s="61">
        <f t="shared" si="0"/>
        <v>1545454.5454545456</v>
      </c>
      <c r="L43" s="62"/>
      <c r="M43" s="63">
        <v>5100000</v>
      </c>
      <c r="N43" s="60">
        <f>J43</f>
        <v>1545454.5454545456</v>
      </c>
      <c r="O43" s="60"/>
    </row>
    <row r="44" spans="2:16" ht="30.6" customHeight="1" thickBot="1" x14ac:dyDescent="0.4">
      <c r="B44" s="224" t="s">
        <v>41</v>
      </c>
      <c r="C44" s="49" t="s">
        <v>28</v>
      </c>
      <c r="D44" s="49"/>
      <c r="E44" s="49"/>
      <c r="F44" s="49">
        <f>SUM(F46,F48,F50)</f>
        <v>1</v>
      </c>
      <c r="G44" s="49">
        <f>SUM(G46,G48,G50)</f>
        <v>2</v>
      </c>
      <c r="H44" s="49"/>
      <c r="I44" s="49"/>
      <c r="J44" s="50">
        <f>SUM(D44:I44)</f>
        <v>3</v>
      </c>
      <c r="K44" s="50">
        <f t="shared" si="0"/>
        <v>3</v>
      </c>
      <c r="L44" s="51"/>
      <c r="M44" s="54"/>
      <c r="N44" s="49"/>
      <c r="O44" s="49"/>
    </row>
    <row r="45" spans="2:16" ht="35.25" customHeight="1" thickBot="1" x14ac:dyDescent="0.4">
      <c r="B45" s="225"/>
      <c r="C45" s="49" t="s">
        <v>29</v>
      </c>
      <c r="D45" s="52"/>
      <c r="E45" s="52">
        <f>SUM(E47,E49,E51)</f>
        <v>787878.78787878796</v>
      </c>
      <c r="F45" s="52">
        <f>SUM(F47,F49,F51)</f>
        <v>3478787.8787878789</v>
      </c>
      <c r="G45" s="52">
        <f>SUM(G47,G49,G51)</f>
        <v>1296969.6969696973</v>
      </c>
      <c r="H45" s="52"/>
      <c r="I45" s="52"/>
      <c r="J45" s="52">
        <f>SUM(J47,J49,J51)</f>
        <v>5563636.3636363633</v>
      </c>
      <c r="K45" s="52">
        <f t="shared" si="0"/>
        <v>5563636.3636363642</v>
      </c>
      <c r="L45" s="53"/>
      <c r="M45" s="54">
        <f>SUM(M46:M51)</f>
        <v>18360000</v>
      </c>
      <c r="N45" s="52">
        <f>SUM(N46:N51)</f>
        <v>5563636.3636363633</v>
      </c>
      <c r="O45" s="52">
        <v>0</v>
      </c>
    </row>
    <row r="46" spans="2:16" ht="21.75" customHeight="1" outlineLevel="1" thickBot="1" x14ac:dyDescent="0.4">
      <c r="B46" s="226" t="s">
        <v>42</v>
      </c>
      <c r="C46" s="55" t="s">
        <v>28</v>
      </c>
      <c r="D46" s="55"/>
      <c r="E46" s="55"/>
      <c r="F46" s="55"/>
      <c r="G46" s="55">
        <v>1</v>
      </c>
      <c r="H46" s="55"/>
      <c r="I46" s="55"/>
      <c r="J46" s="56">
        <f>SUM(D46:I46)</f>
        <v>1</v>
      </c>
      <c r="K46" s="57">
        <f t="shared" si="0"/>
        <v>1</v>
      </c>
      <c r="L46" s="58"/>
      <c r="M46" s="59"/>
      <c r="N46" s="55"/>
      <c r="O46" s="55"/>
    </row>
    <row r="47" spans="2:16" ht="21.75" customHeight="1" outlineLevel="1" thickBot="1" x14ac:dyDescent="0.4">
      <c r="B47" s="227"/>
      <c r="C47" s="55" t="s">
        <v>29</v>
      </c>
      <c r="D47" s="60"/>
      <c r="E47" s="60"/>
      <c r="F47" s="60">
        <f>5000000/O17</f>
        <v>1515151.5151515151</v>
      </c>
      <c r="G47" s="60">
        <f>J47-F47</f>
        <v>648484.84848484863</v>
      </c>
      <c r="H47" s="60"/>
      <c r="I47" s="60"/>
      <c r="J47" s="61">
        <f>M47/$O$17</f>
        <v>2163636.3636363638</v>
      </c>
      <c r="K47" s="61">
        <f t="shared" si="0"/>
        <v>2163636.3636363638</v>
      </c>
      <c r="L47" s="62"/>
      <c r="M47" s="63">
        <v>7140000</v>
      </c>
      <c r="N47" s="60">
        <f>J47</f>
        <v>2163636.3636363638</v>
      </c>
      <c r="O47" s="60"/>
    </row>
    <row r="48" spans="2:16" ht="21.75" customHeight="1" outlineLevel="1" thickBot="1" x14ac:dyDescent="0.4">
      <c r="B48" s="226" t="s">
        <v>43</v>
      </c>
      <c r="C48" s="55" t="s">
        <v>28</v>
      </c>
      <c r="D48" s="55"/>
      <c r="E48" s="55"/>
      <c r="F48" s="55">
        <v>1</v>
      </c>
      <c r="G48" s="55"/>
      <c r="H48" s="55"/>
      <c r="I48" s="55"/>
      <c r="J48" s="56">
        <f>SUM(D48:I48)</f>
        <v>1</v>
      </c>
      <c r="K48" s="57">
        <f t="shared" si="0"/>
        <v>1</v>
      </c>
      <c r="L48" s="58"/>
      <c r="M48" s="59"/>
      <c r="N48" s="55"/>
      <c r="O48" s="55"/>
    </row>
    <row r="49" spans="2:16" ht="21.75" customHeight="1" outlineLevel="1" thickBot="1" x14ac:dyDescent="0.4">
      <c r="B49" s="227"/>
      <c r="C49" s="55" t="s">
        <v>29</v>
      </c>
      <c r="D49" s="60"/>
      <c r="E49" s="60">
        <f>2600000/O17</f>
        <v>787878.78787878796</v>
      </c>
      <c r="F49" s="60">
        <f>J49-E49</f>
        <v>448484.84848484851</v>
      </c>
      <c r="G49" s="60"/>
      <c r="H49" s="60"/>
      <c r="I49" s="60"/>
      <c r="J49" s="61">
        <f>M49/$O$17</f>
        <v>1236363.6363636365</v>
      </c>
      <c r="K49" s="61">
        <f t="shared" si="0"/>
        <v>1236363.6363636365</v>
      </c>
      <c r="L49" s="62"/>
      <c r="M49" s="63">
        <v>4080000</v>
      </c>
      <c r="N49" s="60">
        <f>J49</f>
        <v>1236363.6363636365</v>
      </c>
      <c r="O49" s="60"/>
    </row>
    <row r="50" spans="2:16" ht="21.75" customHeight="1" outlineLevel="1" thickBot="1" x14ac:dyDescent="0.4">
      <c r="B50" s="226" t="s">
        <v>44</v>
      </c>
      <c r="C50" s="55" t="s">
        <v>28</v>
      </c>
      <c r="D50" s="55"/>
      <c r="E50" s="55"/>
      <c r="F50" s="55"/>
      <c r="G50" s="55">
        <v>1</v>
      </c>
      <c r="H50" s="55"/>
      <c r="I50" s="55"/>
      <c r="J50" s="56">
        <f>SUM(D50:I50)</f>
        <v>1</v>
      </c>
      <c r="K50" s="57">
        <f t="shared" si="0"/>
        <v>1</v>
      </c>
      <c r="L50" s="58"/>
      <c r="M50" s="59"/>
      <c r="N50" s="55"/>
      <c r="O50" s="55"/>
    </row>
    <row r="51" spans="2:16" ht="21.75" customHeight="1" outlineLevel="1" thickBot="1" x14ac:dyDescent="0.4">
      <c r="B51" s="227"/>
      <c r="C51" s="55" t="s">
        <v>29</v>
      </c>
      <c r="D51" s="60"/>
      <c r="E51" s="60"/>
      <c r="F51" s="60">
        <f>5000000/O17</f>
        <v>1515151.5151515151</v>
      </c>
      <c r="G51" s="60">
        <f>J51-F51</f>
        <v>648484.84848484863</v>
      </c>
      <c r="H51" s="60"/>
      <c r="I51" s="60"/>
      <c r="J51" s="61">
        <f>M51/$O$17</f>
        <v>2163636.3636363638</v>
      </c>
      <c r="K51" s="61">
        <f t="shared" si="0"/>
        <v>2163636.3636363638</v>
      </c>
      <c r="L51" s="62"/>
      <c r="M51" s="63">
        <v>7140000</v>
      </c>
      <c r="N51" s="60">
        <f>J51</f>
        <v>2163636.3636363638</v>
      </c>
      <c r="O51" s="60"/>
    </row>
    <row r="52" spans="2:16" ht="23.25" customHeight="1" thickBot="1" x14ac:dyDescent="0.4">
      <c r="B52" s="224" t="s">
        <v>45</v>
      </c>
      <c r="C52" s="49" t="s">
        <v>46</v>
      </c>
      <c r="D52" s="49"/>
      <c r="E52" s="49">
        <f>E54</f>
        <v>1</v>
      </c>
      <c r="F52" s="49"/>
      <c r="G52" s="49"/>
      <c r="H52" s="49"/>
      <c r="I52" s="49"/>
      <c r="J52" s="49">
        <f>SUM(J54)</f>
        <v>1</v>
      </c>
      <c r="K52" s="50">
        <f t="shared" si="0"/>
        <v>1</v>
      </c>
      <c r="L52" s="51"/>
      <c r="M52" s="54"/>
      <c r="N52" s="49"/>
      <c r="O52" s="49"/>
    </row>
    <row r="53" spans="2:16" ht="35.25" customHeight="1" thickBot="1" x14ac:dyDescent="0.4">
      <c r="B53" s="225"/>
      <c r="C53" s="49" t="s">
        <v>29</v>
      </c>
      <c r="D53" s="52"/>
      <c r="E53" s="52">
        <f>E55</f>
        <v>618181.81818181823</v>
      </c>
      <c r="F53" s="52"/>
      <c r="G53" s="52"/>
      <c r="H53" s="52"/>
      <c r="I53" s="52"/>
      <c r="J53" s="52">
        <f>SUM(J55)</f>
        <v>618181.81818181823</v>
      </c>
      <c r="K53" s="52">
        <f>SUM(D53:I53)</f>
        <v>618181.81818181823</v>
      </c>
      <c r="L53" s="53"/>
      <c r="M53" s="54">
        <f>SUM(M55)</f>
        <v>2040000</v>
      </c>
      <c r="N53" s="52">
        <f>SUM(N54:N55)</f>
        <v>618181.81818181823</v>
      </c>
      <c r="O53" s="52">
        <v>0</v>
      </c>
      <c r="P53" s="192"/>
    </row>
    <row r="54" spans="2:16" ht="24" customHeight="1" outlineLevel="1" thickBot="1" x14ac:dyDescent="0.4">
      <c r="B54" s="226" t="s">
        <v>47</v>
      </c>
      <c r="C54" s="55" t="s">
        <v>48</v>
      </c>
      <c r="D54" s="55"/>
      <c r="E54" s="55">
        <v>1</v>
      </c>
      <c r="F54" s="55"/>
      <c r="G54" s="55"/>
      <c r="H54" s="55"/>
      <c r="I54" s="55"/>
      <c r="J54" s="56">
        <f>SUM(D54:I54)</f>
        <v>1</v>
      </c>
      <c r="K54" s="57">
        <f t="shared" si="0"/>
        <v>1</v>
      </c>
      <c r="L54" s="58"/>
      <c r="M54" s="59"/>
      <c r="N54" s="55"/>
      <c r="O54" s="55"/>
    </row>
    <row r="55" spans="2:16" ht="24" customHeight="1" outlineLevel="1" thickBot="1" x14ac:dyDescent="0.4">
      <c r="B55" s="227"/>
      <c r="C55" s="55" t="s">
        <v>29</v>
      </c>
      <c r="D55" s="60"/>
      <c r="E55" s="60">
        <f>J55</f>
        <v>618181.81818181823</v>
      </c>
      <c r="F55" s="60"/>
      <c r="G55" s="60"/>
      <c r="H55" s="60"/>
      <c r="I55" s="60"/>
      <c r="J55" s="61">
        <f>M55/$O$17</f>
        <v>618181.81818181823</v>
      </c>
      <c r="K55" s="61">
        <f t="shared" si="0"/>
        <v>618181.81818181823</v>
      </c>
      <c r="L55" s="62"/>
      <c r="M55" s="63">
        <v>2040000</v>
      </c>
      <c r="N55" s="60">
        <f>J55</f>
        <v>618181.81818181823</v>
      </c>
      <c r="O55" s="60"/>
    </row>
    <row r="56" spans="2:16" ht="21.6" customHeight="1" thickBot="1" x14ac:dyDescent="0.4">
      <c r="B56" s="224" t="s">
        <v>49</v>
      </c>
      <c r="C56" s="49" t="s">
        <v>50</v>
      </c>
      <c r="D56" s="49"/>
      <c r="E56" s="49"/>
      <c r="F56" s="49"/>
      <c r="G56" s="191">
        <f>SUMIF(G58:G65,"=1")</f>
        <v>4</v>
      </c>
      <c r="H56" s="49"/>
      <c r="I56" s="49"/>
      <c r="J56" s="50">
        <f>SUM(D56:I56)</f>
        <v>4</v>
      </c>
      <c r="K56" s="50">
        <f t="shared" si="0"/>
        <v>4</v>
      </c>
      <c r="L56" s="51"/>
      <c r="M56" s="54"/>
      <c r="N56" s="49"/>
      <c r="O56" s="49"/>
    </row>
    <row r="57" spans="2:16" ht="35.25" customHeight="1" thickBot="1" x14ac:dyDescent="0.4">
      <c r="B57" s="225"/>
      <c r="C57" s="49" t="s">
        <v>29</v>
      </c>
      <c r="D57" s="52"/>
      <c r="E57" s="52"/>
      <c r="F57" s="52">
        <f>SUMIF(F58:F65,"&gt;100")</f>
        <v>1575757.5757575759</v>
      </c>
      <c r="G57" s="52">
        <f>SUMIF(G58:G65,"&gt;100")</f>
        <v>3369696.9696969697</v>
      </c>
      <c r="H57" s="52"/>
      <c r="I57" s="52"/>
      <c r="J57" s="52">
        <f>SUM(J59,J61,J63,J65)</f>
        <v>4945454.5454545459</v>
      </c>
      <c r="K57" s="52">
        <f t="shared" si="0"/>
        <v>4945454.5454545459</v>
      </c>
      <c r="L57" s="53"/>
      <c r="M57" s="54">
        <f>SUM(M59:M65)</f>
        <v>16320000</v>
      </c>
      <c r="N57" s="52">
        <f>J57</f>
        <v>4945454.5454545459</v>
      </c>
      <c r="O57" s="52">
        <v>0</v>
      </c>
    </row>
    <row r="58" spans="2:16" ht="22.5" customHeight="1" outlineLevel="1" thickBot="1" x14ac:dyDescent="0.4">
      <c r="B58" s="226" t="s">
        <v>51</v>
      </c>
      <c r="C58" s="55" t="s">
        <v>50</v>
      </c>
      <c r="D58" s="60"/>
      <c r="E58" s="60"/>
      <c r="F58" s="60"/>
      <c r="G58" s="55">
        <v>1</v>
      </c>
      <c r="H58" s="60"/>
      <c r="I58" s="55"/>
      <c r="J58" s="56">
        <f>SUM(D58:I58)</f>
        <v>1</v>
      </c>
      <c r="K58" s="57">
        <f t="shared" si="0"/>
        <v>1</v>
      </c>
      <c r="L58" s="62"/>
      <c r="M58" s="63"/>
      <c r="N58" s="60"/>
      <c r="O58" s="60"/>
    </row>
    <row r="59" spans="2:16" ht="22.5" customHeight="1" outlineLevel="1" thickBot="1" x14ac:dyDescent="0.4">
      <c r="B59" s="227"/>
      <c r="C59" s="55" t="s">
        <v>29</v>
      </c>
      <c r="D59" s="60"/>
      <c r="E59" s="60"/>
      <c r="F59" s="60">
        <f>2600000/O17</f>
        <v>787878.78787878796</v>
      </c>
      <c r="G59" s="60">
        <f>J59-F59</f>
        <v>448484.84848484851</v>
      </c>
      <c r="H59" s="60"/>
      <c r="I59" s="55"/>
      <c r="J59" s="61">
        <f>M59/$O$17</f>
        <v>1236363.6363636365</v>
      </c>
      <c r="K59" s="61">
        <f t="shared" si="0"/>
        <v>1236363.6363636365</v>
      </c>
      <c r="L59" s="62"/>
      <c r="M59" s="63">
        <v>4080000</v>
      </c>
      <c r="N59" s="60">
        <f>J59</f>
        <v>1236363.6363636365</v>
      </c>
      <c r="O59" s="60"/>
    </row>
    <row r="60" spans="2:16" ht="22.5" customHeight="1" outlineLevel="1" thickBot="1" x14ac:dyDescent="0.4">
      <c r="B60" s="226" t="s">
        <v>52</v>
      </c>
      <c r="C60" s="55" t="s">
        <v>50</v>
      </c>
      <c r="D60" s="60"/>
      <c r="E60" s="60"/>
      <c r="F60" s="60"/>
      <c r="G60" s="55">
        <v>1</v>
      </c>
      <c r="H60" s="60"/>
      <c r="I60" s="55"/>
      <c r="J60" s="56">
        <f>SUM(D60:I60)</f>
        <v>1</v>
      </c>
      <c r="K60" s="57">
        <f t="shared" si="0"/>
        <v>1</v>
      </c>
      <c r="L60" s="62"/>
      <c r="M60" s="63"/>
      <c r="N60" s="60"/>
      <c r="O60" s="60"/>
    </row>
    <row r="61" spans="2:16" ht="22.5" customHeight="1" outlineLevel="1" thickBot="1" x14ac:dyDescent="0.4">
      <c r="B61" s="227"/>
      <c r="C61" s="55" t="s">
        <v>29</v>
      </c>
      <c r="D61" s="60"/>
      <c r="E61" s="60"/>
      <c r="F61" s="60"/>
      <c r="G61" s="60">
        <f>J61</f>
        <v>1236363.6363636365</v>
      </c>
      <c r="H61" s="60"/>
      <c r="I61" s="55"/>
      <c r="J61" s="61">
        <f>M61/$O$17</f>
        <v>1236363.6363636365</v>
      </c>
      <c r="K61" s="61">
        <f t="shared" si="0"/>
        <v>1236363.6363636365</v>
      </c>
      <c r="L61" s="62"/>
      <c r="M61" s="63">
        <v>4080000</v>
      </c>
      <c r="N61" s="60">
        <f>J61</f>
        <v>1236363.6363636365</v>
      </c>
      <c r="O61" s="60"/>
    </row>
    <row r="62" spans="2:16" ht="22.5" customHeight="1" outlineLevel="1" thickBot="1" x14ac:dyDescent="0.4">
      <c r="B62" s="226" t="s">
        <v>53</v>
      </c>
      <c r="C62" s="55" t="s">
        <v>50</v>
      </c>
      <c r="D62" s="60"/>
      <c r="E62" s="60"/>
      <c r="F62" s="60"/>
      <c r="G62" s="55">
        <v>1</v>
      </c>
      <c r="H62" s="60"/>
      <c r="I62" s="55"/>
      <c r="J62" s="56">
        <f>SUM(D62:I62)</f>
        <v>1</v>
      </c>
      <c r="K62" s="57">
        <f t="shared" si="0"/>
        <v>1</v>
      </c>
      <c r="L62" s="62"/>
      <c r="M62" s="63"/>
      <c r="N62" s="60"/>
      <c r="O62" s="60"/>
    </row>
    <row r="63" spans="2:16" ht="22.5" customHeight="1" outlineLevel="1" thickBot="1" x14ac:dyDescent="0.4">
      <c r="B63" s="227"/>
      <c r="C63" s="55" t="s">
        <v>29</v>
      </c>
      <c r="D63" s="60"/>
      <c r="E63" s="60"/>
      <c r="F63" s="60"/>
      <c r="G63" s="60">
        <f>J63</f>
        <v>1236363.6363636365</v>
      </c>
      <c r="H63" s="60"/>
      <c r="I63" s="55"/>
      <c r="J63" s="61">
        <f>M63/$O$17</f>
        <v>1236363.6363636365</v>
      </c>
      <c r="K63" s="61">
        <f t="shared" si="0"/>
        <v>1236363.6363636365</v>
      </c>
      <c r="L63" s="62"/>
      <c r="M63" s="63">
        <v>4080000</v>
      </c>
      <c r="N63" s="60">
        <f>J63</f>
        <v>1236363.6363636365</v>
      </c>
      <c r="O63" s="60"/>
    </row>
    <row r="64" spans="2:16" ht="22.5" customHeight="1" outlineLevel="1" thickBot="1" x14ac:dyDescent="0.4">
      <c r="B64" s="226" t="s">
        <v>54</v>
      </c>
      <c r="C64" s="55" t="s">
        <v>50</v>
      </c>
      <c r="D64" s="60"/>
      <c r="E64" s="60"/>
      <c r="F64" s="60"/>
      <c r="G64" s="55">
        <v>1</v>
      </c>
      <c r="H64" s="60"/>
      <c r="I64" s="55"/>
      <c r="J64" s="56">
        <f>SUM(D64:I64)</f>
        <v>1</v>
      </c>
      <c r="K64" s="57">
        <f t="shared" si="0"/>
        <v>1</v>
      </c>
      <c r="L64" s="62"/>
      <c r="M64" s="63"/>
      <c r="N64" s="60"/>
      <c r="O64" s="60"/>
    </row>
    <row r="65" spans="2:16" ht="22.5" customHeight="1" outlineLevel="1" thickBot="1" x14ac:dyDescent="0.4">
      <c r="B65" s="227"/>
      <c r="C65" s="55" t="s">
        <v>29</v>
      </c>
      <c r="D65" s="60"/>
      <c r="E65" s="60"/>
      <c r="F65" s="60">
        <f>2600000/O17</f>
        <v>787878.78787878796</v>
      </c>
      <c r="G65" s="60">
        <f>J65-F65</f>
        <v>448484.84848484851</v>
      </c>
      <c r="H65" s="60"/>
      <c r="I65" s="55"/>
      <c r="J65" s="61">
        <f>M65/$O$17</f>
        <v>1236363.6363636365</v>
      </c>
      <c r="K65" s="61">
        <f t="shared" si="0"/>
        <v>1236363.6363636365</v>
      </c>
      <c r="L65" s="62"/>
      <c r="M65" s="63">
        <v>4080000</v>
      </c>
      <c r="N65" s="60">
        <f>J65</f>
        <v>1236363.6363636365</v>
      </c>
      <c r="O65" s="60"/>
    </row>
    <row r="66" spans="2:16" ht="24.75" customHeight="1" thickBot="1" x14ac:dyDescent="0.4">
      <c r="B66" s="224" t="s">
        <v>55</v>
      </c>
      <c r="C66" s="49" t="s">
        <v>50</v>
      </c>
      <c r="D66" s="49"/>
      <c r="E66" s="49"/>
      <c r="F66" s="49">
        <f>SUM(F68,F70)</f>
        <v>2</v>
      </c>
      <c r="G66" s="49"/>
      <c r="H66" s="49"/>
      <c r="I66" s="49"/>
      <c r="J66" s="50">
        <f>SUM(D66:I66)</f>
        <v>2</v>
      </c>
      <c r="K66" s="50">
        <f t="shared" si="0"/>
        <v>2</v>
      </c>
      <c r="L66" s="51"/>
      <c r="M66" s="54"/>
      <c r="N66" s="49"/>
      <c r="O66" s="49"/>
    </row>
    <row r="67" spans="2:16" ht="30" customHeight="1" thickBot="1" x14ac:dyDescent="0.4">
      <c r="B67" s="225"/>
      <c r="C67" s="49" t="s">
        <v>29</v>
      </c>
      <c r="D67" s="52"/>
      <c r="E67" s="52">
        <f>SUM(E69,E71)</f>
        <v>1575757.5757575759</v>
      </c>
      <c r="F67" s="52">
        <f>SUM(F69,F71)</f>
        <v>896969.69696969702</v>
      </c>
      <c r="G67" s="52"/>
      <c r="H67" s="52"/>
      <c r="I67" s="52"/>
      <c r="J67" s="52">
        <f>SUM(J69,J71)</f>
        <v>2472727.2727272729</v>
      </c>
      <c r="K67" s="52">
        <f t="shared" si="0"/>
        <v>2472727.2727272729</v>
      </c>
      <c r="L67" s="53"/>
      <c r="M67" s="54">
        <f>SUM(M68:M71)</f>
        <v>8160000</v>
      </c>
      <c r="N67" s="52">
        <f>J67</f>
        <v>2472727.2727272729</v>
      </c>
      <c r="O67" s="52">
        <v>0</v>
      </c>
      <c r="P67" s="192"/>
    </row>
    <row r="68" spans="2:16" ht="21" customHeight="1" outlineLevel="1" thickBot="1" x14ac:dyDescent="0.4">
      <c r="B68" s="226" t="s">
        <v>56</v>
      </c>
      <c r="C68" s="99" t="s">
        <v>50</v>
      </c>
      <c r="D68" s="60"/>
      <c r="E68" s="60"/>
      <c r="F68" s="55">
        <v>1</v>
      </c>
      <c r="G68" s="60"/>
      <c r="H68" s="60"/>
      <c r="I68" s="55"/>
      <c r="J68" s="56">
        <f>SUM(D68:I68)</f>
        <v>1</v>
      </c>
      <c r="K68" s="57">
        <f t="shared" si="0"/>
        <v>1</v>
      </c>
      <c r="L68" s="62"/>
      <c r="M68" s="63"/>
      <c r="N68" s="60"/>
      <c r="O68" s="60"/>
    </row>
    <row r="69" spans="2:16" ht="21" customHeight="1" outlineLevel="1" thickBot="1" x14ac:dyDescent="0.4">
      <c r="B69" s="227"/>
      <c r="C69" s="55" t="s">
        <v>29</v>
      </c>
      <c r="D69" s="60"/>
      <c r="E69" s="60">
        <f>2600000/O17</f>
        <v>787878.78787878796</v>
      </c>
      <c r="F69" s="60">
        <f>J69-E69</f>
        <v>448484.84848484851</v>
      </c>
      <c r="G69" s="60"/>
      <c r="H69" s="60"/>
      <c r="I69" s="55"/>
      <c r="J69" s="61">
        <f>M69/$O$17</f>
        <v>1236363.6363636365</v>
      </c>
      <c r="K69" s="61">
        <f t="shared" si="0"/>
        <v>1236363.6363636365</v>
      </c>
      <c r="L69" s="62"/>
      <c r="M69" s="63">
        <v>4080000</v>
      </c>
      <c r="N69" s="60">
        <f>J69</f>
        <v>1236363.6363636365</v>
      </c>
      <c r="O69" s="60"/>
    </row>
    <row r="70" spans="2:16" ht="21" customHeight="1" outlineLevel="1" thickBot="1" x14ac:dyDescent="0.4">
      <c r="B70" s="226" t="s">
        <v>57</v>
      </c>
      <c r="C70" s="99" t="s">
        <v>50</v>
      </c>
      <c r="D70" s="60"/>
      <c r="E70" s="60"/>
      <c r="F70" s="55">
        <v>1</v>
      </c>
      <c r="G70" s="60"/>
      <c r="H70" s="60"/>
      <c r="I70" s="55"/>
      <c r="J70" s="56">
        <f>SUM(D70:I70)</f>
        <v>1</v>
      </c>
      <c r="K70" s="57">
        <f t="shared" si="0"/>
        <v>1</v>
      </c>
      <c r="L70" s="62"/>
      <c r="M70" s="63"/>
      <c r="N70" s="60"/>
      <c r="O70" s="60"/>
    </row>
    <row r="71" spans="2:16" ht="21" customHeight="1" outlineLevel="1" thickBot="1" x14ac:dyDescent="0.4">
      <c r="B71" s="227"/>
      <c r="C71" s="55" t="s">
        <v>29</v>
      </c>
      <c r="D71" s="60"/>
      <c r="E71" s="60">
        <f>2600000/O17</f>
        <v>787878.78787878796</v>
      </c>
      <c r="F71" s="60">
        <f>J71-E71</f>
        <v>448484.84848484851</v>
      </c>
      <c r="G71" s="60"/>
      <c r="H71" s="60"/>
      <c r="I71" s="55"/>
      <c r="J71" s="61">
        <f>M71/$O$17</f>
        <v>1236363.6363636365</v>
      </c>
      <c r="K71" s="61">
        <f t="shared" si="0"/>
        <v>1236363.6363636365</v>
      </c>
      <c r="L71" s="62"/>
      <c r="M71" s="63">
        <v>4080000</v>
      </c>
      <c r="N71" s="60">
        <f>J71</f>
        <v>1236363.6363636365</v>
      </c>
      <c r="O71" s="60"/>
    </row>
    <row r="72" spans="2:16" ht="23.25" customHeight="1" thickBot="1" x14ac:dyDescent="0.4">
      <c r="B72" s="231" t="s">
        <v>58</v>
      </c>
      <c r="C72" s="119" t="s">
        <v>59</v>
      </c>
      <c r="D72" s="119"/>
      <c r="E72" s="119">
        <f>SUM(E74)</f>
        <v>20</v>
      </c>
      <c r="F72" s="119">
        <f>SUM(F74)</f>
        <v>11</v>
      </c>
      <c r="G72" s="119"/>
      <c r="H72" s="119"/>
      <c r="I72" s="119"/>
      <c r="J72" s="120">
        <f>SUM(D72:I72)</f>
        <v>31</v>
      </c>
      <c r="K72" s="121">
        <f t="shared" si="0"/>
        <v>31</v>
      </c>
      <c r="L72" s="122"/>
      <c r="M72" s="123"/>
      <c r="N72" s="124"/>
      <c r="O72" s="124"/>
    </row>
    <row r="73" spans="2:16" ht="35.25" customHeight="1" thickBot="1" x14ac:dyDescent="0.4">
      <c r="B73" s="232"/>
      <c r="C73" s="119" t="s">
        <v>29</v>
      </c>
      <c r="D73" s="124">
        <f>SUM(D75)</f>
        <v>0</v>
      </c>
      <c r="E73" s="124">
        <f>SUM(E75)</f>
        <v>909090.90909090918</v>
      </c>
      <c r="F73" s="124">
        <f>SUM(F75)</f>
        <v>500000</v>
      </c>
      <c r="G73" s="124"/>
      <c r="H73" s="124"/>
      <c r="I73" s="124"/>
      <c r="J73" s="125">
        <f>SUM(J75)</f>
        <v>1409090.9090909092</v>
      </c>
      <c r="K73" s="125">
        <f t="shared" si="0"/>
        <v>1409090.9090909092</v>
      </c>
      <c r="L73" s="122"/>
      <c r="M73" s="123">
        <f>SUM(M75)</f>
        <v>4650000</v>
      </c>
      <c r="N73" s="124">
        <v>0</v>
      </c>
      <c r="O73" s="124">
        <f>J73</f>
        <v>1409090.9090909092</v>
      </c>
    </row>
    <row r="74" spans="2:16" ht="27.95" customHeight="1" outlineLevel="1" thickBot="1" x14ac:dyDescent="0.4">
      <c r="B74" s="226" t="s">
        <v>60</v>
      </c>
      <c r="C74" s="55" t="s">
        <v>59</v>
      </c>
      <c r="D74" s="55"/>
      <c r="E74" s="55">
        <v>20</v>
      </c>
      <c r="F74" s="55">
        <v>11</v>
      </c>
      <c r="G74" s="55"/>
      <c r="H74" s="55"/>
      <c r="I74" s="55"/>
      <c r="J74" s="56">
        <f>K74</f>
        <v>31</v>
      </c>
      <c r="K74" s="57">
        <f t="shared" si="0"/>
        <v>31</v>
      </c>
      <c r="L74" s="95"/>
      <c r="M74" s="72"/>
      <c r="N74" s="55"/>
      <c r="O74" s="55"/>
    </row>
    <row r="75" spans="2:16" ht="32.1" customHeight="1" outlineLevel="1" thickBot="1" x14ac:dyDescent="0.4">
      <c r="B75" s="227"/>
      <c r="C75" s="55" t="s">
        <v>29</v>
      </c>
      <c r="D75" s="60"/>
      <c r="E75" s="60">
        <f>150000*E74/$O$17</f>
        <v>909090.90909090918</v>
      </c>
      <c r="F75" s="60">
        <f>150000*F74/$O$17</f>
        <v>500000</v>
      </c>
      <c r="G75" s="60"/>
      <c r="H75" s="60"/>
      <c r="I75" s="60"/>
      <c r="J75" s="61">
        <f>M75/$O$17</f>
        <v>1409090.9090909092</v>
      </c>
      <c r="K75" s="61">
        <f t="shared" si="0"/>
        <v>1409090.9090909092</v>
      </c>
      <c r="L75" s="71"/>
      <c r="M75" s="71">
        <f>150000*J72</f>
        <v>4650000</v>
      </c>
      <c r="N75" s="60">
        <v>0</v>
      </c>
      <c r="O75" s="60">
        <f>J75</f>
        <v>1409090.9090909092</v>
      </c>
    </row>
    <row r="76" spans="2:16" ht="23.25" customHeight="1" thickBot="1" x14ac:dyDescent="0.4">
      <c r="B76" s="224" t="s">
        <v>61</v>
      </c>
      <c r="C76" s="49" t="s">
        <v>62</v>
      </c>
      <c r="D76" s="49"/>
      <c r="E76" s="49"/>
      <c r="F76" s="49">
        <f>SUM(F78)</f>
        <v>1</v>
      </c>
      <c r="G76" s="49"/>
      <c r="H76" s="49"/>
      <c r="I76" s="49"/>
      <c r="J76" s="50">
        <f>SUM(D76:I76)</f>
        <v>1</v>
      </c>
      <c r="K76" s="49">
        <f t="shared" si="0"/>
        <v>1</v>
      </c>
      <c r="L76" s="53"/>
      <c r="M76" s="54"/>
      <c r="N76" s="52"/>
      <c r="O76" s="52"/>
    </row>
    <row r="77" spans="2:16" ht="35.25" customHeight="1" thickBot="1" x14ac:dyDescent="0.4">
      <c r="B77" s="225"/>
      <c r="C77" s="49" t="s">
        <v>29</v>
      </c>
      <c r="D77" s="52">
        <f>SUM(D79)</f>
        <v>10101010.101010101</v>
      </c>
      <c r="E77" s="52">
        <f>SUM(E79)</f>
        <v>24242424.242424238</v>
      </c>
      <c r="F77" s="52">
        <f>SUM(F79)</f>
        <v>14141414.141414141</v>
      </c>
      <c r="G77" s="52"/>
      <c r="H77" s="52"/>
      <c r="I77" s="52"/>
      <c r="J77" s="52">
        <f>SUM(J79)</f>
        <v>48484848.484848484</v>
      </c>
      <c r="K77" s="52">
        <f t="shared" si="0"/>
        <v>48484848.484848484</v>
      </c>
      <c r="L77" s="53"/>
      <c r="M77" s="54">
        <v>160000000</v>
      </c>
      <c r="N77" s="52">
        <v>0</v>
      </c>
      <c r="O77" s="52">
        <f>J77</f>
        <v>48484848.484848484</v>
      </c>
    </row>
    <row r="78" spans="2:16" s="69" customFormat="1" ht="22.5" customHeight="1" outlineLevel="1" thickBot="1" x14ac:dyDescent="0.4">
      <c r="B78" s="226" t="s">
        <v>63</v>
      </c>
      <c r="C78" s="55" t="s">
        <v>28</v>
      </c>
      <c r="D78" s="55"/>
      <c r="E78" s="55"/>
      <c r="F78" s="55">
        <v>1</v>
      </c>
      <c r="G78" s="55"/>
      <c r="H78" s="55"/>
      <c r="I78" s="55"/>
      <c r="J78" s="56">
        <f>SUM(D78:I78)</f>
        <v>1</v>
      </c>
      <c r="K78" s="57">
        <f t="shared" si="0"/>
        <v>1</v>
      </c>
      <c r="L78" s="58"/>
      <c r="M78" s="59"/>
      <c r="N78" s="55"/>
      <c r="O78" s="55"/>
    </row>
    <row r="79" spans="2:16" s="69" customFormat="1" ht="20.25" customHeight="1" outlineLevel="1" thickBot="1" x14ac:dyDescent="0.4">
      <c r="B79" s="227"/>
      <c r="C79" s="55" t="s">
        <v>29</v>
      </c>
      <c r="D79" s="60">
        <f>($M$79/$O$17)*5/24</f>
        <v>10101010.101010101</v>
      </c>
      <c r="E79" s="60">
        <f>($M$79/$O$17)*12/24</f>
        <v>24242424.242424238</v>
      </c>
      <c r="F79" s="60">
        <f>($M$79/$O$17)*7/24</f>
        <v>14141414.141414141</v>
      </c>
      <c r="G79" s="60"/>
      <c r="H79" s="60"/>
      <c r="I79" s="60"/>
      <c r="J79" s="61">
        <f>M79/$O$17</f>
        <v>48484848.484848484</v>
      </c>
      <c r="K79" s="61">
        <f t="shared" si="0"/>
        <v>48484848.484848484</v>
      </c>
      <c r="L79" s="62"/>
      <c r="M79" s="63">
        <v>160000000</v>
      </c>
      <c r="N79" s="60">
        <v>0</v>
      </c>
      <c r="O79" s="60">
        <f>J79</f>
        <v>48484848.484848484</v>
      </c>
    </row>
    <row r="80" spans="2:16" ht="24" customHeight="1" thickBot="1" x14ac:dyDescent="0.4">
      <c r="B80" s="224" t="s">
        <v>223</v>
      </c>
      <c r="C80" s="49" t="s">
        <v>64</v>
      </c>
      <c r="D80" s="49"/>
      <c r="E80" s="49"/>
      <c r="F80" s="49">
        <f>SUMIF(F82:F89,"&lt;100")</f>
        <v>13</v>
      </c>
      <c r="G80" s="49">
        <f>SUMIF(G82:G89,"&lt;100")</f>
        <v>6</v>
      </c>
      <c r="H80" s="49"/>
      <c r="I80" s="49"/>
      <c r="J80" s="50">
        <f>SUM(D80:I80)</f>
        <v>19</v>
      </c>
      <c r="K80" s="49">
        <f t="shared" si="0"/>
        <v>19</v>
      </c>
      <c r="L80" s="53"/>
      <c r="M80" s="54"/>
      <c r="N80" s="52"/>
      <c r="O80" s="52"/>
    </row>
    <row r="81" spans="2:16" ht="24.75" customHeight="1" thickBot="1" x14ac:dyDescent="0.4">
      <c r="B81" s="225"/>
      <c r="C81" s="49" t="s">
        <v>29</v>
      </c>
      <c r="D81" s="52"/>
      <c r="E81" s="52">
        <f>SUMIF(E82:E89,"&gt;100")</f>
        <v>10200000</v>
      </c>
      <c r="F81" s="52">
        <f>SUMIF(F82:F89,"&gt;100")</f>
        <v>4318181.8181818184</v>
      </c>
      <c r="G81" s="52">
        <f>SUMIF(G82:G89,"&gt;100")</f>
        <v>1363636.3636363638</v>
      </c>
      <c r="H81" s="52"/>
      <c r="I81" s="52"/>
      <c r="J81" s="52">
        <f>SUM(J83,J85,J89)</f>
        <v>14518181.818181818</v>
      </c>
      <c r="K81" s="52">
        <f t="shared" si="0"/>
        <v>15881818.181818182</v>
      </c>
      <c r="L81" s="53"/>
      <c r="M81" s="54">
        <f>SUM(M83,M85,M89)</f>
        <v>18750000</v>
      </c>
      <c r="N81" s="52">
        <f>SUM(N83,N85,N89)</f>
        <v>14518181.818181818</v>
      </c>
      <c r="O81" s="52">
        <f>SUM(O83,O85,O89)</f>
        <v>0</v>
      </c>
      <c r="P81" s="14"/>
    </row>
    <row r="82" spans="2:16" ht="21.75" customHeight="1" outlineLevel="1" thickBot="1" x14ac:dyDescent="0.4">
      <c r="B82" s="226" t="s">
        <v>65</v>
      </c>
      <c r="C82" s="55" t="s">
        <v>66</v>
      </c>
      <c r="D82" s="60"/>
      <c r="E82" s="60"/>
      <c r="F82" s="55">
        <v>6</v>
      </c>
      <c r="G82" s="60"/>
      <c r="H82" s="60"/>
      <c r="I82" s="55"/>
      <c r="J82" s="56">
        <f>SUM(D82:I82)</f>
        <v>6</v>
      </c>
      <c r="K82" s="57">
        <f t="shared" si="0"/>
        <v>6</v>
      </c>
      <c r="L82" s="62"/>
      <c r="M82" s="63"/>
      <c r="N82" s="60"/>
      <c r="O82" s="60"/>
      <c r="P82" s="14"/>
    </row>
    <row r="83" spans="2:16" ht="27.75" customHeight="1" outlineLevel="1" thickBot="1" x14ac:dyDescent="0.4">
      <c r="B83" s="227"/>
      <c r="C83" s="55" t="s">
        <v>29</v>
      </c>
      <c r="D83" s="60"/>
      <c r="E83" s="60"/>
      <c r="F83" s="60">
        <f>1500000*F82/$O$17</f>
        <v>2727272.7272727275</v>
      </c>
      <c r="G83" s="60"/>
      <c r="H83" s="60"/>
      <c r="I83" s="60"/>
      <c r="J83" s="61">
        <f>M83/$O$17</f>
        <v>2727272.7272727275</v>
      </c>
      <c r="K83" s="61">
        <f t="shared" si="0"/>
        <v>2727272.7272727275</v>
      </c>
      <c r="L83" s="62"/>
      <c r="M83" s="63">
        <v>9000000</v>
      </c>
      <c r="N83" s="60">
        <f>K83</f>
        <v>2727272.7272727275</v>
      </c>
      <c r="O83" s="104"/>
      <c r="P83" s="14"/>
    </row>
    <row r="84" spans="2:16" ht="21.75" customHeight="1" outlineLevel="1" thickBot="1" x14ac:dyDescent="0.4">
      <c r="B84" s="226" t="s">
        <v>67</v>
      </c>
      <c r="C84" s="55" t="s">
        <v>66</v>
      </c>
      <c r="D84" s="60"/>
      <c r="E84" s="60"/>
      <c r="F84" s="55">
        <v>5</v>
      </c>
      <c r="G84" s="55">
        <v>2</v>
      </c>
      <c r="H84" s="60"/>
      <c r="I84" s="55"/>
      <c r="J84" s="56">
        <f>SUM(D84:I84)</f>
        <v>7</v>
      </c>
      <c r="K84" s="57">
        <f t="shared" ref="K84:K115" si="1">SUM(D84:I84)</f>
        <v>7</v>
      </c>
      <c r="L84" s="62"/>
      <c r="M84" s="63"/>
      <c r="N84" s="60"/>
      <c r="O84" s="71"/>
      <c r="P84" s="14"/>
    </row>
    <row r="85" spans="2:16" ht="27.75" customHeight="1" outlineLevel="1" thickBot="1" x14ac:dyDescent="0.4">
      <c r="B85" s="227"/>
      <c r="C85" s="55" t="s">
        <v>29</v>
      </c>
      <c r="D85" s="60"/>
      <c r="E85" s="60"/>
      <c r="F85" s="60">
        <f>750000*F84/$O$17</f>
        <v>1136363.6363636365</v>
      </c>
      <c r="G85" s="60">
        <f>J85-F85</f>
        <v>454545.45454545459</v>
      </c>
      <c r="H85" s="60"/>
      <c r="I85" s="60"/>
      <c r="J85" s="61">
        <f>M85/$O$17</f>
        <v>1590909.0909090911</v>
      </c>
      <c r="K85" s="61">
        <f t="shared" si="1"/>
        <v>1590909.0909090911</v>
      </c>
      <c r="L85" s="62"/>
      <c r="M85" s="63">
        <v>5250000</v>
      </c>
      <c r="N85" s="60">
        <f>J85</f>
        <v>1590909.0909090911</v>
      </c>
      <c r="O85" s="60"/>
      <c r="P85" s="14"/>
    </row>
    <row r="86" spans="2:16" ht="21.75" customHeight="1" outlineLevel="1" thickBot="1" x14ac:dyDescent="0.4">
      <c r="B86" s="226" t="s">
        <v>68</v>
      </c>
      <c r="C86" s="55" t="s">
        <v>69</v>
      </c>
      <c r="D86" s="60"/>
      <c r="E86" s="60"/>
      <c r="F86" s="55">
        <v>2</v>
      </c>
      <c r="G86" s="55">
        <v>4</v>
      </c>
      <c r="H86" s="60"/>
      <c r="I86" s="55"/>
      <c r="J86" s="56">
        <f>SUM(D86:I86)</f>
        <v>6</v>
      </c>
      <c r="K86" s="57">
        <f t="shared" ref="K86:K87" si="2">SUM(D86:I86)</f>
        <v>6</v>
      </c>
      <c r="L86" s="62"/>
      <c r="M86" s="63"/>
      <c r="N86" s="60"/>
      <c r="O86" s="60"/>
      <c r="P86" s="14"/>
    </row>
    <row r="87" spans="2:16" ht="27.75" customHeight="1" outlineLevel="1" thickBot="1" x14ac:dyDescent="0.4">
      <c r="B87" s="227"/>
      <c r="C87" s="55" t="s">
        <v>29</v>
      </c>
      <c r="D87" s="60"/>
      <c r="E87" s="60"/>
      <c r="F87" s="60">
        <f>J87*F86/J86</f>
        <v>454545.45454545459</v>
      </c>
      <c r="G87" s="60">
        <f>J87*G86/J86</f>
        <v>909090.90909090918</v>
      </c>
      <c r="H87" s="60"/>
      <c r="I87" s="60"/>
      <c r="J87" s="61">
        <f>4500000/$O$17</f>
        <v>1363636.3636363638</v>
      </c>
      <c r="K87" s="61">
        <f t="shared" si="2"/>
        <v>1363636.3636363638</v>
      </c>
      <c r="L87" s="62"/>
      <c r="M87" s="63">
        <f>4500000</f>
        <v>4500000</v>
      </c>
      <c r="N87" s="60">
        <f>J87</f>
        <v>1363636.3636363638</v>
      </c>
      <c r="O87" s="60"/>
      <c r="P87" s="14"/>
    </row>
    <row r="88" spans="2:16" ht="21.75" customHeight="1" outlineLevel="1" thickBot="1" x14ac:dyDescent="0.4">
      <c r="B88" s="226" t="s">
        <v>224</v>
      </c>
      <c r="C88" s="55" t="s">
        <v>222</v>
      </c>
      <c r="D88" s="60"/>
      <c r="E88" s="55">
        <v>1</v>
      </c>
      <c r="F88" s="55"/>
      <c r="G88" s="55"/>
      <c r="H88" s="60"/>
      <c r="I88" s="55"/>
      <c r="J88" s="56">
        <f>SUM(D88:I88)</f>
        <v>1</v>
      </c>
      <c r="K88" s="57">
        <f t="shared" si="1"/>
        <v>1</v>
      </c>
      <c r="L88" s="62"/>
      <c r="M88" s="63"/>
      <c r="N88" s="60"/>
      <c r="O88" s="60"/>
      <c r="P88" s="14"/>
    </row>
    <row r="89" spans="2:16" ht="27.75" customHeight="1" outlineLevel="1" thickBot="1" x14ac:dyDescent="0.4">
      <c r="B89" s="227"/>
      <c r="C89" s="55" t="s">
        <v>29</v>
      </c>
      <c r="D89" s="60"/>
      <c r="E89" s="60">
        <v>10200000</v>
      </c>
      <c r="F89" s="60">
        <f>J89*F88/J88</f>
        <v>0</v>
      </c>
      <c r="G89" s="60">
        <f>J89*G88/J88</f>
        <v>0</v>
      </c>
      <c r="H89" s="60"/>
      <c r="I89" s="60"/>
      <c r="J89" s="61">
        <f>10200000</f>
        <v>10200000</v>
      </c>
      <c r="K89" s="61">
        <f t="shared" si="1"/>
        <v>10200000</v>
      </c>
      <c r="L89" s="62"/>
      <c r="M89" s="63">
        <f>4500000</f>
        <v>4500000</v>
      </c>
      <c r="N89" s="60">
        <f>J89</f>
        <v>10200000</v>
      </c>
      <c r="O89" s="60"/>
      <c r="P89" s="14"/>
    </row>
    <row r="90" spans="2:16" ht="24" customHeight="1" thickBot="1" x14ac:dyDescent="0.4">
      <c r="B90" s="224" t="s">
        <v>70</v>
      </c>
      <c r="C90" s="49" t="s">
        <v>71</v>
      </c>
      <c r="D90" s="49"/>
      <c r="E90" s="49">
        <f>SUM(E92)</f>
        <v>3</v>
      </c>
      <c r="F90" s="49"/>
      <c r="G90" s="49"/>
      <c r="H90" s="49"/>
      <c r="I90" s="49"/>
      <c r="J90" s="49">
        <f>SUM(J92)</f>
        <v>3</v>
      </c>
      <c r="K90" s="49">
        <f t="shared" si="1"/>
        <v>3</v>
      </c>
      <c r="L90" s="53"/>
      <c r="M90" s="54"/>
      <c r="N90" s="52"/>
      <c r="O90" s="52"/>
    </row>
    <row r="91" spans="2:16" ht="34.5" customHeight="1" thickBot="1" x14ac:dyDescent="0.4">
      <c r="B91" s="225"/>
      <c r="C91" s="49" t="s">
        <v>29</v>
      </c>
      <c r="D91" s="52"/>
      <c r="E91" s="52">
        <f>SUM(E93)</f>
        <v>636363.63636363635</v>
      </c>
      <c r="F91" s="52"/>
      <c r="G91" s="52"/>
      <c r="H91" s="52"/>
      <c r="I91" s="52"/>
      <c r="J91" s="52">
        <f>SUM(J93)</f>
        <v>636363.63636363635</v>
      </c>
      <c r="K91" s="52">
        <f>SUM(D91:I91)</f>
        <v>636363.63636363635</v>
      </c>
      <c r="L91" s="53"/>
      <c r="M91" s="54">
        <f>M93</f>
        <v>2100000</v>
      </c>
      <c r="N91" s="52">
        <f>J91</f>
        <v>636363.63636363635</v>
      </c>
      <c r="O91" s="52"/>
      <c r="P91" s="14"/>
    </row>
    <row r="92" spans="2:16" ht="28.5" customHeight="1" outlineLevel="1" thickBot="1" x14ac:dyDescent="0.4">
      <c r="B92" s="226" t="s">
        <v>70</v>
      </c>
      <c r="C92" s="55" t="s">
        <v>72</v>
      </c>
      <c r="D92" s="60"/>
      <c r="E92" s="77">
        <v>3</v>
      </c>
      <c r="F92" s="55"/>
      <c r="G92" s="55"/>
      <c r="H92" s="60"/>
      <c r="I92" s="55"/>
      <c r="J92" s="56">
        <f>SUM(D92:I92)</f>
        <v>3</v>
      </c>
      <c r="K92" s="57">
        <f t="shared" si="1"/>
        <v>3</v>
      </c>
      <c r="L92" s="62"/>
      <c r="M92" s="63"/>
      <c r="N92" s="60"/>
      <c r="O92" s="60"/>
      <c r="P92" s="14"/>
    </row>
    <row r="93" spans="2:16" ht="38.25" customHeight="1" outlineLevel="1" thickBot="1" x14ac:dyDescent="0.4">
      <c r="B93" s="227"/>
      <c r="C93" s="55" t="s">
        <v>29</v>
      </c>
      <c r="D93" s="60"/>
      <c r="E93" s="60">
        <f>700000*E92/$O$17</f>
        <v>636363.63636363635</v>
      </c>
      <c r="F93" s="60"/>
      <c r="G93" s="60"/>
      <c r="H93" s="60"/>
      <c r="I93" s="60"/>
      <c r="J93" s="61">
        <f>M93/$O$17</f>
        <v>636363.63636363635</v>
      </c>
      <c r="K93" s="61">
        <f t="shared" si="1"/>
        <v>636363.63636363635</v>
      </c>
      <c r="L93" s="62"/>
      <c r="M93" s="63">
        <v>2100000</v>
      </c>
      <c r="N93" s="60">
        <f>J93</f>
        <v>636363.63636363635</v>
      </c>
      <c r="O93" s="60"/>
      <c r="P93" s="14"/>
    </row>
    <row r="94" spans="2:16" ht="27.75" customHeight="1" thickBot="1" x14ac:dyDescent="0.4">
      <c r="B94" s="224" t="s">
        <v>73</v>
      </c>
      <c r="C94" s="49" t="s">
        <v>71</v>
      </c>
      <c r="D94" s="49"/>
      <c r="E94" s="49"/>
      <c r="F94" s="191">
        <f>SUMIF(F96:F99,"=1")</f>
        <v>1</v>
      </c>
      <c r="G94" s="191"/>
      <c r="H94" s="49"/>
      <c r="I94" s="49">
        <f>SUM(I96,I98)</f>
        <v>1</v>
      </c>
      <c r="J94" s="50">
        <f>SUM(D94:I94)</f>
        <v>2</v>
      </c>
      <c r="K94" s="49">
        <f t="shared" si="1"/>
        <v>2</v>
      </c>
      <c r="L94" s="53"/>
      <c r="M94" s="54"/>
      <c r="N94" s="52"/>
      <c r="O94" s="52"/>
    </row>
    <row r="95" spans="2:16" ht="39" customHeight="1" thickBot="1" x14ac:dyDescent="0.4">
      <c r="B95" s="225"/>
      <c r="C95" s="49" t="s">
        <v>29</v>
      </c>
      <c r="D95" s="52"/>
      <c r="E95" s="52"/>
      <c r="F95" s="52">
        <f>SUMIF(F96:F99,"&gt;100")</f>
        <v>21818181.81818182</v>
      </c>
      <c r="G95" s="52"/>
      <c r="H95" s="52"/>
      <c r="I95" s="52">
        <f>SUM(I97,I99)</f>
        <v>606060.60606060643</v>
      </c>
      <c r="J95" s="52">
        <f>SUM(J97,J99)</f>
        <v>22424242.424242426</v>
      </c>
      <c r="K95" s="52">
        <f t="shared" si="1"/>
        <v>22424242.424242426</v>
      </c>
      <c r="L95" s="53"/>
      <c r="M95" s="54">
        <f>SUM(M97,M99)</f>
        <v>74000000</v>
      </c>
      <c r="N95" s="52">
        <f>SUM(N97:N99)</f>
        <v>0</v>
      </c>
      <c r="O95" s="52">
        <f>SUM(O97:O99)</f>
        <v>22424242.424242426</v>
      </c>
      <c r="P95" s="14"/>
    </row>
    <row r="96" spans="2:16" s="69" customFormat="1" ht="21.75" customHeight="1" outlineLevel="1" thickBot="1" x14ac:dyDescent="0.4">
      <c r="B96" s="226" t="s">
        <v>65</v>
      </c>
      <c r="C96" s="55" t="s">
        <v>66</v>
      </c>
      <c r="D96" s="60"/>
      <c r="E96" s="60"/>
      <c r="F96" s="55">
        <v>6</v>
      </c>
      <c r="G96" s="55"/>
      <c r="H96" s="60"/>
      <c r="I96" s="55">
        <v>1</v>
      </c>
      <c r="J96" s="56">
        <f>SUM(D96:I96)</f>
        <v>7</v>
      </c>
      <c r="K96" s="57">
        <f t="shared" si="1"/>
        <v>7</v>
      </c>
      <c r="L96" s="62"/>
      <c r="M96" s="63"/>
      <c r="N96" s="60"/>
      <c r="O96" s="71"/>
      <c r="P96" s="75"/>
    </row>
    <row r="97" spans="2:16" s="69" customFormat="1" ht="27.75" customHeight="1" outlineLevel="1" thickBot="1" x14ac:dyDescent="0.4">
      <c r="B97" s="227"/>
      <c r="C97" s="55" t="s">
        <v>29</v>
      </c>
      <c r="D97" s="60"/>
      <c r="E97" s="60"/>
      <c r="F97" s="60">
        <f>J97*(6/7)</f>
        <v>3636363.6363636358</v>
      </c>
      <c r="G97" s="60"/>
      <c r="H97" s="60"/>
      <c r="I97" s="60">
        <f>J97-F97</f>
        <v>606060.60606060643</v>
      </c>
      <c r="J97" s="61">
        <f>M97/$O$17</f>
        <v>4242424.2424242422</v>
      </c>
      <c r="K97" s="61">
        <f>SUM(D97:I97)</f>
        <v>4242424.2424242422</v>
      </c>
      <c r="L97" s="62"/>
      <c r="M97" s="63">
        <v>14000000</v>
      </c>
      <c r="N97" s="60"/>
      <c r="O97" s="60">
        <f>J97</f>
        <v>4242424.2424242422</v>
      </c>
      <c r="P97" s="75"/>
    </row>
    <row r="98" spans="2:16" s="69" customFormat="1" ht="21.75" customHeight="1" outlineLevel="1" thickBot="1" x14ac:dyDescent="0.4">
      <c r="B98" s="226" t="s">
        <v>74</v>
      </c>
      <c r="C98" s="55" t="s">
        <v>222</v>
      </c>
      <c r="D98" s="60"/>
      <c r="E98" s="60"/>
      <c r="F98" s="77">
        <v>1</v>
      </c>
      <c r="G98" s="77"/>
      <c r="H98" s="60"/>
      <c r="I98" s="55"/>
      <c r="J98" s="56">
        <f>SUM(D98:I98)</f>
        <v>1</v>
      </c>
      <c r="K98" s="57">
        <f t="shared" si="1"/>
        <v>1</v>
      </c>
      <c r="L98" s="62"/>
      <c r="M98" s="63"/>
      <c r="N98" s="60"/>
      <c r="O98" s="71"/>
      <c r="P98" s="75"/>
    </row>
    <row r="99" spans="2:16" s="69" customFormat="1" ht="27.75" customHeight="1" outlineLevel="1" thickBot="1" x14ac:dyDescent="0.4">
      <c r="B99" s="227"/>
      <c r="C99" s="55" t="s">
        <v>29</v>
      </c>
      <c r="D99" s="60"/>
      <c r="E99" s="60"/>
      <c r="F99" s="60">
        <f>J99</f>
        <v>18181818.181818184</v>
      </c>
      <c r="G99" s="60"/>
      <c r="H99" s="60"/>
      <c r="I99" s="60"/>
      <c r="J99" s="61">
        <f>M99/$O$17</f>
        <v>18181818.181818184</v>
      </c>
      <c r="K99" s="61">
        <f t="shared" si="1"/>
        <v>18181818.181818184</v>
      </c>
      <c r="L99" s="62"/>
      <c r="M99" s="63">
        <v>60000000</v>
      </c>
      <c r="N99" s="60"/>
      <c r="O99" s="60">
        <f>J99</f>
        <v>18181818.181818184</v>
      </c>
      <c r="P99" s="75"/>
    </row>
    <row r="100" spans="2:16" ht="28.5" customHeight="1" thickBot="1" x14ac:dyDescent="0.4">
      <c r="B100" s="224" t="s">
        <v>75</v>
      </c>
      <c r="C100" s="49" t="s">
        <v>28</v>
      </c>
      <c r="D100" s="49"/>
      <c r="E100" s="49"/>
      <c r="F100" s="49">
        <f>SUM(F102,F104,F106,F108,F110,F112)</f>
        <v>6</v>
      </c>
      <c r="G100" s="49"/>
      <c r="H100" s="49"/>
      <c r="I100" s="49">
        <v>1</v>
      </c>
      <c r="J100" s="50">
        <f>SUM(D100:I100)</f>
        <v>7</v>
      </c>
      <c r="K100" s="49">
        <f t="shared" si="1"/>
        <v>7</v>
      </c>
      <c r="L100" s="51"/>
      <c r="M100" s="54"/>
      <c r="N100" s="49"/>
      <c r="O100" s="49"/>
    </row>
    <row r="101" spans="2:16" ht="42" customHeight="1" thickBot="1" x14ac:dyDescent="0.4">
      <c r="B101" s="225"/>
      <c r="C101" s="49" t="s">
        <v>29</v>
      </c>
      <c r="D101" s="52">
        <f>SUM(D103,D105,D107,D109,D111,D113,D115)</f>
        <v>1818181.8181818181</v>
      </c>
      <c r="E101" s="52">
        <f>SUM(E103,E105,E107,E109,E111,E113,E115)</f>
        <v>4945454.5454545459</v>
      </c>
      <c r="F101" s="52">
        <f>SUM(F103,F105,F107,F109,F111,F113,E115)</f>
        <v>654545.45454545482</v>
      </c>
      <c r="G101" s="52">
        <f t="shared" ref="G101" si="3">SUM(G103,G105,G107,G109,G111,G113,F115)</f>
        <v>0</v>
      </c>
      <c r="H101" s="52">
        <f>SUM(H103,H105,H107,H109,H111,H113,H115)</f>
        <v>1236363.6363636365</v>
      </c>
      <c r="I101" s="52">
        <f>SUM(I103,I105,I107,I109,I111,I113,I115)</f>
        <v>1236363.6363636365</v>
      </c>
      <c r="J101" s="52">
        <f>SUM(J103,J105,J107,J109,J111,J113,J115)</f>
        <v>9890909.0909090918</v>
      </c>
      <c r="K101" s="52">
        <f t="shared" si="1"/>
        <v>9890909.0909090918</v>
      </c>
      <c r="L101" s="53"/>
      <c r="M101" s="54">
        <f>SUM(M103,M105,M107,M109,M111,M113,M115)</f>
        <v>32640000</v>
      </c>
      <c r="N101" s="52">
        <v>0</v>
      </c>
      <c r="O101" s="52">
        <f>J101</f>
        <v>9890909.0909090918</v>
      </c>
    </row>
    <row r="102" spans="2:16" s="69" customFormat="1" ht="21.75" customHeight="1" outlineLevel="1" thickBot="1" x14ac:dyDescent="0.4">
      <c r="B102" s="226" t="s">
        <v>76</v>
      </c>
      <c r="C102" s="55" t="s">
        <v>28</v>
      </c>
      <c r="D102" s="195"/>
      <c r="E102" s="55"/>
      <c r="F102" s="55">
        <v>1</v>
      </c>
      <c r="G102" s="55"/>
      <c r="H102" s="55"/>
      <c r="I102" s="55"/>
      <c r="J102" s="56">
        <f>SUM(D102:I102)</f>
        <v>1</v>
      </c>
      <c r="K102" s="57">
        <f t="shared" si="1"/>
        <v>1</v>
      </c>
      <c r="L102" s="58"/>
      <c r="M102" s="59"/>
      <c r="N102" s="55"/>
      <c r="O102" s="55"/>
    </row>
    <row r="103" spans="2:16" s="69" customFormat="1" ht="21.75" customHeight="1" outlineLevel="1" thickBot="1" x14ac:dyDescent="0.4">
      <c r="B103" s="227"/>
      <c r="C103" s="55" t="s">
        <v>29</v>
      </c>
      <c r="D103" s="60">
        <f>1000000/$O$17</f>
        <v>303030.30303030304</v>
      </c>
      <c r="E103" s="60">
        <f>(M103*12/18)/$O$17</f>
        <v>824242.42424242431</v>
      </c>
      <c r="F103" s="60">
        <f>M103/$O$17-E103-D103</f>
        <v>109090.90909090912</v>
      </c>
      <c r="G103" s="60"/>
      <c r="H103" s="60"/>
      <c r="I103" s="60"/>
      <c r="J103" s="61">
        <f>M103/$O$17</f>
        <v>1236363.6363636365</v>
      </c>
      <c r="K103" s="61">
        <f t="shared" si="1"/>
        <v>1236363.6363636365</v>
      </c>
      <c r="L103" s="62"/>
      <c r="M103" s="63">
        <v>4080000</v>
      </c>
      <c r="N103" s="60">
        <v>0</v>
      </c>
      <c r="O103" s="60">
        <f>J103</f>
        <v>1236363.6363636365</v>
      </c>
    </row>
    <row r="104" spans="2:16" s="69" customFormat="1" ht="21.75" customHeight="1" outlineLevel="1" thickBot="1" x14ac:dyDescent="0.4">
      <c r="B104" s="226" t="s">
        <v>77</v>
      </c>
      <c r="C104" s="55" t="s">
        <v>28</v>
      </c>
      <c r="D104" s="55"/>
      <c r="E104" s="55"/>
      <c r="F104" s="55">
        <v>1</v>
      </c>
      <c r="G104" s="55"/>
      <c r="H104" s="55"/>
      <c r="I104" s="55"/>
      <c r="J104" s="56">
        <f>SUM(D104:I104)</f>
        <v>1</v>
      </c>
      <c r="K104" s="57">
        <f t="shared" si="1"/>
        <v>1</v>
      </c>
      <c r="L104" s="58"/>
      <c r="M104" s="59"/>
      <c r="N104" s="55"/>
      <c r="O104" s="55"/>
    </row>
    <row r="105" spans="2:16" s="69" customFormat="1" ht="21.75" customHeight="1" outlineLevel="1" thickBot="1" x14ac:dyDescent="0.4">
      <c r="B105" s="227"/>
      <c r="C105" s="55" t="s">
        <v>29</v>
      </c>
      <c r="D105" s="60">
        <f>1000000/$O$17</f>
        <v>303030.30303030304</v>
      </c>
      <c r="E105" s="60">
        <f>(M105*12/18)/$O$17</f>
        <v>824242.42424242431</v>
      </c>
      <c r="F105" s="60">
        <f>M105/$O$17-E105-D105</f>
        <v>109090.90909090912</v>
      </c>
      <c r="G105" s="60"/>
      <c r="H105" s="60"/>
      <c r="I105" s="60"/>
      <c r="J105" s="61">
        <f>M105/$O$17</f>
        <v>1236363.6363636365</v>
      </c>
      <c r="K105" s="61">
        <f t="shared" si="1"/>
        <v>1236363.6363636365</v>
      </c>
      <c r="L105" s="62"/>
      <c r="M105" s="63">
        <v>4080000</v>
      </c>
      <c r="N105" s="60">
        <v>0</v>
      </c>
      <c r="O105" s="60">
        <f>J105</f>
        <v>1236363.6363636365</v>
      </c>
    </row>
    <row r="106" spans="2:16" s="69" customFormat="1" ht="21.75" customHeight="1" outlineLevel="1" thickBot="1" x14ac:dyDescent="0.4">
      <c r="B106" s="226" t="s">
        <v>78</v>
      </c>
      <c r="C106" s="55" t="s">
        <v>28</v>
      </c>
      <c r="D106" s="55"/>
      <c r="E106" s="55"/>
      <c r="F106" s="55">
        <v>1</v>
      </c>
      <c r="G106" s="55"/>
      <c r="H106" s="55"/>
      <c r="I106" s="55"/>
      <c r="J106" s="56">
        <f>SUM(D106:I106)</f>
        <v>1</v>
      </c>
      <c r="K106" s="57">
        <f t="shared" si="1"/>
        <v>1</v>
      </c>
      <c r="L106" s="58"/>
      <c r="M106" s="59"/>
      <c r="N106" s="55"/>
      <c r="O106" s="55"/>
    </row>
    <row r="107" spans="2:16" s="69" customFormat="1" ht="21.75" customHeight="1" outlineLevel="1" thickBot="1" x14ac:dyDescent="0.4">
      <c r="B107" s="227"/>
      <c r="C107" s="55" t="s">
        <v>29</v>
      </c>
      <c r="D107" s="60">
        <f>1000000/$O$17</f>
        <v>303030.30303030304</v>
      </c>
      <c r="E107" s="60">
        <f>(M107*12/18)/$O$17</f>
        <v>824242.42424242431</v>
      </c>
      <c r="F107" s="60">
        <f>J107-E107-D107</f>
        <v>109090.90909090912</v>
      </c>
      <c r="G107" s="60"/>
      <c r="H107" s="60"/>
      <c r="I107" s="60"/>
      <c r="J107" s="61">
        <f>M107/$O$17</f>
        <v>1236363.6363636365</v>
      </c>
      <c r="K107" s="61">
        <f t="shared" si="1"/>
        <v>1236363.6363636365</v>
      </c>
      <c r="L107" s="62"/>
      <c r="M107" s="63">
        <v>4080000</v>
      </c>
      <c r="N107" s="60">
        <v>0</v>
      </c>
      <c r="O107" s="60">
        <f>J107</f>
        <v>1236363.6363636365</v>
      </c>
    </row>
    <row r="108" spans="2:16" s="69" customFormat="1" ht="21.75" customHeight="1" outlineLevel="1" thickBot="1" x14ac:dyDescent="0.4">
      <c r="B108" s="226" t="s">
        <v>79</v>
      </c>
      <c r="C108" s="55" t="s">
        <v>28</v>
      </c>
      <c r="D108" s="55"/>
      <c r="E108" s="55"/>
      <c r="F108" s="55">
        <v>1</v>
      </c>
      <c r="G108" s="55"/>
      <c r="H108" s="55"/>
      <c r="I108" s="55"/>
      <c r="J108" s="56">
        <f>SUM(D108:I108)</f>
        <v>1</v>
      </c>
      <c r="K108" s="57">
        <f t="shared" si="1"/>
        <v>1</v>
      </c>
      <c r="L108" s="58"/>
      <c r="M108" s="59"/>
      <c r="N108" s="55"/>
      <c r="O108" s="55"/>
    </row>
    <row r="109" spans="2:16" s="69" customFormat="1" ht="21.75" customHeight="1" outlineLevel="1" thickBot="1" x14ac:dyDescent="0.4">
      <c r="B109" s="227"/>
      <c r="C109" s="55" t="s">
        <v>29</v>
      </c>
      <c r="D109" s="60">
        <f>1000000/$O$17</f>
        <v>303030.30303030304</v>
      </c>
      <c r="E109" s="60">
        <f>(M109*12/18)/$O$17</f>
        <v>824242.42424242431</v>
      </c>
      <c r="F109" s="60">
        <f>J109-E109-D109</f>
        <v>109090.90909090912</v>
      </c>
      <c r="G109" s="60"/>
      <c r="H109" s="60"/>
      <c r="I109" s="60"/>
      <c r="J109" s="61">
        <f>M109/$O$17</f>
        <v>1236363.6363636365</v>
      </c>
      <c r="K109" s="61">
        <f t="shared" si="1"/>
        <v>1236363.6363636365</v>
      </c>
      <c r="L109" s="62"/>
      <c r="M109" s="63">
        <v>4080000</v>
      </c>
      <c r="N109" s="60">
        <v>0</v>
      </c>
      <c r="O109" s="60">
        <f>J109</f>
        <v>1236363.6363636365</v>
      </c>
    </row>
    <row r="110" spans="2:16" s="69" customFormat="1" ht="21.75" customHeight="1" outlineLevel="1" thickBot="1" x14ac:dyDescent="0.4">
      <c r="B110" s="226" t="s">
        <v>80</v>
      </c>
      <c r="C110" s="55" t="s">
        <v>28</v>
      </c>
      <c r="D110" s="55"/>
      <c r="E110" s="55"/>
      <c r="F110" s="55">
        <v>1</v>
      </c>
      <c r="G110" s="55"/>
      <c r="H110" s="55"/>
      <c r="I110" s="55"/>
      <c r="J110" s="56">
        <f>SUM(D110:I110)</f>
        <v>1</v>
      </c>
      <c r="K110" s="57">
        <f t="shared" si="1"/>
        <v>1</v>
      </c>
      <c r="L110" s="58"/>
      <c r="M110" s="59"/>
      <c r="N110" s="55"/>
      <c r="O110" s="55"/>
    </row>
    <row r="111" spans="2:16" s="69" customFormat="1" ht="21.75" customHeight="1" outlineLevel="1" thickBot="1" x14ac:dyDescent="0.4">
      <c r="B111" s="227"/>
      <c r="C111" s="55" t="s">
        <v>29</v>
      </c>
      <c r="D111" s="60">
        <f>1000000/$O$17</f>
        <v>303030.30303030304</v>
      </c>
      <c r="E111" s="60">
        <f>(M111*12/18)/$O$17</f>
        <v>824242.42424242431</v>
      </c>
      <c r="F111" s="60">
        <f>J111-E111-D111</f>
        <v>109090.90909090912</v>
      </c>
      <c r="G111" s="60"/>
      <c r="H111" s="60"/>
      <c r="I111" s="60"/>
      <c r="J111" s="61">
        <f>M111/$O$17</f>
        <v>1236363.6363636365</v>
      </c>
      <c r="K111" s="61">
        <f t="shared" si="1"/>
        <v>1236363.6363636365</v>
      </c>
      <c r="L111" s="62"/>
      <c r="M111" s="63">
        <v>4080000</v>
      </c>
      <c r="N111" s="60">
        <v>0</v>
      </c>
      <c r="O111" s="60">
        <f>J111</f>
        <v>1236363.6363636365</v>
      </c>
    </row>
    <row r="112" spans="2:16" s="69" customFormat="1" ht="21.75" customHeight="1" outlineLevel="1" thickBot="1" x14ac:dyDescent="0.4">
      <c r="B112" s="226" t="s">
        <v>81</v>
      </c>
      <c r="C112" s="55" t="s">
        <v>28</v>
      </c>
      <c r="D112" s="55"/>
      <c r="E112" s="55"/>
      <c r="F112" s="55">
        <v>1</v>
      </c>
      <c r="G112" s="55"/>
      <c r="H112" s="55"/>
      <c r="I112" s="55"/>
      <c r="J112" s="56">
        <f>SUM(D112:I112)</f>
        <v>1</v>
      </c>
      <c r="K112" s="57">
        <f t="shared" si="1"/>
        <v>1</v>
      </c>
      <c r="L112" s="58"/>
      <c r="M112" s="59"/>
      <c r="N112" s="55"/>
      <c r="O112" s="55"/>
    </row>
    <row r="113" spans="2:15" s="69" customFormat="1" ht="21.75" customHeight="1" outlineLevel="1" thickBot="1" x14ac:dyDescent="0.4">
      <c r="B113" s="230"/>
      <c r="C113" s="55" t="s">
        <v>29</v>
      </c>
      <c r="D113" s="60">
        <f>1000000/$O$17</f>
        <v>303030.30303030304</v>
      </c>
      <c r="E113" s="60">
        <f>(M113*12/18)/$O$17</f>
        <v>824242.42424242431</v>
      </c>
      <c r="F113" s="60">
        <f>J113-E113-D113</f>
        <v>109090.90909090912</v>
      </c>
      <c r="G113" s="60"/>
      <c r="H113" s="60"/>
      <c r="I113" s="60"/>
      <c r="J113" s="61">
        <f>M113/$O$17</f>
        <v>1236363.6363636365</v>
      </c>
      <c r="K113" s="61">
        <f t="shared" si="1"/>
        <v>1236363.6363636365</v>
      </c>
      <c r="L113" s="62"/>
      <c r="M113" s="63">
        <v>4080000</v>
      </c>
      <c r="N113" s="60">
        <v>0</v>
      </c>
      <c r="O113" s="60">
        <f>J113</f>
        <v>1236363.6363636365</v>
      </c>
    </row>
    <row r="114" spans="2:15" s="69" customFormat="1" ht="21.75" customHeight="1" outlineLevel="1" thickBot="1" x14ac:dyDescent="0.4">
      <c r="B114" s="233" t="s">
        <v>82</v>
      </c>
      <c r="C114" s="55" t="s">
        <v>28</v>
      </c>
      <c r="D114" s="71"/>
      <c r="E114" s="71"/>
      <c r="F114" s="71"/>
      <c r="G114" s="71"/>
      <c r="H114" s="71"/>
      <c r="I114" s="73">
        <v>1</v>
      </c>
      <c r="J114" s="70">
        <v>1</v>
      </c>
      <c r="K114" s="70">
        <v>1</v>
      </c>
      <c r="L114" s="71"/>
      <c r="M114" s="72"/>
      <c r="N114" s="71"/>
      <c r="O114" s="73"/>
    </row>
    <row r="115" spans="2:15" s="69" customFormat="1" ht="21.75" customHeight="1" outlineLevel="1" thickBot="1" x14ac:dyDescent="0.4">
      <c r="B115" s="234"/>
      <c r="C115" s="55" t="s">
        <v>29</v>
      </c>
      <c r="D115" s="71"/>
      <c r="E115" s="71"/>
      <c r="F115" s="71"/>
      <c r="G115" s="71"/>
      <c r="H115" s="71">
        <f>($M$115/2)/$O$17</f>
        <v>1236363.6363636365</v>
      </c>
      <c r="I115" s="71">
        <f>($M$115/2)/$O$17</f>
        <v>1236363.6363636365</v>
      </c>
      <c r="J115" s="61">
        <f t="shared" ref="J115" si="4">M115/$O$17</f>
        <v>2472727.2727272729</v>
      </c>
      <c r="K115" s="61">
        <f t="shared" si="1"/>
        <v>2472727.2727272729</v>
      </c>
      <c r="L115" s="74"/>
      <c r="M115" s="63">
        <v>8160000</v>
      </c>
      <c r="N115" s="74">
        <v>0</v>
      </c>
      <c r="O115" s="74">
        <f t="shared" ref="O115" si="5">J115</f>
        <v>2472727.2727272729</v>
      </c>
    </row>
    <row r="116" spans="2:15" ht="28.5" customHeight="1" thickBot="1" x14ac:dyDescent="0.4">
      <c r="B116" s="214" t="s">
        <v>83</v>
      </c>
      <c r="C116" s="49" t="s">
        <v>28</v>
      </c>
      <c r="D116" s="49"/>
      <c r="E116" s="49"/>
      <c r="F116" s="49"/>
      <c r="G116" s="49"/>
      <c r="H116" s="49"/>
      <c r="I116" s="49">
        <v>2</v>
      </c>
      <c r="J116" s="50">
        <f>SUM(D116:I116)</f>
        <v>2</v>
      </c>
      <c r="K116" s="49">
        <f t="shared" ref="K116:K121" si="6">SUM(D116:I116)</f>
        <v>2</v>
      </c>
      <c r="L116" s="51"/>
      <c r="M116" s="54"/>
      <c r="N116" s="49"/>
      <c r="O116" s="49"/>
    </row>
    <row r="117" spans="2:15" ht="42" customHeight="1" thickBot="1" x14ac:dyDescent="0.4">
      <c r="B117" s="225"/>
      <c r="C117" s="49" t="s">
        <v>29</v>
      </c>
      <c r="D117" s="52"/>
      <c r="E117" s="52"/>
      <c r="F117" s="52"/>
      <c r="G117" s="52"/>
      <c r="H117" s="52">
        <f>SUM(H119,H121)</f>
        <v>1236363.6363636365</v>
      </c>
      <c r="I117" s="52">
        <f>SUM(I119,I121)</f>
        <v>1236363.6363636365</v>
      </c>
      <c r="J117" s="52">
        <f>SUM(J119,J121)</f>
        <v>2472727.2727272729</v>
      </c>
      <c r="K117" s="52">
        <f t="shared" si="6"/>
        <v>2472727.2727272729</v>
      </c>
      <c r="L117" s="53"/>
      <c r="M117" s="54">
        <f>SUM(M119,M121)</f>
        <v>8160000</v>
      </c>
      <c r="N117" s="52">
        <v>0</v>
      </c>
      <c r="O117" s="52">
        <f>J117</f>
        <v>2472727.2727272729</v>
      </c>
    </row>
    <row r="118" spans="2:15" s="69" customFormat="1" ht="21.75" customHeight="1" thickBot="1" x14ac:dyDescent="0.4">
      <c r="B118" s="226" t="s">
        <v>84</v>
      </c>
      <c r="C118" s="55" t="s">
        <v>28</v>
      </c>
      <c r="D118" s="55"/>
      <c r="E118" s="55"/>
      <c r="F118" s="55"/>
      <c r="G118" s="55"/>
      <c r="H118" s="71"/>
      <c r="I118" s="73">
        <v>1</v>
      </c>
      <c r="J118" s="56">
        <f>SUM(D118:I118)</f>
        <v>1</v>
      </c>
      <c r="K118" s="57">
        <f t="shared" si="6"/>
        <v>1</v>
      </c>
      <c r="L118" s="58"/>
      <c r="M118" s="59"/>
      <c r="N118" s="55"/>
      <c r="O118" s="55"/>
    </row>
    <row r="119" spans="2:15" s="69" customFormat="1" ht="21.75" customHeight="1" thickBot="1" x14ac:dyDescent="0.4">
      <c r="B119" s="227"/>
      <c r="C119" s="55" t="s">
        <v>29</v>
      </c>
      <c r="D119" s="60"/>
      <c r="E119" s="60"/>
      <c r="F119" s="60"/>
      <c r="G119" s="60"/>
      <c r="H119" s="71">
        <f>(M119/2)/$O$17</f>
        <v>618181.81818181823</v>
      </c>
      <c r="I119" s="71">
        <f>(M119/2)/$O$17</f>
        <v>618181.81818181823</v>
      </c>
      <c r="J119" s="61">
        <f>M119/$O$17</f>
        <v>1236363.6363636365</v>
      </c>
      <c r="K119" s="61">
        <f t="shared" si="6"/>
        <v>1236363.6363636365</v>
      </c>
      <c r="L119" s="62"/>
      <c r="M119" s="63">
        <v>4080000</v>
      </c>
      <c r="N119" s="60">
        <v>0</v>
      </c>
      <c r="O119" s="60">
        <f>J119</f>
        <v>1236363.6363636365</v>
      </c>
    </row>
    <row r="120" spans="2:15" s="69" customFormat="1" ht="21.75" customHeight="1" thickBot="1" x14ac:dyDescent="0.4">
      <c r="B120" s="226" t="s">
        <v>85</v>
      </c>
      <c r="C120" s="55" t="s">
        <v>28</v>
      </c>
      <c r="D120" s="55"/>
      <c r="E120" s="55"/>
      <c r="F120" s="55"/>
      <c r="G120" s="55"/>
      <c r="H120" s="71"/>
      <c r="I120" s="73">
        <v>1</v>
      </c>
      <c r="J120" s="56">
        <f>SUM(D120:I120)</f>
        <v>1</v>
      </c>
      <c r="K120" s="57">
        <f t="shared" si="6"/>
        <v>1</v>
      </c>
      <c r="L120" s="58"/>
      <c r="M120" s="59"/>
      <c r="N120" s="55"/>
      <c r="O120" s="55"/>
    </row>
    <row r="121" spans="2:15" s="69" customFormat="1" ht="21.75" customHeight="1" thickBot="1" x14ac:dyDescent="0.4">
      <c r="B121" s="227"/>
      <c r="C121" s="55" t="s">
        <v>29</v>
      </c>
      <c r="D121" s="60"/>
      <c r="E121" s="60"/>
      <c r="F121" s="60"/>
      <c r="G121" s="60"/>
      <c r="H121" s="71">
        <f>(M121/2)/$O$17</f>
        <v>618181.81818181823</v>
      </c>
      <c r="I121" s="71">
        <f>(M119/2)/$O$17</f>
        <v>618181.81818181823</v>
      </c>
      <c r="J121" s="61">
        <f>M121/$O$17</f>
        <v>1236363.6363636365</v>
      </c>
      <c r="K121" s="61">
        <f t="shared" si="6"/>
        <v>1236363.6363636365</v>
      </c>
      <c r="L121" s="62"/>
      <c r="M121" s="63">
        <v>4080000</v>
      </c>
      <c r="N121" s="60">
        <v>0</v>
      </c>
      <c r="O121" s="60">
        <f>J121</f>
        <v>1236363.6363636365</v>
      </c>
    </row>
    <row r="122" spans="2:15" s="69" customFormat="1" ht="29.25" customHeight="1" thickBot="1" x14ac:dyDescent="0.4">
      <c r="B122" s="214" t="s">
        <v>86</v>
      </c>
      <c r="C122" s="49" t="s">
        <v>87</v>
      </c>
      <c r="D122" s="49">
        <f>SUMIF(D124:D143,"=1")</f>
        <v>0</v>
      </c>
      <c r="E122" s="49">
        <f t="shared" ref="E122:I122" si="7">SUMIF(E124:E143,"=1")</f>
        <v>0</v>
      </c>
      <c r="F122" s="49">
        <f>SUMIF(F124:F151,"=1")</f>
        <v>4</v>
      </c>
      <c r="G122" s="49">
        <f>SUMIF(G124:G151,"=1")</f>
        <v>6</v>
      </c>
      <c r="H122" s="49">
        <f>SUMIF(H124:H151,"=1")</f>
        <v>4</v>
      </c>
      <c r="I122" s="49">
        <f t="shared" si="7"/>
        <v>0</v>
      </c>
      <c r="J122" s="49">
        <f>SUMIF(J124:J151,"=1")</f>
        <v>14</v>
      </c>
      <c r="K122" s="49">
        <f t="shared" ref="K122:K143" si="8">SUM(D122:I122)</f>
        <v>14</v>
      </c>
      <c r="L122" s="51"/>
      <c r="M122" s="54"/>
      <c r="N122" s="49"/>
      <c r="O122" s="49"/>
    </row>
    <row r="123" spans="2:15" s="69" customFormat="1" ht="38.25" customHeight="1" thickBot="1" x14ac:dyDescent="0.4">
      <c r="B123" s="225"/>
      <c r="C123" s="49" t="s">
        <v>29</v>
      </c>
      <c r="D123" s="52">
        <f>SUMIF(D124:D143,"&gt;1")</f>
        <v>0</v>
      </c>
      <c r="E123" s="52">
        <f>SUMIF(E124:E151,"&gt;1")</f>
        <v>0</v>
      </c>
      <c r="F123" s="52">
        <f>SUMIF(F124:F151,"&gt;1")</f>
        <v>3181818.1818181821</v>
      </c>
      <c r="G123" s="52">
        <f>SUMIF(G124:G151,"&gt;1")</f>
        <v>2272727.2727272729</v>
      </c>
      <c r="H123" s="52">
        <f>SUMIF(H124:H151,"&gt;1")</f>
        <v>909090.90909090918</v>
      </c>
      <c r="I123" s="52">
        <f t="shared" ref="I123" si="9">SUMIF(I124:I143,"&gt;1")</f>
        <v>0</v>
      </c>
      <c r="J123" s="52">
        <f>SUMIF(J125:J151,"&gt;1")</f>
        <v>6363636.3636363652</v>
      </c>
      <c r="K123" s="52">
        <f t="shared" si="8"/>
        <v>6363636.3636363642</v>
      </c>
      <c r="L123" s="53"/>
      <c r="M123" s="54">
        <f>SUM(M125:M151)</f>
        <v>21000000</v>
      </c>
      <c r="N123" s="52">
        <f>SUM(N125:N151)</f>
        <v>6363636.3636363652</v>
      </c>
      <c r="O123" s="52">
        <f>SUM(O125:O143)</f>
        <v>0</v>
      </c>
    </row>
    <row r="124" spans="2:15" s="69" customFormat="1" ht="21.75" customHeight="1" thickBot="1" x14ac:dyDescent="0.4">
      <c r="B124" s="226" t="s">
        <v>88</v>
      </c>
      <c r="C124" s="55" t="s">
        <v>87</v>
      </c>
      <c r="D124" s="55"/>
      <c r="E124" s="55"/>
      <c r="F124" s="55">
        <v>1</v>
      </c>
      <c r="G124" s="55"/>
      <c r="H124" s="71"/>
      <c r="I124" s="73"/>
      <c r="J124" s="56">
        <f>SUM(D124:I124)</f>
        <v>1</v>
      </c>
      <c r="K124" s="57">
        <f t="shared" si="8"/>
        <v>1</v>
      </c>
      <c r="L124" s="58"/>
      <c r="M124" s="59"/>
      <c r="N124" s="55"/>
      <c r="O124" s="55"/>
    </row>
    <row r="125" spans="2:15" s="69" customFormat="1" ht="21.75" customHeight="1" thickBot="1" x14ac:dyDescent="0.4">
      <c r="B125" s="227"/>
      <c r="C125" s="55" t="s">
        <v>29</v>
      </c>
      <c r="D125" s="60"/>
      <c r="E125" s="71"/>
      <c r="F125" s="60">
        <f>J125</f>
        <v>454545.45454545459</v>
      </c>
      <c r="G125" s="60"/>
      <c r="H125" s="71"/>
      <c r="I125" s="71"/>
      <c r="J125" s="61">
        <f>M125/$O$17</f>
        <v>454545.45454545459</v>
      </c>
      <c r="K125" s="61">
        <f t="shared" si="8"/>
        <v>454545.45454545459</v>
      </c>
      <c r="L125" s="62"/>
      <c r="M125" s="63">
        <v>1500000</v>
      </c>
      <c r="N125" s="60">
        <f>J125</f>
        <v>454545.45454545459</v>
      </c>
      <c r="O125" s="60"/>
    </row>
    <row r="126" spans="2:15" s="69" customFormat="1" ht="21.75" customHeight="1" thickBot="1" x14ac:dyDescent="0.4">
      <c r="B126" s="226" t="s">
        <v>89</v>
      </c>
      <c r="C126" s="55" t="s">
        <v>87</v>
      </c>
      <c r="D126" s="55"/>
      <c r="E126" s="55"/>
      <c r="F126" s="55">
        <v>1</v>
      </c>
      <c r="G126" s="55"/>
      <c r="H126" s="71"/>
      <c r="I126" s="73"/>
      <c r="J126" s="56">
        <f>SUM(D126:I126)</f>
        <v>1</v>
      </c>
      <c r="K126" s="57">
        <f t="shared" si="8"/>
        <v>1</v>
      </c>
      <c r="L126" s="58"/>
      <c r="M126" s="59"/>
      <c r="N126" s="55"/>
      <c r="O126" s="55"/>
    </row>
    <row r="127" spans="2:15" s="69" customFormat="1" ht="21.75" customHeight="1" thickBot="1" x14ac:dyDescent="0.4">
      <c r="B127" s="230"/>
      <c r="C127" s="55" t="s">
        <v>29</v>
      </c>
      <c r="D127" s="60"/>
      <c r="E127" s="71"/>
      <c r="F127" s="60">
        <f>J127</f>
        <v>454545.45454545459</v>
      </c>
      <c r="G127" s="60"/>
      <c r="H127" s="71"/>
      <c r="I127" s="71"/>
      <c r="J127" s="61">
        <f>M127/$O$17</f>
        <v>454545.45454545459</v>
      </c>
      <c r="K127" s="61">
        <f t="shared" si="8"/>
        <v>454545.45454545459</v>
      </c>
      <c r="L127" s="62"/>
      <c r="M127" s="63">
        <v>1500000</v>
      </c>
      <c r="N127" s="60">
        <f>J127</f>
        <v>454545.45454545459</v>
      </c>
      <c r="O127" s="60"/>
    </row>
    <row r="128" spans="2:15" s="69" customFormat="1" ht="21.75" customHeight="1" thickBot="1" x14ac:dyDescent="0.4">
      <c r="B128" s="233" t="s">
        <v>90</v>
      </c>
      <c r="C128" s="55" t="s">
        <v>87</v>
      </c>
      <c r="D128" s="55"/>
      <c r="E128" s="55"/>
      <c r="F128" s="55"/>
      <c r="G128" s="55">
        <v>1</v>
      </c>
      <c r="H128" s="55"/>
      <c r="I128" s="55"/>
      <c r="J128" s="57">
        <v>1</v>
      </c>
      <c r="K128" s="57">
        <v>1</v>
      </c>
      <c r="L128" s="55"/>
      <c r="M128" s="55"/>
      <c r="N128" s="55"/>
      <c r="O128" s="55"/>
    </row>
    <row r="129" spans="2:15" s="69" customFormat="1" ht="21.75" customHeight="1" thickBot="1" x14ac:dyDescent="0.4">
      <c r="B129" s="234"/>
      <c r="C129" s="55" t="s">
        <v>29</v>
      </c>
      <c r="D129" s="60"/>
      <c r="E129" s="71"/>
      <c r="F129" s="71">
        <f>($M$135/2)/$O$17</f>
        <v>227272.72727272729</v>
      </c>
      <c r="G129" s="71">
        <f>($M$135/2)/$O$17</f>
        <v>227272.72727272729</v>
      </c>
      <c r="H129" s="60"/>
      <c r="I129" s="60"/>
      <c r="J129" s="61">
        <f>M129/$O$17</f>
        <v>454545.45454545459</v>
      </c>
      <c r="K129" s="61">
        <f t="shared" si="8"/>
        <v>454545.45454545459</v>
      </c>
      <c r="L129" s="60"/>
      <c r="M129" s="63">
        <v>1500000</v>
      </c>
      <c r="N129" s="60">
        <f>J129</f>
        <v>454545.45454545459</v>
      </c>
      <c r="O129" s="60"/>
    </row>
    <row r="130" spans="2:15" s="69" customFormat="1" ht="21.75" customHeight="1" thickBot="1" x14ac:dyDescent="0.4">
      <c r="B130" s="233" t="s">
        <v>91</v>
      </c>
      <c r="C130" s="55" t="s">
        <v>87</v>
      </c>
      <c r="D130" s="55"/>
      <c r="E130" s="55"/>
      <c r="F130" s="55"/>
      <c r="G130" s="55"/>
      <c r="H130" s="55">
        <v>1</v>
      </c>
      <c r="I130" s="55"/>
      <c r="J130" s="57">
        <v>1</v>
      </c>
      <c r="K130" s="57">
        <v>1</v>
      </c>
      <c r="L130" s="55"/>
      <c r="M130" s="55"/>
      <c r="N130" s="55"/>
      <c r="O130" s="55"/>
    </row>
    <row r="131" spans="2:15" s="69" customFormat="1" ht="21.75" customHeight="1" thickBot="1" x14ac:dyDescent="0.4">
      <c r="B131" s="234"/>
      <c r="C131" s="55" t="s">
        <v>29</v>
      </c>
      <c r="D131" s="60"/>
      <c r="E131" s="71"/>
      <c r="F131" s="60"/>
      <c r="G131" s="71">
        <f>($M$135/2)/$O$17</f>
        <v>227272.72727272729</v>
      </c>
      <c r="H131" s="71">
        <f>($M$135/2)/$O$17</f>
        <v>227272.72727272729</v>
      </c>
      <c r="I131" s="60"/>
      <c r="J131" s="61">
        <f>M131/$O$17</f>
        <v>454545.45454545459</v>
      </c>
      <c r="K131" s="61">
        <f t="shared" si="8"/>
        <v>454545.45454545459</v>
      </c>
      <c r="L131" s="60"/>
      <c r="M131" s="63">
        <v>1500000</v>
      </c>
      <c r="N131" s="60">
        <f>J131</f>
        <v>454545.45454545459</v>
      </c>
      <c r="O131" s="60"/>
    </row>
    <row r="132" spans="2:15" s="69" customFormat="1" ht="21.75" customHeight="1" thickBot="1" x14ac:dyDescent="0.4">
      <c r="B132" s="233" t="s">
        <v>92</v>
      </c>
      <c r="C132" s="55" t="s">
        <v>87</v>
      </c>
      <c r="D132" s="55"/>
      <c r="E132" s="55"/>
      <c r="F132" s="55"/>
      <c r="G132" s="55">
        <v>1</v>
      </c>
      <c r="H132" s="55"/>
      <c r="I132" s="55"/>
      <c r="J132" s="57">
        <v>1</v>
      </c>
      <c r="K132" s="57">
        <v>1</v>
      </c>
      <c r="L132" s="55"/>
      <c r="M132" s="55"/>
      <c r="N132" s="55"/>
      <c r="O132" s="55"/>
    </row>
    <row r="133" spans="2:15" s="69" customFormat="1" ht="21.75" customHeight="1" thickBot="1" x14ac:dyDescent="0.4">
      <c r="B133" s="234"/>
      <c r="C133" s="55" t="s">
        <v>29</v>
      </c>
      <c r="D133" s="60"/>
      <c r="E133" s="71"/>
      <c r="F133" s="71">
        <f>($M$135/2)/$O$17</f>
        <v>227272.72727272729</v>
      </c>
      <c r="G133" s="71">
        <f>($M$135/2)/$O$17</f>
        <v>227272.72727272729</v>
      </c>
      <c r="H133" s="60"/>
      <c r="I133" s="60"/>
      <c r="J133" s="61">
        <f>M133/$O$17</f>
        <v>454545.45454545459</v>
      </c>
      <c r="K133" s="61">
        <f t="shared" si="8"/>
        <v>454545.45454545459</v>
      </c>
      <c r="L133" s="60"/>
      <c r="M133" s="63">
        <v>1500000</v>
      </c>
      <c r="N133" s="60">
        <f>J133</f>
        <v>454545.45454545459</v>
      </c>
      <c r="O133" s="60"/>
    </row>
    <row r="134" spans="2:15" s="69" customFormat="1" ht="21.75" customHeight="1" thickBot="1" x14ac:dyDescent="0.4">
      <c r="B134" s="233" t="s">
        <v>93</v>
      </c>
      <c r="C134" s="55" t="s">
        <v>87</v>
      </c>
      <c r="D134" s="55"/>
      <c r="E134" s="55"/>
      <c r="F134" s="55"/>
      <c r="G134" s="55">
        <v>1</v>
      </c>
      <c r="H134" s="55"/>
      <c r="I134" s="55"/>
      <c r="J134" s="57">
        <v>1</v>
      </c>
      <c r="K134" s="57">
        <v>1</v>
      </c>
      <c r="L134" s="55"/>
      <c r="M134" s="55"/>
      <c r="N134" s="55"/>
      <c r="O134" s="55"/>
    </row>
    <row r="135" spans="2:15" s="69" customFormat="1" ht="21.75" customHeight="1" thickBot="1" x14ac:dyDescent="0.4">
      <c r="B135" s="234"/>
      <c r="C135" s="55" t="s">
        <v>29</v>
      </c>
      <c r="D135" s="60"/>
      <c r="E135" s="71"/>
      <c r="F135" s="71">
        <f>($M$135/2)/$O$17</f>
        <v>227272.72727272729</v>
      </c>
      <c r="G135" s="71">
        <f>($M$135/2)/$O$17</f>
        <v>227272.72727272729</v>
      </c>
      <c r="H135" s="60"/>
      <c r="I135" s="60"/>
      <c r="J135" s="61">
        <f>M135/$O$17</f>
        <v>454545.45454545459</v>
      </c>
      <c r="K135" s="61">
        <f t="shared" si="8"/>
        <v>454545.45454545459</v>
      </c>
      <c r="L135" s="60"/>
      <c r="M135" s="63">
        <v>1500000</v>
      </c>
      <c r="N135" s="60">
        <f>J135</f>
        <v>454545.45454545459</v>
      </c>
      <c r="O135" s="60"/>
    </row>
    <row r="136" spans="2:15" s="69" customFormat="1" ht="21.75" customHeight="1" thickBot="1" x14ac:dyDescent="0.4">
      <c r="B136" s="233" t="s">
        <v>94</v>
      </c>
      <c r="C136" s="55" t="s">
        <v>87</v>
      </c>
      <c r="D136" s="55"/>
      <c r="E136" s="55"/>
      <c r="F136" s="55"/>
      <c r="G136" s="55">
        <v>1</v>
      </c>
      <c r="H136" s="55"/>
      <c r="I136" s="55"/>
      <c r="J136" s="57">
        <v>1</v>
      </c>
      <c r="K136" s="57">
        <v>1</v>
      </c>
      <c r="L136" s="55"/>
      <c r="M136" s="55"/>
      <c r="N136" s="55"/>
      <c r="O136" s="55"/>
    </row>
    <row r="137" spans="2:15" s="69" customFormat="1" ht="21.75" customHeight="1" thickBot="1" x14ac:dyDescent="0.4">
      <c r="B137" s="234"/>
      <c r="C137" s="55" t="s">
        <v>29</v>
      </c>
      <c r="D137" s="60"/>
      <c r="E137" s="71"/>
      <c r="F137" s="71">
        <f>($M$135/2)/$O$17</f>
        <v>227272.72727272729</v>
      </c>
      <c r="G137" s="71">
        <f>($M$135/2)/$O$17</f>
        <v>227272.72727272729</v>
      </c>
      <c r="H137" s="60"/>
      <c r="I137" s="60"/>
      <c r="J137" s="61">
        <f>M137/$O$17</f>
        <v>454545.45454545459</v>
      </c>
      <c r="K137" s="61">
        <f t="shared" si="8"/>
        <v>454545.45454545459</v>
      </c>
      <c r="L137" s="60"/>
      <c r="M137" s="63">
        <v>1500000</v>
      </c>
      <c r="N137" s="60">
        <f>J137</f>
        <v>454545.45454545459</v>
      </c>
      <c r="O137" s="60"/>
    </row>
    <row r="138" spans="2:15" s="69" customFormat="1" ht="21.75" customHeight="1" thickBot="1" x14ac:dyDescent="0.4">
      <c r="B138" s="233" t="s">
        <v>95</v>
      </c>
      <c r="C138" s="55" t="s">
        <v>87</v>
      </c>
      <c r="D138" s="55"/>
      <c r="E138" s="55"/>
      <c r="F138" s="55">
        <v>1</v>
      </c>
      <c r="G138" s="55"/>
      <c r="H138" s="55"/>
      <c r="I138" s="55"/>
      <c r="J138" s="57">
        <v>1</v>
      </c>
      <c r="K138" s="57">
        <v>1</v>
      </c>
      <c r="L138" s="55"/>
      <c r="M138" s="55"/>
      <c r="N138" s="55"/>
      <c r="O138" s="55"/>
    </row>
    <row r="139" spans="2:15" s="69" customFormat="1" ht="21.75" customHeight="1" thickBot="1" x14ac:dyDescent="0.4">
      <c r="B139" s="234"/>
      <c r="C139" s="55" t="s">
        <v>29</v>
      </c>
      <c r="D139" s="60"/>
      <c r="E139" s="71"/>
      <c r="F139" s="60">
        <f>J139</f>
        <v>454545.45454545459</v>
      </c>
      <c r="G139" s="60"/>
      <c r="H139" s="60"/>
      <c r="I139" s="60"/>
      <c r="J139" s="61">
        <f>M139/$O$17</f>
        <v>454545.45454545459</v>
      </c>
      <c r="K139" s="61">
        <f t="shared" si="8"/>
        <v>454545.45454545459</v>
      </c>
      <c r="L139" s="60"/>
      <c r="M139" s="63">
        <v>1500000</v>
      </c>
      <c r="N139" s="60">
        <f>J139</f>
        <v>454545.45454545459</v>
      </c>
      <c r="O139" s="60"/>
    </row>
    <row r="140" spans="2:15" s="69" customFormat="1" ht="21.75" customHeight="1" thickBot="1" x14ac:dyDescent="0.4">
      <c r="B140" s="233" t="s">
        <v>96</v>
      </c>
      <c r="C140" s="55" t="s">
        <v>87</v>
      </c>
      <c r="D140" s="55"/>
      <c r="E140" s="55"/>
      <c r="F140" s="55"/>
      <c r="G140" s="55"/>
      <c r="H140" s="55">
        <v>1</v>
      </c>
      <c r="I140" s="55"/>
      <c r="J140" s="57">
        <v>1</v>
      </c>
      <c r="K140" s="57">
        <v>1</v>
      </c>
      <c r="L140" s="55"/>
      <c r="M140" s="55"/>
      <c r="N140" s="55"/>
      <c r="O140" s="55"/>
    </row>
    <row r="141" spans="2:15" s="69" customFormat="1" ht="21.75" customHeight="1" thickBot="1" x14ac:dyDescent="0.4">
      <c r="B141" s="234"/>
      <c r="C141" s="55" t="s">
        <v>29</v>
      </c>
      <c r="D141" s="60"/>
      <c r="E141" s="71"/>
      <c r="F141" s="60"/>
      <c r="G141" s="71">
        <f>($M$135/2)/$O$17</f>
        <v>227272.72727272729</v>
      </c>
      <c r="H141" s="71">
        <f>($M$135/2)/$O$17</f>
        <v>227272.72727272729</v>
      </c>
      <c r="I141" s="60"/>
      <c r="J141" s="61">
        <f>M141/$O$17</f>
        <v>454545.45454545459</v>
      </c>
      <c r="K141" s="61">
        <f t="shared" si="8"/>
        <v>454545.45454545459</v>
      </c>
      <c r="L141" s="60"/>
      <c r="M141" s="63">
        <v>1500000</v>
      </c>
      <c r="N141" s="60">
        <f>J141</f>
        <v>454545.45454545459</v>
      </c>
      <c r="O141" s="60"/>
    </row>
    <row r="142" spans="2:15" s="69" customFormat="1" ht="21.75" customHeight="1" thickBot="1" x14ac:dyDescent="0.4">
      <c r="B142" s="233" t="s">
        <v>97</v>
      </c>
      <c r="C142" s="55" t="s">
        <v>87</v>
      </c>
      <c r="D142" s="55"/>
      <c r="E142" s="55"/>
      <c r="F142" s="55"/>
      <c r="G142" s="55"/>
      <c r="H142" s="55">
        <v>1</v>
      </c>
      <c r="I142" s="55"/>
      <c r="J142" s="57">
        <v>1</v>
      </c>
      <c r="K142" s="57">
        <v>1</v>
      </c>
      <c r="L142" s="55"/>
      <c r="M142" s="55"/>
      <c r="N142" s="55"/>
      <c r="O142" s="55"/>
    </row>
    <row r="143" spans="2:15" s="69" customFormat="1" ht="21.75" customHeight="1" thickBot="1" x14ac:dyDescent="0.4">
      <c r="B143" s="234"/>
      <c r="C143" s="55" t="s">
        <v>29</v>
      </c>
      <c r="D143" s="60"/>
      <c r="E143" s="71"/>
      <c r="F143" s="60"/>
      <c r="G143" s="71">
        <f>($M$135/2)/$O$17</f>
        <v>227272.72727272729</v>
      </c>
      <c r="H143" s="71">
        <f>($M$135/2)/$O$17</f>
        <v>227272.72727272729</v>
      </c>
      <c r="I143" s="60"/>
      <c r="J143" s="61">
        <f>M143/$O$17</f>
        <v>454545.45454545459</v>
      </c>
      <c r="K143" s="61">
        <f t="shared" si="8"/>
        <v>454545.45454545459</v>
      </c>
      <c r="L143" s="60"/>
      <c r="M143" s="63">
        <v>1500000</v>
      </c>
      <c r="N143" s="60">
        <f>J143</f>
        <v>454545.45454545459</v>
      </c>
      <c r="O143" s="60"/>
    </row>
    <row r="144" spans="2:15" s="69" customFormat="1" ht="21.75" customHeight="1" thickBot="1" x14ac:dyDescent="0.4">
      <c r="B144" s="233" t="s">
        <v>98</v>
      </c>
      <c r="C144" s="55" t="s">
        <v>87</v>
      </c>
      <c r="D144" s="55"/>
      <c r="E144" s="55"/>
      <c r="F144" s="55"/>
      <c r="G144" s="55">
        <v>1</v>
      </c>
      <c r="H144" s="55"/>
      <c r="I144" s="55"/>
      <c r="J144" s="57">
        <v>1</v>
      </c>
      <c r="K144" s="57">
        <v>1</v>
      </c>
      <c r="L144" s="55"/>
      <c r="M144" s="55"/>
      <c r="N144" s="55"/>
      <c r="O144" s="55"/>
    </row>
    <row r="145" spans="2:15" s="69" customFormat="1" ht="21.75" customHeight="1" thickBot="1" x14ac:dyDescent="0.4">
      <c r="B145" s="234"/>
      <c r="C145" s="55" t="s">
        <v>29</v>
      </c>
      <c r="D145" s="60"/>
      <c r="E145" s="71"/>
      <c r="F145" s="71">
        <f>($M$135/2)/$O$17</f>
        <v>227272.72727272729</v>
      </c>
      <c r="G145" s="71">
        <f>($M$135/2)/$O$17</f>
        <v>227272.72727272729</v>
      </c>
      <c r="H145" s="60"/>
      <c r="I145" s="60"/>
      <c r="J145" s="61">
        <f>M145/$O$17</f>
        <v>454545.45454545459</v>
      </c>
      <c r="K145" s="61">
        <f t="shared" ref="K145" si="10">SUM(D145:I145)</f>
        <v>454545.45454545459</v>
      </c>
      <c r="L145" s="60"/>
      <c r="M145" s="63">
        <v>1500000</v>
      </c>
      <c r="N145" s="60">
        <f>J145</f>
        <v>454545.45454545459</v>
      </c>
      <c r="O145" s="60"/>
    </row>
    <row r="146" spans="2:15" s="69" customFormat="1" ht="21.75" customHeight="1" thickBot="1" x14ac:dyDescent="0.4">
      <c r="B146" s="233" t="s">
        <v>99</v>
      </c>
      <c r="C146" s="55" t="s">
        <v>87</v>
      </c>
      <c r="D146" s="55"/>
      <c r="E146" s="55"/>
      <c r="F146" s="55"/>
      <c r="G146" s="55"/>
      <c r="H146" s="55">
        <v>1</v>
      </c>
      <c r="I146" s="55"/>
      <c r="J146" s="57">
        <v>1</v>
      </c>
      <c r="K146" s="57">
        <v>1</v>
      </c>
      <c r="L146" s="55"/>
      <c r="M146" s="55"/>
      <c r="N146" s="55"/>
      <c r="O146" s="55"/>
    </row>
    <row r="147" spans="2:15" s="69" customFormat="1" ht="21.75" customHeight="1" thickBot="1" x14ac:dyDescent="0.4">
      <c r="B147" s="234"/>
      <c r="C147" s="55" t="s">
        <v>29</v>
      </c>
      <c r="D147" s="60"/>
      <c r="E147" s="71"/>
      <c r="F147" s="60"/>
      <c r="G147" s="71">
        <f>($M$135/2)/$O$17</f>
        <v>227272.72727272729</v>
      </c>
      <c r="H147" s="71">
        <f>($M$135/2)/$O$17</f>
        <v>227272.72727272729</v>
      </c>
      <c r="I147" s="60"/>
      <c r="J147" s="61">
        <f>M147/$O$17</f>
        <v>454545.45454545459</v>
      </c>
      <c r="K147" s="61">
        <f t="shared" ref="K147" si="11">SUM(D147:I147)</f>
        <v>454545.45454545459</v>
      </c>
      <c r="L147" s="60"/>
      <c r="M147" s="63">
        <v>1500000</v>
      </c>
      <c r="N147" s="60">
        <f>J147</f>
        <v>454545.45454545459</v>
      </c>
      <c r="O147" s="60"/>
    </row>
    <row r="148" spans="2:15" s="69" customFormat="1" ht="21.75" customHeight="1" thickBot="1" x14ac:dyDescent="0.4">
      <c r="B148" s="233" t="s">
        <v>100</v>
      </c>
      <c r="C148" s="55" t="s">
        <v>87</v>
      </c>
      <c r="D148" s="55"/>
      <c r="E148" s="55"/>
      <c r="F148" s="55"/>
      <c r="G148" s="55">
        <v>1</v>
      </c>
      <c r="H148" s="55"/>
      <c r="I148" s="55"/>
      <c r="J148" s="57">
        <v>1</v>
      </c>
      <c r="K148" s="57">
        <v>1</v>
      </c>
      <c r="L148" s="55"/>
      <c r="M148" s="55"/>
      <c r="N148" s="55"/>
      <c r="O148" s="55"/>
    </row>
    <row r="149" spans="2:15" s="69" customFormat="1" ht="21.75" customHeight="1" thickBot="1" x14ac:dyDescent="0.4">
      <c r="B149" s="234"/>
      <c r="C149" s="55" t="s">
        <v>29</v>
      </c>
      <c r="D149" s="60"/>
      <c r="E149" s="71"/>
      <c r="F149" s="71">
        <f>($M$135/2)/$O$17</f>
        <v>227272.72727272729</v>
      </c>
      <c r="G149" s="71">
        <f>($M$135/2)/$O$17</f>
        <v>227272.72727272729</v>
      </c>
      <c r="H149" s="60"/>
      <c r="I149" s="60"/>
      <c r="J149" s="61">
        <f>M149/$O$17</f>
        <v>454545.45454545459</v>
      </c>
      <c r="K149" s="61">
        <f t="shared" ref="K149" si="12">SUM(D149:I149)</f>
        <v>454545.45454545459</v>
      </c>
      <c r="L149" s="60"/>
      <c r="M149" s="63">
        <v>1500000</v>
      </c>
      <c r="N149" s="60">
        <f>J149</f>
        <v>454545.45454545459</v>
      </c>
      <c r="O149" s="60"/>
    </row>
    <row r="150" spans="2:15" s="69" customFormat="1" ht="21.75" customHeight="1" thickBot="1" x14ac:dyDescent="0.4">
      <c r="B150" s="233" t="s">
        <v>101</v>
      </c>
      <c r="C150" s="55" t="s">
        <v>87</v>
      </c>
      <c r="D150" s="55"/>
      <c r="E150" s="55"/>
      <c r="F150" s="55">
        <v>1</v>
      </c>
      <c r="G150" s="55"/>
      <c r="H150" s="55"/>
      <c r="I150" s="55"/>
      <c r="J150" s="57">
        <v>1</v>
      </c>
      <c r="K150" s="57">
        <v>1</v>
      </c>
      <c r="L150" s="55"/>
      <c r="M150" s="55"/>
      <c r="N150" s="55"/>
      <c r="O150" s="55"/>
    </row>
    <row r="151" spans="2:15" s="69" customFormat="1" ht="21.75" customHeight="1" thickBot="1" x14ac:dyDescent="0.4">
      <c r="B151" s="234"/>
      <c r="C151" s="55" t="s">
        <v>29</v>
      </c>
      <c r="D151" s="60"/>
      <c r="E151" s="71"/>
      <c r="F151" s="60">
        <f>J151</f>
        <v>454545.45454545459</v>
      </c>
      <c r="G151" s="60"/>
      <c r="H151" s="60"/>
      <c r="I151" s="60"/>
      <c r="J151" s="61">
        <f>M151/$O$17</f>
        <v>454545.45454545459</v>
      </c>
      <c r="K151" s="61">
        <f t="shared" ref="K151:K157" si="13">SUM(D151:I151)</f>
        <v>454545.45454545459</v>
      </c>
      <c r="L151" s="60"/>
      <c r="M151" s="63">
        <v>1500000</v>
      </c>
      <c r="N151" s="60">
        <f>J151</f>
        <v>454545.45454545459</v>
      </c>
      <c r="O151" s="60"/>
    </row>
    <row r="152" spans="2:15" s="69" customFormat="1" ht="21.75" customHeight="1" thickBot="1" x14ac:dyDescent="0.4">
      <c r="B152" s="214" t="s">
        <v>102</v>
      </c>
      <c r="C152" s="49" t="s">
        <v>87</v>
      </c>
      <c r="D152" s="49"/>
      <c r="E152" s="49"/>
      <c r="F152" s="49">
        <f>SUMIF(F154:F181,"=1")</f>
        <v>4</v>
      </c>
      <c r="G152" s="49">
        <f>SUMIF(G154:G181,"=1")</f>
        <v>6</v>
      </c>
      <c r="H152" s="49">
        <f>SUMIF(H154:H181,"=1")</f>
        <v>4</v>
      </c>
      <c r="I152" s="49">
        <f>SUMIF(I154:I181,"=1")</f>
        <v>0</v>
      </c>
      <c r="J152" s="49">
        <f>SUMIF(J154:J181,"=1")</f>
        <v>14</v>
      </c>
      <c r="K152" s="49">
        <f t="shared" si="13"/>
        <v>14</v>
      </c>
      <c r="L152" s="51"/>
      <c r="M152" s="54"/>
      <c r="N152" s="49"/>
      <c r="O152" s="49"/>
    </row>
    <row r="153" spans="2:15" s="69" customFormat="1" ht="21.75" customHeight="1" thickBot="1" x14ac:dyDescent="0.4">
      <c r="B153" s="225"/>
      <c r="C153" s="49" t="s">
        <v>29</v>
      </c>
      <c r="D153" s="52"/>
      <c r="E153" s="52"/>
      <c r="F153" s="52">
        <f>SUMIF(F154:F181,"&gt;1")</f>
        <v>886245.02181818197</v>
      </c>
      <c r="G153" s="52">
        <f>SUMIF(G154:G181,"&gt;1")</f>
        <v>1329367.5327272727</v>
      </c>
      <c r="H153" s="52">
        <f>SUMIF(H154:H181,"&gt;1")</f>
        <v>886245.02181818197</v>
      </c>
      <c r="I153" s="52">
        <f>SUMIF(I154:I181,"&gt;1")</f>
        <v>0</v>
      </c>
      <c r="J153" s="52">
        <f>SUMIF(J154:J181,"&gt;1")</f>
        <v>3101857.5763636357</v>
      </c>
      <c r="K153" s="52">
        <f>SUM(D153:I153)</f>
        <v>3101857.5763636366</v>
      </c>
      <c r="L153" s="53"/>
      <c r="M153" s="54">
        <f>SUM(M155:M181)</f>
        <v>10236130.001999998</v>
      </c>
      <c r="N153" s="52">
        <f>SUM(N155:N181)</f>
        <v>3101857.5763636357</v>
      </c>
      <c r="O153" s="52">
        <f>SUM(O155:O173)</f>
        <v>0</v>
      </c>
    </row>
    <row r="154" spans="2:15" s="69" customFormat="1" ht="21.75" customHeight="1" thickBot="1" x14ac:dyDescent="0.4">
      <c r="B154" s="226" t="s">
        <v>88</v>
      </c>
      <c r="C154" s="55" t="s">
        <v>87</v>
      </c>
      <c r="D154" s="55"/>
      <c r="E154" s="55"/>
      <c r="F154" s="55">
        <v>1</v>
      </c>
      <c r="G154" s="55"/>
      <c r="H154" s="71"/>
      <c r="I154" s="73"/>
      <c r="J154" s="56">
        <f>SUM(D154:I154)</f>
        <v>1</v>
      </c>
      <c r="K154" s="57">
        <f t="shared" si="13"/>
        <v>1</v>
      </c>
      <c r="L154" s="58"/>
      <c r="M154" s="59"/>
      <c r="N154" s="55"/>
      <c r="O154" s="55"/>
    </row>
    <row r="155" spans="2:15" s="69" customFormat="1" ht="21.75" customHeight="1" thickBot="1" x14ac:dyDescent="0.4">
      <c r="B155" s="227"/>
      <c r="C155" s="55" t="s">
        <v>29</v>
      </c>
      <c r="D155" s="60"/>
      <c r="E155" s="71"/>
      <c r="F155" s="60">
        <f>J155</f>
        <v>221561.25545454549</v>
      </c>
      <c r="G155" s="60"/>
      <c r="H155" s="71"/>
      <c r="I155" s="71"/>
      <c r="J155" s="61">
        <f>M155/$O$17</f>
        <v>221561.25545454549</v>
      </c>
      <c r="K155" s="61">
        <f t="shared" si="13"/>
        <v>221561.25545454549</v>
      </c>
      <c r="L155" s="62"/>
      <c r="M155" s="63">
        <f>500000+231152.143</f>
        <v>731152.14300000004</v>
      </c>
      <c r="N155" s="60">
        <f>J155</f>
        <v>221561.25545454549</v>
      </c>
      <c r="O155" s="60"/>
    </row>
    <row r="156" spans="2:15" s="69" customFormat="1" ht="21.75" customHeight="1" thickBot="1" x14ac:dyDescent="0.4">
      <c r="B156" s="226" t="s">
        <v>89</v>
      </c>
      <c r="C156" s="55" t="s">
        <v>87</v>
      </c>
      <c r="D156" s="55"/>
      <c r="E156" s="55"/>
      <c r="F156" s="55">
        <v>1</v>
      </c>
      <c r="G156" s="55"/>
      <c r="H156" s="71"/>
      <c r="I156" s="73"/>
      <c r="J156" s="56">
        <f>SUM(D156:I156)</f>
        <v>1</v>
      </c>
      <c r="K156" s="57">
        <f t="shared" si="13"/>
        <v>1</v>
      </c>
      <c r="L156" s="58"/>
      <c r="M156" s="59"/>
      <c r="N156" s="55"/>
      <c r="O156" s="55"/>
    </row>
    <row r="157" spans="2:15" s="69" customFormat="1" ht="21.75" customHeight="1" thickBot="1" x14ac:dyDescent="0.4">
      <c r="B157" s="230"/>
      <c r="C157" s="55" t="s">
        <v>29</v>
      </c>
      <c r="D157" s="60"/>
      <c r="E157" s="71"/>
      <c r="F157" s="60">
        <f>J157</f>
        <v>221561.25545454549</v>
      </c>
      <c r="G157" s="60"/>
      <c r="H157" s="71"/>
      <c r="I157" s="71"/>
      <c r="J157" s="61">
        <f>M157/$O$17</f>
        <v>221561.25545454549</v>
      </c>
      <c r="K157" s="61">
        <f t="shared" si="13"/>
        <v>221561.25545454549</v>
      </c>
      <c r="L157" s="62"/>
      <c r="M157" s="63">
        <f>500000+231152.143</f>
        <v>731152.14300000004</v>
      </c>
      <c r="N157" s="60">
        <f>J157</f>
        <v>221561.25545454549</v>
      </c>
      <c r="O157" s="60"/>
    </row>
    <row r="158" spans="2:15" s="69" customFormat="1" ht="21.75" customHeight="1" thickBot="1" x14ac:dyDescent="0.4">
      <c r="B158" s="233" t="s">
        <v>90</v>
      </c>
      <c r="C158" s="55" t="s">
        <v>87</v>
      </c>
      <c r="D158" s="55"/>
      <c r="E158" s="55"/>
      <c r="F158" s="55"/>
      <c r="G158" s="55">
        <v>1</v>
      </c>
      <c r="H158" s="55"/>
      <c r="I158" s="55"/>
      <c r="J158" s="57">
        <v>1</v>
      </c>
      <c r="K158" s="57">
        <v>1</v>
      </c>
      <c r="L158" s="55"/>
      <c r="M158" s="55"/>
      <c r="N158" s="55"/>
      <c r="O158" s="55"/>
    </row>
    <row r="159" spans="2:15" s="69" customFormat="1" ht="21.75" customHeight="1" thickBot="1" x14ac:dyDescent="0.4">
      <c r="B159" s="234"/>
      <c r="C159" s="55" t="s">
        <v>29</v>
      </c>
      <c r="D159" s="60"/>
      <c r="E159" s="71"/>
      <c r="F159" s="60"/>
      <c r="G159" s="117">
        <f>J159</f>
        <v>221561.25545454549</v>
      </c>
      <c r="H159" s="60"/>
      <c r="I159" s="60"/>
      <c r="J159" s="61">
        <f>M159/$O$17</f>
        <v>221561.25545454549</v>
      </c>
      <c r="K159" s="61">
        <f t="shared" ref="K159" si="14">SUM(D159:I159)</f>
        <v>221561.25545454549</v>
      </c>
      <c r="L159" s="60"/>
      <c r="M159" s="63">
        <f>500000+231152.143</f>
        <v>731152.14300000004</v>
      </c>
      <c r="N159" s="60">
        <f>J159</f>
        <v>221561.25545454549</v>
      </c>
      <c r="O159" s="60"/>
    </row>
    <row r="160" spans="2:15" s="69" customFormat="1" ht="21.75" customHeight="1" thickBot="1" x14ac:dyDescent="0.4">
      <c r="B160" s="233" t="s">
        <v>91</v>
      </c>
      <c r="C160" s="55" t="s">
        <v>87</v>
      </c>
      <c r="D160" s="55"/>
      <c r="E160" s="55"/>
      <c r="F160" s="55"/>
      <c r="G160" s="55"/>
      <c r="H160" s="55">
        <v>1</v>
      </c>
      <c r="I160" s="55"/>
      <c r="J160" s="57">
        <v>1</v>
      </c>
      <c r="K160" s="57">
        <v>1</v>
      </c>
      <c r="L160" s="55"/>
      <c r="M160" s="55"/>
      <c r="N160" s="55"/>
      <c r="O160" s="55"/>
    </row>
    <row r="161" spans="2:15" s="69" customFormat="1" ht="21.75" customHeight="1" thickBot="1" x14ac:dyDescent="0.4">
      <c r="B161" s="234"/>
      <c r="C161" s="55" t="s">
        <v>29</v>
      </c>
      <c r="D161" s="60"/>
      <c r="E161" s="71"/>
      <c r="F161" s="60"/>
      <c r="G161" s="60"/>
      <c r="H161" s="60">
        <f>J161</f>
        <v>221561.25545454549</v>
      </c>
      <c r="I161" s="60"/>
      <c r="J161" s="61">
        <f>M161/$O$17</f>
        <v>221561.25545454549</v>
      </c>
      <c r="K161" s="61">
        <f t="shared" ref="K161" si="15">SUM(D161:I161)</f>
        <v>221561.25545454549</v>
      </c>
      <c r="L161" s="60"/>
      <c r="M161" s="63">
        <f>500000+231152.143</f>
        <v>731152.14300000004</v>
      </c>
      <c r="N161" s="60">
        <f>J161</f>
        <v>221561.25545454549</v>
      </c>
      <c r="O161" s="60"/>
    </row>
    <row r="162" spans="2:15" s="69" customFormat="1" ht="21.75" customHeight="1" thickBot="1" x14ac:dyDescent="0.4">
      <c r="B162" s="233" t="s">
        <v>92</v>
      </c>
      <c r="C162" s="55" t="s">
        <v>87</v>
      </c>
      <c r="D162" s="55"/>
      <c r="E162" s="55"/>
      <c r="F162" s="55"/>
      <c r="G162" s="55">
        <v>1</v>
      </c>
      <c r="H162" s="55"/>
      <c r="I162" s="55"/>
      <c r="J162" s="57">
        <v>1</v>
      </c>
      <c r="K162" s="57">
        <v>1</v>
      </c>
      <c r="L162" s="55"/>
      <c r="M162" s="55"/>
      <c r="N162" s="55"/>
      <c r="O162" s="55"/>
    </row>
    <row r="163" spans="2:15" s="69" customFormat="1" ht="21.75" customHeight="1" thickBot="1" x14ac:dyDescent="0.4">
      <c r="B163" s="234"/>
      <c r="C163" s="55" t="s">
        <v>29</v>
      </c>
      <c r="D163" s="60"/>
      <c r="E163" s="71"/>
      <c r="F163" s="60"/>
      <c r="G163" s="117">
        <f>J163</f>
        <v>221561.25545454549</v>
      </c>
      <c r="H163" s="60"/>
      <c r="I163" s="60"/>
      <c r="J163" s="61">
        <f>M163/$O$17</f>
        <v>221561.25545454549</v>
      </c>
      <c r="K163" s="61">
        <f t="shared" ref="K163" si="16">SUM(D163:I163)</f>
        <v>221561.25545454549</v>
      </c>
      <c r="L163" s="60"/>
      <c r="M163" s="63">
        <f>500000+231152.143</f>
        <v>731152.14300000004</v>
      </c>
      <c r="N163" s="60">
        <f>J163</f>
        <v>221561.25545454549</v>
      </c>
      <c r="O163" s="60"/>
    </row>
    <row r="164" spans="2:15" s="69" customFormat="1" ht="21.75" customHeight="1" thickBot="1" x14ac:dyDescent="0.4">
      <c r="B164" s="233" t="s">
        <v>93</v>
      </c>
      <c r="C164" s="55" t="s">
        <v>87</v>
      </c>
      <c r="D164" s="55"/>
      <c r="E164" s="55"/>
      <c r="F164" s="55"/>
      <c r="G164" s="55">
        <v>1</v>
      </c>
      <c r="H164" s="55"/>
      <c r="I164" s="55"/>
      <c r="J164" s="57">
        <v>1</v>
      </c>
      <c r="K164" s="57">
        <v>1</v>
      </c>
      <c r="L164" s="55"/>
      <c r="M164" s="55"/>
      <c r="N164" s="55"/>
      <c r="O164" s="55"/>
    </row>
    <row r="165" spans="2:15" s="69" customFormat="1" ht="21.75" customHeight="1" thickBot="1" x14ac:dyDescent="0.4">
      <c r="B165" s="234"/>
      <c r="C165" s="55" t="s">
        <v>29</v>
      </c>
      <c r="D165" s="60"/>
      <c r="E165" s="71"/>
      <c r="F165" s="60"/>
      <c r="G165" s="117">
        <f>J165</f>
        <v>221561.25545454549</v>
      </c>
      <c r="H165" s="60"/>
      <c r="I165" s="60"/>
      <c r="J165" s="61">
        <f>M165/$O$17</f>
        <v>221561.25545454549</v>
      </c>
      <c r="K165" s="61">
        <f t="shared" ref="K165" si="17">SUM(D165:I165)</f>
        <v>221561.25545454549</v>
      </c>
      <c r="L165" s="60"/>
      <c r="M165" s="63">
        <f>500000+231152.143</f>
        <v>731152.14300000004</v>
      </c>
      <c r="N165" s="60">
        <f>J165</f>
        <v>221561.25545454549</v>
      </c>
      <c r="O165" s="60"/>
    </row>
    <row r="166" spans="2:15" s="69" customFormat="1" ht="21.75" customHeight="1" thickBot="1" x14ac:dyDescent="0.4">
      <c r="B166" s="233" t="s">
        <v>94</v>
      </c>
      <c r="C166" s="55" t="s">
        <v>87</v>
      </c>
      <c r="D166" s="55"/>
      <c r="E166" s="55"/>
      <c r="F166" s="55"/>
      <c r="G166" s="55">
        <v>1</v>
      </c>
      <c r="H166" s="55"/>
      <c r="I166" s="55"/>
      <c r="J166" s="57">
        <v>1</v>
      </c>
      <c r="K166" s="57">
        <v>1</v>
      </c>
      <c r="L166" s="55"/>
      <c r="M166" s="55"/>
      <c r="N166" s="55"/>
      <c r="O166" s="55"/>
    </row>
    <row r="167" spans="2:15" s="69" customFormat="1" ht="21.75" customHeight="1" thickBot="1" x14ac:dyDescent="0.4">
      <c r="B167" s="234"/>
      <c r="C167" s="55" t="s">
        <v>29</v>
      </c>
      <c r="D167" s="60"/>
      <c r="E167" s="71"/>
      <c r="F167" s="60"/>
      <c r="G167" s="117">
        <f>J167</f>
        <v>221561.25545454549</v>
      </c>
      <c r="H167" s="60"/>
      <c r="I167" s="60"/>
      <c r="J167" s="61">
        <f>M167/$O$17</f>
        <v>221561.25545454549</v>
      </c>
      <c r="K167" s="61">
        <f t="shared" ref="K167" si="18">SUM(D167:I167)</f>
        <v>221561.25545454549</v>
      </c>
      <c r="L167" s="60"/>
      <c r="M167" s="63">
        <f>500000+231152.143</f>
        <v>731152.14300000004</v>
      </c>
      <c r="N167" s="60">
        <f>J167</f>
        <v>221561.25545454549</v>
      </c>
      <c r="O167" s="60"/>
    </row>
    <row r="168" spans="2:15" s="69" customFormat="1" ht="21.75" customHeight="1" thickBot="1" x14ac:dyDescent="0.4">
      <c r="B168" s="233" t="s">
        <v>95</v>
      </c>
      <c r="C168" s="55" t="s">
        <v>87</v>
      </c>
      <c r="D168" s="55"/>
      <c r="E168" s="55"/>
      <c r="F168" s="55">
        <v>1</v>
      </c>
      <c r="G168" s="55"/>
      <c r="H168" s="55"/>
      <c r="I168" s="55"/>
      <c r="J168" s="57">
        <v>1</v>
      </c>
      <c r="K168" s="57">
        <v>1</v>
      </c>
      <c r="L168" s="55"/>
      <c r="M168" s="55"/>
      <c r="N168" s="55"/>
      <c r="O168" s="55"/>
    </row>
    <row r="169" spans="2:15" s="69" customFormat="1" ht="21.75" customHeight="1" thickBot="1" x14ac:dyDescent="0.4">
      <c r="B169" s="234"/>
      <c r="C169" s="55" t="s">
        <v>29</v>
      </c>
      <c r="D169" s="60"/>
      <c r="E169" s="71"/>
      <c r="F169" s="60">
        <f>J169</f>
        <v>221561.25545454549</v>
      </c>
      <c r="G169" s="60"/>
      <c r="H169" s="60"/>
      <c r="I169" s="60"/>
      <c r="J169" s="61">
        <f>M169/$O$17</f>
        <v>221561.25545454549</v>
      </c>
      <c r="K169" s="61">
        <f t="shared" ref="K169" si="19">SUM(D169:I169)</f>
        <v>221561.25545454549</v>
      </c>
      <c r="L169" s="60"/>
      <c r="M169" s="63">
        <f>500000+231152.143</f>
        <v>731152.14300000004</v>
      </c>
      <c r="N169" s="60">
        <f>J169</f>
        <v>221561.25545454549</v>
      </c>
      <c r="O169" s="60"/>
    </row>
    <row r="170" spans="2:15" s="69" customFormat="1" ht="21.75" customHeight="1" thickBot="1" x14ac:dyDescent="0.4">
      <c r="B170" s="233" t="s">
        <v>96</v>
      </c>
      <c r="C170" s="55" t="s">
        <v>87</v>
      </c>
      <c r="D170" s="55"/>
      <c r="E170" s="55"/>
      <c r="F170" s="55"/>
      <c r="G170" s="55"/>
      <c r="H170" s="55">
        <v>1</v>
      </c>
      <c r="I170" s="55"/>
      <c r="J170" s="57">
        <v>1</v>
      </c>
      <c r="K170" s="57">
        <v>1</v>
      </c>
      <c r="L170" s="55"/>
      <c r="M170" s="55"/>
      <c r="N170" s="55"/>
      <c r="O170" s="55"/>
    </row>
    <row r="171" spans="2:15" s="69" customFormat="1" ht="21.75" customHeight="1" thickBot="1" x14ac:dyDescent="0.4">
      <c r="B171" s="234"/>
      <c r="C171" s="55" t="s">
        <v>29</v>
      </c>
      <c r="D171" s="60"/>
      <c r="E171" s="71"/>
      <c r="F171" s="60"/>
      <c r="G171" s="60"/>
      <c r="H171" s="60">
        <f>J171</f>
        <v>221561.25545454549</v>
      </c>
      <c r="I171" s="60"/>
      <c r="J171" s="61">
        <f>M171/$O$17</f>
        <v>221561.25545454549</v>
      </c>
      <c r="K171" s="61">
        <f t="shared" ref="K171" si="20">SUM(D171:I171)</f>
        <v>221561.25545454549</v>
      </c>
      <c r="L171" s="60"/>
      <c r="M171" s="63">
        <f>500000+231152.143</f>
        <v>731152.14300000004</v>
      </c>
      <c r="N171" s="60">
        <f>J171</f>
        <v>221561.25545454549</v>
      </c>
      <c r="O171" s="60"/>
    </row>
    <row r="172" spans="2:15" s="69" customFormat="1" ht="21.75" customHeight="1" thickBot="1" x14ac:dyDescent="0.4">
      <c r="B172" s="233" t="s">
        <v>97</v>
      </c>
      <c r="C172" s="55" t="s">
        <v>87</v>
      </c>
      <c r="D172" s="55"/>
      <c r="E172" s="55"/>
      <c r="F172" s="55"/>
      <c r="G172" s="55"/>
      <c r="H172" s="77">
        <v>1</v>
      </c>
      <c r="I172" s="55"/>
      <c r="J172" s="57">
        <v>1</v>
      </c>
      <c r="K172" s="57">
        <v>1</v>
      </c>
      <c r="L172" s="55"/>
      <c r="M172" s="55"/>
      <c r="N172" s="55"/>
      <c r="O172" s="55"/>
    </row>
    <row r="173" spans="2:15" s="69" customFormat="1" ht="21.75" customHeight="1" thickBot="1" x14ac:dyDescent="0.4">
      <c r="B173" s="234"/>
      <c r="C173" s="55" t="s">
        <v>29</v>
      </c>
      <c r="D173" s="60"/>
      <c r="E173" s="71"/>
      <c r="F173" s="60"/>
      <c r="G173" s="60"/>
      <c r="H173" s="60">
        <f>J173</f>
        <v>221561.25545454549</v>
      </c>
      <c r="I173" s="60"/>
      <c r="J173" s="61">
        <f>M173/$O$17</f>
        <v>221561.25545454549</v>
      </c>
      <c r="K173" s="61">
        <f t="shared" ref="K173" si="21">SUM(D173:I173)</f>
        <v>221561.25545454549</v>
      </c>
      <c r="L173" s="60"/>
      <c r="M173" s="63">
        <f>500000+231152.143</f>
        <v>731152.14300000004</v>
      </c>
      <c r="N173" s="60">
        <f>J173</f>
        <v>221561.25545454549</v>
      </c>
      <c r="O173" s="60"/>
    </row>
    <row r="174" spans="2:15" s="69" customFormat="1" ht="21.75" customHeight="1" thickBot="1" x14ac:dyDescent="0.4">
      <c r="B174" s="233" t="s">
        <v>98</v>
      </c>
      <c r="C174" s="55" t="s">
        <v>87</v>
      </c>
      <c r="D174" s="55"/>
      <c r="E174" s="55"/>
      <c r="F174" s="55"/>
      <c r="G174" s="55">
        <v>1</v>
      </c>
      <c r="H174" s="55"/>
      <c r="I174" s="55"/>
      <c r="J174" s="57">
        <v>1</v>
      </c>
      <c r="K174" s="57">
        <v>1</v>
      </c>
      <c r="L174" s="55"/>
      <c r="M174" s="55"/>
      <c r="N174" s="55"/>
      <c r="O174" s="55"/>
    </row>
    <row r="175" spans="2:15" s="69" customFormat="1" ht="21.75" customHeight="1" thickBot="1" x14ac:dyDescent="0.4">
      <c r="B175" s="234"/>
      <c r="C175" s="55" t="s">
        <v>29</v>
      </c>
      <c r="D175" s="60"/>
      <c r="E175" s="71"/>
      <c r="F175" s="60"/>
      <c r="G175" s="117">
        <f>J175</f>
        <v>221561.25545454549</v>
      </c>
      <c r="H175" s="60"/>
      <c r="I175" s="60"/>
      <c r="J175" s="61">
        <f>M175/$O$17</f>
        <v>221561.25545454549</v>
      </c>
      <c r="K175" s="61">
        <f t="shared" ref="K175" si="22">SUM(D175:I175)</f>
        <v>221561.25545454549</v>
      </c>
      <c r="L175" s="60"/>
      <c r="M175" s="63">
        <f>500000+231152.143</f>
        <v>731152.14300000004</v>
      </c>
      <c r="N175" s="60">
        <f>J175</f>
        <v>221561.25545454549</v>
      </c>
      <c r="O175" s="60"/>
    </row>
    <row r="176" spans="2:15" s="69" customFormat="1" ht="21.75" customHeight="1" thickBot="1" x14ac:dyDescent="0.4">
      <c r="B176" s="233" t="s">
        <v>99</v>
      </c>
      <c r="C176" s="55" t="s">
        <v>87</v>
      </c>
      <c r="D176" s="55"/>
      <c r="E176" s="55"/>
      <c r="F176" s="55"/>
      <c r="G176" s="55"/>
      <c r="H176" s="55">
        <v>1</v>
      </c>
      <c r="I176" s="55"/>
      <c r="J176" s="57">
        <v>1</v>
      </c>
      <c r="K176" s="57">
        <v>1</v>
      </c>
      <c r="L176" s="55"/>
      <c r="M176" s="55"/>
      <c r="N176" s="55"/>
      <c r="O176" s="55"/>
    </row>
    <row r="177" spans="2:15" s="69" customFormat="1" ht="21.75" customHeight="1" thickBot="1" x14ac:dyDescent="0.4">
      <c r="B177" s="234"/>
      <c r="C177" s="55" t="s">
        <v>29</v>
      </c>
      <c r="D177" s="60"/>
      <c r="E177" s="71"/>
      <c r="F177" s="60"/>
      <c r="G177" s="60"/>
      <c r="H177" s="60">
        <f>J177</f>
        <v>221561.25545454549</v>
      </c>
      <c r="I177" s="60"/>
      <c r="J177" s="61">
        <f>M177/$O$17</f>
        <v>221561.25545454549</v>
      </c>
      <c r="K177" s="61">
        <f t="shared" ref="K177" si="23">SUM(D177:I177)</f>
        <v>221561.25545454549</v>
      </c>
      <c r="L177" s="60"/>
      <c r="M177" s="63">
        <f>500000+231152.143</f>
        <v>731152.14300000004</v>
      </c>
      <c r="N177" s="60">
        <f>J177</f>
        <v>221561.25545454549</v>
      </c>
      <c r="O177" s="60"/>
    </row>
    <row r="178" spans="2:15" s="69" customFormat="1" ht="21.75" customHeight="1" thickBot="1" x14ac:dyDescent="0.4">
      <c r="B178" s="233" t="s">
        <v>100</v>
      </c>
      <c r="C178" s="55" t="s">
        <v>87</v>
      </c>
      <c r="D178" s="55"/>
      <c r="E178" s="55"/>
      <c r="F178" s="55"/>
      <c r="G178" s="55">
        <v>1</v>
      </c>
      <c r="H178" s="55"/>
      <c r="I178" s="55"/>
      <c r="J178" s="57">
        <v>1</v>
      </c>
      <c r="K178" s="57">
        <v>1</v>
      </c>
      <c r="L178" s="55"/>
      <c r="M178" s="55"/>
      <c r="N178" s="55"/>
      <c r="O178" s="55"/>
    </row>
    <row r="179" spans="2:15" s="69" customFormat="1" ht="21.75" customHeight="1" thickBot="1" x14ac:dyDescent="0.4">
      <c r="B179" s="234"/>
      <c r="C179" s="55" t="s">
        <v>29</v>
      </c>
      <c r="D179" s="60"/>
      <c r="E179" s="71"/>
      <c r="F179" s="60"/>
      <c r="G179" s="60">
        <f>J179</f>
        <v>221561.25545454549</v>
      </c>
      <c r="H179" s="60"/>
      <c r="I179" s="60"/>
      <c r="J179" s="61">
        <f>M179/$O$17</f>
        <v>221561.25545454549</v>
      </c>
      <c r="K179" s="61">
        <f t="shared" ref="K179" si="24">SUM(D179:I179)</f>
        <v>221561.25545454549</v>
      </c>
      <c r="L179" s="60"/>
      <c r="M179" s="63">
        <f>500000+231152.143</f>
        <v>731152.14300000004</v>
      </c>
      <c r="N179" s="60">
        <f>J179</f>
        <v>221561.25545454549</v>
      </c>
      <c r="O179" s="60"/>
    </row>
    <row r="180" spans="2:15" s="69" customFormat="1" ht="21.75" customHeight="1" thickBot="1" x14ac:dyDescent="0.4">
      <c r="B180" s="233" t="s">
        <v>101</v>
      </c>
      <c r="C180" s="55" t="s">
        <v>87</v>
      </c>
      <c r="D180" s="55"/>
      <c r="E180" s="55"/>
      <c r="F180" s="55">
        <v>1</v>
      </c>
      <c r="G180" s="55"/>
      <c r="H180" s="55"/>
      <c r="I180" s="55"/>
      <c r="J180" s="57">
        <v>1</v>
      </c>
      <c r="K180" s="57">
        <v>1</v>
      </c>
      <c r="L180" s="55"/>
      <c r="M180" s="55"/>
      <c r="N180" s="55"/>
      <c r="O180" s="55"/>
    </row>
    <row r="181" spans="2:15" s="69" customFormat="1" ht="21.75" customHeight="1" thickBot="1" x14ac:dyDescent="0.4">
      <c r="B181" s="234"/>
      <c r="C181" s="55" t="s">
        <v>29</v>
      </c>
      <c r="D181" s="60"/>
      <c r="E181" s="71"/>
      <c r="F181" s="60">
        <f>J181</f>
        <v>221561.25545454549</v>
      </c>
      <c r="G181" s="60"/>
      <c r="H181" s="60"/>
      <c r="I181" s="60"/>
      <c r="J181" s="61">
        <f>M181/$O$17</f>
        <v>221561.25545454549</v>
      </c>
      <c r="K181" s="61">
        <f t="shared" ref="K181" si="25">SUM(D181:I181)</f>
        <v>221561.25545454549</v>
      </c>
      <c r="L181" s="60"/>
      <c r="M181" s="63">
        <f>500000+231152.143</f>
        <v>731152.14300000004</v>
      </c>
      <c r="N181" s="60">
        <f>J181</f>
        <v>221561.25545454549</v>
      </c>
      <c r="O181" s="60"/>
    </row>
    <row r="182" spans="2:15" s="69" customFormat="1" ht="27.75" customHeight="1" thickBot="1" x14ac:dyDescent="0.4">
      <c r="B182" s="214" t="s">
        <v>103</v>
      </c>
      <c r="C182" s="49" t="s">
        <v>87</v>
      </c>
      <c r="D182" s="49"/>
      <c r="E182" s="49"/>
      <c r="F182" s="49"/>
      <c r="G182" s="49"/>
      <c r="H182" s="49">
        <f t="shared" ref="H182:I182" si="26">SUMIF(H184:H201,"=1")</f>
        <v>4</v>
      </c>
      <c r="I182" s="49">
        <f t="shared" si="26"/>
        <v>5</v>
      </c>
      <c r="J182" s="50">
        <f>SUM(J184,J186,J188,J190,J192,J194,J196,J198,J200)</f>
        <v>9</v>
      </c>
      <c r="K182" s="49">
        <f t="shared" ref="K182:K185" si="27">SUM(D182:I182)</f>
        <v>9</v>
      </c>
      <c r="L182" s="51"/>
      <c r="M182" s="54"/>
      <c r="N182" s="49"/>
      <c r="O182" s="49"/>
    </row>
    <row r="183" spans="2:15" s="69" customFormat="1" ht="33.75" customHeight="1" thickBot="1" x14ac:dyDescent="0.4">
      <c r="B183" s="225"/>
      <c r="C183" s="49" t="s">
        <v>29</v>
      </c>
      <c r="D183" s="52"/>
      <c r="E183" s="52"/>
      <c r="F183" s="52"/>
      <c r="G183" s="52">
        <f t="shared" ref="G183:I183" si="28">SUMIF(G184:G201,"&gt;1")</f>
        <v>3023695.622895625</v>
      </c>
      <c r="H183" s="52">
        <f t="shared" si="28"/>
        <v>6803315.151515156</v>
      </c>
      <c r="I183" s="52">
        <f t="shared" si="28"/>
        <v>3779619.5286195311</v>
      </c>
      <c r="J183" s="52">
        <f>SUM(J185,J187,J189,J191,J193,J195,J197,J199,J201)</f>
        <v>13606630.303030312</v>
      </c>
      <c r="K183" s="52">
        <f t="shared" si="27"/>
        <v>13606630.303030312</v>
      </c>
      <c r="L183" s="53"/>
      <c r="M183" s="54">
        <f>SUM(M185:M201)</f>
        <v>44901880.00000003</v>
      </c>
      <c r="N183" s="52">
        <f>SUM(N185:N201)</f>
        <v>0</v>
      </c>
      <c r="O183" s="52">
        <f>13697539.39-90909.0869696885</f>
        <v>13606630.303030312</v>
      </c>
    </row>
    <row r="184" spans="2:15" s="69" customFormat="1" ht="21.75" customHeight="1" thickBot="1" x14ac:dyDescent="0.4">
      <c r="B184" s="226" t="s">
        <v>104</v>
      </c>
      <c r="C184" s="55" t="s">
        <v>87</v>
      </c>
      <c r="D184" s="55"/>
      <c r="E184" s="55"/>
      <c r="F184" s="55"/>
      <c r="G184" s="55"/>
      <c r="H184" s="71"/>
      <c r="I184" s="73">
        <v>1</v>
      </c>
      <c r="J184" s="56">
        <f>SUM(D184:I184)</f>
        <v>1</v>
      </c>
      <c r="K184" s="57">
        <f t="shared" si="27"/>
        <v>1</v>
      </c>
      <c r="L184" s="58"/>
      <c r="M184" s="59"/>
      <c r="N184" s="55"/>
      <c r="O184" s="55"/>
    </row>
    <row r="185" spans="2:15" s="69" customFormat="1" ht="21.75" customHeight="1" thickBot="1" x14ac:dyDescent="0.4">
      <c r="B185" s="227"/>
      <c r="C185" s="55" t="s">
        <v>29</v>
      </c>
      <c r="D185" s="60"/>
      <c r="E185" s="71"/>
      <c r="F185" s="60"/>
      <c r="G185" s="60"/>
      <c r="H185" s="71">
        <f>(M185/2)/$O$17</f>
        <v>755923.90572390624</v>
      </c>
      <c r="I185" s="71">
        <f>J185-H185</f>
        <v>755923.90572390624</v>
      </c>
      <c r="J185" s="61">
        <f>M185/$O$17</f>
        <v>1511847.8114478125</v>
      </c>
      <c r="K185" s="61">
        <f t="shared" si="27"/>
        <v>1511847.8114478125</v>
      </c>
      <c r="L185" s="62"/>
      <c r="M185" s="63">
        <f>O185*$O$17</f>
        <v>4989097.7777777808</v>
      </c>
      <c r="N185" s="60"/>
      <c r="O185" s="60">
        <f>$O$183/9</f>
        <v>1511847.8114478125</v>
      </c>
    </row>
    <row r="186" spans="2:15" s="69" customFormat="1" ht="21.75" customHeight="1" thickBot="1" x14ac:dyDescent="0.4">
      <c r="B186" s="233" t="s">
        <v>105</v>
      </c>
      <c r="C186" s="55" t="s">
        <v>87</v>
      </c>
      <c r="D186" s="55"/>
      <c r="E186" s="55"/>
      <c r="F186" s="55"/>
      <c r="G186" s="55"/>
      <c r="H186" s="55">
        <v>1</v>
      </c>
      <c r="I186" s="55"/>
      <c r="J186" s="57">
        <v>1</v>
      </c>
      <c r="K186" s="57">
        <v>1</v>
      </c>
      <c r="L186" s="55"/>
      <c r="M186" s="55"/>
      <c r="N186" s="55"/>
      <c r="O186" s="55"/>
    </row>
    <row r="187" spans="2:15" s="69" customFormat="1" ht="21.75" customHeight="1" thickBot="1" x14ac:dyDescent="0.4">
      <c r="B187" s="234"/>
      <c r="C187" s="55" t="s">
        <v>29</v>
      </c>
      <c r="D187" s="60"/>
      <c r="E187" s="71"/>
      <c r="F187" s="60"/>
      <c r="G187" s="60">
        <f>(M187/2)/$O$17</f>
        <v>755923.90572390624</v>
      </c>
      <c r="H187" s="71">
        <f>J187-G187</f>
        <v>755923.90572390624</v>
      </c>
      <c r="I187" s="71"/>
      <c r="J187" s="61">
        <f>M187/$O$17</f>
        <v>1511847.8114478125</v>
      </c>
      <c r="K187" s="61">
        <f t="shared" ref="K187" si="29">SUM(D187:I187)</f>
        <v>1511847.8114478125</v>
      </c>
      <c r="L187" s="60"/>
      <c r="M187" s="63">
        <f>O187*$O$17</f>
        <v>4989097.7777777808</v>
      </c>
      <c r="N187" s="60"/>
      <c r="O187" s="60">
        <f>$O$183/9</f>
        <v>1511847.8114478125</v>
      </c>
    </row>
    <row r="188" spans="2:15" s="69" customFormat="1" ht="21.75" customHeight="1" thickBot="1" x14ac:dyDescent="0.4">
      <c r="B188" s="233" t="s">
        <v>106</v>
      </c>
      <c r="C188" s="55" t="s">
        <v>87</v>
      </c>
      <c r="D188" s="55"/>
      <c r="E188" s="55"/>
      <c r="F188" s="55"/>
      <c r="G188" s="55"/>
      <c r="H188" s="55">
        <v>1</v>
      </c>
      <c r="I188" s="55"/>
      <c r="J188" s="57">
        <v>1</v>
      </c>
      <c r="K188" s="57">
        <v>1</v>
      </c>
      <c r="L188" s="55"/>
      <c r="M188" s="55"/>
      <c r="N188" s="55"/>
      <c r="O188" s="55"/>
    </row>
    <row r="189" spans="2:15" s="69" customFormat="1" ht="21.75" customHeight="1" thickBot="1" x14ac:dyDescent="0.4">
      <c r="B189" s="234"/>
      <c r="C189" s="55" t="s">
        <v>29</v>
      </c>
      <c r="D189" s="60"/>
      <c r="E189" s="71"/>
      <c r="F189" s="60"/>
      <c r="G189" s="60">
        <f>(M187/2)/$O$17</f>
        <v>755923.90572390624</v>
      </c>
      <c r="H189" s="71">
        <f>(M189/2)/$O$17</f>
        <v>755923.90572390624</v>
      </c>
      <c r="I189" s="71"/>
      <c r="J189" s="61">
        <f>M189/$O$17</f>
        <v>1511847.8114478125</v>
      </c>
      <c r="K189" s="61">
        <f t="shared" ref="K189" si="30">SUM(D189:I189)</f>
        <v>1511847.8114478125</v>
      </c>
      <c r="L189" s="60"/>
      <c r="M189" s="63">
        <f>O189*$O$17</f>
        <v>4989097.7777777808</v>
      </c>
      <c r="N189" s="60"/>
      <c r="O189" s="60">
        <f>$O$183/9</f>
        <v>1511847.8114478125</v>
      </c>
    </row>
    <row r="190" spans="2:15" s="69" customFormat="1" ht="21.75" customHeight="1" thickBot="1" x14ac:dyDescent="0.4">
      <c r="B190" s="233" t="s">
        <v>107</v>
      </c>
      <c r="C190" s="55" t="s">
        <v>87</v>
      </c>
      <c r="D190" s="55"/>
      <c r="E190" s="55"/>
      <c r="F190" s="55"/>
      <c r="G190" s="55"/>
      <c r="H190" s="55"/>
      <c r="I190" s="55">
        <v>1</v>
      </c>
      <c r="J190" s="57">
        <v>1</v>
      </c>
      <c r="K190" s="57">
        <v>1</v>
      </c>
      <c r="L190" s="55"/>
      <c r="M190" s="55"/>
      <c r="N190" s="55"/>
      <c r="O190" s="55"/>
    </row>
    <row r="191" spans="2:15" s="69" customFormat="1" ht="21.75" customHeight="1" thickBot="1" x14ac:dyDescent="0.4">
      <c r="B191" s="234"/>
      <c r="C191" s="55" t="s">
        <v>29</v>
      </c>
      <c r="D191" s="60"/>
      <c r="E191" s="71"/>
      <c r="F191" s="60"/>
      <c r="G191" s="60"/>
      <c r="H191" s="71">
        <f>(M191/2)/$O$17</f>
        <v>755923.90572390624</v>
      </c>
      <c r="I191" s="71">
        <f>J191-H191</f>
        <v>755923.90572390624</v>
      </c>
      <c r="J191" s="61">
        <f>M191/$O$17</f>
        <v>1511847.8114478125</v>
      </c>
      <c r="K191" s="61">
        <f t="shared" ref="K191" si="31">SUM(D191:I191)</f>
        <v>1511847.8114478125</v>
      </c>
      <c r="L191" s="60"/>
      <c r="M191" s="63">
        <f>O191*$O$17</f>
        <v>4989097.7777777808</v>
      </c>
      <c r="N191" s="60"/>
      <c r="O191" s="60">
        <f>$O$183/9</f>
        <v>1511847.8114478125</v>
      </c>
    </row>
    <row r="192" spans="2:15" s="69" customFormat="1" ht="21.75" customHeight="1" thickBot="1" x14ac:dyDescent="0.4">
      <c r="B192" s="233" t="s">
        <v>108</v>
      </c>
      <c r="C192" s="55" t="s">
        <v>87</v>
      </c>
      <c r="D192" s="55"/>
      <c r="E192" s="55"/>
      <c r="F192" s="55"/>
      <c r="G192" s="55"/>
      <c r="H192" s="55"/>
      <c r="I192" s="55">
        <v>1</v>
      </c>
      <c r="J192" s="57">
        <v>1</v>
      </c>
      <c r="K192" s="57">
        <v>1</v>
      </c>
      <c r="L192" s="55"/>
      <c r="M192" s="55"/>
      <c r="N192" s="55"/>
      <c r="O192" s="55"/>
    </row>
    <row r="193" spans="2:15" s="69" customFormat="1" ht="21.75" customHeight="1" thickBot="1" x14ac:dyDescent="0.4">
      <c r="B193" s="234"/>
      <c r="C193" s="55" t="s">
        <v>29</v>
      </c>
      <c r="D193" s="60"/>
      <c r="E193" s="71"/>
      <c r="F193" s="60"/>
      <c r="G193" s="60"/>
      <c r="H193" s="71">
        <f>(M193/2)/$O$17</f>
        <v>755923.90572390624</v>
      </c>
      <c r="I193" s="71">
        <f>J193-H193</f>
        <v>755923.90572390624</v>
      </c>
      <c r="J193" s="61">
        <f>M193/$O$17</f>
        <v>1511847.8114478125</v>
      </c>
      <c r="K193" s="61">
        <f t="shared" ref="K193" si="32">SUM(D193:I193)</f>
        <v>1511847.8114478125</v>
      </c>
      <c r="L193" s="60"/>
      <c r="M193" s="63">
        <f>O193*$O$17</f>
        <v>4989097.7777777808</v>
      </c>
      <c r="N193" s="60"/>
      <c r="O193" s="60">
        <f>$O$183/9</f>
        <v>1511847.8114478125</v>
      </c>
    </row>
    <row r="194" spans="2:15" s="69" customFormat="1" ht="21.75" customHeight="1" thickBot="1" x14ac:dyDescent="0.4">
      <c r="B194" s="233" t="s">
        <v>109</v>
      </c>
      <c r="C194" s="55" t="s">
        <v>87</v>
      </c>
      <c r="D194" s="55"/>
      <c r="E194" s="55"/>
      <c r="F194" s="55"/>
      <c r="G194" s="55"/>
      <c r="H194" s="55"/>
      <c r="I194" s="55">
        <v>1</v>
      </c>
      <c r="J194" s="57">
        <v>1</v>
      </c>
      <c r="K194" s="55"/>
      <c r="L194" s="55"/>
      <c r="M194" s="55"/>
      <c r="N194" s="55"/>
      <c r="O194" s="55"/>
    </row>
    <row r="195" spans="2:15" s="69" customFormat="1" ht="21.75" customHeight="1" thickBot="1" x14ac:dyDescent="0.4">
      <c r="B195" s="234"/>
      <c r="C195" s="55" t="s">
        <v>29</v>
      </c>
      <c r="D195" s="60"/>
      <c r="E195" s="71"/>
      <c r="F195" s="60"/>
      <c r="G195" s="60"/>
      <c r="H195" s="71">
        <f>(M195/2)/$O$17</f>
        <v>755923.90572390624</v>
      </c>
      <c r="I195" s="71">
        <f>J195-H195</f>
        <v>755923.90572390624</v>
      </c>
      <c r="J195" s="61">
        <f>M195/$O$17</f>
        <v>1511847.8114478125</v>
      </c>
      <c r="K195" s="61">
        <f t="shared" ref="K195" si="33">SUM(D195:I195)</f>
        <v>1511847.8114478125</v>
      </c>
      <c r="L195" s="60"/>
      <c r="M195" s="63">
        <f>O195*$O$17</f>
        <v>4989097.7777777808</v>
      </c>
      <c r="N195" s="60"/>
      <c r="O195" s="60">
        <f>$O$183/9</f>
        <v>1511847.8114478125</v>
      </c>
    </row>
    <row r="196" spans="2:15" s="69" customFormat="1" ht="21.75" customHeight="1" thickBot="1" x14ac:dyDescent="0.4">
      <c r="B196" s="233" t="s">
        <v>110</v>
      </c>
      <c r="C196" s="55" t="s">
        <v>87</v>
      </c>
      <c r="D196" s="55"/>
      <c r="E196" s="55"/>
      <c r="F196" s="55"/>
      <c r="G196" s="55"/>
      <c r="H196" s="55">
        <v>1</v>
      </c>
      <c r="I196" s="55"/>
      <c r="J196" s="57">
        <v>1</v>
      </c>
      <c r="K196" s="55"/>
      <c r="L196" s="55"/>
      <c r="M196" s="55"/>
      <c r="N196" s="55"/>
      <c r="O196" s="55"/>
    </row>
    <row r="197" spans="2:15" s="69" customFormat="1" ht="21.75" customHeight="1" thickBot="1" x14ac:dyDescent="0.4">
      <c r="B197" s="234"/>
      <c r="C197" s="55" t="s">
        <v>29</v>
      </c>
      <c r="D197" s="60"/>
      <c r="E197" s="71"/>
      <c r="F197" s="60"/>
      <c r="G197" s="60">
        <f>(M195/2)/$O$17</f>
        <v>755923.90572390624</v>
      </c>
      <c r="H197" s="71">
        <f>(M197/2)/$O$17</f>
        <v>755923.90572390624</v>
      </c>
      <c r="I197" s="71"/>
      <c r="J197" s="61">
        <f>M197/$O$17</f>
        <v>1511847.8114478125</v>
      </c>
      <c r="K197" s="61">
        <f t="shared" ref="K197" si="34">SUM(D197:I197)</f>
        <v>1511847.8114478125</v>
      </c>
      <c r="L197" s="60"/>
      <c r="M197" s="63">
        <f>O197*$O$17</f>
        <v>4989097.7777777808</v>
      </c>
      <c r="N197" s="60"/>
      <c r="O197" s="60">
        <f>$O$183/9</f>
        <v>1511847.8114478125</v>
      </c>
    </row>
    <row r="198" spans="2:15" s="69" customFormat="1" ht="21.75" customHeight="1" thickBot="1" x14ac:dyDescent="0.4">
      <c r="B198" s="233" t="s">
        <v>111</v>
      </c>
      <c r="C198" s="55" t="s">
        <v>87</v>
      </c>
      <c r="D198" s="55"/>
      <c r="E198" s="55"/>
      <c r="F198" s="55"/>
      <c r="G198" s="55"/>
      <c r="H198" s="55"/>
      <c r="I198" s="55">
        <v>1</v>
      </c>
      <c r="J198" s="57">
        <v>1</v>
      </c>
      <c r="K198" s="55"/>
      <c r="L198" s="55"/>
      <c r="M198" s="55"/>
      <c r="N198" s="55"/>
      <c r="O198" s="55"/>
    </row>
    <row r="199" spans="2:15" s="69" customFormat="1" ht="21.75" customHeight="1" thickBot="1" x14ac:dyDescent="0.4">
      <c r="B199" s="234"/>
      <c r="C199" s="55" t="s">
        <v>29</v>
      </c>
      <c r="D199" s="60"/>
      <c r="E199" s="71"/>
      <c r="F199" s="60"/>
      <c r="G199" s="60"/>
      <c r="H199" s="71">
        <f>(M199/2)/$O$17</f>
        <v>755923.90572390624</v>
      </c>
      <c r="I199" s="71">
        <f>J199-H199</f>
        <v>755923.90572390624</v>
      </c>
      <c r="J199" s="61">
        <f>M199/$O$17</f>
        <v>1511847.8114478125</v>
      </c>
      <c r="K199" s="61">
        <f t="shared" ref="K199" si="35">SUM(D199:I199)</f>
        <v>1511847.8114478125</v>
      </c>
      <c r="L199" s="60"/>
      <c r="M199" s="63">
        <f>O199*$O$17</f>
        <v>4989097.7777777808</v>
      </c>
      <c r="N199" s="60"/>
      <c r="O199" s="60">
        <f>$O$183/9</f>
        <v>1511847.8114478125</v>
      </c>
    </row>
    <row r="200" spans="2:15" s="69" customFormat="1" ht="21.75" customHeight="1" thickBot="1" x14ac:dyDescent="0.4">
      <c r="B200" s="233" t="s">
        <v>112</v>
      </c>
      <c r="C200" s="55" t="s">
        <v>87</v>
      </c>
      <c r="D200" s="55"/>
      <c r="E200" s="55"/>
      <c r="F200" s="55"/>
      <c r="G200" s="55"/>
      <c r="H200" s="55">
        <v>1</v>
      </c>
      <c r="I200" s="55"/>
      <c r="J200" s="57">
        <v>1</v>
      </c>
      <c r="K200" s="55"/>
      <c r="L200" s="55"/>
      <c r="M200" s="55"/>
      <c r="N200" s="55"/>
      <c r="O200" s="55"/>
    </row>
    <row r="201" spans="2:15" s="69" customFormat="1" ht="21.75" customHeight="1" thickBot="1" x14ac:dyDescent="0.4">
      <c r="B201" s="234"/>
      <c r="C201" s="55" t="s">
        <v>29</v>
      </c>
      <c r="D201" s="60"/>
      <c r="E201" s="71"/>
      <c r="F201" s="60"/>
      <c r="G201" s="60">
        <f>(M199/2)/$O$17</f>
        <v>755923.90572390624</v>
      </c>
      <c r="H201" s="71">
        <f>(M201/2)/$O$17</f>
        <v>755923.90572390624</v>
      </c>
      <c r="I201" s="71"/>
      <c r="J201" s="61">
        <f>M201/$O$17</f>
        <v>1511847.8114478125</v>
      </c>
      <c r="K201" s="61">
        <f t="shared" ref="K201" si="36">SUM(D201:I201)</f>
        <v>1511847.8114478125</v>
      </c>
      <c r="L201" s="60"/>
      <c r="M201" s="63">
        <f>O201*$O$17</f>
        <v>4989097.7777777808</v>
      </c>
      <c r="N201" s="60"/>
      <c r="O201" s="60">
        <f>$O$183/9</f>
        <v>1511847.8114478125</v>
      </c>
    </row>
    <row r="202" spans="2:15" s="69" customFormat="1" ht="21.75" customHeight="1" thickBot="1" x14ac:dyDescent="0.4">
      <c r="B202" s="214" t="s">
        <v>113</v>
      </c>
      <c r="C202" s="49" t="s">
        <v>87</v>
      </c>
      <c r="D202" s="49">
        <f>SUMIF(D204:D215,"=1")</f>
        <v>0</v>
      </c>
      <c r="E202" s="49">
        <f t="shared" ref="E202:I202" si="37">SUMIF(E204:E215,"=1")</f>
        <v>0</v>
      </c>
      <c r="F202" s="49">
        <f t="shared" si="37"/>
        <v>4</v>
      </c>
      <c r="G202" s="49">
        <f t="shared" si="37"/>
        <v>0</v>
      </c>
      <c r="H202" s="49">
        <f t="shared" si="37"/>
        <v>0</v>
      </c>
      <c r="I202" s="49">
        <f t="shared" si="37"/>
        <v>2</v>
      </c>
      <c r="J202" s="49">
        <f>SUMIF(J204:J215,"=1")</f>
        <v>6</v>
      </c>
      <c r="K202" s="49">
        <f>SUM(D202:I202)</f>
        <v>6</v>
      </c>
      <c r="L202" s="51"/>
      <c r="M202" s="54"/>
      <c r="N202" s="49"/>
      <c r="O202" s="49"/>
    </row>
    <row r="203" spans="2:15" s="69" customFormat="1" ht="21.75" customHeight="1" thickBot="1" x14ac:dyDescent="0.4">
      <c r="B203" s="225"/>
      <c r="C203" s="49" t="s">
        <v>29</v>
      </c>
      <c r="D203" s="52">
        <f t="shared" ref="D203:K203" si="38">SUMIF(D204:D215,"&gt;1")</f>
        <v>0</v>
      </c>
      <c r="E203" s="52">
        <f t="shared" si="38"/>
        <v>0</v>
      </c>
      <c r="F203" s="52">
        <f t="shared" si="38"/>
        <v>363636.36363636365</v>
      </c>
      <c r="G203" s="52">
        <f t="shared" si="38"/>
        <v>0</v>
      </c>
      <c r="H203" s="52">
        <f t="shared" si="38"/>
        <v>0</v>
      </c>
      <c r="I203" s="52">
        <f t="shared" si="38"/>
        <v>181818.18181818182</v>
      </c>
      <c r="J203" s="52">
        <f t="shared" si="38"/>
        <v>545454.54545454553</v>
      </c>
      <c r="K203" s="52">
        <f t="shared" si="38"/>
        <v>545454.54545454553</v>
      </c>
      <c r="L203" s="97"/>
      <c r="M203" s="52">
        <f>SUMIF(M204:M215,"&gt;1")</f>
        <v>1800000</v>
      </c>
      <c r="N203" s="52">
        <f>SUMIF(N204:N215,"&gt;1")</f>
        <v>545454.54545454553</v>
      </c>
      <c r="O203" s="52">
        <f>SUM(O205:O215)</f>
        <v>0</v>
      </c>
    </row>
    <row r="204" spans="2:15" s="69" customFormat="1" ht="21.75" customHeight="1" thickBot="1" x14ac:dyDescent="0.4">
      <c r="B204" s="235" t="s">
        <v>39</v>
      </c>
      <c r="C204" s="55" t="s">
        <v>28</v>
      </c>
      <c r="D204" s="71"/>
      <c r="E204" s="71"/>
      <c r="F204" s="73">
        <v>1</v>
      </c>
      <c r="G204" s="71"/>
      <c r="H204" s="71"/>
      <c r="I204" s="71"/>
      <c r="J204" s="98">
        <v>1</v>
      </c>
      <c r="K204" s="98">
        <f>SUM(D204:I204)</f>
        <v>1</v>
      </c>
      <c r="L204" s="71"/>
      <c r="M204" s="72"/>
      <c r="N204" s="71"/>
      <c r="O204" s="71"/>
    </row>
    <row r="205" spans="2:15" s="69" customFormat="1" ht="21.75" customHeight="1" thickBot="1" x14ac:dyDescent="0.4">
      <c r="B205" s="236"/>
      <c r="C205" s="55" t="s">
        <v>29</v>
      </c>
      <c r="D205" s="71"/>
      <c r="E205" s="71"/>
      <c r="F205" s="71">
        <f>J205</f>
        <v>90909.090909090912</v>
      </c>
      <c r="G205" s="71"/>
      <c r="H205" s="71"/>
      <c r="I205" s="71"/>
      <c r="J205" s="61">
        <f>M205/$O$17</f>
        <v>90909.090909090912</v>
      </c>
      <c r="K205" s="61">
        <f t="shared" ref="K205" si="39">SUM(D205:I205)</f>
        <v>90909.090909090912</v>
      </c>
      <c r="L205" s="71"/>
      <c r="M205" s="72">
        <v>300000</v>
      </c>
      <c r="N205" s="60">
        <f>J205</f>
        <v>90909.090909090912</v>
      </c>
      <c r="O205" s="71"/>
    </row>
    <row r="206" spans="2:15" s="69" customFormat="1" ht="21.75" customHeight="1" thickBot="1" x14ac:dyDescent="0.4">
      <c r="B206" s="235" t="s">
        <v>114</v>
      </c>
      <c r="C206" s="55" t="s">
        <v>28</v>
      </c>
      <c r="D206" s="71"/>
      <c r="E206" s="71"/>
      <c r="F206" s="73">
        <v>1</v>
      </c>
      <c r="G206" s="71"/>
      <c r="H206" s="71"/>
      <c r="I206" s="71"/>
      <c r="J206" s="98">
        <v>1</v>
      </c>
      <c r="K206" s="98">
        <f>SUM(D206:I206)</f>
        <v>1</v>
      </c>
      <c r="L206" s="71"/>
      <c r="M206" s="72"/>
      <c r="N206" s="71"/>
      <c r="O206" s="71"/>
    </row>
    <row r="207" spans="2:15" s="69" customFormat="1" ht="21.75" customHeight="1" thickBot="1" x14ac:dyDescent="0.4">
      <c r="B207" s="236"/>
      <c r="C207" s="55" t="s">
        <v>29</v>
      </c>
      <c r="D207" s="71"/>
      <c r="E207" s="71"/>
      <c r="F207" s="71">
        <f>J207</f>
        <v>90909.090909090912</v>
      </c>
      <c r="G207" s="71"/>
      <c r="H207" s="71"/>
      <c r="I207" s="71"/>
      <c r="J207" s="61">
        <f>M207/$O$17</f>
        <v>90909.090909090912</v>
      </c>
      <c r="K207" s="61">
        <f t="shared" ref="K207" si="40">SUM(D207:I207)</f>
        <v>90909.090909090912</v>
      </c>
      <c r="L207" s="71"/>
      <c r="M207" s="72">
        <v>300000</v>
      </c>
      <c r="N207" s="60">
        <f>J207</f>
        <v>90909.090909090912</v>
      </c>
      <c r="O207" s="71"/>
    </row>
    <row r="208" spans="2:15" s="69" customFormat="1" ht="21.75" customHeight="1" thickBot="1" x14ac:dyDescent="0.4">
      <c r="B208" s="235" t="s">
        <v>115</v>
      </c>
      <c r="C208" s="55" t="s">
        <v>28</v>
      </c>
      <c r="D208" s="71"/>
      <c r="E208" s="71"/>
      <c r="F208" s="71"/>
      <c r="G208" s="71"/>
      <c r="H208" s="71"/>
      <c r="I208" s="73">
        <v>1</v>
      </c>
      <c r="J208" s="98">
        <v>1</v>
      </c>
      <c r="K208" s="98">
        <f>SUM(D208:I208)</f>
        <v>1</v>
      </c>
      <c r="L208" s="71"/>
      <c r="M208" s="72"/>
      <c r="N208" s="71"/>
      <c r="O208" s="71"/>
    </row>
    <row r="209" spans="2:16" s="69" customFormat="1" ht="21.75" customHeight="1" thickBot="1" x14ac:dyDescent="0.4">
      <c r="B209" s="236"/>
      <c r="C209" s="55" t="s">
        <v>29</v>
      </c>
      <c r="D209" s="71"/>
      <c r="E209" s="71"/>
      <c r="F209" s="71"/>
      <c r="G209" s="71"/>
      <c r="H209" s="71"/>
      <c r="I209" s="71">
        <f>J209</f>
        <v>90909.090909090912</v>
      </c>
      <c r="J209" s="61">
        <f>M209/$O$17</f>
        <v>90909.090909090912</v>
      </c>
      <c r="K209" s="61">
        <f t="shared" ref="K209" si="41">SUM(D209:I209)</f>
        <v>90909.090909090912</v>
      </c>
      <c r="L209" s="71"/>
      <c r="M209" s="72">
        <v>300000</v>
      </c>
      <c r="N209" s="60">
        <f>J209</f>
        <v>90909.090909090912</v>
      </c>
      <c r="O209" s="71"/>
    </row>
    <row r="210" spans="2:16" s="69" customFormat="1" ht="21.75" customHeight="1" thickBot="1" x14ac:dyDescent="0.4">
      <c r="B210" s="235" t="s">
        <v>85</v>
      </c>
      <c r="C210" s="55" t="s">
        <v>28</v>
      </c>
      <c r="D210" s="71"/>
      <c r="E210" s="71"/>
      <c r="F210" s="95"/>
      <c r="G210" s="71"/>
      <c r="H210" s="71"/>
      <c r="I210" s="73">
        <v>1</v>
      </c>
      <c r="J210" s="98">
        <v>1</v>
      </c>
      <c r="K210" s="98">
        <f>SUM(D210:I210)</f>
        <v>1</v>
      </c>
      <c r="L210" s="71"/>
      <c r="M210" s="72"/>
      <c r="N210" s="71"/>
      <c r="O210" s="71"/>
    </row>
    <row r="211" spans="2:16" s="69" customFormat="1" ht="21.75" customHeight="1" thickBot="1" x14ac:dyDescent="0.4">
      <c r="B211" s="236"/>
      <c r="C211" s="55" t="s">
        <v>29</v>
      </c>
      <c r="D211" s="71"/>
      <c r="E211" s="71"/>
      <c r="F211" s="71"/>
      <c r="G211" s="71"/>
      <c r="H211" s="71"/>
      <c r="I211" s="71">
        <f>J211</f>
        <v>90909.090909090912</v>
      </c>
      <c r="J211" s="61">
        <f>M211/$O$17</f>
        <v>90909.090909090912</v>
      </c>
      <c r="K211" s="61">
        <f t="shared" ref="K211" si="42">SUM(D211:I211)</f>
        <v>90909.090909090912</v>
      </c>
      <c r="L211" s="71"/>
      <c r="M211" s="72">
        <v>300000</v>
      </c>
      <c r="N211" s="60">
        <f>J211</f>
        <v>90909.090909090912</v>
      </c>
      <c r="O211" s="71"/>
    </row>
    <row r="212" spans="2:16" s="69" customFormat="1" ht="21.75" customHeight="1" thickBot="1" x14ac:dyDescent="0.4">
      <c r="B212" s="235" t="s">
        <v>31</v>
      </c>
      <c r="C212" s="55" t="s">
        <v>28</v>
      </c>
      <c r="D212" s="71"/>
      <c r="E212" s="71"/>
      <c r="F212" s="96">
        <v>1</v>
      </c>
      <c r="G212" s="71"/>
      <c r="H212" s="71"/>
      <c r="I212" s="71"/>
      <c r="J212" s="98">
        <v>1</v>
      </c>
      <c r="K212" s="98">
        <f>SUM(D212:I212)</f>
        <v>1</v>
      </c>
      <c r="L212" s="71"/>
      <c r="M212" s="72"/>
      <c r="N212" s="71"/>
      <c r="O212" s="71"/>
    </row>
    <row r="213" spans="2:16" s="69" customFormat="1" ht="21.75" customHeight="1" thickBot="1" x14ac:dyDescent="0.4">
      <c r="B213" s="236"/>
      <c r="C213" s="55" t="s">
        <v>29</v>
      </c>
      <c r="D213" s="71"/>
      <c r="E213" s="71"/>
      <c r="F213" s="71">
        <f>J213</f>
        <v>90909.090909090912</v>
      </c>
      <c r="G213" s="71"/>
      <c r="H213" s="71"/>
      <c r="I213" s="71"/>
      <c r="J213" s="61">
        <f>M213/$O$17</f>
        <v>90909.090909090912</v>
      </c>
      <c r="K213" s="61">
        <f t="shared" ref="K213" si="43">SUM(D213:I213)</f>
        <v>90909.090909090912</v>
      </c>
      <c r="L213" s="71"/>
      <c r="M213" s="72">
        <v>300000</v>
      </c>
      <c r="N213" s="60">
        <f>J213</f>
        <v>90909.090909090912</v>
      </c>
      <c r="O213" s="71"/>
    </row>
    <row r="214" spans="2:16" s="69" customFormat="1" ht="21.75" customHeight="1" thickBot="1" x14ac:dyDescent="0.4">
      <c r="B214" s="235" t="s">
        <v>42</v>
      </c>
      <c r="C214" s="55" t="s">
        <v>28</v>
      </c>
      <c r="D214" s="71"/>
      <c r="E214" s="71"/>
      <c r="F214" s="73">
        <v>1</v>
      </c>
      <c r="G214" s="71"/>
      <c r="H214" s="71"/>
      <c r="I214" s="71"/>
      <c r="J214" s="98">
        <v>1</v>
      </c>
      <c r="K214" s="98">
        <f>SUM(D214:I214)</f>
        <v>1</v>
      </c>
      <c r="L214" s="71"/>
      <c r="M214" s="72"/>
      <c r="N214" s="71"/>
      <c r="O214" s="71"/>
    </row>
    <row r="215" spans="2:16" s="69" customFormat="1" ht="21.75" customHeight="1" thickBot="1" x14ac:dyDescent="0.4">
      <c r="B215" s="236"/>
      <c r="C215" s="55" t="s">
        <v>29</v>
      </c>
      <c r="D215" s="71"/>
      <c r="E215" s="71"/>
      <c r="F215" s="71">
        <f>J215</f>
        <v>90909.090909090912</v>
      </c>
      <c r="G215" s="71"/>
      <c r="H215" s="71"/>
      <c r="I215" s="71"/>
      <c r="J215" s="61">
        <f>M215/$O$17</f>
        <v>90909.090909090912</v>
      </c>
      <c r="K215" s="61">
        <f t="shared" ref="K215" si="44">SUM(D215:I215)</f>
        <v>90909.090909090912</v>
      </c>
      <c r="L215" s="71"/>
      <c r="M215" s="72">
        <v>300000</v>
      </c>
      <c r="N215" s="60">
        <f>J215</f>
        <v>90909.090909090912</v>
      </c>
      <c r="O215" s="71"/>
    </row>
    <row r="216" spans="2:16" s="69" customFormat="1" ht="21.75" customHeight="1" thickBot="1" x14ac:dyDescent="0.4">
      <c r="B216" s="214" t="s">
        <v>116</v>
      </c>
      <c r="C216" s="49" t="s">
        <v>87</v>
      </c>
      <c r="D216" s="49">
        <f>SUMIF(D218:D229,"=1")</f>
        <v>0</v>
      </c>
      <c r="E216" s="49">
        <f t="shared" ref="E216:I216" si="45">SUMIF(E218:E229,"=1")</f>
        <v>1</v>
      </c>
      <c r="F216" s="49">
        <f t="shared" si="45"/>
        <v>0</v>
      </c>
      <c r="G216" s="49">
        <f t="shared" si="45"/>
        <v>4</v>
      </c>
      <c r="H216" s="49">
        <f t="shared" si="45"/>
        <v>0</v>
      </c>
      <c r="I216" s="49">
        <f t="shared" si="45"/>
        <v>0</v>
      </c>
      <c r="J216" s="50">
        <f>SUMIF(J218:J229,"=1")</f>
        <v>6</v>
      </c>
      <c r="K216" s="49">
        <f>SUM(D216:I216)</f>
        <v>5</v>
      </c>
      <c r="L216" s="51"/>
      <c r="M216" s="54"/>
      <c r="N216" s="49"/>
      <c r="O216" s="49"/>
    </row>
    <row r="217" spans="2:16" s="69" customFormat="1" ht="21.75" customHeight="1" thickBot="1" x14ac:dyDescent="0.4">
      <c r="B217" s="225"/>
      <c r="C217" s="49" t="s">
        <v>29</v>
      </c>
      <c r="D217" s="52">
        <f t="shared" ref="D217:K217" si="46">SUMIF(D218:D229,"&gt;1")</f>
        <v>0</v>
      </c>
      <c r="E217" s="52">
        <f t="shared" si="46"/>
        <v>181818.18181818182</v>
      </c>
      <c r="F217" s="52">
        <f t="shared" si="46"/>
        <v>0</v>
      </c>
      <c r="G217" s="52">
        <f t="shared" si="46"/>
        <v>363636.36363636365</v>
      </c>
      <c r="H217" s="52">
        <f t="shared" si="46"/>
        <v>0</v>
      </c>
      <c r="I217" s="52">
        <f t="shared" si="46"/>
        <v>0</v>
      </c>
      <c r="J217" s="52">
        <f t="shared" si="46"/>
        <v>545454.54545454553</v>
      </c>
      <c r="K217" s="52">
        <f t="shared" si="46"/>
        <v>545454.54545454553</v>
      </c>
      <c r="L217" s="97"/>
      <c r="M217" s="52">
        <f>SUMIF(M218:M229,"&gt;1")</f>
        <v>1800000</v>
      </c>
      <c r="N217" s="52">
        <f>SUMIF(N218:N229,"&gt;1")</f>
        <v>545454.54545454553</v>
      </c>
      <c r="O217" s="52">
        <f>SUM(O219:O229)</f>
        <v>0</v>
      </c>
      <c r="P217" s="194"/>
    </row>
    <row r="218" spans="2:16" s="69" customFormat="1" ht="21.75" customHeight="1" thickBot="1" x14ac:dyDescent="0.4">
      <c r="B218" s="226" t="s">
        <v>51</v>
      </c>
      <c r="C218" s="55" t="s">
        <v>50</v>
      </c>
      <c r="D218" s="71"/>
      <c r="E218" s="71"/>
      <c r="F218" s="73"/>
      <c r="G218" s="73">
        <v>1</v>
      </c>
      <c r="H218" s="71"/>
      <c r="I218" s="71"/>
      <c r="J218" s="98">
        <v>1</v>
      </c>
      <c r="K218" s="98">
        <f>SUM(D218:I218)</f>
        <v>1</v>
      </c>
      <c r="L218" s="71"/>
      <c r="M218" s="72"/>
      <c r="N218" s="71"/>
      <c r="O218" s="71"/>
    </row>
    <row r="219" spans="2:16" s="69" customFormat="1" ht="21.75" customHeight="1" thickBot="1" x14ac:dyDescent="0.4">
      <c r="B219" s="227"/>
      <c r="C219" s="55" t="s">
        <v>29</v>
      </c>
      <c r="D219" s="71"/>
      <c r="E219" s="71"/>
      <c r="F219" s="71"/>
      <c r="G219" s="71">
        <f>J219</f>
        <v>90909.090909090912</v>
      </c>
      <c r="H219" s="71"/>
      <c r="I219" s="71"/>
      <c r="J219" s="61">
        <f>M219/$O$17</f>
        <v>90909.090909090912</v>
      </c>
      <c r="K219" s="61">
        <f t="shared" ref="K219" si="47">SUM(D219:I219)</f>
        <v>90909.090909090912</v>
      </c>
      <c r="L219" s="71"/>
      <c r="M219" s="72">
        <v>300000</v>
      </c>
      <c r="N219" s="60">
        <f>J219</f>
        <v>90909.090909090912</v>
      </c>
      <c r="O219" s="71"/>
    </row>
    <row r="220" spans="2:16" s="69" customFormat="1" ht="21.75" customHeight="1" thickBot="1" x14ac:dyDescent="0.4">
      <c r="B220" s="226" t="s">
        <v>52</v>
      </c>
      <c r="C220" s="55" t="s">
        <v>50</v>
      </c>
      <c r="D220" s="71"/>
      <c r="E220" s="71"/>
      <c r="F220" s="73"/>
      <c r="G220" s="73">
        <v>1</v>
      </c>
      <c r="H220" s="71"/>
      <c r="I220" s="71"/>
      <c r="J220" s="98">
        <v>1</v>
      </c>
      <c r="K220" s="98">
        <f>SUM(D220:I220)</f>
        <v>1</v>
      </c>
      <c r="L220" s="71"/>
      <c r="M220" s="72"/>
      <c r="N220" s="71"/>
      <c r="O220" s="71"/>
    </row>
    <row r="221" spans="2:16" s="69" customFormat="1" ht="21.75" customHeight="1" thickBot="1" x14ac:dyDescent="0.4">
      <c r="B221" s="227"/>
      <c r="C221" s="55" t="s">
        <v>29</v>
      </c>
      <c r="D221" s="71"/>
      <c r="E221" s="71"/>
      <c r="F221" s="71"/>
      <c r="G221" s="71">
        <f>J221</f>
        <v>90909.090909090912</v>
      </c>
      <c r="H221" s="71"/>
      <c r="I221" s="71"/>
      <c r="J221" s="61">
        <f>M221/$O$17</f>
        <v>90909.090909090912</v>
      </c>
      <c r="K221" s="61">
        <f t="shared" ref="K221" si="48">SUM(D221:I221)</f>
        <v>90909.090909090912</v>
      </c>
      <c r="L221" s="71"/>
      <c r="M221" s="72">
        <v>300000</v>
      </c>
      <c r="N221" s="60">
        <f>J221</f>
        <v>90909.090909090912</v>
      </c>
      <c r="O221" s="71"/>
    </row>
    <row r="222" spans="2:16" s="69" customFormat="1" ht="21.75" customHeight="1" thickBot="1" x14ac:dyDescent="0.4">
      <c r="B222" s="226" t="s">
        <v>53</v>
      </c>
      <c r="C222" s="55" t="s">
        <v>50</v>
      </c>
      <c r="D222" s="71"/>
      <c r="E222" s="71"/>
      <c r="F222" s="71"/>
      <c r="G222" s="73">
        <v>1</v>
      </c>
      <c r="H222" s="71"/>
      <c r="I222" s="73"/>
      <c r="J222" s="98">
        <v>1</v>
      </c>
      <c r="K222" s="98">
        <f>SUM(D222:I222)</f>
        <v>1</v>
      </c>
      <c r="L222" s="71"/>
      <c r="M222" s="72"/>
      <c r="N222" s="71"/>
      <c r="O222" s="71"/>
    </row>
    <row r="223" spans="2:16" s="69" customFormat="1" ht="21.75" customHeight="1" thickBot="1" x14ac:dyDescent="0.4">
      <c r="B223" s="227"/>
      <c r="C223" s="55" t="s">
        <v>29</v>
      </c>
      <c r="D223" s="71"/>
      <c r="E223" s="71"/>
      <c r="F223" s="71"/>
      <c r="G223" s="71">
        <f>J223</f>
        <v>90909.090909090912</v>
      </c>
      <c r="H223" s="71"/>
      <c r="I223" s="71"/>
      <c r="J223" s="61">
        <f>M223/$O$17</f>
        <v>90909.090909090912</v>
      </c>
      <c r="K223" s="61">
        <f t="shared" ref="K223" si="49">SUM(D223:I223)</f>
        <v>90909.090909090912</v>
      </c>
      <c r="L223" s="71"/>
      <c r="M223" s="72">
        <v>300000</v>
      </c>
      <c r="N223" s="60">
        <f>J223</f>
        <v>90909.090909090912</v>
      </c>
      <c r="O223" s="71"/>
    </row>
    <row r="224" spans="2:16" s="69" customFormat="1" ht="21.75" customHeight="1" thickBot="1" x14ac:dyDescent="0.4">
      <c r="B224" s="226" t="s">
        <v>54</v>
      </c>
      <c r="C224" s="55" t="s">
        <v>50</v>
      </c>
      <c r="D224" s="71"/>
      <c r="E224" s="71"/>
      <c r="F224" s="95"/>
      <c r="G224" s="73">
        <v>1</v>
      </c>
      <c r="H224" s="71"/>
      <c r="I224" s="73"/>
      <c r="J224" s="98">
        <v>1</v>
      </c>
      <c r="K224" s="98">
        <f>SUM(D224:I224)</f>
        <v>1</v>
      </c>
      <c r="L224" s="71"/>
      <c r="M224" s="72"/>
      <c r="N224" s="71"/>
      <c r="O224" s="71"/>
    </row>
    <row r="225" spans="2:16" s="69" customFormat="1" ht="21.75" customHeight="1" thickBot="1" x14ac:dyDescent="0.4">
      <c r="B225" s="227"/>
      <c r="C225" s="55" t="s">
        <v>29</v>
      </c>
      <c r="D225" s="71"/>
      <c r="E225" s="71"/>
      <c r="F225" s="71"/>
      <c r="G225" s="71">
        <f>J225</f>
        <v>90909.090909090912</v>
      </c>
      <c r="H225" s="71"/>
      <c r="I225" s="71"/>
      <c r="J225" s="61">
        <f>M225/$O$17</f>
        <v>90909.090909090912</v>
      </c>
      <c r="K225" s="61">
        <f t="shared" ref="K225" si="50">SUM(D225:I225)</f>
        <v>90909.090909090912</v>
      </c>
      <c r="L225" s="71"/>
      <c r="M225" s="72">
        <v>300000</v>
      </c>
      <c r="N225" s="60">
        <f>J225</f>
        <v>90909.090909090912</v>
      </c>
      <c r="O225" s="71"/>
    </row>
    <row r="226" spans="2:16" s="69" customFormat="1" ht="21.75" customHeight="1" thickBot="1" x14ac:dyDescent="0.4">
      <c r="B226" s="226" t="s">
        <v>56</v>
      </c>
      <c r="C226" s="55" t="s">
        <v>50</v>
      </c>
      <c r="D226" s="71"/>
      <c r="E226" s="96">
        <v>1</v>
      </c>
      <c r="F226" s="96"/>
      <c r="G226" s="71"/>
      <c r="H226" s="71"/>
      <c r="I226" s="71"/>
      <c r="J226" s="98">
        <v>1</v>
      </c>
      <c r="K226" s="98">
        <f>SUM(D226:I226)</f>
        <v>1</v>
      </c>
      <c r="L226" s="71"/>
      <c r="M226" s="72"/>
      <c r="N226" s="71"/>
      <c r="O226" s="71"/>
    </row>
    <row r="227" spans="2:16" s="69" customFormat="1" ht="21.75" customHeight="1" thickBot="1" x14ac:dyDescent="0.4">
      <c r="B227" s="227"/>
      <c r="C227" s="55" t="s">
        <v>29</v>
      </c>
      <c r="D227" s="71"/>
      <c r="E227" s="71">
        <f>J227</f>
        <v>90909.090909090912</v>
      </c>
      <c r="F227" s="71"/>
      <c r="G227" s="71"/>
      <c r="H227" s="71"/>
      <c r="I227" s="71"/>
      <c r="J227" s="61">
        <f>M227/$O$17</f>
        <v>90909.090909090912</v>
      </c>
      <c r="K227" s="61">
        <f t="shared" ref="K227" si="51">SUM(D227:I227)</f>
        <v>90909.090909090912</v>
      </c>
      <c r="L227" s="71"/>
      <c r="M227" s="72">
        <v>300000</v>
      </c>
      <c r="N227" s="60">
        <f>J227</f>
        <v>90909.090909090912</v>
      </c>
      <c r="O227" s="71"/>
    </row>
    <row r="228" spans="2:16" s="69" customFormat="1" ht="21.75" customHeight="1" thickBot="1" x14ac:dyDescent="0.4">
      <c r="B228" s="226" t="s">
        <v>57</v>
      </c>
      <c r="C228" s="55" t="s">
        <v>50</v>
      </c>
      <c r="D228" s="71"/>
      <c r="E228" s="71"/>
      <c r="F228" s="73"/>
      <c r="G228" s="71"/>
      <c r="H228" s="71"/>
      <c r="I228" s="71"/>
      <c r="J228" s="98">
        <v>1</v>
      </c>
      <c r="K228" s="98">
        <f>SUM(D228:I228)</f>
        <v>0</v>
      </c>
      <c r="L228" s="71"/>
      <c r="M228" s="72"/>
      <c r="N228" s="71"/>
      <c r="O228" s="71"/>
    </row>
    <row r="229" spans="2:16" s="69" customFormat="1" ht="21.75" customHeight="1" thickBot="1" x14ac:dyDescent="0.4">
      <c r="B229" s="230"/>
      <c r="C229" s="149" t="s">
        <v>29</v>
      </c>
      <c r="D229" s="150"/>
      <c r="E229" s="150">
        <f>J229</f>
        <v>90909.090909090912</v>
      </c>
      <c r="F229" s="150"/>
      <c r="G229" s="150"/>
      <c r="H229" s="150"/>
      <c r="I229" s="150"/>
      <c r="J229" s="151">
        <f>M229/$O$17</f>
        <v>90909.090909090912</v>
      </c>
      <c r="K229" s="151">
        <f t="shared" ref="K229:K231" si="52">SUM(D229:I229)</f>
        <v>90909.090909090912</v>
      </c>
      <c r="L229" s="150"/>
      <c r="M229" s="152">
        <v>300000</v>
      </c>
      <c r="N229" s="153">
        <f>J229</f>
        <v>90909.090909090912</v>
      </c>
      <c r="O229" s="150"/>
    </row>
    <row r="230" spans="2:16" s="69" customFormat="1" ht="25.5" customHeight="1" x14ac:dyDescent="0.35">
      <c r="B230" s="238" t="s">
        <v>117</v>
      </c>
      <c r="C230" s="154" t="s">
        <v>118</v>
      </c>
      <c r="D230" s="155"/>
      <c r="E230" s="156">
        <v>1</v>
      </c>
      <c r="F230" s="156">
        <v>1</v>
      </c>
      <c r="G230" s="155"/>
      <c r="H230" s="155"/>
      <c r="I230" s="155"/>
      <c r="J230" s="157">
        <v>2</v>
      </c>
      <c r="K230" s="157">
        <f>SUM(D230:I230)</f>
        <v>2</v>
      </c>
      <c r="L230" s="155"/>
      <c r="M230" s="158"/>
      <c r="N230" s="155"/>
      <c r="O230" s="159"/>
    </row>
    <row r="231" spans="2:16" s="69" customFormat="1" ht="36.75" customHeight="1" thickBot="1" x14ac:dyDescent="0.4">
      <c r="B231" s="239"/>
      <c r="C231" s="160" t="s">
        <v>29</v>
      </c>
      <c r="D231" s="161"/>
      <c r="E231" s="161">
        <v>900000</v>
      </c>
      <c r="F231" s="161">
        <f>N231-E231</f>
        <v>600000</v>
      </c>
      <c r="G231" s="161"/>
      <c r="H231" s="161"/>
      <c r="I231" s="161"/>
      <c r="J231" s="162">
        <f>M231/$O$17</f>
        <v>1500000</v>
      </c>
      <c r="K231" s="162">
        <f t="shared" si="52"/>
        <v>1500000</v>
      </c>
      <c r="L231" s="161"/>
      <c r="M231" s="163">
        <f>N231*$O$17</f>
        <v>4950000</v>
      </c>
      <c r="N231" s="161">
        <f>1500000</f>
        <v>1500000</v>
      </c>
      <c r="O231" s="164"/>
    </row>
    <row r="232" spans="2:16" s="16" customFormat="1" ht="24.75" customHeight="1" thickBot="1" x14ac:dyDescent="0.45">
      <c r="B232" s="240" t="s">
        <v>119</v>
      </c>
      <c r="C232" s="241"/>
      <c r="D232" s="41">
        <f>SUM(D21,D33,D45,D53,D57,D67,D73,D77,D81,D91,D95,D101,D117,D123,D183,D203,D217,D153,D231)</f>
        <v>11919191.919191919</v>
      </c>
      <c r="E232" s="41">
        <f>SUM(E21,E33,E45,E53,E57,E67,E73,E77,E81,E91,E95,E101,E117,E123,E183,E203,E217,E153,E231)</f>
        <v>51239393.93939393</v>
      </c>
      <c r="F232" s="41">
        <f>SUM(F21,F33,F45,F53,F57,F67,F73,F77,F81,F91,F95,F101,F117,F123,F183,F203,F217,F153,F231)</f>
        <v>67809477.345050499</v>
      </c>
      <c r="G232" s="41">
        <f>SUM(G21,G33,G45,G53,G57,G67,G73,G77,G81,G91,G95,G101,G117,G123,G183,G203,G217,G153,G231)</f>
        <v>13019729.822289566</v>
      </c>
      <c r="H232" s="41">
        <f>SUM(H21,H33,H45,H53,H57,H67,H73,H77,H81,H91,H95,H101,H117,H123,H183,H203,H217,H153,H231)</f>
        <v>11071378.355151519</v>
      </c>
      <c r="I232" s="41">
        <f>SUM(I21,I33,I45,I53,I57,I67,I73,I77,I81,I91,I95,I101,I117,I123,I183,I203,I217,I153,I231)</f>
        <v>7040225.5892255921</v>
      </c>
      <c r="J232" s="41">
        <f>SUM(J21,J33,J45,J53,J57,J67,J73,J77,J81,J91,J95,J101,J117,J123,J183,J203,J217,J153,J231)</f>
        <v>160735760.60666665</v>
      </c>
      <c r="K232" s="41">
        <f>SUM(K21,K33,K45,K53,K57,K67,K73,K77,K81,K91,K95,K101,K117,K123,K183,K203,K217,K153,K231)</f>
        <v>162099396.97030303</v>
      </c>
      <c r="L232" s="41"/>
      <c r="M232" s="41">
        <f>SUM(M21,M33,M45,M53,M57,M67,M73,M77,M81,M91,M95,M101,M117,M123,M183,M203,M217,M153,M231)</f>
        <v>501268010.00199997</v>
      </c>
      <c r="N232" s="41">
        <f>SUM(N21,N33,N45,N53,N57,N67,N73,N77,N81,N91,N95,N101,N117,N123,N183,N203,N217,N153,N231)</f>
        <v>62447312.121818185</v>
      </c>
      <c r="O232" s="41">
        <f>SUM(O21,O33,O45,O53,O57,O67,O73,O77,O81,O91,O95,O101,O117,O123,O183,O203,O217,O153,O231)</f>
        <v>98288448.484848484</v>
      </c>
      <c r="P232" s="193"/>
    </row>
    <row r="233" spans="2:16" s="16" customFormat="1" ht="38.25" customHeight="1" thickBot="1" x14ac:dyDescent="0.45">
      <c r="B233" s="242" t="s">
        <v>120</v>
      </c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4"/>
      <c r="N233" s="40" t="s">
        <v>25</v>
      </c>
      <c r="O233" s="40" t="s">
        <v>26</v>
      </c>
    </row>
    <row r="234" spans="2:16" ht="32.25" customHeight="1" thickBot="1" x14ac:dyDescent="0.4">
      <c r="B234" s="237" t="s">
        <v>121</v>
      </c>
      <c r="C234" s="169" t="s">
        <v>122</v>
      </c>
      <c r="D234" s="169"/>
      <c r="E234" s="169"/>
      <c r="F234" s="169">
        <v>1</v>
      </c>
      <c r="G234" s="169"/>
      <c r="H234" s="169"/>
      <c r="I234" s="169"/>
      <c r="J234" s="46">
        <f>SUM(D234:I234)</f>
        <v>1</v>
      </c>
      <c r="K234" s="47">
        <f t="shared" ref="K234:K242" si="53">SUM(E234:I234)</f>
        <v>1</v>
      </c>
      <c r="L234" s="169"/>
      <c r="M234" s="48"/>
      <c r="N234" s="169"/>
      <c r="O234" s="169"/>
    </row>
    <row r="235" spans="2:16" ht="35.25" customHeight="1" thickBot="1" x14ac:dyDescent="0.4">
      <c r="B235" s="237"/>
      <c r="C235" s="169" t="s">
        <v>29</v>
      </c>
      <c r="D235" s="169"/>
      <c r="E235" s="45">
        <f>2000000/O17</f>
        <v>606060.60606060608</v>
      </c>
      <c r="F235" s="45">
        <f>J235-E235</f>
        <v>242424.24242424243</v>
      </c>
      <c r="G235" s="169"/>
      <c r="H235" s="169"/>
      <c r="I235" s="169"/>
      <c r="J235" s="43">
        <f>M235/$O$17</f>
        <v>848484.84848484851</v>
      </c>
      <c r="K235" s="43">
        <f t="shared" si="53"/>
        <v>848484.84848484851</v>
      </c>
      <c r="L235" s="42"/>
      <c r="M235" s="44">
        <v>2800000</v>
      </c>
      <c r="N235" s="42">
        <f>J235</f>
        <v>848484.84848484851</v>
      </c>
      <c r="O235" s="42"/>
    </row>
    <row r="236" spans="2:16" ht="28.5" customHeight="1" thickBot="1" x14ac:dyDescent="0.4">
      <c r="B236" s="237" t="s">
        <v>123</v>
      </c>
      <c r="C236" s="169" t="s">
        <v>124</v>
      </c>
      <c r="D236" s="169"/>
      <c r="E236" s="169"/>
      <c r="F236" s="169">
        <v>1</v>
      </c>
      <c r="G236" s="169"/>
      <c r="H236" s="169"/>
      <c r="I236" s="169"/>
      <c r="J236" s="46">
        <f>SUM(D236:I236)</f>
        <v>1</v>
      </c>
      <c r="K236" s="47">
        <f t="shared" si="53"/>
        <v>1</v>
      </c>
      <c r="L236" s="169"/>
      <c r="M236" s="48"/>
      <c r="N236" s="169"/>
      <c r="O236" s="169"/>
    </row>
    <row r="237" spans="2:16" ht="45" customHeight="1" thickBot="1" x14ac:dyDescent="0.4">
      <c r="B237" s="237"/>
      <c r="C237" s="169" t="s">
        <v>29</v>
      </c>
      <c r="D237" s="169"/>
      <c r="E237" s="45">
        <f>600000/O17</f>
        <v>181818.18181818182</v>
      </c>
      <c r="F237" s="45">
        <f>J237-E237</f>
        <v>303030.30303030304</v>
      </c>
      <c r="G237" s="169"/>
      <c r="H237" s="169"/>
      <c r="I237" s="169"/>
      <c r="J237" s="43">
        <f>M237/$O$17</f>
        <v>484848.48484848486</v>
      </c>
      <c r="K237" s="43">
        <f t="shared" si="53"/>
        <v>484848.48484848486</v>
      </c>
      <c r="L237" s="42"/>
      <c r="M237" s="44">
        <v>1600000</v>
      </c>
      <c r="N237" s="42">
        <f>J237</f>
        <v>484848.48484848486</v>
      </c>
      <c r="O237" s="42"/>
    </row>
    <row r="238" spans="2:16" ht="27.75" customHeight="1" thickBot="1" x14ac:dyDescent="0.4">
      <c r="B238" s="237" t="s">
        <v>125</v>
      </c>
      <c r="C238" s="169" t="s">
        <v>122</v>
      </c>
      <c r="D238" s="169"/>
      <c r="E238" s="169">
        <v>1</v>
      </c>
      <c r="F238" s="169"/>
      <c r="G238" s="169"/>
      <c r="H238" s="169"/>
      <c r="I238" s="169"/>
      <c r="J238" s="46">
        <f>SUM(D238:I238)</f>
        <v>1</v>
      </c>
      <c r="K238" s="47">
        <f t="shared" si="53"/>
        <v>1</v>
      </c>
      <c r="L238" s="169"/>
      <c r="M238" s="48"/>
      <c r="N238" s="169"/>
      <c r="O238" s="169"/>
    </row>
    <row r="239" spans="2:16" ht="35.25" customHeight="1" thickBot="1" x14ac:dyDescent="0.4">
      <c r="B239" s="237"/>
      <c r="C239" s="169" t="s">
        <v>29</v>
      </c>
      <c r="D239" s="169"/>
      <c r="E239" s="45">
        <f>800000/O17</f>
        <v>242424.24242424243</v>
      </c>
      <c r="F239" s="170"/>
      <c r="G239" s="169"/>
      <c r="H239" s="169"/>
      <c r="I239" s="169"/>
      <c r="J239" s="43">
        <f>M239/$O$17</f>
        <v>242424.24242424243</v>
      </c>
      <c r="K239" s="43">
        <f t="shared" si="53"/>
        <v>242424.24242424243</v>
      </c>
      <c r="L239" s="42"/>
      <c r="M239" s="44">
        <v>800000</v>
      </c>
      <c r="N239" s="42">
        <f>J239</f>
        <v>242424.24242424243</v>
      </c>
      <c r="O239" s="42"/>
    </row>
    <row r="240" spans="2:16" ht="24" customHeight="1" thickBot="1" x14ac:dyDescent="0.4">
      <c r="B240" s="237" t="s">
        <v>126</v>
      </c>
      <c r="C240" s="169" t="s">
        <v>118</v>
      </c>
      <c r="D240" s="169"/>
      <c r="E240" s="169">
        <v>1</v>
      </c>
      <c r="F240" s="169"/>
      <c r="G240" s="169"/>
      <c r="H240" s="169"/>
      <c r="I240" s="169"/>
      <c r="J240" s="46">
        <f>SUM(D240:I240)</f>
        <v>1</v>
      </c>
      <c r="K240" s="47">
        <f t="shared" si="53"/>
        <v>1</v>
      </c>
      <c r="L240" s="169"/>
      <c r="M240" s="48"/>
      <c r="N240" s="169"/>
      <c r="O240" s="169"/>
    </row>
    <row r="241" spans="2:15" ht="35.25" customHeight="1" thickBot="1" x14ac:dyDescent="0.4">
      <c r="B241" s="237"/>
      <c r="C241" s="169" t="s">
        <v>29</v>
      </c>
      <c r="D241" s="169"/>
      <c r="E241" s="45">
        <f>750000/O17</f>
        <v>227272.72727272729</v>
      </c>
      <c r="F241" s="169"/>
      <c r="G241" s="169"/>
      <c r="H241" s="169"/>
      <c r="I241" s="169"/>
      <c r="J241" s="43">
        <f>M241/$O$17</f>
        <v>227272.72727272729</v>
      </c>
      <c r="K241" s="43">
        <f t="shared" si="53"/>
        <v>227272.72727272729</v>
      </c>
      <c r="L241" s="42"/>
      <c r="M241" s="44">
        <v>750000</v>
      </c>
      <c r="N241" s="42">
        <f>J241</f>
        <v>227272.72727272729</v>
      </c>
      <c r="O241" s="42"/>
    </row>
    <row r="242" spans="2:15" ht="26.25" customHeight="1" thickBot="1" x14ac:dyDescent="0.4">
      <c r="B242" s="237" t="s">
        <v>127</v>
      </c>
      <c r="C242" s="169" t="s">
        <v>122</v>
      </c>
      <c r="D242" s="169"/>
      <c r="E242" s="169">
        <v>1</v>
      </c>
      <c r="F242" s="169"/>
      <c r="G242" s="169"/>
      <c r="H242" s="169"/>
      <c r="I242" s="169"/>
      <c r="J242" s="46">
        <f>SUM(D242:I242)</f>
        <v>1</v>
      </c>
      <c r="K242" s="47">
        <f t="shared" si="53"/>
        <v>1</v>
      </c>
      <c r="L242" s="169"/>
      <c r="M242" s="48"/>
      <c r="N242" s="169"/>
      <c r="O242" s="169"/>
    </row>
    <row r="243" spans="2:15" ht="27.75" customHeight="1" thickBot="1" x14ac:dyDescent="0.4">
      <c r="B243" s="237"/>
      <c r="C243" s="169" t="s">
        <v>29</v>
      </c>
      <c r="D243" s="45"/>
      <c r="E243" s="45">
        <f>M243/O17</f>
        <v>106060.60606060606</v>
      </c>
      <c r="F243" s="45"/>
      <c r="G243" s="45"/>
      <c r="H243" s="45"/>
      <c r="I243" s="45"/>
      <c r="J243" s="43">
        <f>M243/$O$17</f>
        <v>106060.60606060606</v>
      </c>
      <c r="K243" s="43">
        <f>SUM(D243:I243)</f>
        <v>106060.60606060606</v>
      </c>
      <c r="L243" s="42"/>
      <c r="M243" s="44">
        <v>350000</v>
      </c>
      <c r="N243" s="42">
        <f>K243</f>
        <v>106060.60606060606</v>
      </c>
      <c r="O243" s="42"/>
    </row>
    <row r="244" spans="2:15" ht="30.75" customHeight="1" thickBot="1" x14ac:dyDescent="0.4">
      <c r="B244" s="237" t="s">
        <v>128</v>
      </c>
      <c r="C244" s="169" t="s">
        <v>118</v>
      </c>
      <c r="D244" s="169"/>
      <c r="E244" s="169"/>
      <c r="F244" s="169">
        <v>1</v>
      </c>
      <c r="G244" s="169"/>
      <c r="H244" s="169"/>
      <c r="I244" s="169"/>
      <c r="J244" s="46">
        <f>SUM(D244:I244)</f>
        <v>1</v>
      </c>
      <c r="K244" s="47">
        <f t="shared" ref="K244:K253" si="54">SUM(E244:I244)</f>
        <v>1</v>
      </c>
      <c r="L244" s="169"/>
      <c r="M244" s="48"/>
      <c r="N244" s="169"/>
      <c r="O244" s="169"/>
    </row>
    <row r="245" spans="2:15" ht="41.25" customHeight="1" thickBot="1" x14ac:dyDescent="0.4">
      <c r="B245" s="237"/>
      <c r="C245" s="169" t="s">
        <v>29</v>
      </c>
      <c r="D245" s="45"/>
      <c r="E245" s="45">
        <f>(M245/2)/$O$17</f>
        <v>181818.18181818182</v>
      </c>
      <c r="F245" s="45">
        <f>J245-E245</f>
        <v>181818.18181818182</v>
      </c>
      <c r="G245" s="45"/>
      <c r="H245" s="45"/>
      <c r="I245" s="45"/>
      <c r="J245" s="43">
        <f>M245/$O$17</f>
        <v>363636.36363636365</v>
      </c>
      <c r="K245" s="43">
        <f t="shared" si="54"/>
        <v>363636.36363636365</v>
      </c>
      <c r="L245" s="42"/>
      <c r="M245" s="44">
        <v>1200000</v>
      </c>
      <c r="N245" s="42">
        <f>K245</f>
        <v>363636.36363636365</v>
      </c>
      <c r="O245" s="42"/>
    </row>
    <row r="246" spans="2:15" ht="34.5" customHeight="1" thickBot="1" x14ac:dyDescent="0.4">
      <c r="B246" s="237" t="s">
        <v>129</v>
      </c>
      <c r="C246" s="169" t="s">
        <v>122</v>
      </c>
      <c r="D246" s="169"/>
      <c r="E246" s="169"/>
      <c r="F246" s="169">
        <v>1</v>
      </c>
      <c r="G246" s="169"/>
      <c r="H246" s="169"/>
      <c r="I246" s="169"/>
      <c r="J246" s="46">
        <f>SUM(D246:I246)</f>
        <v>1</v>
      </c>
      <c r="K246" s="47">
        <f t="shared" si="54"/>
        <v>1</v>
      </c>
      <c r="L246" s="169"/>
      <c r="M246" s="48"/>
      <c r="N246" s="169"/>
      <c r="O246" s="169"/>
    </row>
    <row r="247" spans="2:15" ht="35.25" customHeight="1" thickBot="1" x14ac:dyDescent="0.4">
      <c r="B247" s="237"/>
      <c r="C247" s="169" t="s">
        <v>29</v>
      </c>
      <c r="D247" s="45"/>
      <c r="E247" s="45">
        <f>(M247/2)/$O$17</f>
        <v>303030.30303030304</v>
      </c>
      <c r="F247" s="45">
        <f>J247-E247</f>
        <v>303030.30303030304</v>
      </c>
      <c r="G247" s="45"/>
      <c r="H247" s="45"/>
      <c r="I247" s="45"/>
      <c r="J247" s="43">
        <f>M247/$O$17</f>
        <v>606060.60606060608</v>
      </c>
      <c r="K247" s="43">
        <f t="shared" si="54"/>
        <v>606060.60606060608</v>
      </c>
      <c r="L247" s="42"/>
      <c r="M247" s="44">
        <v>2000000</v>
      </c>
      <c r="N247" s="42">
        <f>K247</f>
        <v>606060.60606060608</v>
      </c>
      <c r="O247" s="42"/>
    </row>
    <row r="248" spans="2:15" ht="27.75" customHeight="1" thickBot="1" x14ac:dyDescent="0.4">
      <c r="B248" s="249" t="s">
        <v>130</v>
      </c>
      <c r="C248" s="126" t="s">
        <v>131</v>
      </c>
      <c r="D248" s="127"/>
      <c r="E248" s="126">
        <f>3500/5</f>
        <v>700</v>
      </c>
      <c r="F248" s="126">
        <f t="shared" ref="F248:I248" si="55">3500/5</f>
        <v>700</v>
      </c>
      <c r="G248" s="126">
        <f t="shared" si="55"/>
        <v>700</v>
      </c>
      <c r="H248" s="126">
        <f t="shared" si="55"/>
        <v>700</v>
      </c>
      <c r="I248" s="126">
        <f t="shared" si="55"/>
        <v>700</v>
      </c>
      <c r="J248" s="128">
        <f>SUM(D248:I248)</f>
        <v>3500</v>
      </c>
      <c r="K248" s="47">
        <f t="shared" si="54"/>
        <v>3500</v>
      </c>
      <c r="L248" s="129"/>
      <c r="M248" s="130"/>
      <c r="N248" s="129"/>
      <c r="O248" s="129"/>
    </row>
    <row r="249" spans="2:15" ht="27.75" customHeight="1" thickBot="1" x14ac:dyDescent="0.4">
      <c r="B249" s="249"/>
      <c r="C249" s="126" t="s">
        <v>29</v>
      </c>
      <c r="D249" s="127"/>
      <c r="E249" s="127">
        <f>(M249/5)/$O$17</f>
        <v>682242.42424242431</v>
      </c>
      <c r="F249" s="127">
        <f>E249</f>
        <v>682242.42424242431</v>
      </c>
      <c r="G249" s="127">
        <f>E249</f>
        <v>682242.42424242431</v>
      </c>
      <c r="H249" s="127">
        <f>E249</f>
        <v>682242.42424242431</v>
      </c>
      <c r="I249" s="127">
        <f>E249</f>
        <v>682242.42424242431</v>
      </c>
      <c r="J249" s="131">
        <f>M249/$O$17</f>
        <v>3411212.1212121216</v>
      </c>
      <c r="K249" s="131">
        <f t="shared" si="54"/>
        <v>3411212.1212121216</v>
      </c>
      <c r="L249" s="129"/>
      <c r="M249" s="130">
        <v>11257000</v>
      </c>
      <c r="N249" s="129">
        <f>K249</f>
        <v>3411212.1212121216</v>
      </c>
      <c r="O249" s="129"/>
    </row>
    <row r="250" spans="2:15" ht="24" customHeight="1" thickBot="1" x14ac:dyDescent="0.4">
      <c r="B250" s="250" t="s">
        <v>132</v>
      </c>
      <c r="C250" s="169" t="s">
        <v>133</v>
      </c>
      <c r="D250" s="101"/>
      <c r="E250" s="169">
        <v>25</v>
      </c>
      <c r="F250" s="169">
        <v>25</v>
      </c>
      <c r="G250" s="169">
        <v>25</v>
      </c>
      <c r="H250" s="169">
        <v>25</v>
      </c>
      <c r="I250" s="169">
        <v>25</v>
      </c>
      <c r="J250" s="46">
        <f>SUM(D250:I250)</f>
        <v>125</v>
      </c>
      <c r="K250" s="47">
        <f t="shared" si="54"/>
        <v>125</v>
      </c>
      <c r="L250" s="42"/>
      <c r="M250" s="100"/>
      <c r="N250" s="42"/>
      <c r="O250" s="42"/>
    </row>
    <row r="251" spans="2:15" ht="21" customHeight="1" thickBot="1" x14ac:dyDescent="0.4">
      <c r="B251" s="250"/>
      <c r="C251" s="169" t="s">
        <v>29</v>
      </c>
      <c r="D251" s="101"/>
      <c r="E251" s="101">
        <f>M251/5/$O17</f>
        <v>151515.15151515152</v>
      </c>
      <c r="F251" s="101">
        <f>E251</f>
        <v>151515.15151515152</v>
      </c>
      <c r="G251" s="101">
        <f>E251</f>
        <v>151515.15151515152</v>
      </c>
      <c r="H251" s="101">
        <f>E251</f>
        <v>151515.15151515152</v>
      </c>
      <c r="I251" s="101">
        <f>E251</f>
        <v>151515.15151515152</v>
      </c>
      <c r="J251" s="43">
        <f>M251/$O$17</f>
        <v>757575.75757575757</v>
      </c>
      <c r="K251" s="43">
        <f>SUM(D251:I251)</f>
        <v>757575.75757575757</v>
      </c>
      <c r="L251" s="42"/>
      <c r="M251" s="100">
        <v>2500000</v>
      </c>
      <c r="N251" s="42">
        <f>K251</f>
        <v>757575.75757575757</v>
      </c>
      <c r="O251" s="42"/>
    </row>
    <row r="252" spans="2:15" ht="26.25" customHeight="1" thickBot="1" x14ac:dyDescent="0.4">
      <c r="B252" s="237" t="s">
        <v>134</v>
      </c>
      <c r="C252" s="169" t="s">
        <v>122</v>
      </c>
      <c r="D252" s="169"/>
      <c r="E252" s="169"/>
      <c r="F252" s="169"/>
      <c r="G252" s="169"/>
      <c r="H252" s="169">
        <v>1</v>
      </c>
      <c r="I252" s="169"/>
      <c r="J252" s="46">
        <f>SUM(D252:I252)</f>
        <v>1</v>
      </c>
      <c r="K252" s="47">
        <f t="shared" si="54"/>
        <v>1</v>
      </c>
      <c r="L252" s="169"/>
      <c r="M252" s="48"/>
      <c r="N252" s="169"/>
      <c r="O252" s="169"/>
    </row>
    <row r="253" spans="2:15" ht="31.5" customHeight="1" thickBot="1" x14ac:dyDescent="0.4">
      <c r="B253" s="237"/>
      <c r="C253" s="169" t="s">
        <v>29</v>
      </c>
      <c r="D253" s="45"/>
      <c r="E253" s="45"/>
      <c r="F253" s="45"/>
      <c r="G253" s="45">
        <f>800000/$O$17</f>
        <v>242424.24242424243</v>
      </c>
      <c r="H253" s="45">
        <f>J253-G253</f>
        <v>2251751.5151515156</v>
      </c>
      <c r="I253" s="45"/>
      <c r="J253" s="43">
        <f>M253/$O$17</f>
        <v>2494175.7575757578</v>
      </c>
      <c r="K253" s="43">
        <f t="shared" si="54"/>
        <v>2494175.7575757578</v>
      </c>
      <c r="L253" s="42"/>
      <c r="M253" s="44">
        <v>8230780</v>
      </c>
      <c r="N253" s="42">
        <f>K253</f>
        <v>2494175.7575757578</v>
      </c>
      <c r="O253" s="42"/>
    </row>
    <row r="254" spans="2:15" ht="31.5" customHeight="1" thickBot="1" x14ac:dyDescent="0.4">
      <c r="B254" s="237" t="s">
        <v>135</v>
      </c>
      <c r="C254" s="169" t="s">
        <v>118</v>
      </c>
      <c r="D254" s="45"/>
      <c r="E254" s="45"/>
      <c r="F254" s="105">
        <v>1</v>
      </c>
      <c r="G254" s="45"/>
      <c r="H254" s="45"/>
      <c r="I254" s="45"/>
      <c r="J254" s="76">
        <f>SUM(D254:I254)</f>
        <v>1</v>
      </c>
      <c r="K254" s="76">
        <f>SUM(D254:I254)</f>
        <v>1</v>
      </c>
      <c r="L254" s="42"/>
      <c r="M254" s="44"/>
      <c r="N254" s="42"/>
      <c r="O254" s="42"/>
    </row>
    <row r="255" spans="2:15" ht="31.5" customHeight="1" thickBot="1" x14ac:dyDescent="0.4">
      <c r="B255" s="237"/>
      <c r="C255" s="169" t="s">
        <v>29</v>
      </c>
      <c r="D255" s="45"/>
      <c r="E255" s="45">
        <f>J255/2</f>
        <v>686666.66666666674</v>
      </c>
      <c r="F255" s="45">
        <f>J255/2</f>
        <v>686666.66666666674</v>
      </c>
      <c r="G255" s="45"/>
      <c r="H255" s="45"/>
      <c r="I255" s="45"/>
      <c r="J255" s="43">
        <f>M255/$O$17</f>
        <v>1373333.3333333335</v>
      </c>
      <c r="K255" s="43">
        <f>SUM(E255:I255)</f>
        <v>1373333.3333333335</v>
      </c>
      <c r="L255" s="42"/>
      <c r="M255" s="44">
        <v>4532000</v>
      </c>
      <c r="N255" s="42">
        <f>K255</f>
        <v>1373333.3333333335</v>
      </c>
      <c r="O255" s="42"/>
    </row>
    <row r="256" spans="2:15" ht="24" customHeight="1" thickBot="1" x14ac:dyDescent="0.4">
      <c r="B256" s="249" t="s">
        <v>136</v>
      </c>
      <c r="C256" s="126" t="s">
        <v>118</v>
      </c>
      <c r="D256" s="126"/>
      <c r="E256" s="126">
        <v>1</v>
      </c>
      <c r="F256" s="126">
        <v>1</v>
      </c>
      <c r="G256" s="126"/>
      <c r="H256" s="126"/>
      <c r="I256" s="126"/>
      <c r="J256" s="128">
        <f>SUM(D256:I256)</f>
        <v>2</v>
      </c>
      <c r="K256" s="171">
        <f>SUM(E256:I256)</f>
        <v>2</v>
      </c>
      <c r="L256" s="126"/>
      <c r="M256" s="172"/>
      <c r="N256" s="126"/>
      <c r="O256" s="126"/>
    </row>
    <row r="257" spans="2:16" ht="53.25" customHeight="1" thickBot="1" x14ac:dyDescent="0.4">
      <c r="B257" s="249"/>
      <c r="C257" s="126" t="s">
        <v>29</v>
      </c>
      <c r="D257" s="126"/>
      <c r="E257" s="129">
        <f>(M257/2)/$O$17</f>
        <v>500000</v>
      </c>
      <c r="F257" s="129">
        <f>(M257/2)/$O$17</f>
        <v>500000</v>
      </c>
      <c r="G257" s="129"/>
      <c r="H257" s="129"/>
      <c r="I257" s="129"/>
      <c r="J257" s="43">
        <v>1000000</v>
      </c>
      <c r="K257" s="131">
        <f>SUM(E257:I257)</f>
        <v>1000000</v>
      </c>
      <c r="L257" s="129"/>
      <c r="M257" s="130">
        <f>J257*$O$17</f>
        <v>3300000</v>
      </c>
      <c r="N257" s="129">
        <f>K257</f>
        <v>1000000</v>
      </c>
      <c r="O257" s="129"/>
    </row>
    <row r="258" spans="2:16" s="16" customFormat="1" ht="25.5" customHeight="1" thickBot="1" x14ac:dyDescent="0.45">
      <c r="B258" s="248" t="s">
        <v>137</v>
      </c>
      <c r="C258" s="132" t="s">
        <v>138</v>
      </c>
      <c r="D258" s="133"/>
      <c r="E258" s="132">
        <v>1</v>
      </c>
      <c r="F258" s="133"/>
      <c r="G258" s="133"/>
      <c r="H258" s="133"/>
      <c r="I258" s="133"/>
      <c r="J258" s="128">
        <f>SUM(D258:I258)</f>
        <v>1</v>
      </c>
      <c r="K258" s="171">
        <f>SUM(E258:I258)</f>
        <v>1</v>
      </c>
      <c r="L258" s="133"/>
      <c r="M258" s="133"/>
      <c r="N258" s="132"/>
      <c r="O258" s="132"/>
    </row>
    <row r="259" spans="2:16" s="16" customFormat="1" ht="25.5" customHeight="1" thickBot="1" x14ac:dyDescent="0.45">
      <c r="B259" s="248"/>
      <c r="C259" s="132" t="s">
        <v>29</v>
      </c>
      <c r="D259" s="133"/>
      <c r="E259" s="134">
        <f>J259/5*1.25</f>
        <v>229234.09090909091</v>
      </c>
      <c r="F259" s="134">
        <f>(J259-E259)/4</f>
        <v>171925.56818181818</v>
      </c>
      <c r="G259" s="134">
        <f>F259</f>
        <v>171925.56818181818</v>
      </c>
      <c r="H259" s="134">
        <f>G259</f>
        <v>171925.56818181818</v>
      </c>
      <c r="I259" s="134">
        <f>H259</f>
        <v>171925.56818181818</v>
      </c>
      <c r="J259" s="135">
        <f>M259/$O$17</f>
        <v>916936.36363636365</v>
      </c>
      <c r="K259" s="135">
        <f>SUM(E259:I259)</f>
        <v>916936.36363636353</v>
      </c>
      <c r="L259" s="133"/>
      <c r="M259" s="136">
        <v>3025890</v>
      </c>
      <c r="N259" s="173">
        <f>K259</f>
        <v>916936.36363636353</v>
      </c>
      <c r="O259" s="132"/>
    </row>
    <row r="260" spans="2:16" s="16" customFormat="1" ht="26.25" customHeight="1" thickBot="1" x14ac:dyDescent="0.45">
      <c r="B260" s="138" t="s">
        <v>139</v>
      </c>
      <c r="C260" s="139"/>
      <c r="D260" s="41">
        <f t="shared" ref="D260:I260" si="56">SUMIF(D234:D259,"&gt;1000")</f>
        <v>0</v>
      </c>
      <c r="E260" s="41">
        <f t="shared" si="56"/>
        <v>4098143.1818181816</v>
      </c>
      <c r="F260" s="41">
        <f t="shared" si="56"/>
        <v>3222652.8409090913</v>
      </c>
      <c r="G260" s="41">
        <f t="shared" si="56"/>
        <v>1248107.3863636365</v>
      </c>
      <c r="H260" s="41">
        <f t="shared" si="56"/>
        <v>3257434.6590909096</v>
      </c>
      <c r="I260" s="41">
        <f t="shared" si="56"/>
        <v>1005683.143939394</v>
      </c>
      <c r="J260" s="41">
        <f>SUMIF(J234:J259,"&gt;5000")</f>
        <v>12832021.212121213</v>
      </c>
      <c r="K260" s="41">
        <f>SUMIF(K234:K259,"&gt;5000")</f>
        <v>12832021.212121213</v>
      </c>
      <c r="L260" s="41"/>
      <c r="M260" s="41">
        <f>SUMIF(M234:M259,"&gt;1000")</f>
        <v>42345670</v>
      </c>
      <c r="N260" s="41">
        <f>SUMIF(N234:N259,"&gt;1000")</f>
        <v>12832021.212121213</v>
      </c>
      <c r="O260" s="41">
        <f>SUMIF(O234:O259,"&gt;1000")</f>
        <v>0</v>
      </c>
      <c r="P260" s="193"/>
    </row>
    <row r="261" spans="2:16" s="16" customFormat="1" ht="38.25" customHeight="1" thickBot="1" x14ac:dyDescent="0.45">
      <c r="B261" s="245" t="s">
        <v>140</v>
      </c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7"/>
      <c r="N261" s="102" t="s">
        <v>25</v>
      </c>
      <c r="O261" s="102" t="s">
        <v>26</v>
      </c>
    </row>
    <row r="262" spans="2:16" ht="25.5" customHeight="1" thickBot="1" x14ac:dyDescent="0.4">
      <c r="B262" s="237" t="s">
        <v>141</v>
      </c>
      <c r="C262" s="169" t="s">
        <v>142</v>
      </c>
      <c r="D262" s="169"/>
      <c r="E262" s="169"/>
      <c r="F262" s="169"/>
      <c r="G262" s="169"/>
      <c r="H262" s="169"/>
      <c r="I262" s="169"/>
      <c r="J262" s="46">
        <f>SUM(D262:I262)</f>
        <v>0</v>
      </c>
      <c r="K262" s="47">
        <f>SUM(E262:I262)</f>
        <v>0</v>
      </c>
      <c r="L262" s="169"/>
      <c r="M262" s="48"/>
      <c r="N262" s="169"/>
      <c r="O262" s="169"/>
    </row>
    <row r="263" spans="2:16" ht="28.5" customHeight="1" thickBot="1" x14ac:dyDescent="0.4">
      <c r="B263" s="237"/>
      <c r="C263" s="169" t="s">
        <v>29</v>
      </c>
      <c r="D263" s="169"/>
      <c r="E263" s="42">
        <f>(3500000+1316400)/$O$17</f>
        <v>1459515.1515151516</v>
      </c>
      <c r="F263" s="42">
        <v>1275919.2</v>
      </c>
      <c r="G263" s="178">
        <v>1275919.2</v>
      </c>
      <c r="H263" s="178">
        <v>775212.15</v>
      </c>
      <c r="I263" s="178">
        <v>775212.15</v>
      </c>
      <c r="J263" s="43">
        <f>M263/$O$17</f>
        <v>5561777.8515151534</v>
      </c>
      <c r="K263" s="43">
        <f>SUM(E263:I263)</f>
        <v>5561777.8515151525</v>
      </c>
      <c r="L263" s="42"/>
      <c r="M263" s="44">
        <f>K263*$O$17</f>
        <v>18353866.910000004</v>
      </c>
      <c r="N263" s="42">
        <f>J263</f>
        <v>5561777.8515151534</v>
      </c>
      <c r="O263" s="42"/>
    </row>
    <row r="264" spans="2:16" ht="27" customHeight="1" thickBot="1" x14ac:dyDescent="0.4">
      <c r="B264" s="248" t="s">
        <v>143</v>
      </c>
      <c r="C264" s="132" t="s">
        <v>144</v>
      </c>
      <c r="D264" s="132"/>
      <c r="E264" s="132">
        <v>1</v>
      </c>
      <c r="F264" s="132"/>
      <c r="G264" s="132"/>
      <c r="H264" s="132"/>
      <c r="I264" s="132"/>
      <c r="J264" s="179">
        <f>SUM(D264:I264)</f>
        <v>1</v>
      </c>
      <c r="K264" s="180">
        <f>SUM(E264:I264)</f>
        <v>1</v>
      </c>
      <c r="L264" s="132"/>
      <c r="M264" s="181"/>
      <c r="N264" s="132"/>
      <c r="O264" s="132"/>
    </row>
    <row r="265" spans="2:16" ht="27.75" customHeight="1" thickBot="1" x14ac:dyDescent="0.4">
      <c r="B265" s="248"/>
      <c r="C265" s="132" t="s">
        <v>29</v>
      </c>
      <c r="D265" s="132"/>
      <c r="E265" s="173">
        <f>1496969.6969697</f>
        <v>1496969.6969697</v>
      </c>
      <c r="F265" s="173">
        <f>500707</f>
        <v>500707</v>
      </c>
      <c r="G265" s="132"/>
      <c r="H265" s="132"/>
      <c r="I265" s="132"/>
      <c r="J265" s="43">
        <f>M265/$O$17</f>
        <v>1997676.6969697</v>
      </c>
      <c r="K265" s="182">
        <f>SUM(D265:I265)</f>
        <v>1997676.6969697</v>
      </c>
      <c r="L265" s="173"/>
      <c r="M265" s="183">
        <f>K265*$O$17</f>
        <v>6592333.1000000099</v>
      </c>
      <c r="N265" s="173">
        <f>J265</f>
        <v>1997676.6969697</v>
      </c>
      <c r="O265" s="173"/>
    </row>
    <row r="266" spans="2:16" ht="21" customHeight="1" thickBot="1" x14ac:dyDescent="0.4">
      <c r="B266" s="237" t="s">
        <v>145</v>
      </c>
      <c r="C266" s="169" t="s">
        <v>118</v>
      </c>
      <c r="D266" s="169"/>
      <c r="E266" s="169">
        <v>1</v>
      </c>
      <c r="F266" s="169"/>
      <c r="G266" s="169"/>
      <c r="H266" s="169"/>
      <c r="I266" s="169"/>
      <c r="J266" s="46">
        <f>SUM(D266:I266)</f>
        <v>1</v>
      </c>
      <c r="K266" s="47">
        <v>1</v>
      </c>
      <c r="L266" s="169"/>
      <c r="M266" s="184"/>
      <c r="N266" s="169"/>
      <c r="O266" s="169"/>
    </row>
    <row r="267" spans="2:16" ht="29.1" customHeight="1" thickBot="1" x14ac:dyDescent="0.4">
      <c r="B267" s="237"/>
      <c r="C267" s="169" t="s">
        <v>29</v>
      </c>
      <c r="D267" s="42"/>
      <c r="E267" s="42">
        <f>$M$267/$O$17</f>
        <v>106060.60606060606</v>
      </c>
      <c r="F267" s="169"/>
      <c r="G267" s="169"/>
      <c r="H267" s="169"/>
      <c r="I267" s="169"/>
      <c r="J267" s="43">
        <f>M267/$O$17</f>
        <v>106060.60606060606</v>
      </c>
      <c r="K267" s="43">
        <f>SUM(D267:I267)</f>
        <v>106060.60606060606</v>
      </c>
      <c r="L267" s="42"/>
      <c r="M267" s="184">
        <v>350000</v>
      </c>
      <c r="N267" s="42"/>
      <c r="O267" s="42">
        <f>J267</f>
        <v>106060.60606060606</v>
      </c>
    </row>
    <row r="268" spans="2:16" ht="30" customHeight="1" thickBot="1" x14ac:dyDescent="0.4">
      <c r="B268" s="237" t="s">
        <v>146</v>
      </c>
      <c r="C268" s="169" t="s">
        <v>144</v>
      </c>
      <c r="D268" s="169"/>
      <c r="E268" s="169"/>
      <c r="F268" s="169">
        <v>85</v>
      </c>
      <c r="G268" s="169">
        <v>85</v>
      </c>
      <c r="H268" s="169">
        <v>85</v>
      </c>
      <c r="I268" s="169">
        <v>85</v>
      </c>
      <c r="J268" s="46">
        <f>SUM(D268:I268)</f>
        <v>340</v>
      </c>
      <c r="K268" s="47">
        <f>SUM(E268:I268)</f>
        <v>340</v>
      </c>
      <c r="L268" s="169"/>
      <c r="M268" s="184"/>
      <c r="N268" s="169"/>
      <c r="O268" s="169"/>
    </row>
    <row r="269" spans="2:16" ht="30.95" customHeight="1" thickBot="1" x14ac:dyDescent="0.4">
      <c r="B269" s="237"/>
      <c r="C269" s="169" t="s">
        <v>29</v>
      </c>
      <c r="D269" s="169"/>
      <c r="E269" s="42"/>
      <c r="F269" s="185">
        <f>$J$269/4</f>
        <v>178424.24242424243</v>
      </c>
      <c r="G269" s="185">
        <f>$J$269/4</f>
        <v>178424.24242424243</v>
      </c>
      <c r="H269" s="185">
        <f>$J$269/4</f>
        <v>178424.24242424243</v>
      </c>
      <c r="I269" s="185">
        <f>$J$269/4</f>
        <v>178424.24242424243</v>
      </c>
      <c r="J269" s="43">
        <f>M269/$O$17</f>
        <v>713696.96969696973</v>
      </c>
      <c r="K269" s="43">
        <f>SUM(D269:I269)</f>
        <v>713696.96969696973</v>
      </c>
      <c r="L269" s="42"/>
      <c r="M269" s="184">
        <v>2355200</v>
      </c>
      <c r="N269" s="42">
        <f>J269</f>
        <v>713696.96969696973</v>
      </c>
      <c r="O269" s="42"/>
    </row>
    <row r="270" spans="2:16" ht="29.25" customHeight="1" thickBot="1" x14ac:dyDescent="0.4">
      <c r="B270" s="237" t="s">
        <v>147</v>
      </c>
      <c r="C270" s="169" t="s">
        <v>118</v>
      </c>
      <c r="D270" s="169"/>
      <c r="E270" s="169"/>
      <c r="F270" s="169"/>
      <c r="G270" s="169"/>
      <c r="H270" s="169"/>
      <c r="I270" s="169"/>
      <c r="J270" s="46">
        <f>SUM(D270:I270)</f>
        <v>0</v>
      </c>
      <c r="K270" s="47">
        <f>SUM(E270:I270)</f>
        <v>0</v>
      </c>
      <c r="L270" s="169"/>
      <c r="M270" s="184"/>
      <c r="N270" s="169"/>
      <c r="O270" s="169"/>
    </row>
    <row r="271" spans="2:16" ht="37.5" customHeight="1" thickBot="1" x14ac:dyDescent="0.4">
      <c r="B271" s="237"/>
      <c r="C271" s="169" t="s">
        <v>29</v>
      </c>
      <c r="D271" s="169"/>
      <c r="E271" s="42">
        <f>(M271/2)/$O$17</f>
        <v>89212.121212121216</v>
      </c>
      <c r="F271" s="42">
        <f>J271-E271</f>
        <v>89212.121212121216</v>
      </c>
      <c r="G271" s="169"/>
      <c r="H271" s="169"/>
      <c r="I271" s="169"/>
      <c r="J271" s="43">
        <f>M271/$O$17</f>
        <v>178424.24242424243</v>
      </c>
      <c r="K271" s="43">
        <f>SUM(D271:I271)</f>
        <v>178424.24242424243</v>
      </c>
      <c r="L271" s="42"/>
      <c r="M271" s="184">
        <v>588800</v>
      </c>
      <c r="N271" s="42">
        <f>J271</f>
        <v>178424.24242424243</v>
      </c>
      <c r="O271" s="42"/>
    </row>
    <row r="272" spans="2:16" ht="24.95" customHeight="1" thickBot="1" x14ac:dyDescent="0.4">
      <c r="B272" s="237" t="s">
        <v>148</v>
      </c>
      <c r="C272" s="169" t="s">
        <v>149</v>
      </c>
      <c r="D272" s="169"/>
      <c r="E272" s="169"/>
      <c r="F272" s="169">
        <v>114</v>
      </c>
      <c r="G272" s="169">
        <v>113</v>
      </c>
      <c r="H272" s="169">
        <v>113</v>
      </c>
      <c r="I272" s="169"/>
      <c r="J272" s="46">
        <f>SUM(D272:I272)</f>
        <v>340</v>
      </c>
      <c r="K272" s="47">
        <f>SUM(E272:I272)</f>
        <v>340</v>
      </c>
      <c r="L272" s="169"/>
      <c r="M272" s="184"/>
      <c r="N272" s="169"/>
      <c r="O272" s="169"/>
    </row>
    <row r="273" spans="2:16" ht="27" customHeight="1" thickBot="1" x14ac:dyDescent="0.4">
      <c r="B273" s="237"/>
      <c r="C273" s="169" t="s">
        <v>29</v>
      </c>
      <c r="D273" s="169"/>
      <c r="E273" s="169"/>
      <c r="F273" s="42">
        <f>(M273/3)/$O$17</f>
        <v>348484.84848484851</v>
      </c>
      <c r="G273" s="42">
        <f>(M273/3)/$O$17</f>
        <v>348484.84848484851</v>
      </c>
      <c r="H273" s="42">
        <f>(M273/3)/$O$17</f>
        <v>348484.84848484851</v>
      </c>
      <c r="I273" s="169"/>
      <c r="J273" s="43">
        <f>M273/$O$17</f>
        <v>1045454.5454545455</v>
      </c>
      <c r="K273" s="43">
        <f>SUM(D273:I273)</f>
        <v>1045454.5454545455</v>
      </c>
      <c r="L273" s="42"/>
      <c r="M273" s="184">
        <v>3450000</v>
      </c>
      <c r="N273" s="42">
        <f>J273</f>
        <v>1045454.5454545455</v>
      </c>
      <c r="O273" s="42"/>
    </row>
    <row r="274" spans="2:16" ht="21.95" customHeight="1" thickBot="1" x14ac:dyDescent="0.4">
      <c r="B274" s="237" t="s">
        <v>150</v>
      </c>
      <c r="C274" s="169"/>
      <c r="D274" s="169"/>
      <c r="E274" s="169"/>
      <c r="F274" s="169"/>
      <c r="G274" s="169">
        <v>1</v>
      </c>
      <c r="H274" s="169">
        <v>1</v>
      </c>
      <c r="I274" s="169">
        <v>1</v>
      </c>
      <c r="J274" s="46">
        <f>SUM(D274:I274)</f>
        <v>3</v>
      </c>
      <c r="K274" s="47">
        <f>SUM(E274:I274)</f>
        <v>3</v>
      </c>
      <c r="L274" s="169"/>
      <c r="M274" s="184"/>
      <c r="N274" s="169"/>
      <c r="O274" s="169"/>
    </row>
    <row r="275" spans="2:16" ht="26.1" customHeight="1" thickBot="1" x14ac:dyDescent="0.4">
      <c r="B275" s="237"/>
      <c r="C275" s="169" t="s">
        <v>29</v>
      </c>
      <c r="D275" s="169"/>
      <c r="E275" s="169"/>
      <c r="F275" s="169"/>
      <c r="G275" s="42">
        <f>1766040/$O$17</f>
        <v>535163.63636363635</v>
      </c>
      <c r="H275" s="42">
        <f>1766040/$O$17</f>
        <v>535163.63636363635</v>
      </c>
      <c r="I275" s="42">
        <f>1766040/$O$17</f>
        <v>535163.63636363635</v>
      </c>
      <c r="J275" s="43">
        <f>M275/$O$17</f>
        <v>1605490.9090909092</v>
      </c>
      <c r="K275" s="43">
        <f>SUM(D275:I275)</f>
        <v>1605490.9090909092</v>
      </c>
      <c r="L275" s="42"/>
      <c r="M275" s="184">
        <v>5298120</v>
      </c>
      <c r="N275" s="42"/>
      <c r="O275" s="42">
        <f>J275</f>
        <v>1605490.9090909092</v>
      </c>
    </row>
    <row r="276" spans="2:16" s="16" customFormat="1" ht="25.5" customHeight="1" thickBot="1" x14ac:dyDescent="0.45">
      <c r="B276" s="174" t="s">
        <v>151</v>
      </c>
      <c r="C276" s="175"/>
      <c r="D276" s="176">
        <f t="shared" ref="D276:I276" si="57">SUMIF(D262:D275,"&gt;1000")</f>
        <v>0</v>
      </c>
      <c r="E276" s="176">
        <f t="shared" si="57"/>
        <v>3151757.5757575785</v>
      </c>
      <c r="F276" s="176">
        <f t="shared" si="57"/>
        <v>2392747.4121212121</v>
      </c>
      <c r="G276" s="176">
        <f t="shared" si="57"/>
        <v>2337991.9272727272</v>
      </c>
      <c r="H276" s="176">
        <f t="shared" si="57"/>
        <v>1837284.8772727274</v>
      </c>
      <c r="I276" s="176">
        <f t="shared" si="57"/>
        <v>1488800.0287878788</v>
      </c>
      <c r="J276" s="176">
        <f>SUMIF(J262:J275,"&gt;5000")</f>
        <v>11208581.821212128</v>
      </c>
      <c r="K276" s="176">
        <f>SUMIF(K262:K275,"&gt;1000")</f>
        <v>11208581.821212124</v>
      </c>
      <c r="L276" s="176"/>
      <c r="M276" s="176">
        <f>SUMIF(M262:M275,"&gt;1000")</f>
        <v>36988320.010000013</v>
      </c>
      <c r="N276" s="176">
        <f>SUMIF(N262:N275,"&gt;1000")</f>
        <v>9497030.3060606103</v>
      </c>
      <c r="O276" s="177">
        <f>SUMIF(O262:O275,"&gt;1000")</f>
        <v>1711551.5151515151</v>
      </c>
      <c r="P276" s="193"/>
    </row>
    <row r="277" spans="2:16" s="16" customFormat="1" ht="38.25" customHeight="1" thickBot="1" x14ac:dyDescent="0.45">
      <c r="B277" s="256" t="s">
        <v>152</v>
      </c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  <c r="M277" s="244"/>
      <c r="N277" s="40" t="s">
        <v>25</v>
      </c>
      <c r="O277" s="40" t="s">
        <v>26</v>
      </c>
    </row>
    <row r="278" spans="2:16" ht="29.45" customHeight="1" thickBot="1" x14ac:dyDescent="0.4">
      <c r="B278" s="237" t="s">
        <v>153</v>
      </c>
      <c r="C278" s="169" t="s">
        <v>122</v>
      </c>
      <c r="D278" s="169"/>
      <c r="E278" s="169">
        <v>1</v>
      </c>
      <c r="F278" s="206"/>
      <c r="G278" s="169"/>
      <c r="H278" s="169"/>
      <c r="I278" s="169"/>
      <c r="J278" s="46">
        <f>SUM(D278:I278)</f>
        <v>1</v>
      </c>
      <c r="K278" s="47">
        <v>1</v>
      </c>
      <c r="L278" s="169"/>
      <c r="M278" s="48"/>
      <c r="N278" s="169"/>
      <c r="O278" s="169"/>
    </row>
    <row r="279" spans="2:16" ht="33.75" customHeight="1" x14ac:dyDescent="0.35">
      <c r="B279" s="237"/>
      <c r="C279" s="169" t="s">
        <v>29</v>
      </c>
      <c r="D279" s="101"/>
      <c r="E279" s="101">
        <f>(26500000*0.3)/$O$17</f>
        <v>2409090.9090909092</v>
      </c>
      <c r="F279" s="101">
        <f>(12000000*0.3)/$O$17</f>
        <v>1090909.0909090911</v>
      </c>
      <c r="G279" s="101">
        <f>(N279-E279-F279)/3</f>
        <v>391666.66666666657</v>
      </c>
      <c r="H279" s="101">
        <f>G279</f>
        <v>391666.66666666657</v>
      </c>
      <c r="I279" s="101">
        <f>G279</f>
        <v>391666.66666666657</v>
      </c>
      <c r="J279" s="43">
        <f>M279/$O$17</f>
        <v>4675000</v>
      </c>
      <c r="K279" s="43">
        <f>SUM(D279:I279)</f>
        <v>4675000</v>
      </c>
      <c r="L279" s="42"/>
      <c r="M279" s="100">
        <f>N279*$O$17</f>
        <v>15427500</v>
      </c>
      <c r="N279" s="42">
        <v>4675000</v>
      </c>
      <c r="O279" s="42"/>
    </row>
    <row r="280" spans="2:16" ht="25.5" customHeight="1" thickBot="1" x14ac:dyDescent="0.4">
      <c r="B280" s="237" t="s">
        <v>154</v>
      </c>
      <c r="C280" s="169"/>
      <c r="D280" s="169"/>
      <c r="E280" s="169">
        <v>1</v>
      </c>
      <c r="F280" s="169">
        <v>1</v>
      </c>
      <c r="G280" s="169">
        <v>1</v>
      </c>
      <c r="H280" s="169"/>
      <c r="I280" s="169"/>
      <c r="J280" s="46">
        <f>SUM(D280:I280)</f>
        <v>3</v>
      </c>
      <c r="K280" s="47">
        <f>SUM(D280:I280)</f>
        <v>3</v>
      </c>
      <c r="L280" s="169"/>
      <c r="M280" s="48"/>
      <c r="N280" s="169"/>
      <c r="O280" s="169"/>
    </row>
    <row r="281" spans="2:16" ht="33" customHeight="1" thickBot="1" x14ac:dyDescent="0.4">
      <c r="B281" s="237"/>
      <c r="C281" s="169" t="s">
        <v>29</v>
      </c>
      <c r="D281" s="42"/>
      <c r="E281" s="42">
        <f>2500000/$O$17</f>
        <v>757575.75757575757</v>
      </c>
      <c r="F281" s="42">
        <f>3000000/$O$17</f>
        <v>909090.90909090918</v>
      </c>
      <c r="G281" s="42">
        <f>N281-E281-F281</f>
        <v>458333.33333333326</v>
      </c>
      <c r="H281" s="42"/>
      <c r="I281" s="42"/>
      <c r="J281" s="43">
        <f>M281/$O$17</f>
        <v>2125000</v>
      </c>
      <c r="K281" s="43">
        <f>SUM(D281:I281)</f>
        <v>2125000</v>
      </c>
      <c r="L281" s="42"/>
      <c r="M281" s="100">
        <f>N281*$O$17</f>
        <v>7012500</v>
      </c>
      <c r="N281" s="42">
        <v>2125000</v>
      </c>
      <c r="O281" s="42"/>
    </row>
    <row r="282" spans="2:16" ht="33" customHeight="1" thickBot="1" x14ac:dyDescent="0.4">
      <c r="B282" s="215" t="s">
        <v>155</v>
      </c>
      <c r="C282" s="169" t="s">
        <v>118</v>
      </c>
      <c r="D282" s="42"/>
      <c r="E282" s="105">
        <v>1</v>
      </c>
      <c r="F282" s="105">
        <v>1</v>
      </c>
      <c r="G282" s="42"/>
      <c r="H282" s="42"/>
      <c r="I282" s="42"/>
      <c r="J282" s="46">
        <f>SUM(D282:I282)</f>
        <v>2</v>
      </c>
      <c r="K282" s="76">
        <v>2</v>
      </c>
      <c r="L282" s="42"/>
      <c r="M282" s="100"/>
      <c r="N282" s="42"/>
      <c r="O282" s="42"/>
    </row>
    <row r="283" spans="2:16" ht="33" customHeight="1" thickBot="1" x14ac:dyDescent="0.4">
      <c r="B283" s="215"/>
      <c r="C283" s="169" t="s">
        <v>29</v>
      </c>
      <c r="D283" s="42"/>
      <c r="E283" s="42">
        <f>$N$283/2</f>
        <v>300000</v>
      </c>
      <c r="F283" s="42">
        <f>$N$283/2</f>
        <v>300000</v>
      </c>
      <c r="G283" s="42"/>
      <c r="H283" s="42"/>
      <c r="I283" s="42"/>
      <c r="J283" s="43">
        <f>M283/$O$17</f>
        <v>600000</v>
      </c>
      <c r="K283" s="43">
        <f>SUM(D283:I283)</f>
        <v>600000</v>
      </c>
      <c r="L283" s="42"/>
      <c r="M283" s="100">
        <f>N283*$O$17</f>
        <v>1980000</v>
      </c>
      <c r="N283" s="42">
        <v>600000</v>
      </c>
      <c r="O283" s="42"/>
    </row>
    <row r="284" spans="2:16" s="16" customFormat="1" ht="24.75" customHeight="1" thickBot="1" x14ac:dyDescent="0.45">
      <c r="B284" s="140" t="s">
        <v>156</v>
      </c>
      <c r="C284" s="143"/>
      <c r="D284" s="141">
        <f t="shared" ref="D284" si="58">SUM(D279+D281)</f>
        <v>0</v>
      </c>
      <c r="E284" s="141">
        <f t="shared" ref="E284:K284" si="59">SUMIF(E278:E283,"&gt;1000")</f>
        <v>3466666.666666667</v>
      </c>
      <c r="F284" s="141">
        <f t="shared" si="59"/>
        <v>2300000</v>
      </c>
      <c r="G284" s="141">
        <f t="shared" si="59"/>
        <v>849999.99999999977</v>
      </c>
      <c r="H284" s="141">
        <f t="shared" si="59"/>
        <v>391666.66666666657</v>
      </c>
      <c r="I284" s="141">
        <f t="shared" si="59"/>
        <v>391666.66666666657</v>
      </c>
      <c r="J284" s="141">
        <f t="shared" si="59"/>
        <v>7400000</v>
      </c>
      <c r="K284" s="141">
        <f t="shared" si="59"/>
        <v>7400000</v>
      </c>
      <c r="L284" s="141"/>
      <c r="M284" s="141">
        <f>SUMIF(M278:M283,"&gt;1000")</f>
        <v>24420000</v>
      </c>
      <c r="N284" s="141">
        <f>SUMIF(N278:N283,"&gt;1000")</f>
        <v>7400000</v>
      </c>
      <c r="O284" s="142">
        <f>SUM(O279+O281)</f>
        <v>0</v>
      </c>
      <c r="P284" s="193"/>
    </row>
    <row r="285" spans="2:16" s="16" customFormat="1" ht="38.25" customHeight="1" thickBot="1" x14ac:dyDescent="0.45">
      <c r="B285" s="251" t="s">
        <v>157</v>
      </c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3"/>
      <c r="N285" s="40" t="s">
        <v>25</v>
      </c>
      <c r="O285" s="40" t="s">
        <v>26</v>
      </c>
    </row>
    <row r="286" spans="2:16" ht="21" customHeight="1" thickBot="1" x14ac:dyDescent="0.4">
      <c r="B286" s="237" t="s">
        <v>158</v>
      </c>
      <c r="C286" s="169"/>
      <c r="D286" s="169"/>
      <c r="E286" s="169"/>
      <c r="F286" s="169"/>
      <c r="G286" s="169"/>
      <c r="H286" s="169"/>
      <c r="I286" s="169"/>
      <c r="J286" s="46">
        <f>SUM(D286:I286)</f>
        <v>0</v>
      </c>
      <c r="K286" s="47">
        <f t="shared" ref="K286:K293" si="60">SUM(E286:I286)</f>
        <v>0</v>
      </c>
      <c r="L286" s="169"/>
      <c r="M286" s="44"/>
      <c r="N286" s="169"/>
      <c r="O286" s="169"/>
    </row>
    <row r="287" spans="2:16" ht="21" customHeight="1" thickBot="1" x14ac:dyDescent="0.4">
      <c r="B287" s="237"/>
      <c r="C287" s="169" t="s">
        <v>29</v>
      </c>
      <c r="D287" s="169"/>
      <c r="E287" s="45">
        <v>1210000</v>
      </c>
      <c r="F287" s="45">
        <f>1000000</f>
        <v>1000000</v>
      </c>
      <c r="G287" s="45">
        <f>F287</f>
        <v>1000000</v>
      </c>
      <c r="H287" s="45">
        <f>G287</f>
        <v>1000000</v>
      </c>
      <c r="I287" s="45">
        <f>H287</f>
        <v>1000000</v>
      </c>
      <c r="J287" s="43">
        <f>K287</f>
        <v>5210000</v>
      </c>
      <c r="K287" s="43">
        <f t="shared" si="60"/>
        <v>5210000</v>
      </c>
      <c r="L287" s="42"/>
      <c r="M287" s="44">
        <f>K287*$O$17</f>
        <v>17193000</v>
      </c>
      <c r="N287" s="42">
        <f>J287</f>
        <v>5210000</v>
      </c>
      <c r="O287" s="42"/>
    </row>
    <row r="288" spans="2:16" ht="21" customHeight="1" thickBot="1" x14ac:dyDescent="0.4">
      <c r="B288" s="237" t="s">
        <v>159</v>
      </c>
      <c r="C288" s="169" t="s">
        <v>118</v>
      </c>
      <c r="D288" s="169"/>
      <c r="E288" s="169">
        <v>1</v>
      </c>
      <c r="F288" s="169">
        <v>1</v>
      </c>
      <c r="G288" s="169">
        <v>1</v>
      </c>
      <c r="H288" s="169">
        <v>1</v>
      </c>
      <c r="I288" s="169">
        <v>1</v>
      </c>
      <c r="J288" s="46">
        <f>SUM(D288:I288)</f>
        <v>5</v>
      </c>
      <c r="K288" s="47">
        <f t="shared" si="60"/>
        <v>5</v>
      </c>
      <c r="L288" s="169"/>
      <c r="M288" s="186"/>
      <c r="N288" s="169"/>
      <c r="O288" s="169"/>
    </row>
    <row r="289" spans="2:15" ht="21" customHeight="1" thickBot="1" x14ac:dyDescent="0.4">
      <c r="B289" s="237"/>
      <c r="C289" s="169" t="s">
        <v>29</v>
      </c>
      <c r="D289" s="169"/>
      <c r="E289" s="42">
        <f>165000/O17</f>
        <v>50000</v>
      </c>
      <c r="F289" s="42">
        <f>E289</f>
        <v>50000</v>
      </c>
      <c r="G289" s="42">
        <f>E289</f>
        <v>50000</v>
      </c>
      <c r="H289" s="42">
        <f>E289</f>
        <v>50000</v>
      </c>
      <c r="I289" s="42">
        <f>E289</f>
        <v>50000</v>
      </c>
      <c r="J289" s="43">
        <f>M289/$O$17</f>
        <v>250000</v>
      </c>
      <c r="K289" s="43">
        <f t="shared" si="60"/>
        <v>250000</v>
      </c>
      <c r="L289" s="42"/>
      <c r="M289" s="186">
        <v>825000</v>
      </c>
      <c r="N289" s="42">
        <f>J289</f>
        <v>250000</v>
      </c>
      <c r="O289" s="42"/>
    </row>
    <row r="290" spans="2:15" ht="21" customHeight="1" thickBot="1" x14ac:dyDescent="0.4">
      <c r="B290" s="237" t="s">
        <v>160</v>
      </c>
      <c r="C290" s="169" t="s">
        <v>118</v>
      </c>
      <c r="D290" s="169"/>
      <c r="E290" s="169">
        <v>1</v>
      </c>
      <c r="F290" s="169"/>
      <c r="G290" s="169"/>
      <c r="H290" s="169"/>
      <c r="I290" s="169">
        <v>1</v>
      </c>
      <c r="J290" s="46">
        <f>SUM(D290:I290)</f>
        <v>2</v>
      </c>
      <c r="K290" s="47">
        <f t="shared" si="60"/>
        <v>2</v>
      </c>
      <c r="L290" s="169"/>
      <c r="M290" s="186"/>
      <c r="N290" s="169"/>
      <c r="O290" s="169"/>
    </row>
    <row r="291" spans="2:15" ht="21" customHeight="1" thickBot="1" x14ac:dyDescent="0.4">
      <c r="B291" s="237"/>
      <c r="C291" s="169" t="s">
        <v>29</v>
      </c>
      <c r="D291" s="169"/>
      <c r="E291" s="42">
        <v>350000</v>
      </c>
      <c r="F291" s="42"/>
      <c r="G291" s="169"/>
      <c r="H291" s="169"/>
      <c r="I291" s="178">
        <v>350000</v>
      </c>
      <c r="J291" s="43">
        <f>M291/$O$17</f>
        <v>700000</v>
      </c>
      <c r="K291" s="43">
        <f t="shared" si="60"/>
        <v>700000</v>
      </c>
      <c r="L291" s="42"/>
      <c r="M291" s="186">
        <f>K291*$O$17</f>
        <v>2310000</v>
      </c>
      <c r="N291" s="42">
        <f>J291</f>
        <v>700000</v>
      </c>
      <c r="O291" s="42"/>
    </row>
    <row r="292" spans="2:15" ht="21" customHeight="1" thickBot="1" x14ac:dyDescent="0.4">
      <c r="B292" s="237" t="s">
        <v>161</v>
      </c>
      <c r="C292" s="169" t="s">
        <v>118</v>
      </c>
      <c r="D292" s="169"/>
      <c r="E292" s="169"/>
      <c r="F292" s="169"/>
      <c r="G292" s="169">
        <v>1</v>
      </c>
      <c r="H292" s="169"/>
      <c r="I292" s="169">
        <v>1</v>
      </c>
      <c r="J292" s="46">
        <f>SUM(D292:I292)</f>
        <v>2</v>
      </c>
      <c r="K292" s="47">
        <f t="shared" si="60"/>
        <v>2</v>
      </c>
      <c r="L292" s="169"/>
      <c r="M292" s="186"/>
      <c r="N292" s="169"/>
      <c r="O292" s="169"/>
    </row>
    <row r="293" spans="2:15" ht="21" customHeight="1" thickBot="1" x14ac:dyDescent="0.4">
      <c r="B293" s="237"/>
      <c r="C293" s="169" t="s">
        <v>29</v>
      </c>
      <c r="D293" s="45"/>
      <c r="E293" s="45"/>
      <c r="F293" s="45"/>
      <c r="G293" s="45">
        <v>150000</v>
      </c>
      <c r="H293" s="45"/>
      <c r="I293" s="45">
        <f>G293</f>
        <v>150000</v>
      </c>
      <c r="J293" s="187">
        <f>M293/$O$17</f>
        <v>300000</v>
      </c>
      <c r="K293" s="43">
        <f t="shared" si="60"/>
        <v>300000</v>
      </c>
      <c r="L293" s="42"/>
      <c r="M293" s="186">
        <f>K293*$O$17</f>
        <v>990000</v>
      </c>
      <c r="N293" s="42">
        <f>K293</f>
        <v>300000</v>
      </c>
      <c r="O293" s="42"/>
    </row>
    <row r="294" spans="2:15" s="16" customFormat="1" ht="22.5" customHeight="1" thickBot="1" x14ac:dyDescent="0.45">
      <c r="B294" s="137" t="s">
        <v>162</v>
      </c>
      <c r="C294" s="140"/>
      <c r="D294" s="141">
        <f t="shared" ref="D294" si="61">SUM(D287,D289,D291,D293)</f>
        <v>0</v>
      </c>
      <c r="E294" s="141">
        <f t="shared" ref="E294:K294" si="62">SUMIF(E286:E293,"&gt;1000")</f>
        <v>1610000</v>
      </c>
      <c r="F294" s="141">
        <f t="shared" si="62"/>
        <v>1050000</v>
      </c>
      <c r="G294" s="141">
        <f t="shared" si="62"/>
        <v>1200000</v>
      </c>
      <c r="H294" s="141">
        <f t="shared" si="62"/>
        <v>1050000</v>
      </c>
      <c r="I294" s="141">
        <f t="shared" si="62"/>
        <v>1550000</v>
      </c>
      <c r="J294" s="141">
        <f t="shared" si="62"/>
        <v>6460000</v>
      </c>
      <c r="K294" s="141">
        <f t="shared" si="62"/>
        <v>6460000</v>
      </c>
      <c r="L294" s="141"/>
      <c r="M294" s="141">
        <f>SUMIF(M286:M293,"&gt;1000")</f>
        <v>21318000</v>
      </c>
      <c r="N294" s="141">
        <f>SUMIF(N286:N293,"&gt;1000")</f>
        <v>6460000</v>
      </c>
      <c r="O294" s="142">
        <f>SUM(O287,O289,O291,O293)</f>
        <v>0</v>
      </c>
    </row>
    <row r="295" spans="2:15" s="16" customFormat="1" ht="26.25" customHeight="1" thickBot="1" x14ac:dyDescent="0.45">
      <c r="B295" s="144" t="s">
        <v>163</v>
      </c>
      <c r="C295" s="145"/>
      <c r="D295" s="146">
        <f t="shared" ref="D295:K295" si="63">SUM(D232+D260+D276+D284+D294)</f>
        <v>11919191.919191919</v>
      </c>
      <c r="E295" s="146">
        <f>SUM(E232+E260+E276+E284+E294)</f>
        <v>63565961.363636352</v>
      </c>
      <c r="F295" s="146">
        <f t="shared" si="63"/>
        <v>76774877.598080799</v>
      </c>
      <c r="G295" s="146">
        <f t="shared" si="63"/>
        <v>18655829.13592593</v>
      </c>
      <c r="H295" s="146">
        <f t="shared" si="63"/>
        <v>17607764.558181822</v>
      </c>
      <c r="I295" s="146">
        <f t="shared" si="63"/>
        <v>11476375.428619532</v>
      </c>
      <c r="J295" s="146">
        <f>SUM(J232+J260+J276+J284+J294)</f>
        <v>198636363.63999999</v>
      </c>
      <c r="K295" s="146">
        <f t="shared" si="63"/>
        <v>200000000.00363636</v>
      </c>
      <c r="L295" s="146"/>
      <c r="M295" s="147">
        <f>SUM(M232+M260+M276+M284+M294)</f>
        <v>626340000.01199996</v>
      </c>
      <c r="N295" s="146">
        <f>SUM(N232+N260+N276+N284+N294)</f>
        <v>98636363.640000015</v>
      </c>
      <c r="O295" s="148">
        <f>SUM(O232+O260+O276+O284+O294)</f>
        <v>100000000</v>
      </c>
    </row>
    <row r="296" spans="2:15" ht="27" customHeight="1" thickBot="1" x14ac:dyDescent="0.45">
      <c r="M296" s="23" t="s">
        <v>164</v>
      </c>
      <c r="N296" s="254">
        <f>SUM(N295,O295)</f>
        <v>198636363.64000002</v>
      </c>
      <c r="O296" s="255"/>
    </row>
    <row r="297" spans="2:15" ht="28.5" customHeight="1" x14ac:dyDescent="0.4">
      <c r="M297" s="23" t="s">
        <v>165</v>
      </c>
      <c r="N297" s="24">
        <f>N295/N296</f>
        <v>0.49656750573003999</v>
      </c>
      <c r="O297" s="24">
        <f>O295/N296</f>
        <v>0.50343249426995995</v>
      </c>
    </row>
    <row r="299" spans="2:15" s="36" customFormat="1" ht="21.75" customHeight="1" x14ac:dyDescent="0.45">
      <c r="B299" s="35"/>
      <c r="C299" s="29"/>
      <c r="J299" s="37"/>
      <c r="K299" s="37"/>
      <c r="N299" s="38">
        <v>100000000</v>
      </c>
      <c r="O299" s="38">
        <v>100000000</v>
      </c>
    </row>
    <row r="300" spans="2:15" s="36" customFormat="1" ht="21.75" customHeight="1" x14ac:dyDescent="0.45">
      <c r="B300" s="35"/>
      <c r="C300" s="29"/>
      <c r="J300" s="37"/>
      <c r="K300" s="37"/>
      <c r="N300" s="39">
        <f>N299-N295</f>
        <v>1363636.3599999845</v>
      </c>
      <c r="O300" s="39">
        <f>O299-O295</f>
        <v>0</v>
      </c>
    </row>
    <row r="301" spans="2:15" x14ac:dyDescent="0.4">
      <c r="N301" s="103"/>
      <c r="O301" s="22"/>
    </row>
    <row r="302" spans="2:15" x14ac:dyDescent="0.4">
      <c r="C302" s="23" t="s">
        <v>166</v>
      </c>
      <c r="D302" s="23" t="s">
        <v>167</v>
      </c>
      <c r="E302" s="23" t="s">
        <v>168</v>
      </c>
      <c r="F302" s="23" t="s">
        <v>169</v>
      </c>
      <c r="N302" s="103"/>
    </row>
    <row r="303" spans="2:15" x14ac:dyDescent="0.4">
      <c r="C303" s="29" t="s">
        <v>170</v>
      </c>
      <c r="D303" s="30">
        <f>D295</f>
        <v>11919191.919191919</v>
      </c>
      <c r="E303" s="31">
        <f>D295-D73-D77-D95-D101-D117-D183-D267-D275</f>
        <v>2.3283064365386963E-10</v>
      </c>
      <c r="F303" s="31">
        <f>D73+D77+D95+D101+D117+D183+D267+D275</f>
        <v>11919191.919191919</v>
      </c>
      <c r="G303" s="28">
        <f t="shared" ref="G303:G308" si="64">D303-E303-F303</f>
        <v>0</v>
      </c>
      <c r="M303" s="26"/>
      <c r="O303" s="103"/>
    </row>
    <row r="304" spans="2:15" x14ac:dyDescent="0.4">
      <c r="C304" s="29" t="s">
        <v>171</v>
      </c>
      <c r="D304" s="30">
        <f>E295</f>
        <v>63565961.363636352</v>
      </c>
      <c r="E304" s="31">
        <f>E295-E73-E77-E95-E101-E117-E183-E267-E275</f>
        <v>33362931.060606051</v>
      </c>
      <c r="F304" s="31">
        <f>E73+E77+E95+E101+E117+E183+E267+E275</f>
        <v>30203030.303030301</v>
      </c>
      <c r="G304" s="28">
        <f t="shared" si="64"/>
        <v>0</v>
      </c>
      <c r="M304" s="27"/>
    </row>
    <row r="305" spans="3:15" x14ac:dyDescent="0.4">
      <c r="C305" s="29" t="s">
        <v>172</v>
      </c>
      <c r="D305" s="30">
        <f>F295</f>
        <v>76774877.598080799</v>
      </c>
      <c r="E305" s="31">
        <f>F295-F73-F77-F95-F101-F117-F183-F267-F275</f>
        <v>39660736.183939382</v>
      </c>
      <c r="F305" s="31">
        <f>F73+F77+F95+F101+F117+F183+F267+F275</f>
        <v>37114141.414141417</v>
      </c>
      <c r="G305" s="28">
        <f t="shared" si="64"/>
        <v>0</v>
      </c>
      <c r="M305" s="27"/>
    </row>
    <row r="306" spans="3:15" x14ac:dyDescent="0.4">
      <c r="C306" s="29" t="s">
        <v>173</v>
      </c>
      <c r="D306" s="30">
        <f>G295</f>
        <v>18655829.13592593</v>
      </c>
      <c r="E306" s="31">
        <f>G295-G73-G77-G95-G101-G117-G183-G267-G275</f>
        <v>15096969.876666669</v>
      </c>
      <c r="F306" s="31">
        <f>G73+G77+G95+G101+G117+G183+G267+G275</f>
        <v>3558859.2592592612</v>
      </c>
      <c r="G306" s="28">
        <f t="shared" si="64"/>
        <v>0</v>
      </c>
    </row>
    <row r="307" spans="3:15" x14ac:dyDescent="0.4">
      <c r="C307" s="29" t="s">
        <v>174</v>
      </c>
      <c r="D307" s="30">
        <f>H295</f>
        <v>17607764.558181822</v>
      </c>
      <c r="E307" s="31">
        <f>H295-H73-H77-H95-H101-H117-H183-H267-H275</f>
        <v>7796558.4975757562</v>
      </c>
      <c r="F307" s="31">
        <f>H73+H77+H95+H101+H117+H183+H267+H275</f>
        <v>9811206.0606060661</v>
      </c>
      <c r="G307" s="28">
        <f t="shared" si="64"/>
        <v>0</v>
      </c>
    </row>
    <row r="308" spans="3:15" x14ac:dyDescent="0.4">
      <c r="C308" s="29" t="s">
        <v>175</v>
      </c>
      <c r="D308" s="30">
        <f>I295</f>
        <v>11476375.428619532</v>
      </c>
      <c r="E308" s="31">
        <f>I295-I73-I77-I95-I101-I117-I183-I267-I275</f>
        <v>4082804.3848484834</v>
      </c>
      <c r="F308" s="31">
        <f>I73+I77+I95+I101+I117+I183+I267+I275</f>
        <v>7393571.0437710471</v>
      </c>
      <c r="G308" s="28">
        <f t="shared" si="64"/>
        <v>0</v>
      </c>
    </row>
    <row r="309" spans="3:15" ht="21.75" customHeight="1" x14ac:dyDescent="0.4">
      <c r="C309" s="23" t="s">
        <v>167</v>
      </c>
      <c r="D309" s="32">
        <f>SUM(D303:D308)</f>
        <v>200000000.00363636</v>
      </c>
      <c r="E309" s="32">
        <f>SUM(E303:E308)</f>
        <v>100000000.00363635</v>
      </c>
      <c r="F309" s="32">
        <f>SUM(F303:F308)</f>
        <v>100000000.00000001</v>
      </c>
      <c r="G309" s="28">
        <f>D309-N296</f>
        <v>1363636.3636363447</v>
      </c>
      <c r="O309" s="103"/>
    </row>
  </sheetData>
  <mergeCells count="145">
    <mergeCell ref="B285:M285"/>
    <mergeCell ref="B286:B287"/>
    <mergeCell ref="B288:B289"/>
    <mergeCell ref="B290:B291"/>
    <mergeCell ref="B292:B293"/>
    <mergeCell ref="N296:O296"/>
    <mergeCell ref="B272:B273"/>
    <mergeCell ref="B274:B275"/>
    <mergeCell ref="B277:M277"/>
    <mergeCell ref="B278:B279"/>
    <mergeCell ref="B280:B281"/>
    <mergeCell ref="B282:B283"/>
    <mergeCell ref="B261:M261"/>
    <mergeCell ref="B262:B263"/>
    <mergeCell ref="B264:B265"/>
    <mergeCell ref="B266:B267"/>
    <mergeCell ref="B268:B269"/>
    <mergeCell ref="B270:B271"/>
    <mergeCell ref="B248:B249"/>
    <mergeCell ref="B250:B251"/>
    <mergeCell ref="B252:B253"/>
    <mergeCell ref="B254:B255"/>
    <mergeCell ref="B256:B257"/>
    <mergeCell ref="B258:B259"/>
    <mergeCell ref="B236:B237"/>
    <mergeCell ref="B238:B239"/>
    <mergeCell ref="B240:B241"/>
    <mergeCell ref="B242:B243"/>
    <mergeCell ref="B244:B245"/>
    <mergeCell ref="B246:B247"/>
    <mergeCell ref="B226:B227"/>
    <mergeCell ref="B228:B229"/>
    <mergeCell ref="B230:B231"/>
    <mergeCell ref="B232:C232"/>
    <mergeCell ref="B233:M233"/>
    <mergeCell ref="B234:B235"/>
    <mergeCell ref="B214:B215"/>
    <mergeCell ref="B216:B217"/>
    <mergeCell ref="B218:B219"/>
    <mergeCell ref="B220:B221"/>
    <mergeCell ref="B222:B223"/>
    <mergeCell ref="B224:B225"/>
    <mergeCell ref="B202:B203"/>
    <mergeCell ref="B204:B205"/>
    <mergeCell ref="B206:B207"/>
    <mergeCell ref="B208:B209"/>
    <mergeCell ref="B210:B211"/>
    <mergeCell ref="B212:B213"/>
    <mergeCell ref="B190:B191"/>
    <mergeCell ref="B192:B193"/>
    <mergeCell ref="B194:B195"/>
    <mergeCell ref="B196:B197"/>
    <mergeCell ref="B198:B199"/>
    <mergeCell ref="B200:B201"/>
    <mergeCell ref="B178:B179"/>
    <mergeCell ref="B180:B181"/>
    <mergeCell ref="B182:B183"/>
    <mergeCell ref="B184:B185"/>
    <mergeCell ref="B186:B187"/>
    <mergeCell ref="B188:B189"/>
    <mergeCell ref="B166:B167"/>
    <mergeCell ref="B168:B169"/>
    <mergeCell ref="B170:B171"/>
    <mergeCell ref="B172:B173"/>
    <mergeCell ref="B174:B175"/>
    <mergeCell ref="B176:B177"/>
    <mergeCell ref="B154:B155"/>
    <mergeCell ref="B156:B157"/>
    <mergeCell ref="B158:B159"/>
    <mergeCell ref="B160:B161"/>
    <mergeCell ref="B162:B163"/>
    <mergeCell ref="B164:B165"/>
    <mergeCell ref="B142:B143"/>
    <mergeCell ref="B144:B145"/>
    <mergeCell ref="B146:B147"/>
    <mergeCell ref="B148:B149"/>
    <mergeCell ref="B150:B151"/>
    <mergeCell ref="B152:B153"/>
    <mergeCell ref="B130:B131"/>
    <mergeCell ref="B132:B133"/>
    <mergeCell ref="B134:B135"/>
    <mergeCell ref="B136:B137"/>
    <mergeCell ref="B138:B139"/>
    <mergeCell ref="B140:B141"/>
    <mergeCell ref="B118:B119"/>
    <mergeCell ref="B120:B121"/>
    <mergeCell ref="B122:B123"/>
    <mergeCell ref="B124:B125"/>
    <mergeCell ref="B126:B127"/>
    <mergeCell ref="B128:B129"/>
    <mergeCell ref="B106:B107"/>
    <mergeCell ref="B108:B109"/>
    <mergeCell ref="B110:B111"/>
    <mergeCell ref="B112:B113"/>
    <mergeCell ref="B114:B115"/>
    <mergeCell ref="B116:B117"/>
    <mergeCell ref="B94:B95"/>
    <mergeCell ref="B96:B97"/>
    <mergeCell ref="B98:B99"/>
    <mergeCell ref="B100:B101"/>
    <mergeCell ref="B102:B103"/>
    <mergeCell ref="B104:B105"/>
    <mergeCell ref="B80:B81"/>
    <mergeCell ref="B82:B83"/>
    <mergeCell ref="B84:B85"/>
    <mergeCell ref="B88:B89"/>
    <mergeCell ref="B90:B91"/>
    <mergeCell ref="B92:B93"/>
    <mergeCell ref="B86:B87"/>
    <mergeCell ref="B68:B69"/>
    <mergeCell ref="B70:B71"/>
    <mergeCell ref="B72:B73"/>
    <mergeCell ref="B74:B75"/>
    <mergeCell ref="B76:B77"/>
    <mergeCell ref="B78:B79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C2:O2"/>
    <mergeCell ref="B5:I5"/>
    <mergeCell ref="B7:I7"/>
    <mergeCell ref="B9:I9"/>
    <mergeCell ref="B11:I11"/>
    <mergeCell ref="N18:O18"/>
  </mergeCells>
  <pageMargins left="0.70866141732283472" right="0.70866141732283472" top="0.93" bottom="0.43" header="0.31496062992125984" footer="0.31496062992125984"/>
  <pageSetup paperSize="8" scale="47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38"/>
  <sheetViews>
    <sheetView workbookViewId="0">
      <selection activeCell="G2" sqref="G2"/>
    </sheetView>
  </sheetViews>
  <sheetFormatPr defaultColWidth="9.1328125" defaultRowHeight="14.25" x14ac:dyDescent="0.45"/>
  <cols>
    <col min="1" max="1" width="12.3984375" bestFit="1" customWidth="1"/>
    <col min="2" max="2" width="17.1328125" customWidth="1"/>
    <col min="3" max="3" width="19.1328125" customWidth="1"/>
    <col min="4" max="4" width="17.73046875" customWidth="1"/>
    <col min="5" max="5" width="15.3984375" customWidth="1"/>
    <col min="6" max="6" width="16.86328125" bestFit="1" customWidth="1"/>
    <col min="7" max="7" width="16.3984375" bestFit="1" customWidth="1"/>
    <col min="8" max="10" width="15.3984375" bestFit="1" customWidth="1"/>
    <col min="11" max="11" width="10.3984375" bestFit="1" customWidth="1"/>
    <col min="12" max="12" width="11.3984375" bestFit="1" customWidth="1"/>
    <col min="13" max="13" width="12.73046875" bestFit="1" customWidth="1"/>
  </cols>
  <sheetData>
    <row r="2" spans="2:13" ht="14.65" thickBot="1" x14ac:dyDescent="0.5">
      <c r="B2" s="188">
        <f t="shared" ref="B2:F2" si="0">60606060.61/18</f>
        <v>3367003.367222222</v>
      </c>
      <c r="C2" s="188">
        <f t="shared" si="0"/>
        <v>3367003.367222222</v>
      </c>
      <c r="D2" s="188">
        <f t="shared" si="0"/>
        <v>3367003.367222222</v>
      </c>
      <c r="E2" s="188">
        <f t="shared" si="0"/>
        <v>3367003.367222222</v>
      </c>
      <c r="F2" s="188">
        <f t="shared" si="0"/>
        <v>3367003.367222222</v>
      </c>
      <c r="G2" s="189">
        <f>SUM(B2:F2)*3.3</f>
        <v>55555555.559166662</v>
      </c>
      <c r="H2">
        <v>4080000</v>
      </c>
    </row>
    <row r="3" spans="2:13" x14ac:dyDescent="0.45">
      <c r="B3" s="67"/>
      <c r="C3" s="84"/>
      <c r="D3" s="83"/>
      <c r="E3" s="83" t="s">
        <v>176</v>
      </c>
      <c r="F3" s="83" t="s">
        <v>177</v>
      </c>
      <c r="G3" s="83"/>
      <c r="I3" s="82" t="s">
        <v>178</v>
      </c>
      <c r="J3" s="82"/>
      <c r="L3" s="87">
        <v>12361995.454545453</v>
      </c>
      <c r="M3" s="78">
        <v>15393939.393939391</v>
      </c>
    </row>
    <row r="4" spans="2:13" x14ac:dyDescent="0.45">
      <c r="B4" s="68"/>
      <c r="C4" s="93" t="s">
        <v>179</v>
      </c>
      <c r="D4" s="91" t="s">
        <v>180</v>
      </c>
      <c r="E4" s="92">
        <v>2</v>
      </c>
      <c r="F4" s="91">
        <f>E4*$H$2</f>
        <v>8160000</v>
      </c>
      <c r="G4" s="91">
        <f>F4/3.3</f>
        <v>2472727.2727272729</v>
      </c>
      <c r="I4">
        <v>2000000</v>
      </c>
      <c r="L4" s="87">
        <f>G14</f>
        <v>4945454.5454545459</v>
      </c>
      <c r="M4" s="79">
        <f>G9</f>
        <v>11127272.727272728</v>
      </c>
    </row>
    <row r="5" spans="2:13" x14ac:dyDescent="0.45">
      <c r="C5" s="94" t="s">
        <v>181</v>
      </c>
      <c r="D5" s="92" t="s">
        <v>182</v>
      </c>
      <c r="E5" s="89">
        <v>1</v>
      </c>
      <c r="F5" s="91">
        <f t="shared" ref="F5:F8" si="1">E5*$H$2</f>
        <v>4080000</v>
      </c>
      <c r="G5" s="91">
        <f t="shared" ref="G5:G13" si="2">F5/3.3</f>
        <v>1236363.6363636365</v>
      </c>
      <c r="I5">
        <v>1000000</v>
      </c>
      <c r="L5" s="87">
        <f>J14</f>
        <v>1212121.2121212122</v>
      </c>
      <c r="M5">
        <f>J9</f>
        <v>2424242.4242424243</v>
      </c>
    </row>
    <row r="6" spans="2:13" x14ac:dyDescent="0.45">
      <c r="C6" s="94"/>
      <c r="D6" s="92" t="s">
        <v>183</v>
      </c>
      <c r="E6" s="89">
        <v>2</v>
      </c>
      <c r="F6" s="91">
        <f t="shared" si="1"/>
        <v>8160000</v>
      </c>
      <c r="G6" s="91">
        <f t="shared" si="2"/>
        <v>2472727.2727272729</v>
      </c>
      <c r="I6">
        <v>2000000</v>
      </c>
      <c r="L6" s="87">
        <f>J27</f>
        <v>1515151.5151515151</v>
      </c>
    </row>
    <row r="7" spans="2:13" x14ac:dyDescent="0.45">
      <c r="C7" s="94"/>
      <c r="D7" s="92" t="s">
        <v>184</v>
      </c>
      <c r="E7" s="89">
        <v>2</v>
      </c>
      <c r="F7" s="91">
        <f t="shared" si="1"/>
        <v>8160000</v>
      </c>
      <c r="G7" s="91">
        <f t="shared" si="2"/>
        <v>2472727.2727272729</v>
      </c>
      <c r="I7">
        <v>1000000</v>
      </c>
      <c r="L7" s="87">
        <f>E38</f>
        <v>1090909.0909090911</v>
      </c>
      <c r="M7" s="81"/>
    </row>
    <row r="8" spans="2:13" x14ac:dyDescent="0.45">
      <c r="C8" s="94"/>
      <c r="D8" s="92" t="s">
        <v>185</v>
      </c>
      <c r="E8" s="89">
        <v>2</v>
      </c>
      <c r="F8" s="91">
        <f t="shared" si="1"/>
        <v>8160000</v>
      </c>
      <c r="G8" s="91">
        <f t="shared" si="2"/>
        <v>2472727.2727272729</v>
      </c>
      <c r="I8">
        <v>2000000</v>
      </c>
      <c r="L8" s="87">
        <f>G27</f>
        <v>4545454.5454545459</v>
      </c>
    </row>
    <row r="9" spans="2:13" x14ac:dyDescent="0.45">
      <c r="F9" s="79">
        <f>SUM(F4:F8)</f>
        <v>36720000</v>
      </c>
      <c r="G9" s="68">
        <f t="shared" si="2"/>
        <v>11127272.727272728</v>
      </c>
      <c r="I9">
        <f>SUM(I4:I8)</f>
        <v>8000000</v>
      </c>
      <c r="J9">
        <f>I9/3.3</f>
        <v>2424242.4242424243</v>
      </c>
      <c r="L9" s="87">
        <f>L3-L4-L5-L6-L7-L8</f>
        <v>-947095.45454545692</v>
      </c>
      <c r="M9" s="87">
        <f>M3-M4-M5</f>
        <v>1842424.242424238</v>
      </c>
    </row>
    <row r="10" spans="2:13" x14ac:dyDescent="0.45">
      <c r="G10" s="68"/>
    </row>
    <row r="11" spans="2:13" x14ac:dyDescent="0.45">
      <c r="C11" s="85" t="s">
        <v>186</v>
      </c>
      <c r="D11" s="82"/>
      <c r="E11" s="82" t="s">
        <v>176</v>
      </c>
      <c r="F11" s="82"/>
      <c r="G11" s="86"/>
      <c r="M11" s="87">
        <f>M9--L9</f>
        <v>895328.78787878109</v>
      </c>
    </row>
    <row r="12" spans="2:13" x14ac:dyDescent="0.45">
      <c r="C12" s="88" t="s">
        <v>187</v>
      </c>
      <c r="D12" s="89" t="s">
        <v>188</v>
      </c>
      <c r="E12" s="89">
        <v>1</v>
      </c>
      <c r="F12" s="90">
        <v>8160000</v>
      </c>
      <c r="G12" s="91">
        <f t="shared" si="2"/>
        <v>2472727.2727272729</v>
      </c>
      <c r="I12">
        <v>2000000</v>
      </c>
    </row>
    <row r="13" spans="2:13" x14ac:dyDescent="0.45">
      <c r="C13" s="88"/>
      <c r="D13" s="92" t="s">
        <v>189</v>
      </c>
      <c r="E13" s="89">
        <v>1</v>
      </c>
      <c r="F13" s="90">
        <v>8160000</v>
      </c>
      <c r="G13" s="91">
        <f t="shared" si="2"/>
        <v>2472727.2727272729</v>
      </c>
      <c r="I13">
        <v>2000000</v>
      </c>
    </row>
    <row r="14" spans="2:13" x14ac:dyDescent="0.45">
      <c r="G14" s="79">
        <f>SUM(G12:G13)</f>
        <v>4945454.5454545459</v>
      </c>
      <c r="I14">
        <f>SUM(I12:I13)</f>
        <v>4000000</v>
      </c>
      <c r="J14" s="78">
        <f>I14/3.3</f>
        <v>1212121.2121212122</v>
      </c>
      <c r="K14" t="s">
        <v>190</v>
      </c>
    </row>
    <row r="15" spans="2:13" x14ac:dyDescent="0.45">
      <c r="G15" s="79"/>
      <c r="J15" s="78"/>
    </row>
    <row r="16" spans="2:13" x14ac:dyDescent="0.45">
      <c r="C16" s="82" t="s">
        <v>191</v>
      </c>
      <c r="D16" s="82"/>
      <c r="E16" s="82"/>
      <c r="F16" s="82"/>
      <c r="I16" t="s">
        <v>192</v>
      </c>
    </row>
    <row r="17" spans="3:12" x14ac:dyDescent="0.45">
      <c r="C17" s="89" t="s">
        <v>193</v>
      </c>
      <c r="D17" s="89" t="s">
        <v>194</v>
      </c>
      <c r="E17" s="89">
        <v>1</v>
      </c>
      <c r="F17" s="89">
        <v>1500000</v>
      </c>
      <c r="I17" s="79">
        <v>500000</v>
      </c>
      <c r="K17" s="78"/>
    </row>
    <row r="18" spans="3:12" x14ac:dyDescent="0.45">
      <c r="C18" s="89" t="s">
        <v>193</v>
      </c>
      <c r="D18" s="89" t="s">
        <v>195</v>
      </c>
      <c r="E18" s="89">
        <v>1</v>
      </c>
      <c r="F18" s="89">
        <v>1500000</v>
      </c>
      <c r="I18">
        <v>500000</v>
      </c>
    </row>
    <row r="19" spans="3:12" x14ac:dyDescent="0.45">
      <c r="C19" s="89" t="s">
        <v>196</v>
      </c>
      <c r="D19" s="89"/>
      <c r="E19" s="89">
        <v>1</v>
      </c>
      <c r="F19" s="89">
        <v>1500000</v>
      </c>
      <c r="I19">
        <v>500000</v>
      </c>
      <c r="L19" t="s">
        <v>197</v>
      </c>
    </row>
    <row r="20" spans="3:12" x14ac:dyDescent="0.45">
      <c r="C20" s="89" t="s">
        <v>196</v>
      </c>
      <c r="D20" s="89"/>
      <c r="E20" s="89">
        <v>1</v>
      </c>
      <c r="F20" s="89">
        <v>1500000</v>
      </c>
      <c r="I20">
        <v>500000</v>
      </c>
    </row>
    <row r="21" spans="3:12" x14ac:dyDescent="0.45">
      <c r="C21" s="89" t="s">
        <v>198</v>
      </c>
      <c r="D21" s="89"/>
      <c r="E21" s="89">
        <v>1</v>
      </c>
      <c r="F21" s="89">
        <v>1500000</v>
      </c>
      <c r="I21">
        <v>500000</v>
      </c>
    </row>
    <row r="22" spans="3:12" x14ac:dyDescent="0.45">
      <c r="C22" s="89" t="s">
        <v>198</v>
      </c>
      <c r="D22" s="89"/>
      <c r="E22" s="89">
        <v>1</v>
      </c>
      <c r="F22" s="89">
        <v>1500000</v>
      </c>
      <c r="I22">
        <v>500000</v>
      </c>
    </row>
    <row r="23" spans="3:12" x14ac:dyDescent="0.45">
      <c r="C23" s="89" t="s">
        <v>199</v>
      </c>
      <c r="D23" s="89"/>
      <c r="E23" s="89">
        <v>1</v>
      </c>
      <c r="F23" s="89">
        <v>1500000</v>
      </c>
      <c r="I23">
        <v>500000</v>
      </c>
    </row>
    <row r="24" spans="3:12" x14ac:dyDescent="0.45">
      <c r="C24" s="89" t="s">
        <v>199</v>
      </c>
      <c r="D24" s="89"/>
      <c r="E24" s="89">
        <v>1</v>
      </c>
      <c r="F24" s="89">
        <v>1500000</v>
      </c>
      <c r="I24">
        <v>500000</v>
      </c>
    </row>
    <row r="25" spans="3:12" x14ac:dyDescent="0.45">
      <c r="C25" s="89" t="s">
        <v>200</v>
      </c>
      <c r="D25" s="89"/>
      <c r="E25" s="89">
        <v>1</v>
      </c>
      <c r="F25" s="89">
        <v>1500000</v>
      </c>
      <c r="I25">
        <v>500000</v>
      </c>
    </row>
    <row r="26" spans="3:12" x14ac:dyDescent="0.45">
      <c r="C26" s="89" t="s">
        <v>200</v>
      </c>
      <c r="D26" s="89"/>
      <c r="E26" s="89">
        <v>1</v>
      </c>
      <c r="F26" s="89">
        <v>1500000</v>
      </c>
      <c r="I26">
        <v>500000</v>
      </c>
    </row>
    <row r="27" spans="3:12" x14ac:dyDescent="0.45">
      <c r="F27">
        <f>SUM(F17:F26)</f>
        <v>15000000</v>
      </c>
      <c r="G27">
        <f>F27/3.3</f>
        <v>4545454.5454545459</v>
      </c>
      <c r="I27" s="79">
        <f>SUM(I17:I26)</f>
        <v>5000000</v>
      </c>
      <c r="J27">
        <f>I27/3.3</f>
        <v>1515151.5151515151</v>
      </c>
    </row>
    <row r="29" spans="3:12" x14ac:dyDescent="0.45">
      <c r="C29" t="s">
        <v>201</v>
      </c>
      <c r="D29">
        <v>12</v>
      </c>
    </row>
    <row r="30" spans="3:12" x14ac:dyDescent="0.45">
      <c r="C30" s="89" t="s">
        <v>39</v>
      </c>
      <c r="D30" s="89">
        <v>300000</v>
      </c>
    </row>
    <row r="31" spans="3:12" x14ac:dyDescent="0.45">
      <c r="C31" s="89" t="s">
        <v>114</v>
      </c>
      <c r="D31" s="89">
        <v>300000</v>
      </c>
    </row>
    <row r="32" spans="3:12" x14ac:dyDescent="0.45">
      <c r="C32" s="89" t="s">
        <v>115</v>
      </c>
      <c r="D32" s="89">
        <v>300000</v>
      </c>
    </row>
    <row r="33" spans="3:6" x14ac:dyDescent="0.45">
      <c r="C33" s="89" t="s">
        <v>85</v>
      </c>
      <c r="D33" s="89">
        <v>300000</v>
      </c>
    </row>
    <row r="34" spans="3:6" x14ac:dyDescent="0.45">
      <c r="C34" s="89" t="s">
        <v>31</v>
      </c>
      <c r="D34" s="89">
        <v>300000</v>
      </c>
    </row>
    <row r="35" spans="3:6" x14ac:dyDescent="0.45">
      <c r="C35" s="89" t="s">
        <v>42</v>
      </c>
      <c r="D35" s="89">
        <v>300000</v>
      </c>
    </row>
    <row r="36" spans="3:6" x14ac:dyDescent="0.45">
      <c r="D36" s="80">
        <f>SUM(D30:D35)</f>
        <v>1800000</v>
      </c>
      <c r="E36" s="78">
        <f>D36/3.3</f>
        <v>545454.54545454553</v>
      </c>
      <c r="F36" s="78"/>
    </row>
    <row r="37" spans="3:6" x14ac:dyDescent="0.45">
      <c r="C37" s="89" t="s">
        <v>202</v>
      </c>
      <c r="D37" s="89">
        <f>6*D30</f>
        <v>1800000</v>
      </c>
    </row>
    <row r="38" spans="3:6" x14ac:dyDescent="0.45">
      <c r="D38" s="80">
        <f>SUM(D36:D37)</f>
        <v>3600000</v>
      </c>
      <c r="E38" s="78">
        <f>D38/3.3</f>
        <v>1090909.0909090911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BFE5-D511-40AE-9762-4B79F32ED443}">
  <sheetPr>
    <pageSetUpPr fitToPage="1"/>
  </sheetPr>
  <dimension ref="B1:V297"/>
  <sheetViews>
    <sheetView zoomScale="70" zoomScaleNormal="70" workbookViewId="0">
      <pane xSplit="2" ySplit="6" topLeftCell="C81" activePane="bottomRight" state="frozen"/>
      <selection pane="topRight" activeCell="C1" sqref="C1"/>
      <selection pane="bottomLeft" activeCell="A7" sqref="A7"/>
      <selection pane="bottomRight" activeCell="C86" sqref="C86"/>
    </sheetView>
  </sheetViews>
  <sheetFormatPr defaultColWidth="8.86328125" defaultRowHeight="13.5" outlineLevelRow="1" x14ac:dyDescent="0.35"/>
  <cols>
    <col min="1" max="1" width="5.3984375" style="1" customWidth="1"/>
    <col min="2" max="2" width="31" style="17" customWidth="1"/>
    <col min="3" max="7" width="19.1328125" style="13" customWidth="1"/>
    <col min="8" max="8" width="23" style="13" customWidth="1"/>
    <col min="9" max="16" width="19.1328125" style="13" customWidth="1"/>
    <col min="17" max="17" width="20.59765625" style="13" customWidth="1"/>
    <col min="18" max="18" width="19.1328125" style="13" customWidth="1"/>
    <col min="19" max="19" width="21.59765625" style="13" customWidth="1"/>
    <col min="20" max="20" width="22.3984375" style="13" customWidth="1"/>
    <col min="21" max="21" width="23.3984375" style="1" bestFit="1" customWidth="1"/>
    <col min="22" max="22" width="19.86328125" style="1" customWidth="1"/>
    <col min="23" max="16384" width="8.86328125" style="1"/>
  </cols>
  <sheetData>
    <row r="1" spans="2:22" ht="13.9" thickBot="1" x14ac:dyDescent="0.4"/>
    <row r="2" spans="2:22" ht="48" customHeight="1" thickBot="1" x14ac:dyDescent="0.4">
      <c r="B2" s="9" t="s">
        <v>0</v>
      </c>
      <c r="C2" s="216" t="s">
        <v>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8"/>
    </row>
    <row r="3" spans="2:22" ht="13.9" x14ac:dyDescent="0.35">
      <c r="B3" s="8"/>
    </row>
    <row r="5" spans="2:22" ht="13.9" thickBot="1" x14ac:dyDescent="0.4">
      <c r="S5" s="1">
        <f>(100+46.6)*U5</f>
        <v>483.78</v>
      </c>
      <c r="T5" s="1" t="s">
        <v>13</v>
      </c>
      <c r="U5" s="1">
        <v>3.3</v>
      </c>
    </row>
    <row r="6" spans="2:22" ht="36" customHeight="1" thickBot="1" x14ac:dyDescent="0.4">
      <c r="B6" s="21" t="s">
        <v>2</v>
      </c>
      <c r="C6" s="10" t="s">
        <v>3</v>
      </c>
      <c r="D6" s="10" t="s">
        <v>203</v>
      </c>
      <c r="E6" s="10" t="s">
        <v>204</v>
      </c>
      <c r="F6" s="10" t="s">
        <v>205</v>
      </c>
      <c r="G6" s="196">
        <v>43405</v>
      </c>
      <c r="H6" s="10" t="s">
        <v>206</v>
      </c>
      <c r="I6" s="196">
        <v>43466</v>
      </c>
      <c r="J6" s="196" t="s">
        <v>207</v>
      </c>
      <c r="K6" s="10" t="s">
        <v>208</v>
      </c>
      <c r="L6" s="10" t="s">
        <v>209</v>
      </c>
      <c r="M6" s="10" t="s">
        <v>210</v>
      </c>
      <c r="N6" s="10" t="s">
        <v>211</v>
      </c>
      <c r="O6" s="10" t="s">
        <v>212</v>
      </c>
      <c r="P6" s="10" t="s">
        <v>213</v>
      </c>
      <c r="Q6" s="10" t="s">
        <v>214</v>
      </c>
      <c r="R6" s="10" t="s">
        <v>215</v>
      </c>
      <c r="S6" s="10" t="s">
        <v>216</v>
      </c>
      <c r="T6" s="10" t="s">
        <v>217</v>
      </c>
      <c r="U6" s="10" t="s">
        <v>218</v>
      </c>
    </row>
    <row r="7" spans="2:22" ht="33.75" customHeight="1" thickBot="1" x14ac:dyDescent="0.4">
      <c r="B7" s="64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2:22" ht="31.35" customHeight="1" thickBot="1" x14ac:dyDescent="0.4">
      <c r="B8" s="214" t="s">
        <v>27</v>
      </c>
      <c r="C8" s="165" t="s">
        <v>28</v>
      </c>
      <c r="D8" s="197">
        <f t="shared" ref="D8:U9" si="0">SUM(D10,D12,D14,D16,D18)</f>
        <v>0</v>
      </c>
      <c r="E8" s="197">
        <f t="shared" si="0"/>
        <v>0</v>
      </c>
      <c r="F8" s="197">
        <f t="shared" si="0"/>
        <v>0</v>
      </c>
      <c r="G8" s="197">
        <f t="shared" si="0"/>
        <v>0</v>
      </c>
      <c r="H8" s="197">
        <f t="shared" si="0"/>
        <v>0</v>
      </c>
      <c r="I8" s="197">
        <f t="shared" si="0"/>
        <v>0</v>
      </c>
      <c r="J8" s="197">
        <f t="shared" si="0"/>
        <v>0</v>
      </c>
      <c r="K8" s="197">
        <f t="shared" si="0"/>
        <v>0</v>
      </c>
      <c r="L8" s="197">
        <f t="shared" si="0"/>
        <v>0</v>
      </c>
      <c r="M8" s="197">
        <f t="shared" si="0"/>
        <v>0</v>
      </c>
      <c r="N8" s="197">
        <f t="shared" si="0"/>
        <v>0</v>
      </c>
      <c r="O8" s="197">
        <f t="shared" si="0"/>
        <v>0</v>
      </c>
      <c r="P8" s="197">
        <f t="shared" si="0"/>
        <v>0</v>
      </c>
      <c r="Q8" s="197">
        <f t="shared" si="0"/>
        <v>0</v>
      </c>
      <c r="R8" s="197">
        <f t="shared" si="0"/>
        <v>0</v>
      </c>
      <c r="S8" s="197">
        <f t="shared" si="0"/>
        <v>0</v>
      </c>
      <c r="T8" s="197">
        <f t="shared" si="0"/>
        <v>0</v>
      </c>
      <c r="U8" s="197">
        <f t="shared" si="0"/>
        <v>0</v>
      </c>
    </row>
    <row r="9" spans="2:22" ht="36" customHeight="1" thickBot="1" x14ac:dyDescent="0.4">
      <c r="B9" s="257"/>
      <c r="C9" s="198" t="s">
        <v>29</v>
      </c>
      <c r="D9" s="199">
        <f t="shared" si="0"/>
        <v>0</v>
      </c>
      <c r="E9" s="199">
        <f t="shared" si="0"/>
        <v>0</v>
      </c>
      <c r="F9" s="199">
        <f t="shared" si="0"/>
        <v>0</v>
      </c>
      <c r="G9" s="199">
        <f t="shared" si="0"/>
        <v>0</v>
      </c>
      <c r="H9" s="199">
        <f t="shared" si="0"/>
        <v>0</v>
      </c>
      <c r="I9" s="199">
        <f t="shared" si="0"/>
        <v>0</v>
      </c>
      <c r="J9" s="199">
        <f t="shared" si="0"/>
        <v>0</v>
      </c>
      <c r="K9" s="199">
        <f t="shared" si="0"/>
        <v>0</v>
      </c>
      <c r="L9" s="199">
        <f t="shared" si="0"/>
        <v>0</v>
      </c>
      <c r="M9" s="199">
        <f t="shared" si="0"/>
        <v>0</v>
      </c>
      <c r="N9" s="199">
        <f t="shared" si="0"/>
        <v>0</v>
      </c>
      <c r="O9" s="199">
        <f t="shared" si="0"/>
        <v>686868.68686868669</v>
      </c>
      <c r="P9" s="199">
        <f t="shared" si="0"/>
        <v>686868.68686868669</v>
      </c>
      <c r="Q9" s="199">
        <f t="shared" si="0"/>
        <v>686868.68686868669</v>
      </c>
      <c r="R9" s="199">
        <f t="shared" si="0"/>
        <v>686868.68686868669</v>
      </c>
      <c r="S9" s="199">
        <f t="shared" si="0"/>
        <v>686868.68686868669</v>
      </c>
      <c r="T9" s="199">
        <f t="shared" si="0"/>
        <v>686868.68686868669</v>
      </c>
      <c r="U9" s="199">
        <f t="shared" si="0"/>
        <v>686868.68686868751</v>
      </c>
      <c r="V9" s="14">
        <f t="shared" ref="V9:V72" si="1">SUM(D9:U9)</f>
        <v>4808080.8080808073</v>
      </c>
    </row>
    <row r="10" spans="2:22" ht="23.25" customHeight="1" outlineLevel="1" thickBot="1" x14ac:dyDescent="0.4">
      <c r="B10" s="215" t="s">
        <v>30</v>
      </c>
      <c r="C10" s="169" t="s">
        <v>28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4">
        <f t="shared" si="1"/>
        <v>0</v>
      </c>
    </row>
    <row r="11" spans="2:22" ht="23.25" customHeight="1" outlineLevel="1" thickBot="1" x14ac:dyDescent="0.4">
      <c r="B11" s="215"/>
      <c r="C11" s="169" t="s">
        <v>29</v>
      </c>
      <c r="D11" s="169"/>
      <c r="E11" s="169"/>
      <c r="F11" s="169"/>
      <c r="G11" s="169"/>
      <c r="H11" s="169"/>
      <c r="I11" s="169"/>
      <c r="J11" s="178"/>
      <c r="K11" s="42"/>
      <c r="L11" s="42"/>
      <c r="M11" s="42"/>
      <c r="N11" s="42"/>
      <c r="O11" s="42">
        <f t="shared" ref="O11:T11" si="2">824242.424242424/6</f>
        <v>137373.73737373733</v>
      </c>
      <c r="P11" s="42">
        <f t="shared" si="2"/>
        <v>137373.73737373733</v>
      </c>
      <c r="Q11" s="42">
        <f t="shared" si="2"/>
        <v>137373.73737373733</v>
      </c>
      <c r="R11" s="42">
        <f t="shared" si="2"/>
        <v>137373.73737373733</v>
      </c>
      <c r="S11" s="42">
        <f t="shared" si="2"/>
        <v>137373.73737373733</v>
      </c>
      <c r="T11" s="42">
        <f t="shared" si="2"/>
        <v>137373.73737373733</v>
      </c>
      <c r="U11" s="42">
        <f>1648484.84848485/12</f>
        <v>137373.7373737375</v>
      </c>
      <c r="V11" s="14">
        <f t="shared" si="1"/>
        <v>961616.16161616158</v>
      </c>
    </row>
    <row r="12" spans="2:22" ht="23.25" customHeight="1" outlineLevel="1" thickBot="1" x14ac:dyDescent="0.4">
      <c r="B12" s="215" t="s">
        <v>31</v>
      </c>
      <c r="C12" s="169" t="s">
        <v>28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4">
        <f t="shared" si="1"/>
        <v>0</v>
      </c>
    </row>
    <row r="13" spans="2:22" ht="23.25" customHeight="1" outlineLevel="1" thickBot="1" x14ac:dyDescent="0.4">
      <c r="B13" s="215"/>
      <c r="C13" s="169" t="s">
        <v>29</v>
      </c>
      <c r="D13" s="169"/>
      <c r="E13" s="169"/>
      <c r="F13" s="169"/>
      <c r="G13" s="169"/>
      <c r="H13" s="169"/>
      <c r="I13" s="169"/>
      <c r="J13" s="178"/>
      <c r="K13" s="169"/>
      <c r="L13" s="178"/>
      <c r="M13" s="169"/>
      <c r="N13" s="178"/>
      <c r="O13" s="42">
        <f t="shared" ref="O13:T13" si="3">824242.424242424/6</f>
        <v>137373.73737373733</v>
      </c>
      <c r="P13" s="42">
        <f t="shared" si="3"/>
        <v>137373.73737373733</v>
      </c>
      <c r="Q13" s="42">
        <f t="shared" si="3"/>
        <v>137373.73737373733</v>
      </c>
      <c r="R13" s="42">
        <f t="shared" si="3"/>
        <v>137373.73737373733</v>
      </c>
      <c r="S13" s="42">
        <f t="shared" si="3"/>
        <v>137373.73737373733</v>
      </c>
      <c r="T13" s="42">
        <f t="shared" si="3"/>
        <v>137373.73737373733</v>
      </c>
      <c r="U13" s="42">
        <f>1648484.84848485/12</f>
        <v>137373.7373737375</v>
      </c>
      <c r="V13" s="14">
        <f t="shared" si="1"/>
        <v>961616.16161616158</v>
      </c>
    </row>
    <row r="14" spans="2:22" ht="23.25" customHeight="1" outlineLevel="1" thickBot="1" x14ac:dyDescent="0.4">
      <c r="B14" s="215" t="s">
        <v>32</v>
      </c>
      <c r="C14" s="169" t="s">
        <v>28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4">
        <f t="shared" si="1"/>
        <v>0</v>
      </c>
    </row>
    <row r="15" spans="2:22" ht="23.25" customHeight="1" outlineLevel="1" thickBot="1" x14ac:dyDescent="0.4">
      <c r="B15" s="215"/>
      <c r="C15" s="169" t="s">
        <v>29</v>
      </c>
      <c r="D15" s="169"/>
      <c r="E15" s="169"/>
      <c r="F15" s="169"/>
      <c r="G15" s="169"/>
      <c r="H15" s="169"/>
      <c r="I15" s="169"/>
      <c r="J15" s="178"/>
      <c r="K15" s="169"/>
      <c r="L15" s="178"/>
      <c r="M15" s="169"/>
      <c r="N15" s="178"/>
      <c r="O15" s="42">
        <f t="shared" ref="O15:T15" si="4">824242.424242424/6</f>
        <v>137373.73737373733</v>
      </c>
      <c r="P15" s="42">
        <f t="shared" si="4"/>
        <v>137373.73737373733</v>
      </c>
      <c r="Q15" s="42">
        <f t="shared" si="4"/>
        <v>137373.73737373733</v>
      </c>
      <c r="R15" s="42">
        <f t="shared" si="4"/>
        <v>137373.73737373733</v>
      </c>
      <c r="S15" s="42">
        <f t="shared" si="4"/>
        <v>137373.73737373733</v>
      </c>
      <c r="T15" s="42">
        <f t="shared" si="4"/>
        <v>137373.73737373733</v>
      </c>
      <c r="U15" s="42">
        <f>1648484.84848485/12</f>
        <v>137373.7373737375</v>
      </c>
      <c r="V15" s="14">
        <f t="shared" si="1"/>
        <v>961616.16161616158</v>
      </c>
    </row>
    <row r="16" spans="2:22" ht="23.25" customHeight="1" outlineLevel="1" thickBot="1" x14ac:dyDescent="0.4">
      <c r="B16" s="215" t="s">
        <v>33</v>
      </c>
      <c r="C16" s="169" t="s">
        <v>28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42"/>
      <c r="V16" s="14">
        <f t="shared" si="1"/>
        <v>0</v>
      </c>
    </row>
    <row r="17" spans="2:22" ht="23.25" customHeight="1" outlineLevel="1" thickBot="1" x14ac:dyDescent="0.4">
      <c r="B17" s="215"/>
      <c r="C17" s="169" t="s">
        <v>29</v>
      </c>
      <c r="D17" s="169"/>
      <c r="E17" s="169"/>
      <c r="F17" s="169"/>
      <c r="G17" s="169"/>
      <c r="H17" s="169"/>
      <c r="I17" s="169"/>
      <c r="J17" s="178"/>
      <c r="K17" s="169"/>
      <c r="L17" s="178"/>
      <c r="M17" s="169"/>
      <c r="N17" s="178"/>
      <c r="O17" s="42">
        <f t="shared" ref="O17:T17" si="5">824242.424242424/6</f>
        <v>137373.73737373733</v>
      </c>
      <c r="P17" s="42">
        <f t="shared" si="5"/>
        <v>137373.73737373733</v>
      </c>
      <c r="Q17" s="42">
        <f t="shared" si="5"/>
        <v>137373.73737373733</v>
      </c>
      <c r="R17" s="42">
        <f t="shared" si="5"/>
        <v>137373.73737373733</v>
      </c>
      <c r="S17" s="42">
        <f t="shared" si="5"/>
        <v>137373.73737373733</v>
      </c>
      <c r="T17" s="42">
        <f t="shared" si="5"/>
        <v>137373.73737373733</v>
      </c>
      <c r="U17" s="42">
        <f>1648484.84848485/12</f>
        <v>137373.7373737375</v>
      </c>
      <c r="V17" s="14">
        <f t="shared" si="1"/>
        <v>961616.16161616158</v>
      </c>
    </row>
    <row r="18" spans="2:22" ht="23.25" customHeight="1" outlineLevel="1" thickBot="1" x14ac:dyDescent="0.4">
      <c r="B18" s="215" t="s">
        <v>34</v>
      </c>
      <c r="C18" s="169" t="s">
        <v>28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42"/>
      <c r="V18" s="14">
        <f t="shared" si="1"/>
        <v>0</v>
      </c>
    </row>
    <row r="19" spans="2:22" ht="23.25" customHeight="1" outlineLevel="1" thickBot="1" x14ac:dyDescent="0.4">
      <c r="B19" s="215"/>
      <c r="C19" s="169" t="s">
        <v>29</v>
      </c>
      <c r="D19" s="169"/>
      <c r="E19" s="169"/>
      <c r="F19" s="169"/>
      <c r="G19" s="169"/>
      <c r="H19" s="169"/>
      <c r="I19" s="169"/>
      <c r="J19" s="178"/>
      <c r="K19" s="169"/>
      <c r="L19" s="178"/>
      <c r="M19" s="169"/>
      <c r="N19" s="178"/>
      <c r="O19" s="42">
        <f t="shared" ref="O19:T19" si="6">824242.424242424/6</f>
        <v>137373.73737373733</v>
      </c>
      <c r="P19" s="42">
        <f t="shared" si="6"/>
        <v>137373.73737373733</v>
      </c>
      <c r="Q19" s="42">
        <f t="shared" si="6"/>
        <v>137373.73737373733</v>
      </c>
      <c r="R19" s="42">
        <f t="shared" si="6"/>
        <v>137373.73737373733</v>
      </c>
      <c r="S19" s="42">
        <f t="shared" si="6"/>
        <v>137373.73737373733</v>
      </c>
      <c r="T19" s="42">
        <f t="shared" si="6"/>
        <v>137373.73737373733</v>
      </c>
      <c r="U19" s="42">
        <f>1648484.84848485/12</f>
        <v>137373.7373737375</v>
      </c>
      <c r="V19" s="14">
        <f t="shared" si="1"/>
        <v>961616.16161616158</v>
      </c>
    </row>
    <row r="20" spans="2:22" ht="41.1" customHeight="1" thickBot="1" x14ac:dyDescent="0.4">
      <c r="B20" s="228" t="s">
        <v>35</v>
      </c>
      <c r="C20" s="109" t="s">
        <v>28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">
        <f t="shared" si="1"/>
        <v>0</v>
      </c>
    </row>
    <row r="21" spans="2:22" ht="73.5" customHeight="1" thickBot="1" x14ac:dyDescent="0.4">
      <c r="B21" s="228"/>
      <c r="C21" s="109" t="s">
        <v>29</v>
      </c>
      <c r="D21" s="111">
        <f t="shared" ref="D21:U21" si="7">SUM(D23,D25,D27,D29,D31)</f>
        <v>0</v>
      </c>
      <c r="E21" s="111">
        <f t="shared" si="7"/>
        <v>0</v>
      </c>
      <c r="F21" s="111">
        <f t="shared" si="7"/>
        <v>0</v>
      </c>
      <c r="G21" s="111">
        <f t="shared" si="7"/>
        <v>0</v>
      </c>
      <c r="H21" s="111">
        <f t="shared" si="7"/>
        <v>0</v>
      </c>
      <c r="I21" s="111">
        <f t="shared" si="7"/>
        <v>0</v>
      </c>
      <c r="J21" s="111">
        <f t="shared" si="7"/>
        <v>0</v>
      </c>
      <c r="K21" s="111">
        <f t="shared" si="7"/>
        <v>0</v>
      </c>
      <c r="L21" s="111">
        <f t="shared" si="7"/>
        <v>0</v>
      </c>
      <c r="M21" s="111">
        <f t="shared" si="7"/>
        <v>0</v>
      </c>
      <c r="N21" s="111">
        <f t="shared" si="7"/>
        <v>0</v>
      </c>
      <c r="O21" s="111">
        <f t="shared" si="7"/>
        <v>0</v>
      </c>
      <c r="P21" s="111">
        <f t="shared" si="7"/>
        <v>424242.42599999998</v>
      </c>
      <c r="Q21" s="111">
        <f t="shared" si="7"/>
        <v>424242.425030304</v>
      </c>
      <c r="R21" s="111">
        <f t="shared" si="7"/>
        <v>424242.425030304</v>
      </c>
      <c r="S21" s="111">
        <f t="shared" si="7"/>
        <v>424242.425030304</v>
      </c>
      <c r="T21" s="111">
        <f t="shared" si="7"/>
        <v>424242.425030304</v>
      </c>
      <c r="U21" s="111">
        <f t="shared" si="7"/>
        <v>642929.29363636335</v>
      </c>
      <c r="V21" s="14">
        <f t="shared" si="1"/>
        <v>2764141.4197575795</v>
      </c>
    </row>
    <row r="22" spans="2:22" ht="33" customHeight="1" thickBot="1" x14ac:dyDescent="0.4">
      <c r="B22" s="229" t="s">
        <v>36</v>
      </c>
      <c r="C22" s="118" t="s">
        <v>28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2"/>
      <c r="V22" s="14">
        <f t="shared" si="1"/>
        <v>0</v>
      </c>
    </row>
    <row r="23" spans="2:22" ht="36" customHeight="1" thickBot="1" x14ac:dyDescent="0.4">
      <c r="B23" s="229"/>
      <c r="C23" s="118" t="s">
        <v>29</v>
      </c>
      <c r="D23" s="118"/>
      <c r="E23" s="118"/>
      <c r="F23" s="118"/>
      <c r="G23" s="118"/>
      <c r="H23" s="118"/>
      <c r="I23" s="118"/>
      <c r="J23" s="118"/>
      <c r="K23" s="200"/>
      <c r="L23" s="118"/>
      <c r="M23" s="200"/>
      <c r="N23" s="118"/>
      <c r="O23" s="200"/>
      <c r="P23" s="118"/>
      <c r="Q23" s="200"/>
      <c r="R23" s="118"/>
      <c r="S23" s="200"/>
      <c r="T23" s="118"/>
      <c r="U23" s="200"/>
      <c r="V23" s="14">
        <f t="shared" si="1"/>
        <v>0</v>
      </c>
    </row>
    <row r="24" spans="2:22" ht="27.75" customHeight="1" outlineLevel="1" thickBot="1" x14ac:dyDescent="0.4">
      <c r="B24" s="229" t="s">
        <v>37</v>
      </c>
      <c r="C24" s="118" t="s">
        <v>28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4">
        <f t="shared" si="1"/>
        <v>0</v>
      </c>
    </row>
    <row r="25" spans="2:22" ht="27.75" customHeight="1" outlineLevel="1" thickBot="1" x14ac:dyDescent="0.4">
      <c r="B25" s="229"/>
      <c r="C25" s="118" t="s">
        <v>29</v>
      </c>
      <c r="D25" s="118"/>
      <c r="E25" s="118"/>
      <c r="F25" s="118"/>
      <c r="G25" s="118"/>
      <c r="H25" s="118"/>
      <c r="I25" s="118"/>
      <c r="J25" s="118"/>
      <c r="K25" s="200"/>
      <c r="L25" s="118"/>
      <c r="M25" s="200"/>
      <c r="N25" s="118"/>
      <c r="O25" s="200"/>
      <c r="P25" s="112">
        <f>606060.61/5</f>
        <v>121212.122</v>
      </c>
      <c r="Q25" s="112">
        <f>606060.61/5</f>
        <v>121212.122</v>
      </c>
      <c r="R25" s="112">
        <f>606060.61/5</f>
        <v>121212.122</v>
      </c>
      <c r="S25" s="112">
        <f>606060.61/5</f>
        <v>121212.122</v>
      </c>
      <c r="T25" s="112">
        <f>606060.61/5</f>
        <v>121212.122</v>
      </c>
      <c r="U25" s="112">
        <v>154545.45499999999</v>
      </c>
      <c r="V25" s="14">
        <f t="shared" si="1"/>
        <v>760606.06499999994</v>
      </c>
    </row>
    <row r="26" spans="2:22" ht="27.75" customHeight="1" outlineLevel="1" thickBot="1" x14ac:dyDescent="0.4">
      <c r="B26" s="230" t="s">
        <v>38</v>
      </c>
      <c r="C26" s="55" t="s">
        <v>28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4">
        <f t="shared" si="1"/>
        <v>0</v>
      </c>
    </row>
    <row r="27" spans="2:22" ht="27.75" customHeight="1" outlineLevel="1" thickBot="1" x14ac:dyDescent="0.4">
      <c r="B27" s="227"/>
      <c r="C27" s="55" t="s">
        <v>29</v>
      </c>
      <c r="D27" s="55"/>
      <c r="E27" s="55"/>
      <c r="F27" s="55"/>
      <c r="G27" s="55"/>
      <c r="H27" s="55"/>
      <c r="I27" s="55"/>
      <c r="J27" s="55"/>
      <c r="K27" s="200"/>
      <c r="L27" s="55"/>
      <c r="M27" s="200"/>
      <c r="N27" s="55"/>
      <c r="O27" s="200"/>
      <c r="P27" s="60">
        <f>1515151.52/5</f>
        <v>303030.304</v>
      </c>
      <c r="Q27" s="60">
        <f>1515151.51515152/5</f>
        <v>303030.30303030403</v>
      </c>
      <c r="R27" s="60">
        <f>1515151.51515152/5</f>
        <v>303030.30303030403</v>
      </c>
      <c r="S27" s="60">
        <f>1515151.51515152/5</f>
        <v>303030.30303030403</v>
      </c>
      <c r="T27" s="60">
        <f>1515151.51515152/5</f>
        <v>303030.30303030403</v>
      </c>
      <c r="U27" s="60">
        <f>648484.848484849/4</f>
        <v>162121.21212121224</v>
      </c>
      <c r="V27" s="14">
        <f t="shared" si="1"/>
        <v>1677272.7282424283</v>
      </c>
    </row>
    <row r="28" spans="2:22" ht="27.75" customHeight="1" outlineLevel="1" thickBot="1" x14ac:dyDescent="0.4">
      <c r="B28" s="226" t="s">
        <v>39</v>
      </c>
      <c r="C28" s="55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4">
        <f t="shared" si="1"/>
        <v>0</v>
      </c>
    </row>
    <row r="29" spans="2:22" ht="27.75" customHeight="1" outlineLevel="1" thickBot="1" x14ac:dyDescent="0.4">
      <c r="B29" s="227"/>
      <c r="C29" s="55" t="s">
        <v>29</v>
      </c>
      <c r="D29" s="55"/>
      <c r="E29" s="55"/>
      <c r="F29" s="55"/>
      <c r="G29" s="55"/>
      <c r="H29" s="55"/>
      <c r="I29" s="55"/>
      <c r="J29" s="55"/>
      <c r="K29" s="200"/>
      <c r="L29" s="55"/>
      <c r="M29" s="200"/>
      <c r="N29" s="55"/>
      <c r="O29" s="200"/>
      <c r="P29" s="60"/>
      <c r="Q29" s="60"/>
      <c r="R29" s="60"/>
      <c r="S29" s="60"/>
      <c r="T29" s="60"/>
      <c r="U29" s="60">
        <f>2163636.36363636/9</f>
        <v>240404.04040404002</v>
      </c>
      <c r="V29" s="14">
        <f t="shared" si="1"/>
        <v>240404.04040404002</v>
      </c>
    </row>
    <row r="30" spans="2:22" ht="27.75" customHeight="1" outlineLevel="1" thickBot="1" x14ac:dyDescent="0.4">
      <c r="B30" s="226" t="s">
        <v>40</v>
      </c>
      <c r="C30" s="55" t="s">
        <v>28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88"/>
      <c r="Q30" s="55"/>
      <c r="R30" s="55"/>
      <c r="S30" s="55"/>
      <c r="T30" s="55"/>
      <c r="U30" s="55"/>
      <c r="V30" s="14">
        <f t="shared" si="1"/>
        <v>0</v>
      </c>
    </row>
    <row r="31" spans="2:22" ht="27.75" customHeight="1" outlineLevel="1" thickBot="1" x14ac:dyDescent="0.4">
      <c r="B31" s="227"/>
      <c r="C31" s="55" t="s">
        <v>29</v>
      </c>
      <c r="D31" s="55"/>
      <c r="E31" s="55"/>
      <c r="F31" s="55"/>
      <c r="G31" s="55"/>
      <c r="H31" s="55"/>
      <c r="I31" s="55"/>
      <c r="J31" s="55"/>
      <c r="K31" s="200"/>
      <c r="L31" s="55"/>
      <c r="M31" s="200"/>
      <c r="N31" s="55"/>
      <c r="O31" s="200"/>
      <c r="P31" s="55"/>
      <c r="Q31" s="200"/>
      <c r="R31" s="55"/>
      <c r="S31" s="200"/>
      <c r="T31" s="55"/>
      <c r="U31" s="200">
        <v>85858.586111111115</v>
      </c>
      <c r="V31" s="14">
        <f t="shared" si="1"/>
        <v>85858.586111111115</v>
      </c>
    </row>
    <row r="32" spans="2:22" ht="30.6" customHeight="1" thickBot="1" x14ac:dyDescent="0.4">
      <c r="B32" s="224" t="s">
        <v>41</v>
      </c>
      <c r="C32" s="49" t="s">
        <v>28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4">
        <f t="shared" si="1"/>
        <v>0</v>
      </c>
    </row>
    <row r="33" spans="2:22" ht="35.25" customHeight="1" thickBot="1" x14ac:dyDescent="0.4">
      <c r="B33" s="225"/>
      <c r="C33" s="49" t="s">
        <v>29</v>
      </c>
      <c r="D33" s="52">
        <f t="shared" ref="D33:U33" si="8">SUM(D35,D37,D39)</f>
        <v>0</v>
      </c>
      <c r="E33" s="52">
        <f t="shared" si="8"/>
        <v>0</v>
      </c>
      <c r="F33" s="52">
        <f t="shared" si="8"/>
        <v>0</v>
      </c>
      <c r="G33" s="52">
        <f t="shared" si="8"/>
        <v>0</v>
      </c>
      <c r="H33" s="52">
        <f t="shared" si="8"/>
        <v>0</v>
      </c>
      <c r="I33" s="52">
        <f t="shared" si="8"/>
        <v>0</v>
      </c>
      <c r="J33" s="52">
        <f t="shared" si="8"/>
        <v>0</v>
      </c>
      <c r="K33" s="52">
        <f t="shared" si="8"/>
        <v>0</v>
      </c>
      <c r="L33" s="52">
        <f t="shared" si="8"/>
        <v>0</v>
      </c>
      <c r="M33" s="52">
        <f t="shared" si="8"/>
        <v>0</v>
      </c>
      <c r="N33" s="52">
        <f t="shared" si="8"/>
        <v>0</v>
      </c>
      <c r="O33" s="52">
        <f t="shared" si="8"/>
        <v>0</v>
      </c>
      <c r="P33" s="52">
        <f t="shared" si="8"/>
        <v>157575.7575757576</v>
      </c>
      <c r="Q33" s="52">
        <f t="shared" si="8"/>
        <v>157575.7575757576</v>
      </c>
      <c r="R33" s="52">
        <f t="shared" si="8"/>
        <v>157575.7575757576</v>
      </c>
      <c r="S33" s="52">
        <f t="shared" si="8"/>
        <v>157575.7575757576</v>
      </c>
      <c r="T33" s="52">
        <f t="shared" si="8"/>
        <v>157575.7575757576</v>
      </c>
      <c r="U33" s="52">
        <f t="shared" si="8"/>
        <v>74747.474999999991</v>
      </c>
      <c r="V33" s="14">
        <f t="shared" si="1"/>
        <v>862626.26287878794</v>
      </c>
    </row>
    <row r="34" spans="2:22" ht="21.75" customHeight="1" outlineLevel="1" thickBot="1" x14ac:dyDescent="0.4">
      <c r="B34" s="226" t="s">
        <v>42</v>
      </c>
      <c r="C34" s="55" t="s">
        <v>28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14">
        <f t="shared" si="1"/>
        <v>0</v>
      </c>
    </row>
    <row r="35" spans="2:22" ht="21.75" customHeight="1" outlineLevel="1" thickBot="1" x14ac:dyDescent="0.4">
      <c r="B35" s="227"/>
      <c r="C35" s="55" t="s">
        <v>29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60"/>
      <c r="V35" s="14">
        <f t="shared" si="1"/>
        <v>0</v>
      </c>
    </row>
    <row r="36" spans="2:22" ht="21.75" customHeight="1" outlineLevel="1" thickBot="1" x14ac:dyDescent="0.4">
      <c r="B36" s="226" t="s">
        <v>43</v>
      </c>
      <c r="C36" s="55" t="s">
        <v>28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14">
        <f t="shared" si="1"/>
        <v>0</v>
      </c>
    </row>
    <row r="37" spans="2:22" ht="21.75" customHeight="1" outlineLevel="1" thickBot="1" x14ac:dyDescent="0.4">
      <c r="B37" s="227"/>
      <c r="C37" s="55" t="s">
        <v>29</v>
      </c>
      <c r="D37" s="55"/>
      <c r="E37" s="55"/>
      <c r="F37" s="55"/>
      <c r="G37" s="55"/>
      <c r="H37" s="55"/>
      <c r="I37" s="55"/>
      <c r="J37" s="55"/>
      <c r="K37" s="55"/>
      <c r="L37" s="188"/>
      <c r="M37" s="55"/>
      <c r="N37" s="188"/>
      <c r="O37" s="55"/>
      <c r="P37" s="188">
        <f>787878.787878788/5</f>
        <v>157575.7575757576</v>
      </c>
      <c r="Q37" s="188">
        <f>787878.787878788/5</f>
        <v>157575.7575757576</v>
      </c>
      <c r="R37" s="188">
        <f>787878.787878788/5</f>
        <v>157575.7575757576</v>
      </c>
      <c r="S37" s="188">
        <f>787878.787878788/5</f>
        <v>157575.7575757576</v>
      </c>
      <c r="T37" s="188">
        <f>787878.787878788/5</f>
        <v>157575.7575757576</v>
      </c>
      <c r="U37" s="188">
        <f>448484.85/6</f>
        <v>74747.474999999991</v>
      </c>
      <c r="V37" s="14">
        <f t="shared" si="1"/>
        <v>862626.26287878794</v>
      </c>
    </row>
    <row r="38" spans="2:22" ht="21.75" customHeight="1" outlineLevel="1" thickBot="1" x14ac:dyDescent="0.4">
      <c r="B38" s="226" t="s">
        <v>44</v>
      </c>
      <c r="C38" s="55" t="s">
        <v>28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4">
        <f t="shared" si="1"/>
        <v>0</v>
      </c>
    </row>
    <row r="39" spans="2:22" ht="21.75" customHeight="1" outlineLevel="1" thickBot="1" x14ac:dyDescent="0.4">
      <c r="B39" s="227"/>
      <c r="C39" s="55" t="s">
        <v>29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60"/>
      <c r="Q39" s="60"/>
      <c r="R39" s="60"/>
      <c r="S39" s="60"/>
      <c r="T39" s="60"/>
      <c r="U39" s="60"/>
      <c r="V39" s="14">
        <f t="shared" si="1"/>
        <v>0</v>
      </c>
    </row>
    <row r="40" spans="2:22" ht="23.25" customHeight="1" thickBot="1" x14ac:dyDescent="0.4">
      <c r="B40" s="224" t="s">
        <v>45</v>
      </c>
      <c r="C40" s="49" t="s">
        <v>46</v>
      </c>
      <c r="D40" s="50">
        <f t="shared" ref="D40:U41" si="9">D42</f>
        <v>0</v>
      </c>
      <c r="E40" s="50">
        <f t="shared" si="9"/>
        <v>0</v>
      </c>
      <c r="F40" s="50">
        <f t="shared" si="9"/>
        <v>0</v>
      </c>
      <c r="G40" s="50">
        <f t="shared" si="9"/>
        <v>0</v>
      </c>
      <c r="H40" s="50">
        <f t="shared" si="9"/>
        <v>0</v>
      </c>
      <c r="I40" s="50">
        <f t="shared" si="9"/>
        <v>0</v>
      </c>
      <c r="J40" s="50">
        <f t="shared" si="9"/>
        <v>0</v>
      </c>
      <c r="K40" s="50">
        <f t="shared" si="9"/>
        <v>0</v>
      </c>
      <c r="L40" s="50">
        <f t="shared" si="9"/>
        <v>0</v>
      </c>
      <c r="M40" s="50">
        <f t="shared" si="9"/>
        <v>0</v>
      </c>
      <c r="N40" s="50">
        <f t="shared" si="9"/>
        <v>0</v>
      </c>
      <c r="O40" s="50">
        <f t="shared" si="9"/>
        <v>0</v>
      </c>
      <c r="P40" s="50">
        <f t="shared" si="9"/>
        <v>0</v>
      </c>
      <c r="Q40" s="50">
        <f t="shared" si="9"/>
        <v>0</v>
      </c>
      <c r="R40" s="50">
        <f t="shared" si="9"/>
        <v>0</v>
      </c>
      <c r="S40" s="50">
        <f t="shared" si="9"/>
        <v>0</v>
      </c>
      <c r="T40" s="50">
        <f t="shared" si="9"/>
        <v>0</v>
      </c>
      <c r="U40" s="50">
        <f t="shared" si="9"/>
        <v>0</v>
      </c>
      <c r="V40" s="14">
        <f t="shared" si="1"/>
        <v>0</v>
      </c>
    </row>
    <row r="41" spans="2:22" ht="35.25" customHeight="1" thickBot="1" x14ac:dyDescent="0.4">
      <c r="B41" s="225"/>
      <c r="C41" s="49" t="s">
        <v>29</v>
      </c>
      <c r="D41" s="52">
        <f t="shared" si="9"/>
        <v>0</v>
      </c>
      <c r="E41" s="52">
        <f t="shared" si="9"/>
        <v>0</v>
      </c>
      <c r="F41" s="52">
        <f t="shared" si="9"/>
        <v>0</v>
      </c>
      <c r="G41" s="52">
        <f t="shared" si="9"/>
        <v>0</v>
      </c>
      <c r="H41" s="52">
        <f t="shared" si="9"/>
        <v>0</v>
      </c>
      <c r="I41" s="52">
        <f t="shared" si="9"/>
        <v>0</v>
      </c>
      <c r="J41" s="52">
        <f t="shared" si="9"/>
        <v>0</v>
      </c>
      <c r="K41" s="52">
        <f t="shared" si="9"/>
        <v>0</v>
      </c>
      <c r="L41" s="52">
        <f t="shared" si="9"/>
        <v>0</v>
      </c>
      <c r="M41" s="52">
        <f t="shared" si="9"/>
        <v>0</v>
      </c>
      <c r="N41" s="52">
        <f t="shared" si="9"/>
        <v>0</v>
      </c>
      <c r="O41" s="52">
        <f t="shared" si="9"/>
        <v>103030.30333333299</v>
      </c>
      <c r="P41" s="52">
        <f t="shared" si="9"/>
        <v>103030.30333333299</v>
      </c>
      <c r="Q41" s="52">
        <f t="shared" si="9"/>
        <v>103030.30333333299</v>
      </c>
      <c r="R41" s="52">
        <f t="shared" si="9"/>
        <v>103030.30333333299</v>
      </c>
      <c r="S41" s="52">
        <f t="shared" si="9"/>
        <v>103030.30333333299</v>
      </c>
      <c r="T41" s="52">
        <f t="shared" si="9"/>
        <v>103030.30333333299</v>
      </c>
      <c r="U41" s="52">
        <f t="shared" si="9"/>
        <v>0</v>
      </c>
      <c r="V41" s="14">
        <f t="shared" si="1"/>
        <v>618181.81999999797</v>
      </c>
    </row>
    <row r="42" spans="2:22" ht="24" customHeight="1" outlineLevel="1" thickBot="1" x14ac:dyDescent="0.4">
      <c r="B42" s="226" t="s">
        <v>47</v>
      </c>
      <c r="C42" s="55" t="s">
        <v>48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14">
        <f t="shared" si="1"/>
        <v>0</v>
      </c>
    </row>
    <row r="43" spans="2:22" ht="24" customHeight="1" outlineLevel="1" thickBot="1" x14ac:dyDescent="0.4">
      <c r="B43" s="227"/>
      <c r="C43" s="55" t="s">
        <v>29</v>
      </c>
      <c r="D43" s="55"/>
      <c r="E43" s="55"/>
      <c r="F43" s="55"/>
      <c r="G43" s="55"/>
      <c r="H43" s="55"/>
      <c r="I43" s="55"/>
      <c r="J43" s="188"/>
      <c r="K43" s="55"/>
      <c r="L43" s="188"/>
      <c r="M43" s="55"/>
      <c r="N43" s="188"/>
      <c r="O43" s="188">
        <v>103030.30333333299</v>
      </c>
      <c r="P43" s="188">
        <v>103030.30333333299</v>
      </c>
      <c r="Q43" s="188">
        <v>103030.30333333299</v>
      </c>
      <c r="R43" s="188">
        <v>103030.30333333299</v>
      </c>
      <c r="S43" s="188">
        <v>103030.30333333299</v>
      </c>
      <c r="T43" s="188">
        <v>103030.30333333299</v>
      </c>
      <c r="U43" s="60"/>
      <c r="V43" s="14">
        <f t="shared" si="1"/>
        <v>618181.81999999797</v>
      </c>
    </row>
    <row r="44" spans="2:22" ht="21.6" customHeight="1" thickBot="1" x14ac:dyDescent="0.4">
      <c r="B44" s="224" t="s">
        <v>49</v>
      </c>
      <c r="C44" s="49" t="s">
        <v>50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14">
        <f t="shared" si="1"/>
        <v>0</v>
      </c>
    </row>
    <row r="45" spans="2:22" ht="35.25" customHeight="1" thickBot="1" x14ac:dyDescent="0.4">
      <c r="B45" s="225"/>
      <c r="C45" s="49" t="s">
        <v>29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2">
        <f t="shared" ref="P45:U45" si="10">SUMIF(P46:P53,"&gt;100")</f>
        <v>0</v>
      </c>
      <c r="Q45" s="52">
        <f t="shared" si="10"/>
        <v>0</v>
      </c>
      <c r="R45" s="52">
        <f t="shared" si="10"/>
        <v>0</v>
      </c>
      <c r="S45" s="52">
        <f t="shared" si="10"/>
        <v>0</v>
      </c>
      <c r="T45" s="52">
        <f t="shared" si="10"/>
        <v>0</v>
      </c>
      <c r="U45" s="52">
        <f t="shared" si="10"/>
        <v>0</v>
      </c>
      <c r="V45" s="14">
        <f t="shared" si="1"/>
        <v>0</v>
      </c>
    </row>
    <row r="46" spans="2:22" ht="22.5" customHeight="1" outlineLevel="1" thickBot="1" x14ac:dyDescent="0.4">
      <c r="B46" s="226" t="s">
        <v>51</v>
      </c>
      <c r="C46" s="55" t="s">
        <v>50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60"/>
      <c r="V46" s="14">
        <f t="shared" si="1"/>
        <v>0</v>
      </c>
    </row>
    <row r="47" spans="2:22" ht="22.5" customHeight="1" outlineLevel="1" thickBot="1" x14ac:dyDescent="0.4">
      <c r="B47" s="227"/>
      <c r="C47" s="55" t="s">
        <v>29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60"/>
      <c r="Q47" s="60"/>
      <c r="R47" s="60"/>
      <c r="S47" s="60"/>
      <c r="T47" s="60"/>
      <c r="U47" s="60"/>
      <c r="V47" s="14">
        <f t="shared" si="1"/>
        <v>0</v>
      </c>
    </row>
    <row r="48" spans="2:22" ht="22.5" customHeight="1" outlineLevel="1" thickBot="1" x14ac:dyDescent="0.4">
      <c r="B48" s="226" t="s">
        <v>52</v>
      </c>
      <c r="C48" s="55" t="s">
        <v>50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60"/>
      <c r="V48" s="14">
        <f t="shared" si="1"/>
        <v>0</v>
      </c>
    </row>
    <row r="49" spans="2:22" ht="22.5" customHeight="1" outlineLevel="1" thickBot="1" x14ac:dyDescent="0.4">
      <c r="B49" s="227"/>
      <c r="C49" s="55" t="s">
        <v>29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60"/>
      <c r="V49" s="14">
        <f t="shared" si="1"/>
        <v>0</v>
      </c>
    </row>
    <row r="50" spans="2:22" ht="22.5" customHeight="1" outlineLevel="1" thickBot="1" x14ac:dyDescent="0.4">
      <c r="B50" s="226" t="s">
        <v>53</v>
      </c>
      <c r="C50" s="55" t="s">
        <v>50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60"/>
      <c r="V50" s="14">
        <f t="shared" si="1"/>
        <v>0</v>
      </c>
    </row>
    <row r="51" spans="2:22" ht="22.5" customHeight="1" outlineLevel="1" thickBot="1" x14ac:dyDescent="0.4">
      <c r="B51" s="227"/>
      <c r="C51" s="55" t="s">
        <v>29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60"/>
      <c r="Q51" s="60"/>
      <c r="R51" s="60"/>
      <c r="S51" s="60"/>
      <c r="T51" s="60"/>
      <c r="U51" s="60"/>
      <c r="V51" s="14">
        <f t="shared" si="1"/>
        <v>0</v>
      </c>
    </row>
    <row r="52" spans="2:22" ht="22.5" customHeight="1" outlineLevel="1" thickBot="1" x14ac:dyDescent="0.4">
      <c r="B52" s="226" t="s">
        <v>54</v>
      </c>
      <c r="C52" s="55" t="s">
        <v>50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0"/>
      <c r="V52" s="14">
        <f t="shared" si="1"/>
        <v>0</v>
      </c>
    </row>
    <row r="53" spans="2:22" ht="22.5" customHeight="1" outlineLevel="1" thickBot="1" x14ac:dyDescent="0.4">
      <c r="B53" s="227"/>
      <c r="C53" s="55" t="s">
        <v>29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60"/>
      <c r="Q53" s="60"/>
      <c r="R53" s="60"/>
      <c r="S53" s="60"/>
      <c r="T53" s="60"/>
      <c r="U53" s="60"/>
      <c r="V53" s="14">
        <f t="shared" si="1"/>
        <v>0</v>
      </c>
    </row>
    <row r="54" spans="2:22" ht="24.75" customHeight="1" thickBot="1" x14ac:dyDescent="0.4">
      <c r="B54" s="224" t="s">
        <v>55</v>
      </c>
      <c r="C54" s="49" t="s">
        <v>50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14">
        <f t="shared" si="1"/>
        <v>0</v>
      </c>
    </row>
    <row r="55" spans="2:22" ht="30" customHeight="1" thickBot="1" x14ac:dyDescent="0.4">
      <c r="B55" s="225"/>
      <c r="C55" s="49" t="s">
        <v>29</v>
      </c>
      <c r="D55" s="52">
        <f t="shared" ref="D55:U55" si="11">SUM(D57,D59)</f>
        <v>0</v>
      </c>
      <c r="E55" s="52">
        <f t="shared" si="11"/>
        <v>0</v>
      </c>
      <c r="F55" s="52">
        <f t="shared" si="11"/>
        <v>0</v>
      </c>
      <c r="G55" s="52">
        <f t="shared" si="11"/>
        <v>0</v>
      </c>
      <c r="H55" s="52">
        <f t="shared" si="11"/>
        <v>0</v>
      </c>
      <c r="I55" s="52">
        <f t="shared" si="11"/>
        <v>0</v>
      </c>
      <c r="J55" s="52">
        <f t="shared" si="11"/>
        <v>0</v>
      </c>
      <c r="K55" s="52">
        <f t="shared" si="11"/>
        <v>0</v>
      </c>
      <c r="L55" s="52">
        <f t="shared" si="11"/>
        <v>0</v>
      </c>
      <c r="M55" s="52">
        <f t="shared" si="11"/>
        <v>0</v>
      </c>
      <c r="N55" s="52">
        <f t="shared" si="11"/>
        <v>0</v>
      </c>
      <c r="O55" s="52">
        <f t="shared" si="11"/>
        <v>131313.13166666668</v>
      </c>
      <c r="P55" s="52">
        <f t="shared" si="11"/>
        <v>288888.88966666668</v>
      </c>
      <c r="Q55" s="52">
        <f t="shared" si="11"/>
        <v>288888.88966666668</v>
      </c>
      <c r="R55" s="52">
        <f t="shared" si="11"/>
        <v>288888.88966666668</v>
      </c>
      <c r="S55" s="52">
        <f t="shared" si="11"/>
        <v>288888.88966666668</v>
      </c>
      <c r="T55" s="52">
        <f t="shared" si="11"/>
        <v>288888.88966666668</v>
      </c>
      <c r="U55" s="52">
        <f t="shared" si="11"/>
        <v>298989.89999999997</v>
      </c>
      <c r="V55" s="14">
        <f t="shared" si="1"/>
        <v>1874747.4800000002</v>
      </c>
    </row>
    <row r="56" spans="2:22" ht="21" customHeight="1" outlineLevel="1" thickBot="1" x14ac:dyDescent="0.4">
      <c r="B56" s="226" t="s">
        <v>56</v>
      </c>
      <c r="C56" s="99" t="s">
        <v>50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60"/>
      <c r="V56" s="14">
        <f t="shared" si="1"/>
        <v>0</v>
      </c>
    </row>
    <row r="57" spans="2:22" ht="21" customHeight="1" outlineLevel="1" thickBot="1" x14ac:dyDescent="0.4">
      <c r="B57" s="227"/>
      <c r="C57" s="55" t="s">
        <v>29</v>
      </c>
      <c r="D57" s="55"/>
      <c r="E57" s="55"/>
      <c r="F57" s="55"/>
      <c r="G57" s="55"/>
      <c r="H57" s="55"/>
      <c r="I57" s="55"/>
      <c r="J57" s="188"/>
      <c r="K57" s="55"/>
      <c r="L57" s="188"/>
      <c r="M57" s="55"/>
      <c r="N57" s="188"/>
      <c r="O57" s="55"/>
      <c r="P57" s="188">
        <f>787878.79/5</f>
        <v>157575.758</v>
      </c>
      <c r="Q57" s="188">
        <f>787878.79/5</f>
        <v>157575.758</v>
      </c>
      <c r="R57" s="188">
        <f>787878.79/5</f>
        <v>157575.758</v>
      </c>
      <c r="S57" s="188">
        <f>787878.79/5</f>
        <v>157575.758</v>
      </c>
      <c r="T57" s="188">
        <f>787878.79/5</f>
        <v>157575.758</v>
      </c>
      <c r="U57" s="188">
        <f>448484.85/3</f>
        <v>149494.94999999998</v>
      </c>
      <c r="V57" s="14">
        <f t="shared" si="1"/>
        <v>937373.74</v>
      </c>
    </row>
    <row r="58" spans="2:22" ht="21" customHeight="1" outlineLevel="1" thickBot="1" x14ac:dyDescent="0.4">
      <c r="B58" s="226" t="s">
        <v>57</v>
      </c>
      <c r="C58" s="99" t="s">
        <v>50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60"/>
      <c r="V58" s="14">
        <f t="shared" si="1"/>
        <v>0</v>
      </c>
    </row>
    <row r="59" spans="2:22" ht="21" customHeight="1" outlineLevel="1" thickBot="1" x14ac:dyDescent="0.4">
      <c r="B59" s="227"/>
      <c r="C59" s="55" t="s">
        <v>29</v>
      </c>
      <c r="D59" s="55"/>
      <c r="E59" s="55"/>
      <c r="F59" s="55"/>
      <c r="G59" s="55"/>
      <c r="H59" s="55"/>
      <c r="I59" s="55"/>
      <c r="J59" s="55"/>
      <c r="K59" s="188"/>
      <c r="L59" s="55"/>
      <c r="M59" s="188"/>
      <c r="N59" s="55"/>
      <c r="O59" s="188">
        <f t="shared" ref="O59:T59" si="12">787878.79/6</f>
        <v>131313.13166666668</v>
      </c>
      <c r="P59" s="188">
        <f t="shared" si="12"/>
        <v>131313.13166666668</v>
      </c>
      <c r="Q59" s="188">
        <f t="shared" si="12"/>
        <v>131313.13166666668</v>
      </c>
      <c r="R59" s="188">
        <f t="shared" si="12"/>
        <v>131313.13166666668</v>
      </c>
      <c r="S59" s="188">
        <f t="shared" si="12"/>
        <v>131313.13166666668</v>
      </c>
      <c r="T59" s="188">
        <f t="shared" si="12"/>
        <v>131313.13166666668</v>
      </c>
      <c r="U59" s="188">
        <f>448484.85/3</f>
        <v>149494.94999999998</v>
      </c>
      <c r="V59" s="14">
        <f t="shared" si="1"/>
        <v>937373.74000000011</v>
      </c>
    </row>
    <row r="60" spans="2:22" ht="23.25" customHeight="1" thickBot="1" x14ac:dyDescent="0.4">
      <c r="B60" s="231" t="s">
        <v>58</v>
      </c>
      <c r="C60" s="119" t="s">
        <v>59</v>
      </c>
      <c r="D60" s="201">
        <f t="shared" ref="D60:U61" si="13">SUM(D62)</f>
        <v>0</v>
      </c>
      <c r="E60" s="201">
        <f t="shared" si="13"/>
        <v>0</v>
      </c>
      <c r="F60" s="201">
        <f t="shared" si="13"/>
        <v>0</v>
      </c>
      <c r="G60" s="201">
        <f t="shared" si="13"/>
        <v>0</v>
      </c>
      <c r="H60" s="201">
        <f t="shared" si="13"/>
        <v>0</v>
      </c>
      <c r="I60" s="201">
        <f t="shared" si="13"/>
        <v>0</v>
      </c>
      <c r="J60" s="201">
        <f t="shared" si="13"/>
        <v>0</v>
      </c>
      <c r="K60" s="201">
        <f t="shared" si="13"/>
        <v>0</v>
      </c>
      <c r="L60" s="201">
        <f t="shared" si="13"/>
        <v>0</v>
      </c>
      <c r="M60" s="201">
        <f t="shared" si="13"/>
        <v>0</v>
      </c>
      <c r="N60" s="201">
        <f t="shared" si="13"/>
        <v>0</v>
      </c>
      <c r="O60" s="201">
        <f t="shared" si="13"/>
        <v>0</v>
      </c>
      <c r="P60" s="201">
        <f t="shared" si="13"/>
        <v>0</v>
      </c>
      <c r="Q60" s="201">
        <f t="shared" si="13"/>
        <v>0</v>
      </c>
      <c r="R60" s="201">
        <f t="shared" si="13"/>
        <v>0</v>
      </c>
      <c r="S60" s="201">
        <f t="shared" si="13"/>
        <v>0</v>
      </c>
      <c r="T60" s="201">
        <f t="shared" si="13"/>
        <v>0</v>
      </c>
      <c r="U60" s="201">
        <f t="shared" si="13"/>
        <v>0</v>
      </c>
      <c r="V60" s="14">
        <f t="shared" si="1"/>
        <v>0</v>
      </c>
    </row>
    <row r="61" spans="2:22" ht="35.25" customHeight="1" thickBot="1" x14ac:dyDescent="0.4">
      <c r="B61" s="232"/>
      <c r="C61" s="119" t="s">
        <v>29</v>
      </c>
      <c r="D61" s="124">
        <f t="shared" si="13"/>
        <v>0</v>
      </c>
      <c r="E61" s="124">
        <f t="shared" si="13"/>
        <v>0</v>
      </c>
      <c r="F61" s="124">
        <f t="shared" si="13"/>
        <v>0</v>
      </c>
      <c r="G61" s="124">
        <f t="shared" si="13"/>
        <v>0</v>
      </c>
      <c r="H61" s="124">
        <f t="shared" si="13"/>
        <v>0</v>
      </c>
      <c r="I61" s="124">
        <f t="shared" si="13"/>
        <v>0</v>
      </c>
      <c r="J61" s="124">
        <f t="shared" si="13"/>
        <v>0</v>
      </c>
      <c r="K61" s="124">
        <f t="shared" si="13"/>
        <v>0</v>
      </c>
      <c r="L61" s="124">
        <f t="shared" si="13"/>
        <v>0</v>
      </c>
      <c r="M61" s="124">
        <f t="shared" si="13"/>
        <v>303030.30333333334</v>
      </c>
      <c r="N61" s="124">
        <f t="shared" si="13"/>
        <v>303030.30333333334</v>
      </c>
      <c r="O61" s="124">
        <f t="shared" si="13"/>
        <v>303030.30333333334</v>
      </c>
      <c r="P61" s="124">
        <f t="shared" si="13"/>
        <v>0</v>
      </c>
      <c r="Q61" s="124">
        <f t="shared" si="13"/>
        <v>0</v>
      </c>
      <c r="R61" s="124">
        <f t="shared" si="13"/>
        <v>0</v>
      </c>
      <c r="S61" s="124">
        <f t="shared" si="13"/>
        <v>0</v>
      </c>
      <c r="T61" s="124">
        <f t="shared" si="13"/>
        <v>0</v>
      </c>
      <c r="U61" s="124">
        <f t="shared" si="13"/>
        <v>227272.72741935481</v>
      </c>
      <c r="V61" s="14">
        <f t="shared" si="1"/>
        <v>1136363.6374193549</v>
      </c>
    </row>
    <row r="62" spans="2:22" ht="27.95" customHeight="1" outlineLevel="1" thickBot="1" x14ac:dyDescent="0.4">
      <c r="B62" s="226" t="s">
        <v>60</v>
      </c>
      <c r="C62" s="55" t="s">
        <v>59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4">
        <f t="shared" si="1"/>
        <v>0</v>
      </c>
    </row>
    <row r="63" spans="2:22" ht="32.1" customHeight="1" outlineLevel="1" thickBot="1" x14ac:dyDescent="0.4">
      <c r="B63" s="227"/>
      <c r="C63" s="55" t="s">
        <v>29</v>
      </c>
      <c r="D63" s="55"/>
      <c r="E63" s="55"/>
      <c r="F63" s="55"/>
      <c r="G63" s="55"/>
      <c r="H63" s="55"/>
      <c r="I63" s="60"/>
      <c r="J63" s="60"/>
      <c r="K63" s="60"/>
      <c r="L63" s="188"/>
      <c r="M63" s="60">
        <f>909090.91/3</f>
        <v>303030.30333333334</v>
      </c>
      <c r="N63" s="60">
        <f>909090.91/3</f>
        <v>303030.30333333334</v>
      </c>
      <c r="O63" s="60">
        <f>909090.91/3</f>
        <v>303030.30333333334</v>
      </c>
      <c r="P63" s="55"/>
      <c r="Q63" s="55"/>
      <c r="R63" s="55"/>
      <c r="S63" s="55"/>
      <c r="T63" s="55"/>
      <c r="U63" s="60">
        <f>((1409090.91/31)*15)/3</f>
        <v>227272.72741935481</v>
      </c>
      <c r="V63" s="14">
        <f t="shared" si="1"/>
        <v>1136363.6374193549</v>
      </c>
    </row>
    <row r="64" spans="2:22" ht="23.25" customHeight="1" thickBot="1" x14ac:dyDescent="0.4">
      <c r="B64" s="224" t="s">
        <v>61</v>
      </c>
      <c r="C64" s="49" t="s">
        <v>62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14">
        <f t="shared" si="1"/>
        <v>0</v>
      </c>
    </row>
    <row r="65" spans="2:22" ht="35.25" customHeight="1" thickBot="1" x14ac:dyDescent="0.4">
      <c r="B65" s="225"/>
      <c r="C65" s="49" t="s">
        <v>29</v>
      </c>
      <c r="D65" s="52">
        <f t="shared" ref="D65:U65" si="14">SUM(D67)</f>
        <v>2020202.0202020209</v>
      </c>
      <c r="E65" s="52">
        <f t="shared" si="14"/>
        <v>2020202.0202020209</v>
      </c>
      <c r="F65" s="52">
        <f t="shared" si="14"/>
        <v>2020202.0202020209</v>
      </c>
      <c r="G65" s="52">
        <f t="shared" si="14"/>
        <v>2020202.0202020209</v>
      </c>
      <c r="H65" s="52">
        <f t="shared" si="14"/>
        <v>2020202.0202020209</v>
      </c>
      <c r="I65" s="52">
        <f t="shared" si="14"/>
        <v>2020202.0202020209</v>
      </c>
      <c r="J65" s="52">
        <f t="shared" si="14"/>
        <v>2020202.0202020209</v>
      </c>
      <c r="K65" s="52">
        <f t="shared" si="14"/>
        <v>2020202.0202020209</v>
      </c>
      <c r="L65" s="52">
        <f t="shared" si="14"/>
        <v>2020202.0202020209</v>
      </c>
      <c r="M65" s="52">
        <f t="shared" si="14"/>
        <v>2020202.0202020209</v>
      </c>
      <c r="N65" s="52">
        <f t="shared" si="14"/>
        <v>2020202.0202020209</v>
      </c>
      <c r="O65" s="52">
        <f t="shared" si="14"/>
        <v>2020202.0202020209</v>
      </c>
      <c r="P65" s="52">
        <f t="shared" si="14"/>
        <v>2020202.0202020209</v>
      </c>
      <c r="Q65" s="52">
        <f t="shared" si="14"/>
        <v>2020202.0202020209</v>
      </c>
      <c r="R65" s="52">
        <f t="shared" si="14"/>
        <v>2020202.0202020209</v>
      </c>
      <c r="S65" s="52">
        <f t="shared" si="14"/>
        <v>2020202.0202020209</v>
      </c>
      <c r="T65" s="52">
        <f t="shared" si="14"/>
        <v>2020202.0202020209</v>
      </c>
      <c r="U65" s="52">
        <f t="shared" si="14"/>
        <v>2020202.0202020209</v>
      </c>
      <c r="V65" s="14">
        <f t="shared" si="1"/>
        <v>36363636.363636382</v>
      </c>
    </row>
    <row r="66" spans="2:22" s="69" customFormat="1" ht="22.5" customHeight="1" outlineLevel="1" thickBot="1" x14ac:dyDescent="0.4">
      <c r="B66" s="226" t="s">
        <v>63</v>
      </c>
      <c r="C66" s="55" t="s">
        <v>28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4">
        <f t="shared" si="1"/>
        <v>0</v>
      </c>
    </row>
    <row r="67" spans="2:22" s="69" customFormat="1" ht="20.25" customHeight="1" outlineLevel="1" thickBot="1" x14ac:dyDescent="0.4">
      <c r="B67" s="227"/>
      <c r="C67" s="55" t="s">
        <v>29</v>
      </c>
      <c r="D67" s="188">
        <f t="shared" ref="D67:U67" si="15">48484848.4848485/24</f>
        <v>2020202.0202020209</v>
      </c>
      <c r="E67" s="188">
        <f t="shared" si="15"/>
        <v>2020202.0202020209</v>
      </c>
      <c r="F67" s="188">
        <f t="shared" si="15"/>
        <v>2020202.0202020209</v>
      </c>
      <c r="G67" s="188">
        <f t="shared" si="15"/>
        <v>2020202.0202020209</v>
      </c>
      <c r="H67" s="188">
        <f t="shared" si="15"/>
        <v>2020202.0202020209</v>
      </c>
      <c r="I67" s="188">
        <f t="shared" si="15"/>
        <v>2020202.0202020209</v>
      </c>
      <c r="J67" s="188">
        <f t="shared" si="15"/>
        <v>2020202.0202020209</v>
      </c>
      <c r="K67" s="188">
        <f t="shared" si="15"/>
        <v>2020202.0202020209</v>
      </c>
      <c r="L67" s="188">
        <f t="shared" si="15"/>
        <v>2020202.0202020209</v>
      </c>
      <c r="M67" s="188">
        <f t="shared" si="15"/>
        <v>2020202.0202020209</v>
      </c>
      <c r="N67" s="188">
        <f t="shared" si="15"/>
        <v>2020202.0202020209</v>
      </c>
      <c r="O67" s="188">
        <f t="shared" si="15"/>
        <v>2020202.0202020209</v>
      </c>
      <c r="P67" s="188">
        <f t="shared" si="15"/>
        <v>2020202.0202020209</v>
      </c>
      <c r="Q67" s="188">
        <f t="shared" si="15"/>
        <v>2020202.0202020209</v>
      </c>
      <c r="R67" s="188">
        <f t="shared" si="15"/>
        <v>2020202.0202020209</v>
      </c>
      <c r="S67" s="188">
        <f t="shared" si="15"/>
        <v>2020202.0202020209</v>
      </c>
      <c r="T67" s="188">
        <f t="shared" si="15"/>
        <v>2020202.0202020209</v>
      </c>
      <c r="U67" s="188">
        <f t="shared" si="15"/>
        <v>2020202.0202020209</v>
      </c>
      <c r="V67" s="14">
        <f t="shared" si="1"/>
        <v>36363636.363636382</v>
      </c>
    </row>
    <row r="68" spans="2:22" ht="24" customHeight="1" thickBot="1" x14ac:dyDescent="0.4">
      <c r="B68" s="224" t="s">
        <v>223</v>
      </c>
      <c r="C68" s="49" t="s">
        <v>64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14">
        <f t="shared" si="1"/>
        <v>0</v>
      </c>
    </row>
    <row r="69" spans="2:22" ht="24.75" customHeight="1" thickBot="1" x14ac:dyDescent="0.4">
      <c r="B69" s="225"/>
      <c r="C69" s="49" t="s">
        <v>29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2"/>
      <c r="V69" s="14">
        <f t="shared" si="1"/>
        <v>0</v>
      </c>
    </row>
    <row r="70" spans="2:22" ht="21.75" customHeight="1" outlineLevel="1" thickBot="1" x14ac:dyDescent="0.4">
      <c r="B70" s="226" t="s">
        <v>65</v>
      </c>
      <c r="C70" s="55" t="s">
        <v>66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60"/>
      <c r="V70" s="14">
        <f t="shared" si="1"/>
        <v>0</v>
      </c>
    </row>
    <row r="71" spans="2:22" ht="27.75" customHeight="1" outlineLevel="1" thickBot="1" x14ac:dyDescent="0.4">
      <c r="B71" s="227"/>
      <c r="C71" s="55" t="s">
        <v>29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60"/>
      <c r="V71" s="14">
        <f t="shared" si="1"/>
        <v>0</v>
      </c>
    </row>
    <row r="72" spans="2:22" ht="21.75" customHeight="1" outlineLevel="1" thickBot="1" x14ac:dyDescent="0.4">
      <c r="B72" s="226" t="s">
        <v>67</v>
      </c>
      <c r="C72" s="55" t="s">
        <v>66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60"/>
      <c r="V72" s="14">
        <f t="shared" si="1"/>
        <v>0</v>
      </c>
    </row>
    <row r="73" spans="2:22" ht="27.75" customHeight="1" outlineLevel="1" thickBot="1" x14ac:dyDescent="0.4">
      <c r="B73" s="227"/>
      <c r="C73" s="55" t="s">
        <v>29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60"/>
      <c r="V73" s="14">
        <f t="shared" ref="V73:V80" si="16">SUM(D73:U73)</f>
        <v>0</v>
      </c>
    </row>
    <row r="74" spans="2:22" ht="21.75" customHeight="1" outlineLevel="1" thickBot="1" x14ac:dyDescent="0.4">
      <c r="B74" s="226" t="s">
        <v>68</v>
      </c>
      <c r="C74" s="55" t="s">
        <v>69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60"/>
      <c r="V74" s="14">
        <f t="shared" ref="V74:V75" si="17">SUM(D74:U74)</f>
        <v>0</v>
      </c>
    </row>
    <row r="75" spans="2:22" ht="27.75" customHeight="1" outlineLevel="1" thickBot="1" x14ac:dyDescent="0.4">
      <c r="B75" s="227"/>
      <c r="C75" s="55" t="s">
        <v>29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60"/>
      <c r="V75" s="14">
        <f t="shared" si="17"/>
        <v>0</v>
      </c>
    </row>
    <row r="76" spans="2:22" ht="21.75" customHeight="1" outlineLevel="1" thickBot="1" x14ac:dyDescent="0.4">
      <c r="B76" s="226" t="s">
        <v>224</v>
      </c>
      <c r="C76" s="55" t="s">
        <v>221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60"/>
      <c r="V76" s="14">
        <f t="shared" si="16"/>
        <v>0</v>
      </c>
    </row>
    <row r="77" spans="2:22" ht="27.75" customHeight="1" outlineLevel="1" thickBot="1" x14ac:dyDescent="0.4">
      <c r="B77" s="227"/>
      <c r="C77" s="55" t="s">
        <v>29</v>
      </c>
      <c r="D77" s="55"/>
      <c r="E77" s="55"/>
      <c r="F77" s="55"/>
      <c r="G77" s="55"/>
      <c r="H77" s="55"/>
      <c r="I77" s="188">
        <f>'PEP_Versao 20180523_12-05'!$E$89/12</f>
        <v>850000</v>
      </c>
      <c r="J77" s="188">
        <f>'PEP_Versao 20180523_12-05'!$E$89/12</f>
        <v>850000</v>
      </c>
      <c r="K77" s="188">
        <f>'PEP_Versao 20180523_12-05'!$E$89/12</f>
        <v>850000</v>
      </c>
      <c r="L77" s="188">
        <f>'PEP_Versao 20180523_12-05'!$E$89/12</f>
        <v>850000</v>
      </c>
      <c r="M77" s="188">
        <f>'PEP_Versao 20180523_12-05'!$E$89/12</f>
        <v>850000</v>
      </c>
      <c r="N77" s="188">
        <f>'PEP_Versao 20180523_12-05'!$E$89/12</f>
        <v>850000</v>
      </c>
      <c r="O77" s="188">
        <f>'PEP_Versao 20180523_12-05'!$E$89/12</f>
        <v>850000</v>
      </c>
      <c r="P77" s="188">
        <f>'PEP_Versao 20180523_12-05'!$E$89/12</f>
        <v>850000</v>
      </c>
      <c r="Q77" s="188">
        <f>'PEP_Versao 20180523_12-05'!$E$89/12</f>
        <v>850000</v>
      </c>
      <c r="R77" s="188">
        <f>'PEP_Versao 20180523_12-05'!$E$89/12</f>
        <v>850000</v>
      </c>
      <c r="S77" s="188">
        <f>'PEP_Versao 20180523_12-05'!$E$89/12</f>
        <v>850000</v>
      </c>
      <c r="T77" s="188">
        <f>'PEP_Versao 20180523_12-05'!$E$89/12</f>
        <v>850000</v>
      </c>
      <c r="U77" s="60"/>
      <c r="V77" s="14">
        <f t="shared" si="16"/>
        <v>10200000</v>
      </c>
    </row>
    <row r="78" spans="2:22" ht="24" customHeight="1" thickBot="1" x14ac:dyDescent="0.4">
      <c r="B78" s="224" t="s">
        <v>70</v>
      </c>
      <c r="C78" s="49" t="s">
        <v>71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14">
        <f t="shared" si="16"/>
        <v>0</v>
      </c>
    </row>
    <row r="79" spans="2:22" ht="34.5" customHeight="1" thickBot="1" x14ac:dyDescent="0.4">
      <c r="B79" s="225"/>
      <c r="C79" s="49" t="s">
        <v>29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202">
        <f>SUMIF(R80:R81,"&gt;100")</f>
        <v>212121.21333333335</v>
      </c>
      <c r="S79" s="52">
        <f>SUMIF(S80:S81,"&gt;100")</f>
        <v>212121.21333333335</v>
      </c>
      <c r="T79" s="52">
        <f>SUMIF(T80:T81,"&gt;100")</f>
        <v>212121.21333333335</v>
      </c>
      <c r="U79" s="52"/>
      <c r="V79" s="14">
        <f t="shared" si="16"/>
        <v>636363.64</v>
      </c>
    </row>
    <row r="80" spans="2:22" ht="28.5" customHeight="1" outlineLevel="1" thickBot="1" x14ac:dyDescent="0.4">
      <c r="B80" s="226" t="s">
        <v>70</v>
      </c>
      <c r="C80" s="55" t="s">
        <v>72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>
        <v>3</v>
      </c>
      <c r="U80" s="60"/>
      <c r="V80" s="203">
        <f t="shared" si="16"/>
        <v>3</v>
      </c>
    </row>
    <row r="81" spans="2:22" ht="38.25" customHeight="1" outlineLevel="1" thickBot="1" x14ac:dyDescent="0.4">
      <c r="B81" s="227"/>
      <c r="C81" s="55" t="s">
        <v>29</v>
      </c>
      <c r="D81" s="55"/>
      <c r="E81" s="55"/>
      <c r="F81" s="55"/>
      <c r="G81" s="55"/>
      <c r="H81" s="55"/>
      <c r="I81" s="55"/>
      <c r="J81" s="188"/>
      <c r="K81" s="188"/>
      <c r="L81" s="55"/>
      <c r="M81" s="188"/>
      <c r="N81" s="55"/>
      <c r="O81" s="188"/>
      <c r="P81" s="55"/>
      <c r="Q81" s="55"/>
      <c r="R81" s="60">
        <f>636363.64/3</f>
        <v>212121.21333333335</v>
      </c>
      <c r="S81" s="60">
        <f>636363.64/3</f>
        <v>212121.21333333335</v>
      </c>
      <c r="T81" s="60">
        <f>636363.64/3</f>
        <v>212121.21333333335</v>
      </c>
      <c r="U81" s="60"/>
      <c r="V81" s="14"/>
    </row>
    <row r="82" spans="2:22" ht="27.75" customHeight="1" thickBot="1" x14ac:dyDescent="0.4">
      <c r="B82" s="224" t="s">
        <v>73</v>
      </c>
      <c r="C82" s="49" t="s">
        <v>71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14">
        <f t="shared" ref="V82:V145" si="18">SUM(D82:U82)</f>
        <v>0</v>
      </c>
    </row>
    <row r="83" spans="2:22" ht="30" customHeight="1" thickBot="1" x14ac:dyDescent="0.4">
      <c r="B83" s="225"/>
      <c r="C83" s="49" t="s">
        <v>29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2">
        <f>SUMIF(U84:U87,"&gt;100")</f>
        <v>1212121.2114285715</v>
      </c>
      <c r="V83" s="14">
        <f t="shared" si="18"/>
        <v>1212121.2114285715</v>
      </c>
    </row>
    <row r="84" spans="2:22" s="69" customFormat="1" ht="21.75" customHeight="1" outlineLevel="1" thickBot="1" x14ac:dyDescent="0.4">
      <c r="B84" s="226" t="s">
        <v>65</v>
      </c>
      <c r="C84" s="55" t="s">
        <v>66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4">
        <f t="shared" si="18"/>
        <v>0</v>
      </c>
    </row>
    <row r="85" spans="2:22" s="69" customFormat="1" ht="27.75" customHeight="1" outlineLevel="1" thickBot="1" x14ac:dyDescent="0.4">
      <c r="B85" s="227"/>
      <c r="C85" s="55" t="s">
        <v>29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>
        <f>((4242424.24/7)*6)/3</f>
        <v>1212121.2114285715</v>
      </c>
      <c r="V85" s="14">
        <f t="shared" si="18"/>
        <v>1212121.2114285715</v>
      </c>
    </row>
    <row r="86" spans="2:22" s="69" customFormat="1" ht="21.75" customHeight="1" outlineLevel="1" thickBot="1" x14ac:dyDescent="0.4">
      <c r="B86" s="226" t="s">
        <v>74</v>
      </c>
      <c r="C86" s="55" t="s">
        <v>66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60"/>
      <c r="V86" s="14">
        <f t="shared" si="18"/>
        <v>0</v>
      </c>
    </row>
    <row r="87" spans="2:22" s="69" customFormat="1" ht="27.75" customHeight="1" outlineLevel="1" thickBot="1" x14ac:dyDescent="0.4">
      <c r="B87" s="227"/>
      <c r="C87" s="55" t="s">
        <v>29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60"/>
      <c r="V87" s="14">
        <f t="shared" si="18"/>
        <v>0</v>
      </c>
    </row>
    <row r="88" spans="2:22" ht="28.5" customHeight="1" thickBot="1" x14ac:dyDescent="0.4">
      <c r="B88" s="224" t="s">
        <v>75</v>
      </c>
      <c r="C88" s="49" t="s">
        <v>28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14">
        <f t="shared" si="18"/>
        <v>0</v>
      </c>
    </row>
    <row r="89" spans="2:22" ht="42" customHeight="1" thickBot="1" x14ac:dyDescent="0.4">
      <c r="B89" s="225"/>
      <c r="C89" s="49" t="s">
        <v>29</v>
      </c>
      <c r="D89" s="52">
        <f t="shared" ref="D89:U89" si="19">SUM(D91,D93,D95,D97,D99,D101,D103)</f>
        <v>363636.36363636359</v>
      </c>
      <c r="E89" s="52">
        <f t="shared" si="19"/>
        <v>363636.36363636359</v>
      </c>
      <c r="F89" s="52">
        <f t="shared" si="19"/>
        <v>363636.36363636359</v>
      </c>
      <c r="G89" s="52">
        <f t="shared" si="19"/>
        <v>363636.36363636359</v>
      </c>
      <c r="H89" s="52">
        <f t="shared" si="19"/>
        <v>363636.36363636359</v>
      </c>
      <c r="I89" s="52">
        <f t="shared" si="19"/>
        <v>412121.2131313131</v>
      </c>
      <c r="J89" s="52">
        <f t="shared" si="19"/>
        <v>412121.21333333326</v>
      </c>
      <c r="K89" s="52">
        <f t="shared" si="19"/>
        <v>412121.21333333326</v>
      </c>
      <c r="L89" s="52">
        <f t="shared" si="19"/>
        <v>412121.21333333326</v>
      </c>
      <c r="M89" s="52">
        <f t="shared" si="19"/>
        <v>412121.21333333326</v>
      </c>
      <c r="N89" s="52">
        <f t="shared" si="19"/>
        <v>412121.21333333326</v>
      </c>
      <c r="O89" s="52">
        <f t="shared" si="19"/>
        <v>412121.21333333326</v>
      </c>
      <c r="P89" s="52">
        <f t="shared" si="19"/>
        <v>412121.21333333326</v>
      </c>
      <c r="Q89" s="52">
        <f t="shared" si="19"/>
        <v>412121.21333333326</v>
      </c>
      <c r="R89" s="52">
        <f t="shared" si="19"/>
        <v>412121.21333333326</v>
      </c>
      <c r="S89" s="52">
        <f t="shared" si="19"/>
        <v>412121.21333333326</v>
      </c>
      <c r="T89" s="52">
        <f t="shared" si="19"/>
        <v>412121.21333333326</v>
      </c>
      <c r="U89" s="52">
        <f t="shared" si="19"/>
        <v>327272.72727272694</v>
      </c>
      <c r="V89" s="14">
        <f t="shared" si="18"/>
        <v>7090909.105252522</v>
      </c>
    </row>
    <row r="90" spans="2:22" s="69" customFormat="1" ht="21.75" customHeight="1" outlineLevel="1" thickBot="1" x14ac:dyDescent="0.4">
      <c r="B90" s="226" t="s">
        <v>76</v>
      </c>
      <c r="C90" s="55" t="s">
        <v>28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>
        <v>1</v>
      </c>
      <c r="V90" s="14">
        <f t="shared" si="18"/>
        <v>1</v>
      </c>
    </row>
    <row r="91" spans="2:22" s="69" customFormat="1" ht="21.75" customHeight="1" outlineLevel="1" thickBot="1" x14ac:dyDescent="0.4">
      <c r="B91" s="227"/>
      <c r="C91" s="55" t="s">
        <v>29</v>
      </c>
      <c r="D91" s="188">
        <f>303030.303030303/5</f>
        <v>60606.060606060593</v>
      </c>
      <c r="E91" s="188">
        <f>303030.303030303/5</f>
        <v>60606.060606060593</v>
      </c>
      <c r="F91" s="188">
        <f>303030.303030303/5</f>
        <v>60606.060606060593</v>
      </c>
      <c r="G91" s="188">
        <f>303030.303030303/5</f>
        <v>60606.060606060593</v>
      </c>
      <c r="H91" s="188">
        <f>303030.303030303/5</f>
        <v>60606.060606060593</v>
      </c>
      <c r="I91" s="188">
        <f>824242.424242424/12</f>
        <v>68686.868686868664</v>
      </c>
      <c r="J91" s="188">
        <f t="shared" ref="J91:T91" si="20">1236363.64/18</f>
        <v>68686.868888888886</v>
      </c>
      <c r="K91" s="188">
        <f t="shared" si="20"/>
        <v>68686.868888888886</v>
      </c>
      <c r="L91" s="188">
        <f t="shared" si="20"/>
        <v>68686.868888888886</v>
      </c>
      <c r="M91" s="188">
        <f t="shared" si="20"/>
        <v>68686.868888888886</v>
      </c>
      <c r="N91" s="188">
        <f t="shared" si="20"/>
        <v>68686.868888888886</v>
      </c>
      <c r="O91" s="188">
        <f t="shared" si="20"/>
        <v>68686.868888888886</v>
      </c>
      <c r="P91" s="188">
        <f t="shared" si="20"/>
        <v>68686.868888888886</v>
      </c>
      <c r="Q91" s="188">
        <f t="shared" si="20"/>
        <v>68686.868888888886</v>
      </c>
      <c r="R91" s="188">
        <f t="shared" si="20"/>
        <v>68686.868888888886</v>
      </c>
      <c r="S91" s="188">
        <f t="shared" si="20"/>
        <v>68686.868888888886</v>
      </c>
      <c r="T91" s="188">
        <f t="shared" si="20"/>
        <v>68686.868888888886</v>
      </c>
      <c r="U91" s="188">
        <f>109090.909090909/2</f>
        <v>54545.4545454545</v>
      </c>
      <c r="V91" s="14">
        <f t="shared" si="18"/>
        <v>1181818.1840404039</v>
      </c>
    </row>
    <row r="92" spans="2:22" s="69" customFormat="1" ht="21.75" customHeight="1" outlineLevel="1" thickBot="1" x14ac:dyDescent="0.4">
      <c r="B92" s="226" t="s">
        <v>77</v>
      </c>
      <c r="C92" s="55" t="s">
        <v>28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>
        <v>1</v>
      </c>
      <c r="V92" s="14">
        <f t="shared" si="18"/>
        <v>1</v>
      </c>
    </row>
    <row r="93" spans="2:22" s="69" customFormat="1" ht="21.75" customHeight="1" outlineLevel="1" thickBot="1" x14ac:dyDescent="0.4">
      <c r="B93" s="227"/>
      <c r="C93" s="55" t="s">
        <v>29</v>
      </c>
      <c r="D93" s="188">
        <f>303030.303030303/5</f>
        <v>60606.060606060593</v>
      </c>
      <c r="E93" s="188">
        <f>303030.303030303/5</f>
        <v>60606.060606060593</v>
      </c>
      <c r="F93" s="188">
        <f>303030.303030303/5</f>
        <v>60606.060606060593</v>
      </c>
      <c r="G93" s="188">
        <f>303030.303030303/5</f>
        <v>60606.060606060593</v>
      </c>
      <c r="H93" s="188">
        <f>303030.303030303/5</f>
        <v>60606.060606060593</v>
      </c>
      <c r="I93" s="188">
        <f t="shared" ref="I93:T93" si="21">1236363.64/18</f>
        <v>68686.868888888886</v>
      </c>
      <c r="J93" s="188">
        <f t="shared" si="21"/>
        <v>68686.868888888886</v>
      </c>
      <c r="K93" s="188">
        <f t="shared" si="21"/>
        <v>68686.868888888886</v>
      </c>
      <c r="L93" s="188">
        <f t="shared" si="21"/>
        <v>68686.868888888886</v>
      </c>
      <c r="M93" s="188">
        <f t="shared" si="21"/>
        <v>68686.868888888886</v>
      </c>
      <c r="N93" s="188">
        <f t="shared" si="21"/>
        <v>68686.868888888886</v>
      </c>
      <c r="O93" s="188">
        <f t="shared" si="21"/>
        <v>68686.868888888886</v>
      </c>
      <c r="P93" s="188">
        <f t="shared" si="21"/>
        <v>68686.868888888886</v>
      </c>
      <c r="Q93" s="188">
        <f t="shared" si="21"/>
        <v>68686.868888888886</v>
      </c>
      <c r="R93" s="188">
        <f t="shared" si="21"/>
        <v>68686.868888888886</v>
      </c>
      <c r="S93" s="188">
        <f t="shared" si="21"/>
        <v>68686.868888888886</v>
      </c>
      <c r="T93" s="188">
        <f t="shared" si="21"/>
        <v>68686.868888888886</v>
      </c>
      <c r="U93" s="188">
        <f>109090.909090909/2</f>
        <v>54545.4545454545</v>
      </c>
      <c r="V93" s="14">
        <f t="shared" si="18"/>
        <v>1181818.1842424241</v>
      </c>
    </row>
    <row r="94" spans="2:22" s="69" customFormat="1" ht="21.75" customHeight="1" outlineLevel="1" thickBot="1" x14ac:dyDescent="0.4">
      <c r="B94" s="226" t="s">
        <v>78</v>
      </c>
      <c r="C94" s="55" t="s">
        <v>28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>
        <v>1</v>
      </c>
      <c r="V94" s="14">
        <f t="shared" si="18"/>
        <v>1</v>
      </c>
    </row>
    <row r="95" spans="2:22" s="69" customFormat="1" ht="21.75" customHeight="1" outlineLevel="1" thickBot="1" x14ac:dyDescent="0.4">
      <c r="B95" s="227"/>
      <c r="C95" s="55" t="s">
        <v>29</v>
      </c>
      <c r="D95" s="188">
        <f>303030.303030303/5</f>
        <v>60606.060606060593</v>
      </c>
      <c r="E95" s="188">
        <f>303030.303030303/5</f>
        <v>60606.060606060593</v>
      </c>
      <c r="F95" s="188">
        <f>303030.303030303/5</f>
        <v>60606.060606060593</v>
      </c>
      <c r="G95" s="188">
        <f>303030.303030303/5</f>
        <v>60606.060606060593</v>
      </c>
      <c r="H95" s="188">
        <f>303030.303030303/5</f>
        <v>60606.060606060593</v>
      </c>
      <c r="I95" s="188">
        <f t="shared" ref="I95:T95" si="22">1236363.64/18</f>
        <v>68686.868888888886</v>
      </c>
      <c r="J95" s="188">
        <f t="shared" si="22"/>
        <v>68686.868888888886</v>
      </c>
      <c r="K95" s="188">
        <f t="shared" si="22"/>
        <v>68686.868888888886</v>
      </c>
      <c r="L95" s="188">
        <f t="shared" si="22"/>
        <v>68686.868888888886</v>
      </c>
      <c r="M95" s="188">
        <f t="shared" si="22"/>
        <v>68686.868888888886</v>
      </c>
      <c r="N95" s="188">
        <f t="shared" si="22"/>
        <v>68686.868888888886</v>
      </c>
      <c r="O95" s="188">
        <f t="shared" si="22"/>
        <v>68686.868888888886</v>
      </c>
      <c r="P95" s="188">
        <f t="shared" si="22"/>
        <v>68686.868888888886</v>
      </c>
      <c r="Q95" s="188">
        <f t="shared" si="22"/>
        <v>68686.868888888886</v>
      </c>
      <c r="R95" s="188">
        <f t="shared" si="22"/>
        <v>68686.868888888886</v>
      </c>
      <c r="S95" s="188">
        <f t="shared" si="22"/>
        <v>68686.868888888886</v>
      </c>
      <c r="T95" s="188">
        <f t="shared" si="22"/>
        <v>68686.868888888886</v>
      </c>
      <c r="U95" s="188">
        <f>109090.909090909/2</f>
        <v>54545.4545454545</v>
      </c>
      <c r="V95" s="14">
        <f t="shared" si="18"/>
        <v>1181818.1842424241</v>
      </c>
    </row>
    <row r="96" spans="2:22" s="69" customFormat="1" ht="21.75" customHeight="1" outlineLevel="1" thickBot="1" x14ac:dyDescent="0.4">
      <c r="B96" s="226" t="s">
        <v>79</v>
      </c>
      <c r="C96" s="55" t="s">
        <v>28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>
        <v>1</v>
      </c>
      <c r="V96" s="14">
        <f t="shared" si="18"/>
        <v>1</v>
      </c>
    </row>
    <row r="97" spans="2:22" s="69" customFormat="1" ht="21.75" customHeight="1" outlineLevel="1" thickBot="1" x14ac:dyDescent="0.4">
      <c r="B97" s="227"/>
      <c r="C97" s="55" t="s">
        <v>29</v>
      </c>
      <c r="D97" s="188">
        <f>303030.303030303/5</f>
        <v>60606.060606060593</v>
      </c>
      <c r="E97" s="188">
        <f>303030.303030303/5</f>
        <v>60606.060606060593</v>
      </c>
      <c r="F97" s="188">
        <f>303030.303030303/5</f>
        <v>60606.060606060593</v>
      </c>
      <c r="G97" s="188">
        <f>303030.303030303/5</f>
        <v>60606.060606060593</v>
      </c>
      <c r="H97" s="188">
        <f>303030.303030303/5</f>
        <v>60606.060606060593</v>
      </c>
      <c r="I97" s="188">
        <f t="shared" ref="I97:T97" si="23">1236363.64/18</f>
        <v>68686.868888888886</v>
      </c>
      <c r="J97" s="188">
        <f t="shared" si="23"/>
        <v>68686.868888888886</v>
      </c>
      <c r="K97" s="188">
        <f t="shared" si="23"/>
        <v>68686.868888888886</v>
      </c>
      <c r="L97" s="188">
        <f t="shared" si="23"/>
        <v>68686.868888888886</v>
      </c>
      <c r="M97" s="188">
        <f t="shared" si="23"/>
        <v>68686.868888888886</v>
      </c>
      <c r="N97" s="188">
        <f t="shared" si="23"/>
        <v>68686.868888888886</v>
      </c>
      <c r="O97" s="188">
        <f t="shared" si="23"/>
        <v>68686.868888888886</v>
      </c>
      <c r="P97" s="188">
        <f t="shared" si="23"/>
        <v>68686.868888888886</v>
      </c>
      <c r="Q97" s="188">
        <f t="shared" si="23"/>
        <v>68686.868888888886</v>
      </c>
      <c r="R97" s="188">
        <f t="shared" si="23"/>
        <v>68686.868888888886</v>
      </c>
      <c r="S97" s="188">
        <f t="shared" si="23"/>
        <v>68686.868888888886</v>
      </c>
      <c r="T97" s="188">
        <f t="shared" si="23"/>
        <v>68686.868888888886</v>
      </c>
      <c r="U97" s="188">
        <f>109090.909090909/2</f>
        <v>54545.4545454545</v>
      </c>
      <c r="V97" s="14">
        <f t="shared" si="18"/>
        <v>1181818.1842424241</v>
      </c>
    </row>
    <row r="98" spans="2:22" s="69" customFormat="1" ht="21.75" customHeight="1" outlineLevel="1" thickBot="1" x14ac:dyDescent="0.4">
      <c r="B98" s="226" t="s">
        <v>80</v>
      </c>
      <c r="C98" s="55" t="s">
        <v>28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>
        <v>1</v>
      </c>
      <c r="V98" s="14">
        <f t="shared" si="18"/>
        <v>1</v>
      </c>
    </row>
    <row r="99" spans="2:22" s="69" customFormat="1" ht="21.75" customHeight="1" outlineLevel="1" thickBot="1" x14ac:dyDescent="0.4">
      <c r="B99" s="227"/>
      <c r="C99" s="55" t="s">
        <v>29</v>
      </c>
      <c r="D99" s="188">
        <f>303030.303030303/5</f>
        <v>60606.060606060593</v>
      </c>
      <c r="E99" s="188">
        <f>303030.303030303/5</f>
        <v>60606.060606060593</v>
      </c>
      <c r="F99" s="188">
        <f>303030.303030303/5</f>
        <v>60606.060606060593</v>
      </c>
      <c r="G99" s="188">
        <f>303030.303030303/5</f>
        <v>60606.060606060593</v>
      </c>
      <c r="H99" s="188">
        <f>303030.303030303/5</f>
        <v>60606.060606060593</v>
      </c>
      <c r="I99" s="188">
        <f t="shared" ref="I99:T99" si="24">1236363.64/18</f>
        <v>68686.868888888886</v>
      </c>
      <c r="J99" s="188">
        <f t="shared" si="24"/>
        <v>68686.868888888886</v>
      </c>
      <c r="K99" s="188">
        <f t="shared" si="24"/>
        <v>68686.868888888886</v>
      </c>
      <c r="L99" s="188">
        <f t="shared" si="24"/>
        <v>68686.868888888886</v>
      </c>
      <c r="M99" s="188">
        <f t="shared" si="24"/>
        <v>68686.868888888886</v>
      </c>
      <c r="N99" s="188">
        <f t="shared" si="24"/>
        <v>68686.868888888886</v>
      </c>
      <c r="O99" s="188">
        <f t="shared" si="24"/>
        <v>68686.868888888886</v>
      </c>
      <c r="P99" s="188">
        <f t="shared" si="24"/>
        <v>68686.868888888886</v>
      </c>
      <c r="Q99" s="188">
        <f t="shared" si="24"/>
        <v>68686.868888888886</v>
      </c>
      <c r="R99" s="188">
        <f t="shared" si="24"/>
        <v>68686.868888888886</v>
      </c>
      <c r="S99" s="188">
        <f t="shared" si="24"/>
        <v>68686.868888888886</v>
      </c>
      <c r="T99" s="188">
        <f t="shared" si="24"/>
        <v>68686.868888888886</v>
      </c>
      <c r="U99" s="188">
        <f>109090.909090909/2</f>
        <v>54545.4545454545</v>
      </c>
      <c r="V99" s="14">
        <f t="shared" si="18"/>
        <v>1181818.1842424241</v>
      </c>
    </row>
    <row r="100" spans="2:22" s="69" customFormat="1" ht="21.75" customHeight="1" outlineLevel="1" thickBot="1" x14ac:dyDescent="0.4">
      <c r="B100" s="226" t="s">
        <v>81</v>
      </c>
      <c r="C100" s="55" t="s">
        <v>28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>
        <v>1</v>
      </c>
      <c r="V100" s="14">
        <f t="shared" si="18"/>
        <v>1</v>
      </c>
    </row>
    <row r="101" spans="2:22" s="69" customFormat="1" ht="21.75" customHeight="1" outlineLevel="1" thickBot="1" x14ac:dyDescent="0.4">
      <c r="B101" s="230"/>
      <c r="C101" s="55" t="s">
        <v>29</v>
      </c>
      <c r="D101" s="188">
        <f>303030.303030303/5</f>
        <v>60606.060606060593</v>
      </c>
      <c r="E101" s="188">
        <f>303030.303030303/5</f>
        <v>60606.060606060593</v>
      </c>
      <c r="F101" s="188">
        <f>303030.303030303/5</f>
        <v>60606.060606060593</v>
      </c>
      <c r="G101" s="188">
        <f>303030.303030303/5</f>
        <v>60606.060606060593</v>
      </c>
      <c r="H101" s="188">
        <f>303030.303030303/5</f>
        <v>60606.060606060593</v>
      </c>
      <c r="I101" s="188">
        <f t="shared" ref="I101:T101" si="25">1236363.64/18</f>
        <v>68686.868888888886</v>
      </c>
      <c r="J101" s="188">
        <f t="shared" si="25"/>
        <v>68686.868888888886</v>
      </c>
      <c r="K101" s="188">
        <f t="shared" si="25"/>
        <v>68686.868888888886</v>
      </c>
      <c r="L101" s="188">
        <f t="shared" si="25"/>
        <v>68686.868888888886</v>
      </c>
      <c r="M101" s="188">
        <f t="shared" si="25"/>
        <v>68686.868888888886</v>
      </c>
      <c r="N101" s="188">
        <f t="shared" si="25"/>
        <v>68686.868888888886</v>
      </c>
      <c r="O101" s="188">
        <f t="shared" si="25"/>
        <v>68686.868888888886</v>
      </c>
      <c r="P101" s="188">
        <f t="shared" si="25"/>
        <v>68686.868888888886</v>
      </c>
      <c r="Q101" s="188">
        <f t="shared" si="25"/>
        <v>68686.868888888886</v>
      </c>
      <c r="R101" s="188">
        <f t="shared" si="25"/>
        <v>68686.868888888886</v>
      </c>
      <c r="S101" s="188">
        <f t="shared" si="25"/>
        <v>68686.868888888886</v>
      </c>
      <c r="T101" s="188">
        <f t="shared" si="25"/>
        <v>68686.868888888886</v>
      </c>
      <c r="U101" s="188">
        <f>109090.909090909/2</f>
        <v>54545.4545454545</v>
      </c>
      <c r="V101" s="14">
        <f t="shared" si="18"/>
        <v>1181818.1842424241</v>
      </c>
    </row>
    <row r="102" spans="2:22" s="69" customFormat="1" ht="21.75" customHeight="1" outlineLevel="1" thickBot="1" x14ac:dyDescent="0.4">
      <c r="B102" s="233" t="s">
        <v>82</v>
      </c>
      <c r="C102" s="55" t="s">
        <v>28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71"/>
      <c r="V102" s="14">
        <f t="shared" si="18"/>
        <v>0</v>
      </c>
    </row>
    <row r="103" spans="2:22" s="69" customFormat="1" ht="21.75" customHeight="1" outlineLevel="1" thickBot="1" x14ac:dyDescent="0.4">
      <c r="B103" s="234"/>
      <c r="C103" s="55" t="s">
        <v>29</v>
      </c>
      <c r="D103" s="188"/>
      <c r="E103" s="188"/>
      <c r="F103" s="188"/>
      <c r="G103" s="188"/>
      <c r="H103" s="188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71"/>
      <c r="V103" s="14">
        <f t="shared" si="18"/>
        <v>0</v>
      </c>
    </row>
    <row r="104" spans="2:22" ht="28.5" customHeight="1" thickBot="1" x14ac:dyDescent="0.4">
      <c r="B104" s="214" t="s">
        <v>83</v>
      </c>
      <c r="C104" s="49" t="s">
        <v>28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14">
        <f t="shared" si="18"/>
        <v>0</v>
      </c>
    </row>
    <row r="105" spans="2:22" ht="42" customHeight="1" thickBot="1" x14ac:dyDescent="0.4">
      <c r="B105" s="225"/>
      <c r="C105" s="49" t="s">
        <v>29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52"/>
      <c r="V105" s="14">
        <f t="shared" si="18"/>
        <v>0</v>
      </c>
    </row>
    <row r="106" spans="2:22" s="69" customFormat="1" ht="21.75" customHeight="1" thickBot="1" x14ac:dyDescent="0.4">
      <c r="B106" s="226" t="s">
        <v>84</v>
      </c>
      <c r="C106" s="55" t="s">
        <v>28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14">
        <f t="shared" si="18"/>
        <v>0</v>
      </c>
    </row>
    <row r="107" spans="2:22" s="69" customFormat="1" ht="21.75" customHeight="1" thickBot="1" x14ac:dyDescent="0.4">
      <c r="B107" s="227"/>
      <c r="C107" s="55" t="s">
        <v>29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60"/>
      <c r="V107" s="14">
        <f t="shared" si="18"/>
        <v>0</v>
      </c>
    </row>
    <row r="108" spans="2:22" s="69" customFormat="1" ht="21.75" customHeight="1" thickBot="1" x14ac:dyDescent="0.4">
      <c r="B108" s="226" t="s">
        <v>85</v>
      </c>
      <c r="C108" s="55" t="s">
        <v>28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14">
        <f t="shared" si="18"/>
        <v>0</v>
      </c>
    </row>
    <row r="109" spans="2:22" s="69" customFormat="1" ht="21.75" customHeight="1" thickBot="1" x14ac:dyDescent="0.4">
      <c r="B109" s="227"/>
      <c r="C109" s="55" t="s">
        <v>29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60"/>
      <c r="V109" s="14">
        <f t="shared" si="18"/>
        <v>0</v>
      </c>
    </row>
    <row r="110" spans="2:22" s="69" customFormat="1" ht="29.25" customHeight="1" thickBot="1" x14ac:dyDescent="0.4">
      <c r="B110" s="214" t="s">
        <v>86</v>
      </c>
      <c r="C110" s="49" t="s">
        <v>87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>
        <f>SUMIF(U112:U131,"=1")</f>
        <v>0</v>
      </c>
      <c r="V110" s="14">
        <f t="shared" si="18"/>
        <v>0</v>
      </c>
    </row>
    <row r="111" spans="2:22" s="69" customFormat="1" ht="38.25" customHeight="1" thickBot="1" x14ac:dyDescent="0.4">
      <c r="B111" s="225"/>
      <c r="C111" s="49" t="s">
        <v>29</v>
      </c>
      <c r="D111" s="52">
        <f t="shared" ref="D111:U111" si="26">SUMIF(D112:D139,"&gt;1")</f>
        <v>0</v>
      </c>
      <c r="E111" s="52">
        <f t="shared" si="26"/>
        <v>0</v>
      </c>
      <c r="F111" s="52">
        <f t="shared" si="26"/>
        <v>0</v>
      </c>
      <c r="G111" s="52">
        <f t="shared" si="26"/>
        <v>0</v>
      </c>
      <c r="H111" s="52">
        <f t="shared" si="26"/>
        <v>0</v>
      </c>
      <c r="I111" s="52">
        <f t="shared" si="26"/>
        <v>0</v>
      </c>
      <c r="J111" s="52">
        <f t="shared" si="26"/>
        <v>0</v>
      </c>
      <c r="K111" s="52">
        <f t="shared" si="26"/>
        <v>0</v>
      </c>
      <c r="L111" s="52">
        <f t="shared" si="26"/>
        <v>0</v>
      </c>
      <c r="M111" s="52">
        <f t="shared" si="26"/>
        <v>0</v>
      </c>
      <c r="N111" s="52">
        <f t="shared" si="26"/>
        <v>0</v>
      </c>
      <c r="O111" s="52">
        <f t="shared" si="26"/>
        <v>0</v>
      </c>
      <c r="P111" s="52">
        <f t="shared" si="26"/>
        <v>0</v>
      </c>
      <c r="Q111" s="52">
        <f t="shared" si="26"/>
        <v>0</v>
      </c>
      <c r="R111" s="52">
        <f t="shared" si="26"/>
        <v>0</v>
      </c>
      <c r="S111" s="52">
        <f t="shared" si="26"/>
        <v>0</v>
      </c>
      <c r="T111" s="52">
        <f t="shared" si="26"/>
        <v>0</v>
      </c>
      <c r="U111" s="52">
        <f t="shared" si="26"/>
        <v>303030.3</v>
      </c>
      <c r="V111" s="14">
        <f t="shared" si="18"/>
        <v>303030.3</v>
      </c>
    </row>
    <row r="112" spans="2:22" s="69" customFormat="1" ht="21.75" customHeight="1" thickBot="1" x14ac:dyDescent="0.4">
      <c r="B112" s="226" t="s">
        <v>88</v>
      </c>
      <c r="C112" s="55" t="s">
        <v>87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14">
        <f t="shared" si="18"/>
        <v>0</v>
      </c>
    </row>
    <row r="113" spans="2:22" s="69" customFormat="1" ht="21.75" customHeight="1" thickBot="1" x14ac:dyDescent="0.4">
      <c r="B113" s="227"/>
      <c r="C113" s="55" t="s">
        <v>29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188"/>
      <c r="U113" s="60">
        <f>454545.45/6</f>
        <v>75757.574999999997</v>
      </c>
      <c r="V113" s="14">
        <f t="shared" si="18"/>
        <v>75757.574999999997</v>
      </c>
    </row>
    <row r="114" spans="2:22" s="69" customFormat="1" ht="21.75" customHeight="1" thickBot="1" x14ac:dyDescent="0.4">
      <c r="B114" s="226" t="s">
        <v>89</v>
      </c>
      <c r="C114" s="55" t="s">
        <v>87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14">
        <f t="shared" si="18"/>
        <v>0</v>
      </c>
    </row>
    <row r="115" spans="2:22" s="69" customFormat="1" ht="21.75" customHeight="1" thickBot="1" x14ac:dyDescent="0.4">
      <c r="B115" s="230"/>
      <c r="C115" s="55" t="s">
        <v>29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60">
        <f>454545.45/6</f>
        <v>75757.574999999997</v>
      </c>
      <c r="V115" s="14">
        <f t="shared" si="18"/>
        <v>75757.574999999997</v>
      </c>
    </row>
    <row r="116" spans="2:22" s="69" customFormat="1" ht="21.75" customHeight="1" thickBot="1" x14ac:dyDescent="0.4">
      <c r="B116" s="233" t="s">
        <v>90</v>
      </c>
      <c r="C116" s="55" t="s">
        <v>87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14">
        <f t="shared" si="18"/>
        <v>0</v>
      </c>
    </row>
    <row r="117" spans="2:22" s="69" customFormat="1" ht="21.75" customHeight="1" thickBot="1" x14ac:dyDescent="0.4">
      <c r="B117" s="234"/>
      <c r="C117" s="55" t="s">
        <v>29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60"/>
      <c r="V117" s="14">
        <f t="shared" si="18"/>
        <v>0</v>
      </c>
    </row>
    <row r="118" spans="2:22" s="69" customFormat="1" ht="21.75" customHeight="1" thickBot="1" x14ac:dyDescent="0.4">
      <c r="B118" s="233" t="s">
        <v>91</v>
      </c>
      <c r="C118" s="55" t="s">
        <v>87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14">
        <f t="shared" si="18"/>
        <v>0</v>
      </c>
    </row>
    <row r="119" spans="2:22" s="69" customFormat="1" ht="21.75" customHeight="1" thickBot="1" x14ac:dyDescent="0.4">
      <c r="B119" s="234"/>
      <c r="C119" s="55" t="s">
        <v>29</v>
      </c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60"/>
      <c r="V119" s="14">
        <f t="shared" si="18"/>
        <v>0</v>
      </c>
    </row>
    <row r="120" spans="2:22" s="69" customFormat="1" ht="21.75" customHeight="1" thickBot="1" x14ac:dyDescent="0.4">
      <c r="B120" s="233" t="s">
        <v>92</v>
      </c>
      <c r="C120" s="55" t="s">
        <v>87</v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14">
        <f t="shared" si="18"/>
        <v>0</v>
      </c>
    </row>
    <row r="121" spans="2:22" s="69" customFormat="1" ht="21.75" customHeight="1" thickBot="1" x14ac:dyDescent="0.4">
      <c r="B121" s="234"/>
      <c r="C121" s="55" t="s">
        <v>29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60"/>
      <c r="V121" s="14">
        <f t="shared" si="18"/>
        <v>0</v>
      </c>
    </row>
    <row r="122" spans="2:22" s="69" customFormat="1" ht="21.75" customHeight="1" thickBot="1" x14ac:dyDescent="0.4">
      <c r="B122" s="233" t="s">
        <v>93</v>
      </c>
      <c r="C122" s="55" t="s">
        <v>87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14">
        <f t="shared" si="18"/>
        <v>0</v>
      </c>
    </row>
    <row r="123" spans="2:22" s="69" customFormat="1" ht="21.75" customHeight="1" thickBot="1" x14ac:dyDescent="0.4">
      <c r="B123" s="234"/>
      <c r="C123" s="55" t="s">
        <v>29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60"/>
      <c r="V123" s="14">
        <f t="shared" si="18"/>
        <v>0</v>
      </c>
    </row>
    <row r="124" spans="2:22" s="69" customFormat="1" ht="21.75" customHeight="1" thickBot="1" x14ac:dyDescent="0.4">
      <c r="B124" s="233" t="s">
        <v>94</v>
      </c>
      <c r="C124" s="55" t="s">
        <v>87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14">
        <f t="shared" si="18"/>
        <v>0</v>
      </c>
    </row>
    <row r="125" spans="2:22" s="69" customFormat="1" ht="21.75" customHeight="1" thickBot="1" x14ac:dyDescent="0.4">
      <c r="B125" s="234"/>
      <c r="C125" s="55" t="s">
        <v>29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60"/>
      <c r="V125" s="14">
        <f t="shared" si="18"/>
        <v>0</v>
      </c>
    </row>
    <row r="126" spans="2:22" s="69" customFormat="1" ht="21.75" customHeight="1" thickBot="1" x14ac:dyDescent="0.4">
      <c r="B126" s="233" t="s">
        <v>95</v>
      </c>
      <c r="C126" s="55" t="s">
        <v>87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14">
        <f t="shared" si="18"/>
        <v>0</v>
      </c>
    </row>
    <row r="127" spans="2:22" s="69" customFormat="1" ht="21.75" customHeight="1" thickBot="1" x14ac:dyDescent="0.4">
      <c r="B127" s="234"/>
      <c r="C127" s="55" t="s">
        <v>29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60"/>
      <c r="T127" s="55"/>
      <c r="U127" s="60">
        <f>454545.45/6</f>
        <v>75757.574999999997</v>
      </c>
      <c r="V127" s="14">
        <f t="shared" si="18"/>
        <v>75757.574999999997</v>
      </c>
    </row>
    <row r="128" spans="2:22" s="69" customFormat="1" ht="21.75" customHeight="1" thickBot="1" x14ac:dyDescent="0.4">
      <c r="B128" s="233" t="s">
        <v>96</v>
      </c>
      <c r="C128" s="55" t="s">
        <v>87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14">
        <f t="shared" si="18"/>
        <v>0</v>
      </c>
    </row>
    <row r="129" spans="2:22" s="69" customFormat="1" ht="21.75" customHeight="1" thickBot="1" x14ac:dyDescent="0.4">
      <c r="B129" s="234"/>
      <c r="C129" s="55" t="s">
        <v>29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60"/>
      <c r="V129" s="14">
        <f t="shared" si="18"/>
        <v>0</v>
      </c>
    </row>
    <row r="130" spans="2:22" s="69" customFormat="1" ht="21.75" customHeight="1" thickBot="1" x14ac:dyDescent="0.4">
      <c r="B130" s="233" t="s">
        <v>97</v>
      </c>
      <c r="C130" s="55" t="s">
        <v>87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14">
        <f t="shared" si="18"/>
        <v>0</v>
      </c>
    </row>
    <row r="131" spans="2:22" s="69" customFormat="1" ht="21.75" customHeight="1" thickBot="1" x14ac:dyDescent="0.4">
      <c r="B131" s="234"/>
      <c r="C131" s="55" t="s">
        <v>29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60"/>
      <c r="V131" s="14">
        <f t="shared" si="18"/>
        <v>0</v>
      </c>
    </row>
    <row r="132" spans="2:22" s="69" customFormat="1" ht="21.75" customHeight="1" thickBot="1" x14ac:dyDescent="0.4">
      <c r="B132" s="233" t="s">
        <v>98</v>
      </c>
      <c r="C132" s="55" t="s">
        <v>87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14">
        <f t="shared" si="18"/>
        <v>0</v>
      </c>
    </row>
    <row r="133" spans="2:22" s="69" customFormat="1" ht="21.75" customHeight="1" thickBot="1" x14ac:dyDescent="0.4">
      <c r="B133" s="234"/>
      <c r="C133" s="55" t="s">
        <v>29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60"/>
      <c r="V133" s="14">
        <f t="shared" si="18"/>
        <v>0</v>
      </c>
    </row>
    <row r="134" spans="2:22" s="69" customFormat="1" ht="21.75" customHeight="1" thickBot="1" x14ac:dyDescent="0.4">
      <c r="B134" s="233" t="s">
        <v>99</v>
      </c>
      <c r="C134" s="55" t="s">
        <v>87</v>
      </c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14">
        <f t="shared" si="18"/>
        <v>0</v>
      </c>
    </row>
    <row r="135" spans="2:22" s="69" customFormat="1" ht="21.75" customHeight="1" thickBot="1" x14ac:dyDescent="0.4">
      <c r="B135" s="234"/>
      <c r="C135" s="55" t="s">
        <v>29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60"/>
      <c r="V135" s="14">
        <f t="shared" si="18"/>
        <v>0</v>
      </c>
    </row>
    <row r="136" spans="2:22" s="69" customFormat="1" ht="21.75" customHeight="1" thickBot="1" x14ac:dyDescent="0.4">
      <c r="B136" s="233" t="s">
        <v>100</v>
      </c>
      <c r="C136" s="55" t="s">
        <v>87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14">
        <f t="shared" si="18"/>
        <v>0</v>
      </c>
    </row>
    <row r="137" spans="2:22" s="69" customFormat="1" ht="21.75" customHeight="1" thickBot="1" x14ac:dyDescent="0.4">
      <c r="B137" s="234"/>
      <c r="C137" s="55" t="s">
        <v>29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60"/>
      <c r="V137" s="14">
        <f t="shared" si="18"/>
        <v>0</v>
      </c>
    </row>
    <row r="138" spans="2:22" s="69" customFormat="1" ht="21.75" customHeight="1" thickBot="1" x14ac:dyDescent="0.4">
      <c r="B138" s="233" t="s">
        <v>101</v>
      </c>
      <c r="C138" s="55" t="s">
        <v>87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14">
        <f t="shared" si="18"/>
        <v>0</v>
      </c>
    </row>
    <row r="139" spans="2:22" s="69" customFormat="1" ht="21.75" customHeight="1" thickBot="1" x14ac:dyDescent="0.4">
      <c r="B139" s="234"/>
      <c r="C139" s="55" t="s">
        <v>29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60"/>
      <c r="S139" s="55"/>
      <c r="T139" s="55"/>
      <c r="U139" s="60">
        <f>454545.45/6</f>
        <v>75757.574999999997</v>
      </c>
      <c r="V139" s="14">
        <f t="shared" si="18"/>
        <v>75757.574999999997</v>
      </c>
    </row>
    <row r="140" spans="2:22" s="69" customFormat="1" ht="21.75" customHeight="1" thickBot="1" x14ac:dyDescent="0.4">
      <c r="B140" s="214" t="s">
        <v>102</v>
      </c>
      <c r="C140" s="49" t="s">
        <v>87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14">
        <f t="shared" si="18"/>
        <v>0</v>
      </c>
    </row>
    <row r="141" spans="2:22" s="69" customFormat="1" ht="21.75" customHeight="1" thickBot="1" x14ac:dyDescent="0.4">
      <c r="B141" s="225"/>
      <c r="C141" s="49" t="s">
        <v>29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2"/>
      <c r="V141" s="14">
        <f t="shared" si="18"/>
        <v>0</v>
      </c>
    </row>
    <row r="142" spans="2:22" s="69" customFormat="1" ht="21.75" customHeight="1" thickBot="1" x14ac:dyDescent="0.4">
      <c r="B142" s="226" t="s">
        <v>88</v>
      </c>
      <c r="C142" s="55" t="s">
        <v>87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14">
        <f t="shared" si="18"/>
        <v>0</v>
      </c>
    </row>
    <row r="143" spans="2:22" s="69" customFormat="1" ht="21.75" customHeight="1" thickBot="1" x14ac:dyDescent="0.4">
      <c r="B143" s="227"/>
      <c r="C143" s="55" t="s">
        <v>29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60"/>
      <c r="V143" s="14">
        <f t="shared" si="18"/>
        <v>0</v>
      </c>
    </row>
    <row r="144" spans="2:22" s="69" customFormat="1" ht="21.75" customHeight="1" thickBot="1" x14ac:dyDescent="0.4">
      <c r="B144" s="226" t="s">
        <v>89</v>
      </c>
      <c r="C144" s="55" t="s">
        <v>87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14">
        <f t="shared" si="18"/>
        <v>0</v>
      </c>
    </row>
    <row r="145" spans="2:22" s="69" customFormat="1" ht="21.75" customHeight="1" thickBot="1" x14ac:dyDescent="0.4">
      <c r="B145" s="230"/>
      <c r="C145" s="55" t="s">
        <v>29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60"/>
      <c r="V145" s="14">
        <f t="shared" si="18"/>
        <v>0</v>
      </c>
    </row>
    <row r="146" spans="2:22" s="69" customFormat="1" ht="21.75" customHeight="1" thickBot="1" x14ac:dyDescent="0.4">
      <c r="B146" s="233" t="s">
        <v>90</v>
      </c>
      <c r="C146" s="55" t="s">
        <v>87</v>
      </c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14">
        <f t="shared" ref="V146:V209" si="27">SUM(D146:U146)</f>
        <v>0</v>
      </c>
    </row>
    <row r="147" spans="2:22" s="69" customFormat="1" ht="21.75" customHeight="1" thickBot="1" x14ac:dyDescent="0.4">
      <c r="B147" s="234"/>
      <c r="C147" s="55" t="s">
        <v>29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60"/>
      <c r="V147" s="14">
        <f t="shared" si="27"/>
        <v>0</v>
      </c>
    </row>
    <row r="148" spans="2:22" s="69" customFormat="1" ht="21.75" customHeight="1" thickBot="1" x14ac:dyDescent="0.4">
      <c r="B148" s="233" t="s">
        <v>91</v>
      </c>
      <c r="C148" s="55" t="s">
        <v>87</v>
      </c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14">
        <f t="shared" si="27"/>
        <v>0</v>
      </c>
    </row>
    <row r="149" spans="2:22" s="69" customFormat="1" ht="21.75" customHeight="1" thickBot="1" x14ac:dyDescent="0.4">
      <c r="B149" s="234"/>
      <c r="C149" s="55" t="s">
        <v>29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60"/>
      <c r="V149" s="14">
        <f t="shared" si="27"/>
        <v>0</v>
      </c>
    </row>
    <row r="150" spans="2:22" s="69" customFormat="1" ht="21.75" customHeight="1" thickBot="1" x14ac:dyDescent="0.4">
      <c r="B150" s="233" t="s">
        <v>92</v>
      </c>
      <c r="C150" s="55" t="s">
        <v>87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4">
        <f t="shared" si="27"/>
        <v>0</v>
      </c>
    </row>
    <row r="151" spans="2:22" s="69" customFormat="1" ht="21.75" customHeight="1" thickBot="1" x14ac:dyDescent="0.4">
      <c r="B151" s="234"/>
      <c r="C151" s="55" t="s">
        <v>29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60"/>
      <c r="V151" s="14">
        <f t="shared" si="27"/>
        <v>0</v>
      </c>
    </row>
    <row r="152" spans="2:22" s="69" customFormat="1" ht="21.75" customHeight="1" thickBot="1" x14ac:dyDescent="0.4">
      <c r="B152" s="233" t="s">
        <v>93</v>
      </c>
      <c r="C152" s="55" t="s">
        <v>87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14">
        <f t="shared" si="27"/>
        <v>0</v>
      </c>
    </row>
    <row r="153" spans="2:22" s="69" customFormat="1" ht="21.75" customHeight="1" thickBot="1" x14ac:dyDescent="0.4">
      <c r="B153" s="234"/>
      <c r="C153" s="55" t="s">
        <v>29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60"/>
      <c r="V153" s="14">
        <f t="shared" si="27"/>
        <v>0</v>
      </c>
    </row>
    <row r="154" spans="2:22" s="69" customFormat="1" ht="21.75" customHeight="1" thickBot="1" x14ac:dyDescent="0.4">
      <c r="B154" s="233" t="s">
        <v>94</v>
      </c>
      <c r="C154" s="55" t="s">
        <v>87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14">
        <f t="shared" si="27"/>
        <v>0</v>
      </c>
    </row>
    <row r="155" spans="2:22" s="69" customFormat="1" ht="21.75" customHeight="1" thickBot="1" x14ac:dyDescent="0.4">
      <c r="B155" s="234"/>
      <c r="C155" s="55" t="s">
        <v>29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60"/>
      <c r="V155" s="14">
        <f t="shared" si="27"/>
        <v>0</v>
      </c>
    </row>
    <row r="156" spans="2:22" s="69" customFormat="1" ht="21.75" customHeight="1" thickBot="1" x14ac:dyDescent="0.4">
      <c r="B156" s="233" t="s">
        <v>95</v>
      </c>
      <c r="C156" s="55" t="s">
        <v>87</v>
      </c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14">
        <f t="shared" si="27"/>
        <v>0</v>
      </c>
    </row>
    <row r="157" spans="2:22" s="69" customFormat="1" ht="21.75" customHeight="1" thickBot="1" x14ac:dyDescent="0.4">
      <c r="B157" s="234"/>
      <c r="C157" s="55" t="s">
        <v>29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60"/>
      <c r="V157" s="14">
        <f t="shared" si="27"/>
        <v>0</v>
      </c>
    </row>
    <row r="158" spans="2:22" s="69" customFormat="1" ht="21.75" customHeight="1" thickBot="1" x14ac:dyDescent="0.4">
      <c r="B158" s="233" t="s">
        <v>96</v>
      </c>
      <c r="C158" s="55" t="s">
        <v>87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14">
        <f t="shared" si="27"/>
        <v>0</v>
      </c>
    </row>
    <row r="159" spans="2:22" s="69" customFormat="1" ht="21.75" customHeight="1" thickBot="1" x14ac:dyDescent="0.4">
      <c r="B159" s="234"/>
      <c r="C159" s="55" t="s">
        <v>29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60"/>
      <c r="V159" s="14">
        <f t="shared" si="27"/>
        <v>0</v>
      </c>
    </row>
    <row r="160" spans="2:22" s="69" customFormat="1" ht="21.75" customHeight="1" thickBot="1" x14ac:dyDescent="0.4">
      <c r="B160" s="233" t="s">
        <v>97</v>
      </c>
      <c r="C160" s="55" t="s">
        <v>87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14">
        <f t="shared" si="27"/>
        <v>0</v>
      </c>
    </row>
    <row r="161" spans="2:22" s="69" customFormat="1" ht="21.75" customHeight="1" thickBot="1" x14ac:dyDescent="0.4">
      <c r="B161" s="234"/>
      <c r="C161" s="55" t="s">
        <v>29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60"/>
      <c r="V161" s="14">
        <f t="shared" si="27"/>
        <v>0</v>
      </c>
    </row>
    <row r="162" spans="2:22" s="69" customFormat="1" ht="21.75" customHeight="1" thickBot="1" x14ac:dyDescent="0.4">
      <c r="B162" s="233" t="s">
        <v>98</v>
      </c>
      <c r="C162" s="55" t="s">
        <v>87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14">
        <f t="shared" si="27"/>
        <v>0</v>
      </c>
    </row>
    <row r="163" spans="2:22" s="69" customFormat="1" ht="21.75" customHeight="1" thickBot="1" x14ac:dyDescent="0.4">
      <c r="B163" s="234"/>
      <c r="C163" s="55" t="s">
        <v>29</v>
      </c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60"/>
      <c r="V163" s="14">
        <f t="shared" si="27"/>
        <v>0</v>
      </c>
    </row>
    <row r="164" spans="2:22" s="69" customFormat="1" ht="21.75" customHeight="1" thickBot="1" x14ac:dyDescent="0.4">
      <c r="B164" s="233" t="s">
        <v>99</v>
      </c>
      <c r="C164" s="55" t="s">
        <v>87</v>
      </c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14">
        <f t="shared" si="27"/>
        <v>0</v>
      </c>
    </row>
    <row r="165" spans="2:22" s="69" customFormat="1" ht="21.75" customHeight="1" thickBot="1" x14ac:dyDescent="0.4">
      <c r="B165" s="234"/>
      <c r="C165" s="55" t="s">
        <v>29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60"/>
      <c r="V165" s="14">
        <f t="shared" si="27"/>
        <v>0</v>
      </c>
    </row>
    <row r="166" spans="2:22" s="69" customFormat="1" ht="21.75" customHeight="1" thickBot="1" x14ac:dyDescent="0.4">
      <c r="B166" s="233" t="s">
        <v>100</v>
      </c>
      <c r="C166" s="55" t="s">
        <v>87</v>
      </c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14">
        <f t="shared" si="27"/>
        <v>0</v>
      </c>
    </row>
    <row r="167" spans="2:22" s="69" customFormat="1" ht="21.75" customHeight="1" thickBot="1" x14ac:dyDescent="0.4">
      <c r="B167" s="234"/>
      <c r="C167" s="55" t="s">
        <v>29</v>
      </c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60"/>
      <c r="V167" s="14">
        <f t="shared" si="27"/>
        <v>0</v>
      </c>
    </row>
    <row r="168" spans="2:22" s="69" customFormat="1" ht="21.75" customHeight="1" thickBot="1" x14ac:dyDescent="0.4">
      <c r="B168" s="233" t="s">
        <v>101</v>
      </c>
      <c r="C168" s="55" t="s">
        <v>87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14">
        <f t="shared" si="27"/>
        <v>0</v>
      </c>
    </row>
    <row r="169" spans="2:22" s="69" customFormat="1" ht="21.75" customHeight="1" thickBot="1" x14ac:dyDescent="0.4">
      <c r="B169" s="234"/>
      <c r="C169" s="55" t="s">
        <v>29</v>
      </c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60"/>
      <c r="V169" s="14">
        <f t="shared" si="27"/>
        <v>0</v>
      </c>
    </row>
    <row r="170" spans="2:22" s="69" customFormat="1" ht="27.75" customHeight="1" thickBot="1" x14ac:dyDescent="0.4">
      <c r="B170" s="214" t="s">
        <v>103</v>
      </c>
      <c r="C170" s="49" t="s">
        <v>87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14">
        <f t="shared" si="27"/>
        <v>0</v>
      </c>
    </row>
    <row r="171" spans="2:22" s="69" customFormat="1" ht="33.75" customHeight="1" thickBot="1" x14ac:dyDescent="0.4">
      <c r="B171" s="225"/>
      <c r="C171" s="49" t="s">
        <v>29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52"/>
      <c r="V171" s="14">
        <f t="shared" si="27"/>
        <v>0</v>
      </c>
    </row>
    <row r="172" spans="2:22" s="69" customFormat="1" ht="21.75" customHeight="1" thickBot="1" x14ac:dyDescent="0.4">
      <c r="B172" s="226" t="s">
        <v>104</v>
      </c>
      <c r="C172" s="55" t="s">
        <v>87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14">
        <f t="shared" si="27"/>
        <v>0</v>
      </c>
    </row>
    <row r="173" spans="2:22" s="69" customFormat="1" ht="21.75" customHeight="1" thickBot="1" x14ac:dyDescent="0.4">
      <c r="B173" s="227"/>
      <c r="C173" s="55" t="s">
        <v>29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60"/>
      <c r="V173" s="14">
        <f t="shared" si="27"/>
        <v>0</v>
      </c>
    </row>
    <row r="174" spans="2:22" s="69" customFormat="1" ht="21.75" customHeight="1" thickBot="1" x14ac:dyDescent="0.4">
      <c r="B174" s="233" t="s">
        <v>105</v>
      </c>
      <c r="C174" s="55" t="s">
        <v>87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14">
        <f t="shared" si="27"/>
        <v>0</v>
      </c>
    </row>
    <row r="175" spans="2:22" s="69" customFormat="1" ht="21.75" customHeight="1" thickBot="1" x14ac:dyDescent="0.4">
      <c r="B175" s="234"/>
      <c r="C175" s="55" t="s">
        <v>29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60"/>
      <c r="V175" s="14">
        <f t="shared" si="27"/>
        <v>0</v>
      </c>
    </row>
    <row r="176" spans="2:22" s="69" customFormat="1" ht="21.75" customHeight="1" thickBot="1" x14ac:dyDescent="0.4">
      <c r="B176" s="233" t="s">
        <v>106</v>
      </c>
      <c r="C176" s="55" t="s">
        <v>87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14">
        <f t="shared" si="27"/>
        <v>0</v>
      </c>
    </row>
    <row r="177" spans="2:22" s="69" customFormat="1" ht="21.75" customHeight="1" thickBot="1" x14ac:dyDescent="0.4">
      <c r="B177" s="234"/>
      <c r="C177" s="55" t="s">
        <v>29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60"/>
      <c r="V177" s="14">
        <f t="shared" si="27"/>
        <v>0</v>
      </c>
    </row>
    <row r="178" spans="2:22" s="69" customFormat="1" ht="21.75" customHeight="1" thickBot="1" x14ac:dyDescent="0.4">
      <c r="B178" s="233" t="s">
        <v>107</v>
      </c>
      <c r="C178" s="55" t="s">
        <v>87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14">
        <f t="shared" si="27"/>
        <v>0</v>
      </c>
    </row>
    <row r="179" spans="2:22" s="69" customFormat="1" ht="21.75" customHeight="1" thickBot="1" x14ac:dyDescent="0.4">
      <c r="B179" s="234"/>
      <c r="C179" s="55" t="s">
        <v>29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60"/>
      <c r="V179" s="14">
        <f t="shared" si="27"/>
        <v>0</v>
      </c>
    </row>
    <row r="180" spans="2:22" s="69" customFormat="1" ht="21.75" customHeight="1" thickBot="1" x14ac:dyDescent="0.4">
      <c r="B180" s="233" t="s">
        <v>108</v>
      </c>
      <c r="C180" s="55" t="s">
        <v>87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14">
        <f t="shared" si="27"/>
        <v>0</v>
      </c>
    </row>
    <row r="181" spans="2:22" s="69" customFormat="1" ht="21.75" customHeight="1" thickBot="1" x14ac:dyDescent="0.4">
      <c r="B181" s="234"/>
      <c r="C181" s="55" t="s">
        <v>29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60"/>
      <c r="V181" s="14">
        <f t="shared" si="27"/>
        <v>0</v>
      </c>
    </row>
    <row r="182" spans="2:22" s="69" customFormat="1" ht="21.75" customHeight="1" thickBot="1" x14ac:dyDescent="0.4">
      <c r="B182" s="233" t="s">
        <v>109</v>
      </c>
      <c r="C182" s="55" t="s">
        <v>87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14">
        <f t="shared" si="27"/>
        <v>0</v>
      </c>
    </row>
    <row r="183" spans="2:22" s="69" customFormat="1" ht="21.75" customHeight="1" thickBot="1" x14ac:dyDescent="0.4">
      <c r="B183" s="234"/>
      <c r="C183" s="55" t="s">
        <v>29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60"/>
      <c r="V183" s="14">
        <f t="shared" si="27"/>
        <v>0</v>
      </c>
    </row>
    <row r="184" spans="2:22" s="69" customFormat="1" ht="21.75" customHeight="1" thickBot="1" x14ac:dyDescent="0.4">
      <c r="B184" s="233" t="s">
        <v>110</v>
      </c>
      <c r="C184" s="55" t="s">
        <v>87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14">
        <f t="shared" si="27"/>
        <v>0</v>
      </c>
    </row>
    <row r="185" spans="2:22" s="69" customFormat="1" ht="21.75" customHeight="1" thickBot="1" x14ac:dyDescent="0.4">
      <c r="B185" s="234"/>
      <c r="C185" s="55" t="s">
        <v>29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60"/>
      <c r="V185" s="14">
        <f t="shared" si="27"/>
        <v>0</v>
      </c>
    </row>
    <row r="186" spans="2:22" s="69" customFormat="1" ht="21.75" customHeight="1" thickBot="1" x14ac:dyDescent="0.4">
      <c r="B186" s="233" t="s">
        <v>111</v>
      </c>
      <c r="C186" s="55" t="s">
        <v>87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14">
        <f t="shared" si="27"/>
        <v>0</v>
      </c>
    </row>
    <row r="187" spans="2:22" s="69" customFormat="1" ht="21.75" customHeight="1" thickBot="1" x14ac:dyDescent="0.4">
      <c r="B187" s="234"/>
      <c r="C187" s="55" t="s">
        <v>29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60"/>
      <c r="V187" s="14">
        <f t="shared" si="27"/>
        <v>0</v>
      </c>
    </row>
    <row r="188" spans="2:22" s="69" customFormat="1" ht="21.75" customHeight="1" thickBot="1" x14ac:dyDescent="0.4">
      <c r="B188" s="233" t="s">
        <v>112</v>
      </c>
      <c r="C188" s="55" t="s">
        <v>87</v>
      </c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14">
        <f t="shared" si="27"/>
        <v>0</v>
      </c>
    </row>
    <row r="189" spans="2:22" s="69" customFormat="1" ht="21.75" customHeight="1" thickBot="1" x14ac:dyDescent="0.4">
      <c r="B189" s="234"/>
      <c r="C189" s="55" t="s">
        <v>29</v>
      </c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60"/>
      <c r="V189" s="14">
        <f t="shared" si="27"/>
        <v>0</v>
      </c>
    </row>
    <row r="190" spans="2:22" s="69" customFormat="1" ht="21.75" customHeight="1" thickBot="1" x14ac:dyDescent="0.4">
      <c r="B190" s="214" t="s">
        <v>113</v>
      </c>
      <c r="C190" s="49" t="s">
        <v>87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>
        <f>SUMIF(U192:U203,"=1")</f>
        <v>0</v>
      </c>
      <c r="V190" s="14">
        <f t="shared" si="27"/>
        <v>0</v>
      </c>
    </row>
    <row r="191" spans="2:22" s="69" customFormat="1" ht="21.75" customHeight="1" thickBot="1" x14ac:dyDescent="0.4">
      <c r="B191" s="225"/>
      <c r="C191" s="49" t="s">
        <v>29</v>
      </c>
      <c r="D191" s="52">
        <f t="shared" ref="D191:U191" si="28">SUMIF(D192:D203,"&gt;1")</f>
        <v>0</v>
      </c>
      <c r="E191" s="52">
        <f t="shared" si="28"/>
        <v>0</v>
      </c>
      <c r="F191" s="52">
        <f t="shared" si="28"/>
        <v>0</v>
      </c>
      <c r="G191" s="52">
        <f t="shared" si="28"/>
        <v>0</v>
      </c>
      <c r="H191" s="52">
        <f t="shared" si="28"/>
        <v>0</v>
      </c>
      <c r="I191" s="52">
        <f t="shared" si="28"/>
        <v>0</v>
      </c>
      <c r="J191" s="52">
        <f t="shared" si="28"/>
        <v>0</v>
      </c>
      <c r="K191" s="52">
        <f t="shared" si="28"/>
        <v>0</v>
      </c>
      <c r="L191" s="52">
        <f t="shared" si="28"/>
        <v>0</v>
      </c>
      <c r="M191" s="52">
        <f t="shared" si="28"/>
        <v>0</v>
      </c>
      <c r="N191" s="52">
        <f t="shared" si="28"/>
        <v>0</v>
      </c>
      <c r="O191" s="52">
        <f t="shared" si="28"/>
        <v>0</v>
      </c>
      <c r="P191" s="52">
        <f t="shared" si="28"/>
        <v>0</v>
      </c>
      <c r="Q191" s="52">
        <f t="shared" si="28"/>
        <v>0</v>
      </c>
      <c r="R191" s="52">
        <f t="shared" si="28"/>
        <v>0</v>
      </c>
      <c r="S191" s="52">
        <f t="shared" si="28"/>
        <v>0</v>
      </c>
      <c r="T191" s="52">
        <f t="shared" si="28"/>
        <v>0</v>
      </c>
      <c r="U191" s="52">
        <f t="shared" si="28"/>
        <v>0</v>
      </c>
      <c r="V191" s="14">
        <f t="shared" si="27"/>
        <v>0</v>
      </c>
    </row>
    <row r="192" spans="2:22" s="69" customFormat="1" ht="21.75" customHeight="1" thickBot="1" x14ac:dyDescent="0.4">
      <c r="B192" s="235" t="s">
        <v>39</v>
      </c>
      <c r="C192" s="55" t="s">
        <v>28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71"/>
      <c r="V192" s="14">
        <f t="shared" si="27"/>
        <v>0</v>
      </c>
    </row>
    <row r="193" spans="2:22" s="69" customFormat="1" ht="21.75" customHeight="1" thickBot="1" x14ac:dyDescent="0.4">
      <c r="B193" s="236"/>
      <c r="C193" s="55" t="s">
        <v>29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71"/>
      <c r="V193" s="14">
        <f t="shared" si="27"/>
        <v>0</v>
      </c>
    </row>
    <row r="194" spans="2:22" s="69" customFormat="1" ht="21.75" customHeight="1" thickBot="1" x14ac:dyDescent="0.4">
      <c r="B194" s="235" t="s">
        <v>114</v>
      </c>
      <c r="C194" s="55" t="s">
        <v>28</v>
      </c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71"/>
      <c r="V194" s="14">
        <f t="shared" si="27"/>
        <v>0</v>
      </c>
    </row>
    <row r="195" spans="2:22" s="69" customFormat="1" ht="21.75" customHeight="1" thickBot="1" x14ac:dyDescent="0.4">
      <c r="B195" s="236"/>
      <c r="C195" s="55" t="s">
        <v>29</v>
      </c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71"/>
      <c r="V195" s="14">
        <f t="shared" si="27"/>
        <v>0</v>
      </c>
    </row>
    <row r="196" spans="2:22" s="69" customFormat="1" ht="21.75" customHeight="1" thickBot="1" x14ac:dyDescent="0.4">
      <c r="B196" s="235" t="s">
        <v>115</v>
      </c>
      <c r="C196" s="55" t="s">
        <v>28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71"/>
      <c r="V196" s="14">
        <f t="shared" si="27"/>
        <v>0</v>
      </c>
    </row>
    <row r="197" spans="2:22" s="69" customFormat="1" ht="21.75" customHeight="1" thickBot="1" x14ac:dyDescent="0.4">
      <c r="B197" s="236"/>
      <c r="C197" s="55" t="s">
        <v>29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71"/>
      <c r="V197" s="14">
        <f t="shared" si="27"/>
        <v>0</v>
      </c>
    </row>
    <row r="198" spans="2:22" s="69" customFormat="1" ht="21.75" customHeight="1" thickBot="1" x14ac:dyDescent="0.4">
      <c r="B198" s="235" t="s">
        <v>85</v>
      </c>
      <c r="C198" s="55" t="s">
        <v>28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71"/>
      <c r="V198" s="14">
        <f t="shared" si="27"/>
        <v>0</v>
      </c>
    </row>
    <row r="199" spans="2:22" s="69" customFormat="1" ht="21.75" customHeight="1" thickBot="1" x14ac:dyDescent="0.4">
      <c r="B199" s="236"/>
      <c r="C199" s="55" t="s">
        <v>29</v>
      </c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71"/>
      <c r="V199" s="14">
        <f t="shared" si="27"/>
        <v>0</v>
      </c>
    </row>
    <row r="200" spans="2:22" s="69" customFormat="1" ht="21.75" customHeight="1" thickBot="1" x14ac:dyDescent="0.4">
      <c r="B200" s="235" t="s">
        <v>31</v>
      </c>
      <c r="C200" s="55" t="s">
        <v>28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71"/>
      <c r="V200" s="14">
        <f t="shared" si="27"/>
        <v>0</v>
      </c>
    </row>
    <row r="201" spans="2:22" s="69" customFormat="1" ht="21.75" customHeight="1" thickBot="1" x14ac:dyDescent="0.4">
      <c r="B201" s="236"/>
      <c r="C201" s="55" t="s">
        <v>29</v>
      </c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71"/>
      <c r="V201" s="14">
        <f t="shared" si="27"/>
        <v>0</v>
      </c>
    </row>
    <row r="202" spans="2:22" s="69" customFormat="1" ht="21.75" customHeight="1" thickBot="1" x14ac:dyDescent="0.4">
      <c r="B202" s="235" t="s">
        <v>42</v>
      </c>
      <c r="C202" s="55" t="s">
        <v>28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71"/>
      <c r="V202" s="14">
        <f t="shared" si="27"/>
        <v>0</v>
      </c>
    </row>
    <row r="203" spans="2:22" s="69" customFormat="1" ht="21.75" customHeight="1" thickBot="1" x14ac:dyDescent="0.4">
      <c r="B203" s="236"/>
      <c r="C203" s="55" t="s">
        <v>29</v>
      </c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71"/>
      <c r="V203" s="14">
        <f t="shared" si="27"/>
        <v>0</v>
      </c>
    </row>
    <row r="204" spans="2:22" s="69" customFormat="1" ht="21.75" customHeight="1" thickBot="1" x14ac:dyDescent="0.4">
      <c r="B204" s="214" t="s">
        <v>116</v>
      </c>
      <c r="C204" s="49" t="s">
        <v>87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>
        <f>SUMIF(U206:U217,"=1")</f>
        <v>0</v>
      </c>
      <c r="V204" s="14">
        <f t="shared" si="27"/>
        <v>0</v>
      </c>
    </row>
    <row r="205" spans="2:22" s="69" customFormat="1" ht="21.75" customHeight="1" thickBot="1" x14ac:dyDescent="0.4">
      <c r="B205" s="225"/>
      <c r="C205" s="49" t="s">
        <v>29</v>
      </c>
      <c r="D205" s="52">
        <f t="shared" ref="D205:U205" si="29">SUMIF(D206:D217,"&gt;1")</f>
        <v>0</v>
      </c>
      <c r="E205" s="52">
        <f t="shared" si="29"/>
        <v>0</v>
      </c>
      <c r="F205" s="52">
        <f t="shared" si="29"/>
        <v>0</v>
      </c>
      <c r="G205" s="52">
        <f t="shared" si="29"/>
        <v>0</v>
      </c>
      <c r="H205" s="52">
        <f t="shared" si="29"/>
        <v>0</v>
      </c>
      <c r="I205" s="52">
        <f t="shared" si="29"/>
        <v>0</v>
      </c>
      <c r="J205" s="52">
        <f t="shared" si="29"/>
        <v>0</v>
      </c>
      <c r="K205" s="52">
        <f t="shared" si="29"/>
        <v>0</v>
      </c>
      <c r="L205" s="52">
        <f t="shared" si="29"/>
        <v>0</v>
      </c>
      <c r="M205" s="52">
        <f t="shared" si="29"/>
        <v>0</v>
      </c>
      <c r="N205" s="52">
        <f t="shared" si="29"/>
        <v>0</v>
      </c>
      <c r="O205" s="52">
        <f t="shared" si="29"/>
        <v>0</v>
      </c>
      <c r="P205" s="52">
        <f t="shared" si="29"/>
        <v>181818.18</v>
      </c>
      <c r="Q205" s="52">
        <f t="shared" si="29"/>
        <v>0</v>
      </c>
      <c r="R205" s="52">
        <f t="shared" si="29"/>
        <v>0</v>
      </c>
      <c r="S205" s="52">
        <f t="shared" si="29"/>
        <v>0</v>
      </c>
      <c r="T205" s="52">
        <f t="shared" si="29"/>
        <v>0</v>
      </c>
      <c r="U205" s="52">
        <f t="shared" si="29"/>
        <v>0</v>
      </c>
      <c r="V205" s="14">
        <f t="shared" si="27"/>
        <v>181818.18</v>
      </c>
    </row>
    <row r="206" spans="2:22" s="69" customFormat="1" ht="21.75" customHeight="1" thickBot="1" x14ac:dyDescent="0.4">
      <c r="B206" s="226" t="s">
        <v>51</v>
      </c>
      <c r="C206" s="55" t="s">
        <v>50</v>
      </c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71"/>
      <c r="V206" s="14">
        <f t="shared" si="27"/>
        <v>0</v>
      </c>
    </row>
    <row r="207" spans="2:22" s="69" customFormat="1" ht="21.75" customHeight="1" thickBot="1" x14ac:dyDescent="0.4">
      <c r="B207" s="227"/>
      <c r="C207" s="55" t="s">
        <v>29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71"/>
      <c r="V207" s="14">
        <f t="shared" si="27"/>
        <v>0</v>
      </c>
    </row>
    <row r="208" spans="2:22" s="69" customFormat="1" ht="21.75" customHeight="1" thickBot="1" x14ac:dyDescent="0.4">
      <c r="B208" s="226" t="s">
        <v>52</v>
      </c>
      <c r="C208" s="55" t="s">
        <v>50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71"/>
      <c r="V208" s="14">
        <f t="shared" si="27"/>
        <v>0</v>
      </c>
    </row>
    <row r="209" spans="2:22" s="69" customFormat="1" ht="21.75" customHeight="1" thickBot="1" x14ac:dyDescent="0.4">
      <c r="B209" s="227"/>
      <c r="C209" s="55" t="s">
        <v>29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71"/>
      <c r="V209" s="14">
        <f t="shared" si="27"/>
        <v>0</v>
      </c>
    </row>
    <row r="210" spans="2:22" s="69" customFormat="1" ht="21.75" customHeight="1" thickBot="1" x14ac:dyDescent="0.4">
      <c r="B210" s="226" t="s">
        <v>53</v>
      </c>
      <c r="C210" s="55" t="s">
        <v>50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71"/>
      <c r="V210" s="14">
        <f t="shared" ref="V210:V273" si="30">SUM(D210:U210)</f>
        <v>0</v>
      </c>
    </row>
    <row r="211" spans="2:22" s="69" customFormat="1" ht="21.75" customHeight="1" thickBot="1" x14ac:dyDescent="0.4">
      <c r="B211" s="227"/>
      <c r="C211" s="55" t="s">
        <v>29</v>
      </c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71"/>
      <c r="V211" s="14">
        <f t="shared" si="30"/>
        <v>0</v>
      </c>
    </row>
    <row r="212" spans="2:22" s="69" customFormat="1" ht="21.75" customHeight="1" thickBot="1" x14ac:dyDescent="0.4">
      <c r="B212" s="226" t="s">
        <v>54</v>
      </c>
      <c r="C212" s="55" t="s">
        <v>50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71"/>
      <c r="V212" s="14">
        <f t="shared" si="30"/>
        <v>0</v>
      </c>
    </row>
    <row r="213" spans="2:22" s="69" customFormat="1" ht="21.75" customHeight="1" thickBot="1" x14ac:dyDescent="0.4">
      <c r="B213" s="227"/>
      <c r="C213" s="55" t="s">
        <v>29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71"/>
      <c r="V213" s="14">
        <f t="shared" si="30"/>
        <v>0</v>
      </c>
    </row>
    <row r="214" spans="2:22" s="69" customFormat="1" ht="21.75" customHeight="1" thickBot="1" x14ac:dyDescent="0.4">
      <c r="B214" s="226" t="s">
        <v>56</v>
      </c>
      <c r="C214" s="55" t="s">
        <v>50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>
        <v>1</v>
      </c>
      <c r="Q214" s="55"/>
      <c r="R214" s="55"/>
      <c r="S214" s="55"/>
      <c r="T214" s="55"/>
      <c r="U214" s="71"/>
      <c r="V214" s="14">
        <f t="shared" si="30"/>
        <v>1</v>
      </c>
    </row>
    <row r="215" spans="2:22" s="69" customFormat="1" ht="21.75" customHeight="1" thickBot="1" x14ac:dyDescent="0.4">
      <c r="B215" s="227"/>
      <c r="C215" s="55" t="s">
        <v>29</v>
      </c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60"/>
      <c r="P215" s="60">
        <f>90909.09</f>
        <v>90909.09</v>
      </c>
      <c r="Q215" s="55"/>
      <c r="R215" s="55"/>
      <c r="S215" s="55"/>
      <c r="T215" s="55"/>
      <c r="U215" s="71"/>
      <c r="V215" s="14">
        <f t="shared" si="30"/>
        <v>90909.09</v>
      </c>
    </row>
    <row r="216" spans="2:22" s="69" customFormat="1" ht="21.75" customHeight="1" thickBot="1" x14ac:dyDescent="0.4">
      <c r="B216" s="226" t="s">
        <v>57</v>
      </c>
      <c r="C216" s="55" t="s">
        <v>50</v>
      </c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>
        <v>1</v>
      </c>
      <c r="Q216" s="55"/>
      <c r="R216" s="55"/>
      <c r="S216" s="55"/>
      <c r="T216" s="55"/>
      <c r="U216" s="71"/>
      <c r="V216" s="14">
        <f t="shared" si="30"/>
        <v>1</v>
      </c>
    </row>
    <row r="217" spans="2:22" s="69" customFormat="1" ht="21.75" customHeight="1" thickBot="1" x14ac:dyDescent="0.4">
      <c r="B217" s="230"/>
      <c r="C217" s="149" t="s">
        <v>29</v>
      </c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60"/>
      <c r="P217" s="60">
        <f>90909.09</f>
        <v>90909.09</v>
      </c>
      <c r="Q217" s="149"/>
      <c r="R217" s="149"/>
      <c r="S217" s="149"/>
      <c r="T217" s="149"/>
      <c r="U217" s="150"/>
      <c r="V217" s="14">
        <f t="shared" si="30"/>
        <v>90909.09</v>
      </c>
    </row>
    <row r="218" spans="2:22" s="69" customFormat="1" ht="25.5" customHeight="1" x14ac:dyDescent="0.35">
      <c r="B218" s="238" t="s">
        <v>117</v>
      </c>
      <c r="C218" s="154" t="s">
        <v>118</v>
      </c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5"/>
      <c r="V218" s="14">
        <f t="shared" si="30"/>
        <v>0</v>
      </c>
    </row>
    <row r="219" spans="2:22" s="69" customFormat="1" ht="36.75" customHeight="1" thickBot="1" x14ac:dyDescent="0.4">
      <c r="B219" s="239"/>
      <c r="C219" s="160" t="s">
        <v>29</v>
      </c>
      <c r="D219" s="160"/>
      <c r="E219" s="160"/>
      <c r="F219" s="160"/>
      <c r="G219" s="160"/>
      <c r="H219" s="160"/>
      <c r="I219" s="161">
        <f t="shared" ref="I219:T219" si="31">900000/12</f>
        <v>75000</v>
      </c>
      <c r="J219" s="161">
        <f t="shared" si="31"/>
        <v>75000</v>
      </c>
      <c r="K219" s="161">
        <f t="shared" si="31"/>
        <v>75000</v>
      </c>
      <c r="L219" s="161">
        <f t="shared" si="31"/>
        <v>75000</v>
      </c>
      <c r="M219" s="161">
        <f t="shared" si="31"/>
        <v>75000</v>
      </c>
      <c r="N219" s="161">
        <f t="shared" si="31"/>
        <v>75000</v>
      </c>
      <c r="O219" s="161">
        <f t="shared" si="31"/>
        <v>75000</v>
      </c>
      <c r="P219" s="161">
        <f t="shared" si="31"/>
        <v>75000</v>
      </c>
      <c r="Q219" s="161">
        <f t="shared" si="31"/>
        <v>75000</v>
      </c>
      <c r="R219" s="161">
        <f t="shared" si="31"/>
        <v>75000</v>
      </c>
      <c r="S219" s="161">
        <f t="shared" si="31"/>
        <v>75000</v>
      </c>
      <c r="T219" s="161">
        <f t="shared" si="31"/>
        <v>75000</v>
      </c>
      <c r="U219" s="161">
        <f>600000/8</f>
        <v>75000</v>
      </c>
      <c r="V219" s="14">
        <f t="shared" si="30"/>
        <v>975000</v>
      </c>
    </row>
    <row r="220" spans="2:22" s="16" customFormat="1" ht="24.75" customHeight="1" thickBot="1" x14ac:dyDescent="0.45">
      <c r="B220" s="240" t="s">
        <v>119</v>
      </c>
      <c r="C220" s="241"/>
      <c r="D220" s="41">
        <f>SUM(D9,D21,D33,D41,D45,D55,D61,D65,D69,D79,D83,D89,D105,D111,D171,D191,D205,D141,D219)</f>
        <v>2383838.3838383844</v>
      </c>
      <c r="E220" s="41">
        <f>SUM(E9,E21,E33,E41,E45,E55,E61,E65,E69,E79,E83,E89,E105,E111,E171,E191,E205,E141,E219)</f>
        <v>2383838.3838383844</v>
      </c>
      <c r="F220" s="41">
        <f>SUM(F9,F21,F33,F41,F45,F55,F61,F65,F69,F79,F83,F89,F105,F111,F171,F191,F205,F141,F219)</f>
        <v>2383838.3838383844</v>
      </c>
      <c r="G220" s="41">
        <f>SUM(G9,G21,G33,G41,G45,G55,G61,G65,G69,G79,G83,G89,G105,G111,G171,G191,G205,G141,G219)</f>
        <v>2383838.3838383844</v>
      </c>
      <c r="H220" s="41">
        <f>SUM(H9,H21,H33,H41,H45,H55,H61,H65,H69,H79,H83,H89,H105,H111,H171,H191,H205,H141,H219)</f>
        <v>2383838.3838383844</v>
      </c>
      <c r="I220" s="41">
        <f>SUM(I9,I21,I33,I41,I45,I55,I61,I65,I69,I79,I83,I89,I105,I111,I171,I191,I205,I141,I219)</f>
        <v>2507323.2333333339</v>
      </c>
      <c r="J220" s="41">
        <f>SUM(J9,J21,J33,J41,J45,J55,J61,J65,J69,J79,J83,J89,J105,J111,J171,J191,J205,J141,J219)</f>
        <v>2507323.233535354</v>
      </c>
      <c r="K220" s="41">
        <f>SUM(K9,K21,K33,K41,K45,K55,K61,K65,K69,K79,K83,K89,K105,K111,K171,K191,K205,K141,K219)</f>
        <v>2507323.233535354</v>
      </c>
      <c r="L220" s="41">
        <f>SUM(L9,L21,L33,L41,L45,L55,L61,L65,L69,L79,L83,L89,L105,L111,L171,L191,L205,L141,L219)</f>
        <v>2507323.233535354</v>
      </c>
      <c r="M220" s="41">
        <f>SUM(M9,M21,M33,M41,M45,M55,M61,M65,M69,M79,M83,M89,M105,M111,M171,M191,M205,M141,M219)</f>
        <v>2810353.5368686877</v>
      </c>
      <c r="N220" s="41">
        <f>SUM(N9,N21,N33,N41,N45,N55,N61,N65,N69,N79,N83,N89,N105,N111,N171,N191,N205,N141,N219)</f>
        <v>2810353.5368686877</v>
      </c>
      <c r="O220" s="41">
        <f>SUM(O9,O21,O33,O41,O45,O55,O61,O65,O69,O79,O83,O89,O105,O111,O171,O191,O205,O141,O219)</f>
        <v>3731565.658737374</v>
      </c>
      <c r="P220" s="41">
        <f>SUM(P9,P21,P33,P41,P45,P55,P61,P65,P69,P79,P83,P89,P105,P111,P171,P191,P205,P141,P219)</f>
        <v>4349747.4769797986</v>
      </c>
      <c r="Q220" s="41">
        <f>SUM(Q9,Q21,Q33,Q41,Q45,Q55,Q61,Q65,Q69,Q79,Q83,Q89,Q105,Q111,Q171,Q191,Q205,Q141,Q219)</f>
        <v>4167929.2960101026</v>
      </c>
      <c r="R220" s="41">
        <f>SUM(R9,R21,R33,R41,R45,R55,R61,R65,R69,R79,R83,R89,R105,R111,R171,R191,R205,R141,R219)</f>
        <v>4380050.509343436</v>
      </c>
      <c r="S220" s="41">
        <f>SUM(S9,S21,S33,S41,S45,S55,S61,S65,S69,S79,S83,S89,S105,S111,S171,S191,S205,S141,S219)</f>
        <v>4380050.509343436</v>
      </c>
      <c r="T220" s="41">
        <f>SUM(T9,T21,T33,T41,T45,T55,T61,T65,T69,T79,T83,T89,T105,T111,T171,T191,T205,T141,T219)</f>
        <v>4380050.509343436</v>
      </c>
      <c r="U220" s="41">
        <f>SUM(U9,U21,U33,U41,U45,U55,U61,U65,U69,U79,U83,U89,U105,U111,U171,U191,U205,U141,U219)</f>
        <v>5868434.3418277241</v>
      </c>
      <c r="V220" s="14">
        <f t="shared" si="30"/>
        <v>58827020.228453994</v>
      </c>
    </row>
    <row r="221" spans="2:22" s="16" customFormat="1" ht="38.25" customHeight="1" thickBot="1" x14ac:dyDescent="0.45">
      <c r="B221" s="204" t="s">
        <v>120</v>
      </c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14">
        <f t="shared" si="30"/>
        <v>0</v>
      </c>
    </row>
    <row r="222" spans="2:22" ht="32.25" customHeight="1" thickBot="1" x14ac:dyDescent="0.4">
      <c r="B222" s="237" t="s">
        <v>121</v>
      </c>
      <c r="C222" s="169" t="s">
        <v>122</v>
      </c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4">
        <f t="shared" si="30"/>
        <v>0</v>
      </c>
    </row>
    <row r="223" spans="2:22" ht="35.25" customHeight="1" thickBot="1" x14ac:dyDescent="0.4">
      <c r="B223" s="237"/>
      <c r="C223" s="169" t="s">
        <v>29</v>
      </c>
      <c r="D223" s="169"/>
      <c r="E223" s="169"/>
      <c r="F223" s="169"/>
      <c r="G223" s="169"/>
      <c r="H223" s="169"/>
      <c r="I223" s="169"/>
      <c r="J223" s="206"/>
      <c r="K223" s="169"/>
      <c r="L223" s="206"/>
      <c r="M223" s="169"/>
      <c r="N223" s="206"/>
      <c r="O223" s="42">
        <f t="shared" ref="O223:T223" si="32">606060.61/6</f>
        <v>101010.10166666667</v>
      </c>
      <c r="P223" s="42">
        <f t="shared" si="32"/>
        <v>101010.10166666667</v>
      </c>
      <c r="Q223" s="42">
        <f t="shared" si="32"/>
        <v>101010.10166666667</v>
      </c>
      <c r="R223" s="42">
        <f t="shared" si="32"/>
        <v>101010.10166666667</v>
      </c>
      <c r="S223" s="42">
        <f t="shared" si="32"/>
        <v>101010.10166666667</v>
      </c>
      <c r="T223" s="42">
        <f t="shared" si="32"/>
        <v>101010.10166666667</v>
      </c>
      <c r="U223" s="42">
        <f>242424.24/2</f>
        <v>121212.12</v>
      </c>
      <c r="V223" s="14">
        <f t="shared" si="30"/>
        <v>727272.73</v>
      </c>
    </row>
    <row r="224" spans="2:22" ht="28.5" customHeight="1" thickBot="1" x14ac:dyDescent="0.4">
      <c r="B224" s="237" t="s">
        <v>123</v>
      </c>
      <c r="C224" s="169" t="s">
        <v>124</v>
      </c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4">
        <f t="shared" si="30"/>
        <v>0</v>
      </c>
    </row>
    <row r="225" spans="2:22" ht="45" customHeight="1" thickBot="1" x14ac:dyDescent="0.4">
      <c r="B225" s="237"/>
      <c r="C225" s="169" t="s">
        <v>29</v>
      </c>
      <c r="D225" s="169"/>
      <c r="E225" s="169"/>
      <c r="F225" s="169"/>
      <c r="G225" s="169"/>
      <c r="H225" s="169"/>
      <c r="I225" s="169"/>
      <c r="J225" s="206"/>
      <c r="K225" s="169"/>
      <c r="L225" s="206"/>
      <c r="M225" s="169"/>
      <c r="N225" s="206"/>
      <c r="O225" s="42">
        <f t="shared" ref="O225:T225" si="33">181818.18/6</f>
        <v>30303.03</v>
      </c>
      <c r="P225" s="42">
        <f t="shared" si="33"/>
        <v>30303.03</v>
      </c>
      <c r="Q225" s="42">
        <f t="shared" si="33"/>
        <v>30303.03</v>
      </c>
      <c r="R225" s="42">
        <f t="shared" si="33"/>
        <v>30303.03</v>
      </c>
      <c r="S225" s="42">
        <f t="shared" si="33"/>
        <v>30303.03</v>
      </c>
      <c r="T225" s="42">
        <f t="shared" si="33"/>
        <v>30303.03</v>
      </c>
      <c r="U225" s="42">
        <f>303030.3/8</f>
        <v>37878.787499999999</v>
      </c>
      <c r="V225" s="14">
        <f t="shared" si="30"/>
        <v>219696.9675</v>
      </c>
    </row>
    <row r="226" spans="2:22" ht="27.75" customHeight="1" thickBot="1" x14ac:dyDescent="0.4">
      <c r="B226" s="237" t="s">
        <v>125</v>
      </c>
      <c r="C226" s="169" t="s">
        <v>122</v>
      </c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>
        <v>1</v>
      </c>
      <c r="U226" s="169"/>
      <c r="V226" s="14">
        <f t="shared" si="30"/>
        <v>1</v>
      </c>
    </row>
    <row r="227" spans="2:22" ht="35.25" customHeight="1" thickBot="1" x14ac:dyDescent="0.4">
      <c r="B227" s="237"/>
      <c r="C227" s="169" t="s">
        <v>29</v>
      </c>
      <c r="D227" s="169"/>
      <c r="E227" s="169"/>
      <c r="F227" s="169"/>
      <c r="G227" s="169"/>
      <c r="H227" s="169"/>
      <c r="I227" s="169"/>
      <c r="J227" s="206"/>
      <c r="K227" s="169"/>
      <c r="L227" s="206"/>
      <c r="M227" s="169"/>
      <c r="N227" s="206"/>
      <c r="O227" s="42">
        <f t="shared" ref="O227:T227" si="34">242424.24/6</f>
        <v>40404.04</v>
      </c>
      <c r="P227" s="42">
        <f t="shared" si="34"/>
        <v>40404.04</v>
      </c>
      <c r="Q227" s="42">
        <f t="shared" si="34"/>
        <v>40404.04</v>
      </c>
      <c r="R227" s="42">
        <f t="shared" si="34"/>
        <v>40404.04</v>
      </c>
      <c r="S227" s="42">
        <f t="shared" si="34"/>
        <v>40404.04</v>
      </c>
      <c r="T227" s="42">
        <f t="shared" si="34"/>
        <v>40404.04</v>
      </c>
      <c r="U227" s="169"/>
      <c r="V227" s="14">
        <f t="shared" si="30"/>
        <v>242424.24000000002</v>
      </c>
    </row>
    <row r="228" spans="2:22" ht="24" customHeight="1" thickBot="1" x14ac:dyDescent="0.4">
      <c r="B228" s="237" t="s">
        <v>126</v>
      </c>
      <c r="C228" s="169" t="s">
        <v>118</v>
      </c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>
        <v>1</v>
      </c>
      <c r="U228" s="169"/>
      <c r="V228" s="14">
        <f t="shared" si="30"/>
        <v>1</v>
      </c>
    </row>
    <row r="229" spans="2:22" ht="35.25" customHeight="1" thickBot="1" x14ac:dyDescent="0.4">
      <c r="B229" s="237"/>
      <c r="C229" s="169" t="s">
        <v>29</v>
      </c>
      <c r="D229" s="169"/>
      <c r="E229" s="169"/>
      <c r="F229" s="169"/>
      <c r="G229" s="169"/>
      <c r="H229" s="169"/>
      <c r="I229" s="169"/>
      <c r="J229" s="206"/>
      <c r="K229" s="169"/>
      <c r="L229" s="206"/>
      <c r="M229" s="169"/>
      <c r="N229" s="206"/>
      <c r="O229" s="42">
        <f t="shared" ref="O229:T229" si="35">227272.73/6</f>
        <v>37878.788333333338</v>
      </c>
      <c r="P229" s="42">
        <f t="shared" si="35"/>
        <v>37878.788333333338</v>
      </c>
      <c r="Q229" s="42">
        <f t="shared" si="35"/>
        <v>37878.788333333338</v>
      </c>
      <c r="R229" s="42">
        <f t="shared" si="35"/>
        <v>37878.788333333338</v>
      </c>
      <c r="S229" s="42">
        <f t="shared" si="35"/>
        <v>37878.788333333338</v>
      </c>
      <c r="T229" s="42">
        <f t="shared" si="35"/>
        <v>37878.788333333338</v>
      </c>
      <c r="U229" s="169"/>
      <c r="V229" s="14">
        <f t="shared" si="30"/>
        <v>227272.73</v>
      </c>
    </row>
    <row r="230" spans="2:22" ht="26.25" customHeight="1" thickBot="1" x14ac:dyDescent="0.4">
      <c r="B230" s="237" t="s">
        <v>127</v>
      </c>
      <c r="C230" s="169" t="s">
        <v>122</v>
      </c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>
        <v>1</v>
      </c>
      <c r="U230" s="169"/>
      <c r="V230" s="14">
        <f t="shared" si="30"/>
        <v>1</v>
      </c>
    </row>
    <row r="231" spans="2:22" ht="27.75" customHeight="1" thickBot="1" x14ac:dyDescent="0.4">
      <c r="B231" s="237"/>
      <c r="C231" s="169" t="s">
        <v>29</v>
      </c>
      <c r="D231" s="169"/>
      <c r="E231" s="169"/>
      <c r="F231" s="169"/>
      <c r="G231" s="169"/>
      <c r="H231" s="169"/>
      <c r="I231" s="169"/>
      <c r="J231" s="206"/>
      <c r="K231" s="169"/>
      <c r="L231" s="206"/>
      <c r="M231" s="169"/>
      <c r="N231" s="206"/>
      <c r="O231" s="42">
        <f t="shared" ref="O231:T231" si="36">106060.61/6</f>
        <v>17676.768333333333</v>
      </c>
      <c r="P231" s="42">
        <f t="shared" si="36"/>
        <v>17676.768333333333</v>
      </c>
      <c r="Q231" s="42">
        <f t="shared" si="36"/>
        <v>17676.768333333333</v>
      </c>
      <c r="R231" s="42">
        <f t="shared" si="36"/>
        <v>17676.768333333333</v>
      </c>
      <c r="S231" s="42">
        <f t="shared" si="36"/>
        <v>17676.768333333333</v>
      </c>
      <c r="T231" s="42">
        <f t="shared" si="36"/>
        <v>17676.768333333333</v>
      </c>
      <c r="U231" s="45"/>
      <c r="V231" s="14">
        <f t="shared" si="30"/>
        <v>106060.61000000002</v>
      </c>
    </row>
    <row r="232" spans="2:22" ht="30.75" customHeight="1" thickBot="1" x14ac:dyDescent="0.4">
      <c r="B232" s="237" t="s">
        <v>128</v>
      </c>
      <c r="C232" s="169" t="s">
        <v>118</v>
      </c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4">
        <f t="shared" si="30"/>
        <v>0</v>
      </c>
    </row>
    <row r="233" spans="2:22" ht="41.25" customHeight="1" thickBot="1" x14ac:dyDescent="0.4">
      <c r="B233" s="237"/>
      <c r="C233" s="169" t="s">
        <v>29</v>
      </c>
      <c r="D233" s="169"/>
      <c r="E233" s="169"/>
      <c r="F233" s="169"/>
      <c r="G233" s="169"/>
      <c r="H233" s="169"/>
      <c r="I233" s="169"/>
      <c r="J233" s="206"/>
      <c r="K233" s="169"/>
      <c r="L233" s="206"/>
      <c r="M233" s="169"/>
      <c r="N233" s="206"/>
      <c r="O233" s="42">
        <f t="shared" ref="O233:U233" si="37">181818.18/6</f>
        <v>30303.03</v>
      </c>
      <c r="P233" s="42">
        <f t="shared" si="37"/>
        <v>30303.03</v>
      </c>
      <c r="Q233" s="42">
        <f t="shared" si="37"/>
        <v>30303.03</v>
      </c>
      <c r="R233" s="42">
        <f t="shared" si="37"/>
        <v>30303.03</v>
      </c>
      <c r="S233" s="42">
        <f t="shared" si="37"/>
        <v>30303.03</v>
      </c>
      <c r="T233" s="42">
        <f t="shared" si="37"/>
        <v>30303.03</v>
      </c>
      <c r="U233" s="42">
        <f t="shared" si="37"/>
        <v>30303.03</v>
      </c>
      <c r="V233" s="14">
        <f t="shared" si="30"/>
        <v>212121.21</v>
      </c>
    </row>
    <row r="234" spans="2:22" ht="34.5" customHeight="1" thickBot="1" x14ac:dyDescent="0.4">
      <c r="B234" s="237" t="s">
        <v>129</v>
      </c>
      <c r="C234" s="169" t="s">
        <v>122</v>
      </c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4">
        <f t="shared" si="30"/>
        <v>0</v>
      </c>
    </row>
    <row r="235" spans="2:22" ht="35.25" customHeight="1" thickBot="1" x14ac:dyDescent="0.4">
      <c r="B235" s="237"/>
      <c r="C235" s="169" t="s">
        <v>29</v>
      </c>
      <c r="D235" s="169"/>
      <c r="E235" s="169"/>
      <c r="F235" s="169"/>
      <c r="G235" s="169"/>
      <c r="H235" s="169"/>
      <c r="I235" s="169"/>
      <c r="J235" s="206"/>
      <c r="K235" s="169"/>
      <c r="L235" s="206"/>
      <c r="M235" s="169"/>
      <c r="N235" s="206"/>
      <c r="O235" s="42">
        <f t="shared" ref="O235:U235" si="38">303030.3/6</f>
        <v>50505.049999999996</v>
      </c>
      <c r="P235" s="42">
        <f t="shared" si="38"/>
        <v>50505.049999999996</v>
      </c>
      <c r="Q235" s="42">
        <f t="shared" si="38"/>
        <v>50505.049999999996</v>
      </c>
      <c r="R235" s="42">
        <f t="shared" si="38"/>
        <v>50505.049999999996</v>
      </c>
      <c r="S235" s="42">
        <f t="shared" si="38"/>
        <v>50505.049999999996</v>
      </c>
      <c r="T235" s="42">
        <f t="shared" si="38"/>
        <v>50505.049999999996</v>
      </c>
      <c r="U235" s="42">
        <f t="shared" si="38"/>
        <v>50505.049999999996</v>
      </c>
      <c r="V235" s="14">
        <f t="shared" si="30"/>
        <v>353535.35</v>
      </c>
    </row>
    <row r="236" spans="2:22" ht="27.75" customHeight="1" thickBot="1" x14ac:dyDescent="0.4">
      <c r="B236" s="249" t="s">
        <v>130</v>
      </c>
      <c r="C236" s="126" t="s">
        <v>131</v>
      </c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>
        <v>50</v>
      </c>
      <c r="P236" s="126">
        <v>50</v>
      </c>
      <c r="Q236" s="126">
        <v>120</v>
      </c>
      <c r="R236" s="126">
        <v>200</v>
      </c>
      <c r="S236" s="126">
        <v>200</v>
      </c>
      <c r="T236" s="126">
        <v>80</v>
      </c>
      <c r="U236" s="127"/>
      <c r="V236" s="14">
        <f t="shared" si="30"/>
        <v>700</v>
      </c>
    </row>
    <row r="237" spans="2:22" ht="27.75" customHeight="1" thickBot="1" x14ac:dyDescent="0.4">
      <c r="B237" s="249"/>
      <c r="C237" s="126" t="s">
        <v>29</v>
      </c>
      <c r="D237" s="126"/>
      <c r="E237" s="126"/>
      <c r="F237" s="126"/>
      <c r="G237" s="126"/>
      <c r="H237" s="126"/>
      <c r="I237" s="112">
        <f t="shared" ref="I237:U237" si="39">682242.42/12</f>
        <v>56853.535000000003</v>
      </c>
      <c r="J237" s="112">
        <f t="shared" si="39"/>
        <v>56853.535000000003</v>
      </c>
      <c r="K237" s="112">
        <f t="shared" si="39"/>
        <v>56853.535000000003</v>
      </c>
      <c r="L237" s="112">
        <f t="shared" si="39"/>
        <v>56853.535000000003</v>
      </c>
      <c r="M237" s="112">
        <f t="shared" si="39"/>
        <v>56853.535000000003</v>
      </c>
      <c r="N237" s="112">
        <f t="shared" si="39"/>
        <v>56853.535000000003</v>
      </c>
      <c r="O237" s="112">
        <f t="shared" si="39"/>
        <v>56853.535000000003</v>
      </c>
      <c r="P237" s="112">
        <f t="shared" si="39"/>
        <v>56853.535000000003</v>
      </c>
      <c r="Q237" s="112">
        <f t="shared" si="39"/>
        <v>56853.535000000003</v>
      </c>
      <c r="R237" s="112">
        <f t="shared" si="39"/>
        <v>56853.535000000003</v>
      </c>
      <c r="S237" s="112">
        <f t="shared" si="39"/>
        <v>56853.535000000003</v>
      </c>
      <c r="T237" s="112">
        <f t="shared" si="39"/>
        <v>56853.535000000003</v>
      </c>
      <c r="U237" s="112">
        <f t="shared" si="39"/>
        <v>56853.535000000003</v>
      </c>
      <c r="V237" s="14">
        <f t="shared" si="30"/>
        <v>739095.95500000031</v>
      </c>
    </row>
    <row r="238" spans="2:22" ht="24" customHeight="1" thickBot="1" x14ac:dyDescent="0.4">
      <c r="B238" s="250" t="s">
        <v>132</v>
      </c>
      <c r="C238" s="169" t="s">
        <v>133</v>
      </c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>
        <v>25</v>
      </c>
      <c r="U238" s="101"/>
      <c r="V238" s="14">
        <f t="shared" si="30"/>
        <v>25</v>
      </c>
    </row>
    <row r="239" spans="2:22" ht="21" customHeight="1" thickBot="1" x14ac:dyDescent="0.4">
      <c r="B239" s="250"/>
      <c r="C239" s="169" t="s">
        <v>29</v>
      </c>
      <c r="D239" s="169"/>
      <c r="E239" s="169"/>
      <c r="F239" s="169"/>
      <c r="G239" s="169"/>
      <c r="H239" s="169"/>
      <c r="I239" s="42"/>
      <c r="J239" s="42"/>
      <c r="K239" s="42"/>
      <c r="L239" s="42"/>
      <c r="M239" s="42"/>
      <c r="N239" s="42"/>
      <c r="O239" s="42"/>
      <c r="P239" s="42"/>
      <c r="Q239" s="42"/>
      <c r="R239" s="42">
        <f>151515.15/3</f>
        <v>50505.049999999996</v>
      </c>
      <c r="S239" s="42">
        <f>151515.15/3</f>
        <v>50505.049999999996</v>
      </c>
      <c r="T239" s="42">
        <f>151515.15/3</f>
        <v>50505.049999999996</v>
      </c>
      <c r="U239" s="42"/>
      <c r="V239" s="14">
        <f t="shared" si="30"/>
        <v>151515.15</v>
      </c>
    </row>
    <row r="240" spans="2:22" ht="26.25" customHeight="1" thickBot="1" x14ac:dyDescent="0.4">
      <c r="B240" s="237" t="s">
        <v>134</v>
      </c>
      <c r="C240" s="169" t="s">
        <v>122</v>
      </c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4">
        <f t="shared" si="30"/>
        <v>0</v>
      </c>
    </row>
    <row r="241" spans="2:22" ht="31.5" customHeight="1" thickBot="1" x14ac:dyDescent="0.4">
      <c r="B241" s="237"/>
      <c r="C241" s="169" t="s">
        <v>29</v>
      </c>
      <c r="D241" s="169"/>
      <c r="E241" s="169"/>
      <c r="F241" s="169"/>
      <c r="G241" s="169"/>
      <c r="H241" s="169"/>
      <c r="I241" s="169"/>
      <c r="J241" s="206"/>
      <c r="K241" s="169"/>
      <c r="L241" s="206"/>
      <c r="M241" s="169"/>
      <c r="N241" s="206"/>
      <c r="O241" s="42"/>
      <c r="P241" s="42"/>
      <c r="Q241" s="42"/>
      <c r="R241" s="42"/>
      <c r="S241" s="42"/>
      <c r="T241" s="42"/>
      <c r="U241" s="42"/>
      <c r="V241" s="14">
        <f t="shared" si="30"/>
        <v>0</v>
      </c>
    </row>
    <row r="242" spans="2:22" ht="31.5" customHeight="1" thickBot="1" x14ac:dyDescent="0.4">
      <c r="B242" s="237" t="s">
        <v>135</v>
      </c>
      <c r="C242" s="169" t="s">
        <v>118</v>
      </c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4">
        <f t="shared" si="30"/>
        <v>0</v>
      </c>
    </row>
    <row r="243" spans="2:22" ht="31.5" customHeight="1" thickBot="1" x14ac:dyDescent="0.4">
      <c r="B243" s="237"/>
      <c r="C243" s="169" t="s">
        <v>29</v>
      </c>
      <c r="D243" s="169"/>
      <c r="E243" s="169"/>
      <c r="F243" s="169"/>
      <c r="G243" s="169"/>
      <c r="H243" s="169"/>
      <c r="I243" s="169"/>
      <c r="J243" s="206"/>
      <c r="K243" s="169"/>
      <c r="L243" s="206"/>
      <c r="M243" s="169"/>
      <c r="N243" s="206"/>
      <c r="O243" s="42">
        <f t="shared" ref="O243:U243" si="40">686666.67/6</f>
        <v>114444.44500000001</v>
      </c>
      <c r="P243" s="42">
        <f t="shared" si="40"/>
        <v>114444.44500000001</v>
      </c>
      <c r="Q243" s="42">
        <f t="shared" si="40"/>
        <v>114444.44500000001</v>
      </c>
      <c r="R243" s="42">
        <f t="shared" si="40"/>
        <v>114444.44500000001</v>
      </c>
      <c r="S243" s="42">
        <f t="shared" si="40"/>
        <v>114444.44500000001</v>
      </c>
      <c r="T243" s="42">
        <f t="shared" si="40"/>
        <v>114444.44500000001</v>
      </c>
      <c r="U243" s="42">
        <f t="shared" si="40"/>
        <v>114444.44500000001</v>
      </c>
      <c r="V243" s="14">
        <f t="shared" si="30"/>
        <v>801111.11500000022</v>
      </c>
    </row>
    <row r="244" spans="2:22" ht="24" customHeight="1" thickBot="1" x14ac:dyDescent="0.4">
      <c r="B244" s="249" t="s">
        <v>136</v>
      </c>
      <c r="C244" s="126" t="s">
        <v>118</v>
      </c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>
        <v>1</v>
      </c>
      <c r="U244" s="126"/>
      <c r="V244" s="14">
        <f t="shared" si="30"/>
        <v>1</v>
      </c>
    </row>
    <row r="245" spans="2:22" ht="53.25" customHeight="1" thickBot="1" x14ac:dyDescent="0.4">
      <c r="B245" s="249"/>
      <c r="C245" s="126" t="s">
        <v>29</v>
      </c>
      <c r="D245" s="126"/>
      <c r="E245" s="126"/>
      <c r="F245" s="126"/>
      <c r="G245" s="126"/>
      <c r="H245" s="126"/>
      <c r="I245" s="126"/>
      <c r="J245" s="206"/>
      <c r="K245" s="126"/>
      <c r="L245" s="206"/>
      <c r="M245" s="126"/>
      <c r="N245" s="206"/>
      <c r="O245" s="126"/>
      <c r="P245" s="206"/>
      <c r="Q245" s="126"/>
      <c r="R245" s="206">
        <f>500000/3</f>
        <v>166666.66666666666</v>
      </c>
      <c r="S245" s="206">
        <f>500000/3</f>
        <v>166666.66666666666</v>
      </c>
      <c r="T245" s="206">
        <f>500000/3</f>
        <v>166666.66666666666</v>
      </c>
      <c r="U245" s="206">
        <v>50000</v>
      </c>
      <c r="V245" s="14">
        <f t="shared" si="30"/>
        <v>550000</v>
      </c>
    </row>
    <row r="246" spans="2:22" s="16" customFormat="1" ht="25.5" customHeight="1" thickBot="1" x14ac:dyDescent="0.45">
      <c r="B246" s="248" t="s">
        <v>137</v>
      </c>
      <c r="C246" s="132" t="s">
        <v>138</v>
      </c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>
        <v>1</v>
      </c>
      <c r="U246" s="133"/>
      <c r="V246" s="14">
        <f t="shared" si="30"/>
        <v>1</v>
      </c>
    </row>
    <row r="247" spans="2:22" s="16" customFormat="1" ht="25.5" customHeight="1" thickBot="1" x14ac:dyDescent="0.45">
      <c r="B247" s="248"/>
      <c r="C247" s="132" t="s">
        <v>29</v>
      </c>
      <c r="D247" s="132"/>
      <c r="E247" s="132"/>
      <c r="F247" s="132"/>
      <c r="G247" s="132"/>
      <c r="H247" s="132"/>
      <c r="I247" s="132"/>
      <c r="J247" s="206"/>
      <c r="K247" s="132"/>
      <c r="L247" s="206"/>
      <c r="M247" s="132"/>
      <c r="N247" s="206"/>
      <c r="O247" s="132"/>
      <c r="P247" s="206"/>
      <c r="Q247" s="132"/>
      <c r="R247" s="206">
        <f>229234.09/3</f>
        <v>76411.363333333327</v>
      </c>
      <c r="S247" s="206">
        <f>229234.09/3</f>
        <v>76411.363333333327</v>
      </c>
      <c r="T247" s="206">
        <f>229234.09/3</f>
        <v>76411.363333333327</v>
      </c>
      <c r="U247" s="207">
        <f>171925.57/12</f>
        <v>14327.130833333335</v>
      </c>
      <c r="V247" s="14">
        <f t="shared" si="30"/>
        <v>243561.2208333333</v>
      </c>
    </row>
    <row r="248" spans="2:22" s="16" customFormat="1" ht="26.25" customHeight="1" thickBot="1" x14ac:dyDescent="0.45">
      <c r="B248" s="138" t="s">
        <v>139</v>
      </c>
      <c r="C248" s="139"/>
      <c r="D248" s="41">
        <f t="shared" ref="D248:U248" si="41">SUMIF(D222:D247,"&gt;1000")</f>
        <v>0</v>
      </c>
      <c r="E248" s="41">
        <f t="shared" si="41"/>
        <v>0</v>
      </c>
      <c r="F248" s="41">
        <f t="shared" si="41"/>
        <v>0</v>
      </c>
      <c r="G248" s="41">
        <f t="shared" si="41"/>
        <v>0</v>
      </c>
      <c r="H248" s="41">
        <f t="shared" si="41"/>
        <v>0</v>
      </c>
      <c r="I248" s="41">
        <f t="shared" si="41"/>
        <v>56853.535000000003</v>
      </c>
      <c r="J248" s="41">
        <f t="shared" si="41"/>
        <v>56853.535000000003</v>
      </c>
      <c r="K248" s="41">
        <f t="shared" si="41"/>
        <v>56853.535000000003</v>
      </c>
      <c r="L248" s="41">
        <f t="shared" si="41"/>
        <v>56853.535000000003</v>
      </c>
      <c r="M248" s="41">
        <f t="shared" si="41"/>
        <v>56853.535000000003</v>
      </c>
      <c r="N248" s="41">
        <f t="shared" si="41"/>
        <v>56853.535000000003</v>
      </c>
      <c r="O248" s="41">
        <f t="shared" si="41"/>
        <v>479378.78833333339</v>
      </c>
      <c r="P248" s="41">
        <f t="shared" si="41"/>
        <v>479378.78833333339</v>
      </c>
      <c r="Q248" s="41">
        <f t="shared" si="41"/>
        <v>479378.78833333339</v>
      </c>
      <c r="R248" s="41">
        <f t="shared" si="41"/>
        <v>772961.86833333329</v>
      </c>
      <c r="S248" s="41">
        <f t="shared" si="41"/>
        <v>772961.86833333329</v>
      </c>
      <c r="T248" s="41">
        <f t="shared" si="41"/>
        <v>772961.86833333329</v>
      </c>
      <c r="U248" s="41">
        <f t="shared" si="41"/>
        <v>475524.09833333333</v>
      </c>
      <c r="V248" s="14">
        <f t="shared" si="30"/>
        <v>4573667.2783333333</v>
      </c>
    </row>
    <row r="249" spans="2:22" s="16" customFormat="1" ht="38.25" customHeight="1" thickBot="1" x14ac:dyDescent="0.45">
      <c r="B249" s="208" t="s">
        <v>140</v>
      </c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14">
        <f t="shared" si="30"/>
        <v>0</v>
      </c>
    </row>
    <row r="250" spans="2:22" ht="25.5" customHeight="1" thickBot="1" x14ac:dyDescent="0.4">
      <c r="B250" s="237" t="s">
        <v>141</v>
      </c>
      <c r="C250" s="169" t="s">
        <v>142</v>
      </c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4">
        <f t="shared" si="30"/>
        <v>0</v>
      </c>
    </row>
    <row r="251" spans="2:22" ht="28.5" customHeight="1" thickBot="1" x14ac:dyDescent="0.4">
      <c r="B251" s="237"/>
      <c r="C251" s="169" t="s">
        <v>29</v>
      </c>
      <c r="D251" s="169"/>
      <c r="E251" s="169"/>
      <c r="F251" s="169"/>
      <c r="G251" s="169"/>
      <c r="H251" s="169"/>
      <c r="I251" s="169"/>
      <c r="J251" s="178"/>
      <c r="K251" s="169"/>
      <c r="L251" s="178"/>
      <c r="M251" s="169"/>
      <c r="N251" s="178"/>
      <c r="O251" s="169"/>
      <c r="P251" s="178"/>
      <c r="Q251" s="42">
        <f>1459515.15/4</f>
        <v>364878.78749999998</v>
      </c>
      <c r="R251" s="42">
        <f>1459515.15/4</f>
        <v>364878.78749999998</v>
      </c>
      <c r="S251" s="42">
        <f>1459515.15/4</f>
        <v>364878.78749999998</v>
      </c>
      <c r="T251" s="42">
        <f>1459515.15/4</f>
        <v>364878.78749999998</v>
      </c>
      <c r="U251" s="42">
        <f>1275919.2/12</f>
        <v>106326.59999999999</v>
      </c>
      <c r="V251" s="14">
        <f t="shared" si="30"/>
        <v>1565841.75</v>
      </c>
    </row>
    <row r="252" spans="2:22" ht="27" customHeight="1" thickBot="1" x14ac:dyDescent="0.4">
      <c r="B252" s="248" t="s">
        <v>143</v>
      </c>
      <c r="C252" s="132" t="s">
        <v>144</v>
      </c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4">
        <f t="shared" si="30"/>
        <v>0</v>
      </c>
    </row>
    <row r="253" spans="2:22" ht="27.75" customHeight="1" thickBot="1" x14ac:dyDescent="0.4">
      <c r="B253" s="248"/>
      <c r="C253" s="132" t="s">
        <v>29</v>
      </c>
      <c r="D253" s="132"/>
      <c r="E253" s="132"/>
      <c r="F253" s="132"/>
      <c r="G253" s="132"/>
      <c r="H253" s="132"/>
      <c r="I253" s="132"/>
      <c r="J253" s="173"/>
      <c r="K253" s="132"/>
      <c r="L253" s="173"/>
      <c r="M253" s="132"/>
      <c r="N253" s="173"/>
      <c r="O253" s="112">
        <f t="shared" ref="O253:T253" si="42">1496969.7/6</f>
        <v>249494.94999999998</v>
      </c>
      <c r="P253" s="112">
        <f t="shared" si="42"/>
        <v>249494.94999999998</v>
      </c>
      <c r="Q253" s="112">
        <f t="shared" si="42"/>
        <v>249494.94999999998</v>
      </c>
      <c r="R253" s="112">
        <f t="shared" si="42"/>
        <v>249494.94999999998</v>
      </c>
      <c r="S253" s="112">
        <f t="shared" si="42"/>
        <v>249494.94999999998</v>
      </c>
      <c r="T253" s="112">
        <f t="shared" si="42"/>
        <v>249494.94999999998</v>
      </c>
      <c r="U253" s="112">
        <f>500707/6</f>
        <v>83451.166666666672</v>
      </c>
      <c r="V253" s="14">
        <f t="shared" si="30"/>
        <v>1580420.8666666667</v>
      </c>
    </row>
    <row r="254" spans="2:22" ht="21" customHeight="1" thickBot="1" x14ac:dyDescent="0.4">
      <c r="B254" s="237" t="s">
        <v>145</v>
      </c>
      <c r="C254" s="169" t="s">
        <v>118</v>
      </c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>
        <v>1</v>
      </c>
      <c r="O254" s="169"/>
      <c r="P254" s="169"/>
      <c r="Q254" s="169"/>
      <c r="R254" s="169"/>
      <c r="S254" s="169"/>
      <c r="T254" s="169"/>
      <c r="U254" s="169"/>
      <c r="V254" s="14">
        <f t="shared" si="30"/>
        <v>1</v>
      </c>
    </row>
    <row r="255" spans="2:22" ht="29.1" customHeight="1" thickBot="1" x14ac:dyDescent="0.4">
      <c r="B255" s="237"/>
      <c r="C255" s="169" t="s">
        <v>29</v>
      </c>
      <c r="D255" s="169"/>
      <c r="E255" s="169"/>
      <c r="F255" s="169"/>
      <c r="G255" s="169"/>
      <c r="H255" s="169"/>
      <c r="I255" s="169"/>
      <c r="J255" s="178"/>
      <c r="K255" s="169"/>
      <c r="L255" s="178">
        <f>106060.61/3</f>
        <v>35353.536666666667</v>
      </c>
      <c r="M255" s="178">
        <f>106060.61/3</f>
        <v>35353.536666666667</v>
      </c>
      <c r="N255" s="178">
        <f>106060.61/3</f>
        <v>35353.536666666667</v>
      </c>
      <c r="O255" s="169"/>
      <c r="P255" s="178"/>
      <c r="Q255" s="169"/>
      <c r="R255" s="178"/>
      <c r="S255" s="169"/>
      <c r="T255" s="178"/>
      <c r="U255" s="42"/>
      <c r="V255" s="14">
        <f t="shared" si="30"/>
        <v>106060.61</v>
      </c>
    </row>
    <row r="256" spans="2:22" ht="30" customHeight="1" thickBot="1" x14ac:dyDescent="0.4">
      <c r="B256" s="237" t="s">
        <v>146</v>
      </c>
      <c r="C256" s="169" t="s">
        <v>144</v>
      </c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4">
        <f t="shared" si="30"/>
        <v>0</v>
      </c>
    </row>
    <row r="257" spans="2:22" ht="30.95" customHeight="1" thickBot="1" x14ac:dyDescent="0.4">
      <c r="B257" s="237"/>
      <c r="C257" s="169" t="s">
        <v>29</v>
      </c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4">
        <f t="shared" si="30"/>
        <v>0</v>
      </c>
    </row>
    <row r="258" spans="2:22" ht="29.25" customHeight="1" thickBot="1" x14ac:dyDescent="0.4">
      <c r="B258" s="237" t="s">
        <v>147</v>
      </c>
      <c r="C258" s="169" t="s">
        <v>118</v>
      </c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4">
        <f t="shared" si="30"/>
        <v>0</v>
      </c>
    </row>
    <row r="259" spans="2:22" ht="37.5" customHeight="1" thickBot="1" x14ac:dyDescent="0.4">
      <c r="B259" s="237"/>
      <c r="C259" s="169" t="s">
        <v>29</v>
      </c>
      <c r="D259" s="169"/>
      <c r="E259" s="169"/>
      <c r="F259" s="169"/>
      <c r="G259" s="169"/>
      <c r="H259" s="169"/>
      <c r="I259" s="169"/>
      <c r="J259" s="178"/>
      <c r="K259" s="169"/>
      <c r="L259" s="178"/>
      <c r="M259" s="169"/>
      <c r="N259" s="178"/>
      <c r="O259" s="178">
        <f t="shared" ref="O259:U259" si="43">89212.12/6</f>
        <v>14868.686666666666</v>
      </c>
      <c r="P259" s="178">
        <f t="shared" si="43"/>
        <v>14868.686666666666</v>
      </c>
      <c r="Q259" s="178">
        <f t="shared" si="43"/>
        <v>14868.686666666666</v>
      </c>
      <c r="R259" s="178">
        <f t="shared" si="43"/>
        <v>14868.686666666666</v>
      </c>
      <c r="S259" s="178">
        <f t="shared" si="43"/>
        <v>14868.686666666666</v>
      </c>
      <c r="T259" s="178">
        <f t="shared" si="43"/>
        <v>14868.686666666666</v>
      </c>
      <c r="U259" s="178">
        <f t="shared" si="43"/>
        <v>14868.686666666666</v>
      </c>
      <c r="V259" s="14">
        <f t="shared" si="30"/>
        <v>104080.80666666666</v>
      </c>
    </row>
    <row r="260" spans="2:22" ht="24.95" customHeight="1" thickBot="1" x14ac:dyDescent="0.4">
      <c r="B260" s="237" t="s">
        <v>148</v>
      </c>
      <c r="C260" s="169" t="s">
        <v>149</v>
      </c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4">
        <f t="shared" si="30"/>
        <v>0</v>
      </c>
    </row>
    <row r="261" spans="2:22" ht="27" customHeight="1" thickBot="1" x14ac:dyDescent="0.4">
      <c r="B261" s="237"/>
      <c r="C261" s="169" t="s">
        <v>29</v>
      </c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4">
        <f t="shared" si="30"/>
        <v>0</v>
      </c>
    </row>
    <row r="262" spans="2:22" ht="21.95" customHeight="1" thickBot="1" x14ac:dyDescent="0.4">
      <c r="B262" s="237" t="s">
        <v>150</v>
      </c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4">
        <f t="shared" si="30"/>
        <v>0</v>
      </c>
    </row>
    <row r="263" spans="2:22" ht="26.1" customHeight="1" thickBot="1" x14ac:dyDescent="0.4">
      <c r="B263" s="237"/>
      <c r="C263" s="169" t="s">
        <v>29</v>
      </c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4">
        <f t="shared" si="30"/>
        <v>0</v>
      </c>
    </row>
    <row r="264" spans="2:22" s="16" customFormat="1" ht="25.5" customHeight="1" thickBot="1" x14ac:dyDescent="0.45">
      <c r="B264" s="174" t="s">
        <v>151</v>
      </c>
      <c r="C264" s="176">
        <f t="shared" ref="C264:U264" si="44">SUMIF(C250:C263,"&gt;1000")</f>
        <v>0</v>
      </c>
      <c r="D264" s="176">
        <f t="shared" si="44"/>
        <v>0</v>
      </c>
      <c r="E264" s="176">
        <f t="shared" si="44"/>
        <v>0</v>
      </c>
      <c r="F264" s="176">
        <f t="shared" si="44"/>
        <v>0</v>
      </c>
      <c r="G264" s="176">
        <f t="shared" si="44"/>
        <v>0</v>
      </c>
      <c r="H264" s="176">
        <f t="shared" si="44"/>
        <v>0</v>
      </c>
      <c r="I264" s="176">
        <f t="shared" si="44"/>
        <v>0</v>
      </c>
      <c r="J264" s="176">
        <f t="shared" si="44"/>
        <v>0</v>
      </c>
      <c r="K264" s="176">
        <f t="shared" si="44"/>
        <v>0</v>
      </c>
      <c r="L264" s="176">
        <f t="shared" si="44"/>
        <v>35353.536666666667</v>
      </c>
      <c r="M264" s="176">
        <f t="shared" si="44"/>
        <v>35353.536666666667</v>
      </c>
      <c r="N264" s="176">
        <f t="shared" si="44"/>
        <v>35353.536666666667</v>
      </c>
      <c r="O264" s="176">
        <f t="shared" si="44"/>
        <v>264363.63666666666</v>
      </c>
      <c r="P264" s="176">
        <f t="shared" si="44"/>
        <v>264363.63666666666</v>
      </c>
      <c r="Q264" s="176">
        <f t="shared" si="44"/>
        <v>629242.42416666658</v>
      </c>
      <c r="R264" s="176">
        <f t="shared" si="44"/>
        <v>629242.42416666658</v>
      </c>
      <c r="S264" s="176">
        <f t="shared" si="44"/>
        <v>629242.42416666658</v>
      </c>
      <c r="T264" s="176">
        <f t="shared" si="44"/>
        <v>629242.42416666658</v>
      </c>
      <c r="U264" s="176">
        <f t="shared" si="44"/>
        <v>204646.45333333334</v>
      </c>
      <c r="V264" s="14">
        <f t="shared" si="30"/>
        <v>3356404.0333333323</v>
      </c>
    </row>
    <row r="265" spans="2:22" s="16" customFormat="1" ht="38.25" customHeight="1" thickBot="1" x14ac:dyDescent="0.45">
      <c r="B265" s="210" t="s">
        <v>219</v>
      </c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14">
        <f t="shared" si="30"/>
        <v>0</v>
      </c>
    </row>
    <row r="266" spans="2:22" ht="29.45" customHeight="1" thickBot="1" x14ac:dyDescent="0.4">
      <c r="B266" s="237" t="s">
        <v>153</v>
      </c>
      <c r="C266" s="169" t="s">
        <v>122</v>
      </c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4">
        <f t="shared" si="30"/>
        <v>0</v>
      </c>
    </row>
    <row r="267" spans="2:22" ht="33.75" customHeight="1" thickBot="1" x14ac:dyDescent="0.4">
      <c r="B267" s="237"/>
      <c r="C267" s="169" t="s">
        <v>29</v>
      </c>
      <c r="D267" s="169"/>
      <c r="E267" s="169"/>
      <c r="F267" s="169"/>
      <c r="G267" s="169"/>
      <c r="H267" s="169"/>
      <c r="I267" s="169"/>
      <c r="J267" s="206"/>
      <c r="K267" s="206">
        <f>'PEP_Versao 20180523_12-05'!$E$279/10</f>
        <v>240909.09090909091</v>
      </c>
      <c r="L267" s="206">
        <f>'PEP_Versao 20180523_12-05'!$E$279/10</f>
        <v>240909.09090909091</v>
      </c>
      <c r="M267" s="206">
        <f>'PEP_Versao 20180523_12-05'!$E$279/10</f>
        <v>240909.09090909091</v>
      </c>
      <c r="N267" s="206">
        <f>'PEP_Versao 20180523_12-05'!$E$279/10</f>
        <v>240909.09090909091</v>
      </c>
      <c r="O267" s="206">
        <f>'PEP_Versao 20180523_12-05'!$E$279/10</f>
        <v>240909.09090909091</v>
      </c>
      <c r="P267" s="206">
        <f>'PEP_Versao 20180523_12-05'!$E$279/10</f>
        <v>240909.09090909091</v>
      </c>
      <c r="Q267" s="206">
        <f>'PEP_Versao 20180523_12-05'!$E$279/10</f>
        <v>240909.09090909091</v>
      </c>
      <c r="R267" s="206">
        <f>'PEP_Versao 20180523_12-05'!$E$279/10</f>
        <v>240909.09090909091</v>
      </c>
      <c r="S267" s="206">
        <f>'PEP_Versao 20180523_12-05'!$E$279/10</f>
        <v>240909.09090909091</v>
      </c>
      <c r="T267" s="206">
        <f>'PEP_Versao 20180523_12-05'!$E$279/10</f>
        <v>240909.09090909091</v>
      </c>
      <c r="U267" s="206">
        <f>'PEP_Versao 20180523_12-05'!F279/12</f>
        <v>90909.090909090926</v>
      </c>
      <c r="V267" s="14">
        <f t="shared" si="30"/>
        <v>2499999.9999999995</v>
      </c>
    </row>
    <row r="268" spans="2:22" ht="25.5" customHeight="1" thickBot="1" x14ac:dyDescent="0.4">
      <c r="B268" s="237" t="s">
        <v>154</v>
      </c>
      <c r="C268" s="169" t="s">
        <v>118</v>
      </c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4">
        <f t="shared" si="30"/>
        <v>0</v>
      </c>
    </row>
    <row r="269" spans="2:22" ht="33" customHeight="1" thickBot="1" x14ac:dyDescent="0.4">
      <c r="B269" s="237"/>
      <c r="C269" s="169" t="s">
        <v>29</v>
      </c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42">
        <f>757575.76/4</f>
        <v>189393.94</v>
      </c>
      <c r="R269" s="42">
        <f>757575.76/4</f>
        <v>189393.94</v>
      </c>
      <c r="S269" s="42">
        <f>757575.76/4</f>
        <v>189393.94</v>
      </c>
      <c r="T269" s="42">
        <f>757575.76/4</f>
        <v>189393.94</v>
      </c>
      <c r="U269" s="42">
        <f>909090.91/12</f>
        <v>75757.575833333336</v>
      </c>
      <c r="V269" s="14">
        <f t="shared" si="30"/>
        <v>833333.33583333332</v>
      </c>
    </row>
    <row r="270" spans="2:22" ht="33" customHeight="1" thickBot="1" x14ac:dyDescent="0.4">
      <c r="B270" s="237" t="s">
        <v>155</v>
      </c>
      <c r="C270" s="169" t="s">
        <v>118</v>
      </c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212"/>
      <c r="V270" s="14">
        <f t="shared" si="30"/>
        <v>0</v>
      </c>
    </row>
    <row r="271" spans="2:22" ht="33" customHeight="1" thickBot="1" x14ac:dyDescent="0.4">
      <c r="B271" s="237"/>
      <c r="C271" s="169" t="s">
        <v>29</v>
      </c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42">
        <f t="shared" ref="O271:T271" si="45">300000/6</f>
        <v>50000</v>
      </c>
      <c r="P271" s="42">
        <f t="shared" si="45"/>
        <v>50000</v>
      </c>
      <c r="Q271" s="42">
        <f t="shared" si="45"/>
        <v>50000</v>
      </c>
      <c r="R271" s="42">
        <f t="shared" si="45"/>
        <v>50000</v>
      </c>
      <c r="S271" s="42">
        <f t="shared" si="45"/>
        <v>50000</v>
      </c>
      <c r="T271" s="42">
        <f t="shared" si="45"/>
        <v>50000</v>
      </c>
      <c r="U271" s="42">
        <f>300000/9</f>
        <v>33333.333333333336</v>
      </c>
      <c r="V271" s="14">
        <f t="shared" si="30"/>
        <v>333333.33333333331</v>
      </c>
    </row>
    <row r="272" spans="2:22" s="16" customFormat="1" ht="24.75" customHeight="1" thickBot="1" x14ac:dyDescent="0.45">
      <c r="B272" s="140" t="s">
        <v>156</v>
      </c>
      <c r="C272" s="141">
        <f t="shared" ref="C272:U272" si="46">SUMIF(C266:C271,"&gt;1000")</f>
        <v>0</v>
      </c>
      <c r="D272" s="141">
        <f t="shared" si="46"/>
        <v>0</v>
      </c>
      <c r="E272" s="141">
        <f t="shared" si="46"/>
        <v>0</v>
      </c>
      <c r="F272" s="141">
        <f t="shared" si="46"/>
        <v>0</v>
      </c>
      <c r="G272" s="141">
        <f t="shared" si="46"/>
        <v>0</v>
      </c>
      <c r="H272" s="141">
        <f t="shared" si="46"/>
        <v>0</v>
      </c>
      <c r="I272" s="141">
        <f t="shared" si="46"/>
        <v>0</v>
      </c>
      <c r="J272" s="141">
        <f t="shared" si="46"/>
        <v>0</v>
      </c>
      <c r="K272" s="141">
        <f t="shared" si="46"/>
        <v>240909.09090909091</v>
      </c>
      <c r="L272" s="141">
        <f t="shared" si="46"/>
        <v>240909.09090909091</v>
      </c>
      <c r="M272" s="141">
        <f t="shared" si="46"/>
        <v>240909.09090909091</v>
      </c>
      <c r="N272" s="141">
        <f t="shared" si="46"/>
        <v>240909.09090909091</v>
      </c>
      <c r="O272" s="141">
        <f t="shared" si="46"/>
        <v>290909.09090909094</v>
      </c>
      <c r="P272" s="141">
        <f t="shared" si="46"/>
        <v>290909.09090909094</v>
      </c>
      <c r="Q272" s="141">
        <f t="shared" si="46"/>
        <v>480303.03090909088</v>
      </c>
      <c r="R272" s="141">
        <f t="shared" si="46"/>
        <v>480303.03090909088</v>
      </c>
      <c r="S272" s="141">
        <f t="shared" si="46"/>
        <v>480303.03090909088</v>
      </c>
      <c r="T272" s="141">
        <f t="shared" si="46"/>
        <v>480303.03090909088</v>
      </c>
      <c r="U272" s="141">
        <f t="shared" si="46"/>
        <v>200000.00007575759</v>
      </c>
      <c r="V272" s="14">
        <f t="shared" si="30"/>
        <v>3666666.669166666</v>
      </c>
    </row>
    <row r="273" spans="2:22" s="16" customFormat="1" ht="38.25" customHeight="1" thickBot="1" x14ac:dyDescent="0.45">
      <c r="B273" s="208" t="s">
        <v>220</v>
      </c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14">
        <f t="shared" si="30"/>
        <v>0</v>
      </c>
    </row>
    <row r="274" spans="2:22" ht="21" customHeight="1" thickBot="1" x14ac:dyDescent="0.4">
      <c r="B274" s="237" t="s">
        <v>158</v>
      </c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4">
        <f t="shared" ref="V274:V283" si="47">SUM(D274:U274)</f>
        <v>0</v>
      </c>
    </row>
    <row r="275" spans="2:22" ht="21" customHeight="1" thickBot="1" x14ac:dyDescent="0.4">
      <c r="B275" s="237"/>
      <c r="C275" s="169" t="s">
        <v>29</v>
      </c>
      <c r="D275" s="169"/>
      <c r="E275" s="169"/>
      <c r="F275" s="169"/>
      <c r="G275" s="169"/>
      <c r="H275" s="169"/>
      <c r="I275" s="42">
        <f t="shared" ref="I275:T275" si="48">1210000/12</f>
        <v>100833.33333333333</v>
      </c>
      <c r="J275" s="42">
        <f t="shared" si="48"/>
        <v>100833.33333333333</v>
      </c>
      <c r="K275" s="42">
        <f t="shared" si="48"/>
        <v>100833.33333333333</v>
      </c>
      <c r="L275" s="42">
        <f t="shared" si="48"/>
        <v>100833.33333333333</v>
      </c>
      <c r="M275" s="42">
        <f t="shared" si="48"/>
        <v>100833.33333333333</v>
      </c>
      <c r="N275" s="42">
        <f t="shared" si="48"/>
        <v>100833.33333333333</v>
      </c>
      <c r="O275" s="42">
        <f t="shared" si="48"/>
        <v>100833.33333333333</v>
      </c>
      <c r="P275" s="42">
        <f t="shared" si="48"/>
        <v>100833.33333333333</v>
      </c>
      <c r="Q275" s="42">
        <f t="shared" si="48"/>
        <v>100833.33333333333</v>
      </c>
      <c r="R275" s="42">
        <f t="shared" si="48"/>
        <v>100833.33333333333</v>
      </c>
      <c r="S275" s="42">
        <f t="shared" si="48"/>
        <v>100833.33333333333</v>
      </c>
      <c r="T275" s="42">
        <f t="shared" si="48"/>
        <v>100833.33333333333</v>
      </c>
      <c r="U275" s="206">
        <f>1000000/12</f>
        <v>83333.333333333328</v>
      </c>
      <c r="V275" s="14">
        <f t="shared" si="47"/>
        <v>1293333.3333333333</v>
      </c>
    </row>
    <row r="276" spans="2:22" ht="21" customHeight="1" thickBot="1" x14ac:dyDescent="0.4">
      <c r="B276" s="237" t="s">
        <v>159</v>
      </c>
      <c r="C276" s="169" t="s">
        <v>118</v>
      </c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4">
        <f t="shared" si="47"/>
        <v>0</v>
      </c>
    </row>
    <row r="277" spans="2:22" ht="21" customHeight="1" thickBot="1" x14ac:dyDescent="0.4">
      <c r="B277" s="237"/>
      <c r="C277" s="169" t="s">
        <v>29</v>
      </c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42"/>
      <c r="P277" s="169"/>
      <c r="Q277" s="169"/>
      <c r="R277" s="169"/>
      <c r="S277" s="169"/>
      <c r="T277" s="42">
        <v>50000</v>
      </c>
      <c r="U277" s="169"/>
      <c r="V277" s="14">
        <f t="shared" si="47"/>
        <v>50000</v>
      </c>
    </row>
    <row r="278" spans="2:22" ht="21" customHeight="1" thickBot="1" x14ac:dyDescent="0.4">
      <c r="B278" s="237" t="s">
        <v>160</v>
      </c>
      <c r="C278" s="169" t="s">
        <v>118</v>
      </c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4">
        <f t="shared" si="47"/>
        <v>0</v>
      </c>
    </row>
    <row r="279" spans="2:22" ht="21" customHeight="1" thickBot="1" x14ac:dyDescent="0.4">
      <c r="B279" s="237"/>
      <c r="C279" s="169" t="s">
        <v>29</v>
      </c>
      <c r="D279" s="169"/>
      <c r="E279" s="169"/>
      <c r="F279" s="169"/>
      <c r="G279" s="169"/>
      <c r="H279" s="169"/>
      <c r="I279" s="169"/>
      <c r="J279" s="169"/>
      <c r="K279" s="42"/>
      <c r="L279" s="42">
        <f t="shared" ref="L279:T279" si="49">350000/9</f>
        <v>38888.888888888891</v>
      </c>
      <c r="M279" s="42">
        <f t="shared" si="49"/>
        <v>38888.888888888891</v>
      </c>
      <c r="N279" s="42">
        <f t="shared" si="49"/>
        <v>38888.888888888891</v>
      </c>
      <c r="O279" s="42">
        <f t="shared" si="49"/>
        <v>38888.888888888891</v>
      </c>
      <c r="P279" s="42">
        <f t="shared" si="49"/>
        <v>38888.888888888891</v>
      </c>
      <c r="Q279" s="42">
        <f t="shared" si="49"/>
        <v>38888.888888888891</v>
      </c>
      <c r="R279" s="42">
        <f t="shared" si="49"/>
        <v>38888.888888888891</v>
      </c>
      <c r="S279" s="42">
        <f t="shared" si="49"/>
        <v>38888.888888888891</v>
      </c>
      <c r="T279" s="42">
        <f t="shared" si="49"/>
        <v>38888.888888888891</v>
      </c>
      <c r="U279" s="178"/>
      <c r="V279" s="14">
        <f t="shared" si="47"/>
        <v>349999.99999999994</v>
      </c>
    </row>
    <row r="280" spans="2:22" ht="21" customHeight="1" thickBot="1" x14ac:dyDescent="0.4">
      <c r="B280" s="237" t="s">
        <v>161</v>
      </c>
      <c r="C280" s="169" t="s">
        <v>118</v>
      </c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4">
        <f t="shared" si="47"/>
        <v>0</v>
      </c>
    </row>
    <row r="281" spans="2:22" ht="21" customHeight="1" thickBot="1" x14ac:dyDescent="0.4">
      <c r="B281" s="237"/>
      <c r="C281" s="169" t="s">
        <v>29</v>
      </c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45"/>
      <c r="V281" s="14">
        <f t="shared" si="47"/>
        <v>0</v>
      </c>
    </row>
    <row r="282" spans="2:22" s="16" customFormat="1" ht="22.5" customHeight="1" thickBot="1" x14ac:dyDescent="0.45">
      <c r="B282" s="137" t="s">
        <v>162</v>
      </c>
      <c r="C282" s="141">
        <f t="shared" ref="C282:U282" si="50">SUMIF(C274:C281,"&gt;1000")</f>
        <v>0</v>
      </c>
      <c r="D282" s="141">
        <f t="shared" si="50"/>
        <v>0</v>
      </c>
      <c r="E282" s="141">
        <f t="shared" si="50"/>
        <v>0</v>
      </c>
      <c r="F282" s="141">
        <f t="shared" si="50"/>
        <v>0</v>
      </c>
      <c r="G282" s="141">
        <f t="shared" si="50"/>
        <v>0</v>
      </c>
      <c r="H282" s="141">
        <f t="shared" si="50"/>
        <v>0</v>
      </c>
      <c r="I282" s="141">
        <f t="shared" si="50"/>
        <v>100833.33333333333</v>
      </c>
      <c r="J282" s="141">
        <f t="shared" si="50"/>
        <v>100833.33333333333</v>
      </c>
      <c r="K282" s="141">
        <f t="shared" si="50"/>
        <v>100833.33333333333</v>
      </c>
      <c r="L282" s="141">
        <f t="shared" si="50"/>
        <v>139722.22222222222</v>
      </c>
      <c r="M282" s="141">
        <f t="shared" si="50"/>
        <v>139722.22222222222</v>
      </c>
      <c r="N282" s="141">
        <f t="shared" si="50"/>
        <v>139722.22222222222</v>
      </c>
      <c r="O282" s="141">
        <f t="shared" si="50"/>
        <v>139722.22222222222</v>
      </c>
      <c r="P282" s="141">
        <f t="shared" si="50"/>
        <v>139722.22222222222</v>
      </c>
      <c r="Q282" s="141">
        <f t="shared" si="50"/>
        <v>139722.22222222222</v>
      </c>
      <c r="R282" s="141">
        <f t="shared" si="50"/>
        <v>139722.22222222222</v>
      </c>
      <c r="S282" s="141">
        <f t="shared" si="50"/>
        <v>139722.22222222222</v>
      </c>
      <c r="T282" s="141">
        <f t="shared" si="50"/>
        <v>189722.22222222219</v>
      </c>
      <c r="U282" s="141">
        <f t="shared" si="50"/>
        <v>83333.333333333328</v>
      </c>
      <c r="V282" s="14">
        <f t="shared" si="47"/>
        <v>1693333.3333333335</v>
      </c>
    </row>
    <row r="283" spans="2:22" s="16" customFormat="1" ht="26.25" customHeight="1" thickBot="1" x14ac:dyDescent="0.45">
      <c r="B283" s="144" t="s">
        <v>163</v>
      </c>
      <c r="C283" s="146">
        <f t="shared" ref="C283:U283" si="51">SUM(C220+C248+C264+C272+C282)</f>
        <v>0</v>
      </c>
      <c r="D283" s="146">
        <f t="shared" si="51"/>
        <v>2383838.3838383844</v>
      </c>
      <c r="E283" s="146">
        <f t="shared" si="51"/>
        <v>2383838.3838383844</v>
      </c>
      <c r="F283" s="146">
        <f t="shared" si="51"/>
        <v>2383838.3838383844</v>
      </c>
      <c r="G283" s="146">
        <f t="shared" si="51"/>
        <v>2383838.3838383844</v>
      </c>
      <c r="H283" s="146">
        <f t="shared" si="51"/>
        <v>2383838.3838383844</v>
      </c>
      <c r="I283" s="146">
        <f t="shared" si="51"/>
        <v>2665010.1016666675</v>
      </c>
      <c r="J283" s="146">
        <f t="shared" si="51"/>
        <v>2665010.1018686877</v>
      </c>
      <c r="K283" s="146">
        <f t="shared" si="51"/>
        <v>2905919.1927777785</v>
      </c>
      <c r="L283" s="146">
        <f t="shared" si="51"/>
        <v>2980161.6183333336</v>
      </c>
      <c r="M283" s="146">
        <f t="shared" si="51"/>
        <v>3283191.9216666673</v>
      </c>
      <c r="N283" s="146">
        <f t="shared" si="51"/>
        <v>3283191.9216666673</v>
      </c>
      <c r="O283" s="146">
        <f t="shared" si="51"/>
        <v>4905939.3968686871</v>
      </c>
      <c r="P283" s="146">
        <f t="shared" si="51"/>
        <v>5524121.2151111113</v>
      </c>
      <c r="Q283" s="146">
        <f t="shared" si="51"/>
        <v>5896575.7616414158</v>
      </c>
      <c r="R283" s="146">
        <f t="shared" si="51"/>
        <v>6402280.0549747488</v>
      </c>
      <c r="S283" s="146">
        <f t="shared" si="51"/>
        <v>6402280.0549747488</v>
      </c>
      <c r="T283" s="146">
        <f t="shared" si="51"/>
        <v>6452280.0549747488</v>
      </c>
      <c r="U283" s="146">
        <f t="shared" si="51"/>
        <v>6831938.2269034814</v>
      </c>
      <c r="V283" s="14">
        <f t="shared" si="47"/>
        <v>72117091.542620659</v>
      </c>
    </row>
    <row r="284" spans="2:22" ht="27" customHeight="1" x14ac:dyDescent="0.4">
      <c r="H284" s="213">
        <f>SUM(D283:H283)</f>
        <v>11919191.919191923</v>
      </c>
      <c r="T284" s="213">
        <f>SUM(I283:T283)</f>
        <v>53365961.396525264</v>
      </c>
    </row>
    <row r="285" spans="2:22" ht="28.5" customHeight="1" x14ac:dyDescent="0.4">
      <c r="T285" s="213"/>
    </row>
    <row r="287" spans="2:22" s="36" customFormat="1" ht="21.75" customHeight="1" x14ac:dyDescent="0.45">
      <c r="B287" s="35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8" spans="2:22" s="36" customFormat="1" ht="21.75" customHeight="1" x14ac:dyDescent="0.45">
      <c r="B288" s="35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</row>
    <row r="290" spans="3:21" ht="13.9" x14ac:dyDescent="0.3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</row>
    <row r="291" spans="3:21" x14ac:dyDescent="0.3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30"/>
    </row>
    <row r="292" spans="3:21" x14ac:dyDescent="0.3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30"/>
    </row>
    <row r="293" spans="3:21" x14ac:dyDescent="0.35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30"/>
    </row>
    <row r="294" spans="3:21" x14ac:dyDescent="0.35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30"/>
    </row>
    <row r="295" spans="3:21" x14ac:dyDescent="0.35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30"/>
    </row>
    <row r="296" spans="3:21" x14ac:dyDescent="0.35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30"/>
    </row>
    <row r="297" spans="3:21" ht="21.75" customHeight="1" x14ac:dyDescent="0.3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32"/>
    </row>
  </sheetData>
  <mergeCells count="135">
    <mergeCell ref="B18:B19"/>
    <mergeCell ref="B20:B21"/>
    <mergeCell ref="B22:B23"/>
    <mergeCell ref="B24:B25"/>
    <mergeCell ref="B26:B27"/>
    <mergeCell ref="B28:B29"/>
    <mergeCell ref="C2:U2"/>
    <mergeCell ref="B8:B9"/>
    <mergeCell ref="B10:B11"/>
    <mergeCell ref="B12:B13"/>
    <mergeCell ref="B14:B15"/>
    <mergeCell ref="B16:B17"/>
    <mergeCell ref="B42:B43"/>
    <mergeCell ref="B44:B45"/>
    <mergeCell ref="B46:B47"/>
    <mergeCell ref="B48:B49"/>
    <mergeCell ref="B50:B51"/>
    <mergeCell ref="B52:B53"/>
    <mergeCell ref="B30:B31"/>
    <mergeCell ref="B32:B33"/>
    <mergeCell ref="B34:B35"/>
    <mergeCell ref="B36:B37"/>
    <mergeCell ref="B38:B39"/>
    <mergeCell ref="B40:B41"/>
    <mergeCell ref="B66:B67"/>
    <mergeCell ref="B68:B69"/>
    <mergeCell ref="B70:B71"/>
    <mergeCell ref="B72:B73"/>
    <mergeCell ref="B76:B77"/>
    <mergeCell ref="B78:B79"/>
    <mergeCell ref="B54:B55"/>
    <mergeCell ref="B56:B57"/>
    <mergeCell ref="B58:B59"/>
    <mergeCell ref="B60:B61"/>
    <mergeCell ref="B62:B63"/>
    <mergeCell ref="B64:B65"/>
    <mergeCell ref="B74:B75"/>
    <mergeCell ref="B92:B93"/>
    <mergeCell ref="B94:B95"/>
    <mergeCell ref="B96:B97"/>
    <mergeCell ref="B98:B99"/>
    <mergeCell ref="B100:B101"/>
    <mergeCell ref="B102:B103"/>
    <mergeCell ref="B80:B81"/>
    <mergeCell ref="B82:B83"/>
    <mergeCell ref="B84:B85"/>
    <mergeCell ref="B86:B87"/>
    <mergeCell ref="B88:B89"/>
    <mergeCell ref="B90:B91"/>
    <mergeCell ref="B116:B117"/>
    <mergeCell ref="B118:B119"/>
    <mergeCell ref="B120:B121"/>
    <mergeCell ref="B122:B123"/>
    <mergeCell ref="B124:B125"/>
    <mergeCell ref="B126:B127"/>
    <mergeCell ref="B104:B105"/>
    <mergeCell ref="B106:B107"/>
    <mergeCell ref="B108:B109"/>
    <mergeCell ref="B110:B111"/>
    <mergeCell ref="B112:B113"/>
    <mergeCell ref="B114:B115"/>
    <mergeCell ref="B140:B141"/>
    <mergeCell ref="B142:B143"/>
    <mergeCell ref="B144:B145"/>
    <mergeCell ref="B146:B147"/>
    <mergeCell ref="B148:B149"/>
    <mergeCell ref="B150:B151"/>
    <mergeCell ref="B128:B129"/>
    <mergeCell ref="B130:B131"/>
    <mergeCell ref="B132:B133"/>
    <mergeCell ref="B134:B135"/>
    <mergeCell ref="B136:B137"/>
    <mergeCell ref="B138:B139"/>
    <mergeCell ref="B164:B165"/>
    <mergeCell ref="B166:B167"/>
    <mergeCell ref="B168:B169"/>
    <mergeCell ref="B170:B171"/>
    <mergeCell ref="B172:B173"/>
    <mergeCell ref="B174:B175"/>
    <mergeCell ref="B152:B153"/>
    <mergeCell ref="B154:B155"/>
    <mergeCell ref="B156:B157"/>
    <mergeCell ref="B158:B159"/>
    <mergeCell ref="B160:B161"/>
    <mergeCell ref="B162:B163"/>
    <mergeCell ref="B188:B189"/>
    <mergeCell ref="B190:B191"/>
    <mergeCell ref="B192:B193"/>
    <mergeCell ref="B194:B195"/>
    <mergeCell ref="B196:B197"/>
    <mergeCell ref="B198:B199"/>
    <mergeCell ref="B176:B177"/>
    <mergeCell ref="B178:B179"/>
    <mergeCell ref="B180:B181"/>
    <mergeCell ref="B182:B183"/>
    <mergeCell ref="B184:B185"/>
    <mergeCell ref="B186:B187"/>
    <mergeCell ref="B212:B213"/>
    <mergeCell ref="B214:B215"/>
    <mergeCell ref="B216:B217"/>
    <mergeCell ref="B218:B219"/>
    <mergeCell ref="B220:C220"/>
    <mergeCell ref="B222:B223"/>
    <mergeCell ref="B200:B201"/>
    <mergeCell ref="B202:B203"/>
    <mergeCell ref="B204:B205"/>
    <mergeCell ref="B206:B207"/>
    <mergeCell ref="B208:B209"/>
    <mergeCell ref="B210:B211"/>
    <mergeCell ref="B236:B237"/>
    <mergeCell ref="B238:B239"/>
    <mergeCell ref="B240:B241"/>
    <mergeCell ref="B242:B243"/>
    <mergeCell ref="B244:B245"/>
    <mergeCell ref="B246:B247"/>
    <mergeCell ref="B224:B225"/>
    <mergeCell ref="B226:B227"/>
    <mergeCell ref="B228:B229"/>
    <mergeCell ref="B230:B231"/>
    <mergeCell ref="B232:B233"/>
    <mergeCell ref="B234:B235"/>
    <mergeCell ref="B278:B279"/>
    <mergeCell ref="B280:B281"/>
    <mergeCell ref="B262:B263"/>
    <mergeCell ref="B266:B267"/>
    <mergeCell ref="B268:B269"/>
    <mergeCell ref="B270:B271"/>
    <mergeCell ref="B274:B275"/>
    <mergeCell ref="B276:B277"/>
    <mergeCell ref="B250:B251"/>
    <mergeCell ref="B252:B253"/>
    <mergeCell ref="B254:B255"/>
    <mergeCell ref="B256:B257"/>
    <mergeCell ref="B258:B259"/>
    <mergeCell ref="B260:B261"/>
  </mergeCells>
  <pageMargins left="0.70866141732283472" right="0.70866141732283472" top="0.93" bottom="0.43" header="0.31496062992125984" footer="0.31496062992125984"/>
  <pageSetup paperSize="8" scale="47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PEP_Versao 20180523_12-05</vt:lpstr>
      <vt:lpstr>Memória</vt:lpstr>
      <vt:lpstr>POA</vt:lpstr>
      <vt:lpstr>'PEP_Versao 20180523_12-05'!Print_Area</vt:lpstr>
      <vt:lpstr>POA!Print_Area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Rodrigues Andrade</dc:creator>
  <cp:keywords/>
  <dc:description/>
  <cp:lastModifiedBy>Rocha, Marcia Gomes</cp:lastModifiedBy>
  <cp:revision/>
  <dcterms:created xsi:type="dcterms:W3CDTF">2018-04-20T21:00:08Z</dcterms:created>
  <dcterms:modified xsi:type="dcterms:W3CDTF">2018-10-03T19:10:53Z</dcterms:modified>
  <cp:category/>
  <cp:contentStatus/>
</cp:coreProperties>
</file>