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ldo\Documents\Alejandra\Paraguay\PR-L1164\POD\"/>
    </mc:Choice>
  </mc:AlternateContent>
  <xr:revisionPtr revIDLastSave="0" documentId="13_ncr:1_{8C15C40B-4070-4659-9717-5669FDEEDD9E}" xr6:coauthVersionLast="43" xr6:coauthVersionMax="43" xr10:uidLastSave="{00000000-0000-0000-0000-000000000000}"/>
  <bookViews>
    <workbookView xWindow="28680" yWindow="-120" windowWidth="29040" windowHeight="15840" tabRatio="696" firstSheet="8" activeTab="8" xr2:uid="{00000000-000D-0000-FFFF-FFFF00000000}"/>
  </bookViews>
  <sheets>
    <sheet name=" Cuadro de Costos Detallado" sheetId="39" state="hidden" r:id="rId1"/>
    <sheet name="Sheet2" sheetId="43" state="hidden" r:id="rId2"/>
    <sheet name="Cuadro de Costos" sheetId="10" state="hidden" r:id="rId3"/>
    <sheet name="3. PEP" sheetId="23" state="hidden" r:id="rId4"/>
    <sheet name="6. PEP Mensual" sheetId="26" state="hidden" r:id="rId5"/>
    <sheet name="4. CC D" sheetId="25" state="hidden" r:id="rId6"/>
    <sheet name="7. PEP Anual" sheetId="32" state="hidden" r:id="rId7"/>
    <sheet name="12. POA año 1 (2)" sheetId="40" state="hidden" r:id="rId8"/>
    <sheet name="PA" sheetId="33" r:id="rId9"/>
    <sheet name="Costos por producto (PME)" sheetId="41" state="hidden" r:id="rId10"/>
    <sheet name="Sheet1" sheetId="42" state="hidden" r:id="rId11"/>
    <sheet name="Paratodo-Douglas" sheetId="27" state="hidden" r:id="rId12"/>
    <sheet name="Oriental1" sheetId="35" state="hidden" r:id="rId13"/>
    <sheet name="Obras Complementarias" sheetId="36" state="hidden" r:id="rId14"/>
    <sheet name="tramos criticos" sheetId="44" state="hidden" r:id="rId15"/>
    <sheet name="ER6-frt-ECE" sheetId="28" state="hidden" r:id="rId16"/>
    <sheet name="Fisc Paratodo-Douglas" sheetId="30" state="hidden" r:id="rId17"/>
    <sheet name="Fisc Oriental" sheetId="37" state="hidden" r:id="rId18"/>
    <sheet name="Fisc Complementarias" sheetId="38" state="hidden" r:id="rId19"/>
  </sheets>
  <externalReferences>
    <externalReference r:id="rId20"/>
    <externalReference r:id="rId21"/>
    <externalReference r:id="rId22"/>
  </externalReferences>
  <definedNames>
    <definedName name="_1" localSheetId="7" hidden="1">#REF!</definedName>
    <definedName name="_1" localSheetId="6" hidden="1">#REF!</definedName>
    <definedName name="_1" localSheetId="15" hidden="1">#REF!</definedName>
    <definedName name="_1" localSheetId="18" hidden="1">#REF!</definedName>
    <definedName name="_1" localSheetId="17" hidden="1">#REF!</definedName>
    <definedName name="_1" localSheetId="16" hidden="1">#REF!</definedName>
    <definedName name="_1" localSheetId="13" hidden="1">#REF!</definedName>
    <definedName name="_1" localSheetId="12" hidden="1">#REF!</definedName>
    <definedName name="_1" localSheetId="14" hidden="1">#REF!</definedName>
    <definedName name="_1" hidden="1">#REF!</definedName>
    <definedName name="_2" localSheetId="7">#REF!</definedName>
    <definedName name="_2" localSheetId="6">#REF!</definedName>
    <definedName name="_2" localSheetId="15">#REF!</definedName>
    <definedName name="_2" localSheetId="18">#REF!</definedName>
    <definedName name="_2" localSheetId="17">#REF!</definedName>
    <definedName name="_2" localSheetId="16">#REF!</definedName>
    <definedName name="_2" localSheetId="13">#REF!</definedName>
    <definedName name="_2" localSheetId="12">#REF!</definedName>
    <definedName name="_2" localSheetId="14">#REF!</definedName>
    <definedName name="_2">#REF!</definedName>
    <definedName name="_3" localSheetId="7">#REF!</definedName>
    <definedName name="_3" localSheetId="6">#REF!</definedName>
    <definedName name="_3" localSheetId="15">#REF!</definedName>
    <definedName name="_3" localSheetId="18">#REF!</definedName>
    <definedName name="_3" localSheetId="17">#REF!</definedName>
    <definedName name="_3" localSheetId="16">#REF!</definedName>
    <definedName name="_3" localSheetId="13">#REF!</definedName>
    <definedName name="_3" localSheetId="12">#REF!</definedName>
    <definedName name="_3" localSheetId="14">#REF!</definedName>
    <definedName name="_3">#REF!</definedName>
    <definedName name="_6" localSheetId="7">#REF!</definedName>
    <definedName name="_6" localSheetId="6">#REF!</definedName>
    <definedName name="_6" localSheetId="15">#REF!</definedName>
    <definedName name="_6" localSheetId="18">#REF!</definedName>
    <definedName name="_6" localSheetId="17">#REF!</definedName>
    <definedName name="_6" localSheetId="16">#REF!</definedName>
    <definedName name="_6" localSheetId="13">#REF!</definedName>
    <definedName name="_6" localSheetId="12">#REF!</definedName>
    <definedName name="_6" localSheetId="14">#REF!</definedName>
    <definedName name="_6">#REF!</definedName>
    <definedName name="_8" localSheetId="7">#REF!</definedName>
    <definedName name="_8" localSheetId="6">#REF!</definedName>
    <definedName name="_8" localSheetId="15">#REF!</definedName>
    <definedName name="_8" localSheetId="18">#REF!</definedName>
    <definedName name="_8" localSheetId="17">#REF!</definedName>
    <definedName name="_8" localSheetId="16">#REF!</definedName>
    <definedName name="_8" localSheetId="13">#REF!</definedName>
    <definedName name="_8" localSheetId="12">#REF!</definedName>
    <definedName name="_8" localSheetId="14">#REF!</definedName>
    <definedName name="_8">#REF!</definedName>
    <definedName name="_f" localSheetId="7">#REF!</definedName>
    <definedName name="_f" localSheetId="6">#REF!</definedName>
    <definedName name="_f" localSheetId="15">#REF!</definedName>
    <definedName name="_f" localSheetId="18">#REF!</definedName>
    <definedName name="_f" localSheetId="17">#REF!</definedName>
    <definedName name="_f" localSheetId="16">#REF!</definedName>
    <definedName name="_f" localSheetId="13">#REF!</definedName>
    <definedName name="_f" localSheetId="12">#REF!</definedName>
    <definedName name="_f" localSheetId="14">#REF!</definedName>
    <definedName name="_f">#REF!</definedName>
    <definedName name="_Fill" localSheetId="7" hidden="1">#REF!</definedName>
    <definedName name="_Fill" localSheetId="6" hidden="1">#REF!</definedName>
    <definedName name="_Fill" localSheetId="15" hidden="1">#REF!</definedName>
    <definedName name="_Fill" localSheetId="18" hidden="1">#REF!</definedName>
    <definedName name="_Fill" localSheetId="17" hidden="1">#REF!</definedName>
    <definedName name="_Fill" localSheetId="16" hidden="1">#REF!</definedName>
    <definedName name="_Fill" localSheetId="13" hidden="1">#REF!</definedName>
    <definedName name="_Fill" localSheetId="12" hidden="1">#REF!</definedName>
    <definedName name="_Fill" localSheetId="14" hidden="1">#REF!</definedName>
    <definedName name="_Fill" hidden="1">#REF!</definedName>
    <definedName name="_xlnm._FilterDatabase" localSheetId="5" hidden="1">'4. CC D'!$A$7:$I$40</definedName>
    <definedName name="aaa" localSheetId="7">#REF!</definedName>
    <definedName name="aaa" localSheetId="4">#REF!</definedName>
    <definedName name="aaa" localSheetId="6">#REF!</definedName>
    <definedName name="aaa" localSheetId="15">#REF!</definedName>
    <definedName name="aaa" localSheetId="18">#REF!</definedName>
    <definedName name="aaa" localSheetId="17">#REF!</definedName>
    <definedName name="aaa" localSheetId="16">#REF!</definedName>
    <definedName name="aaa" localSheetId="13">#REF!</definedName>
    <definedName name="aaa" localSheetId="12">#REF!</definedName>
    <definedName name="aaa" localSheetId="11">#REF!</definedName>
    <definedName name="aaa" localSheetId="14">#REF!</definedName>
    <definedName name="aaa">#REF!</definedName>
    <definedName name="Component1">[1]RRF!$C$8</definedName>
    <definedName name="Component11">[1]RRF!$C$44</definedName>
    <definedName name="Component2">[1]RRF!$C$12</definedName>
    <definedName name="Component3">[1]RRF!$C$19</definedName>
    <definedName name="Component4">[1]RRF!$C$26</definedName>
    <definedName name="Component7">[1]RRF!$C$31</definedName>
    <definedName name="Component8">[1]RRF!$C$35</definedName>
    <definedName name="Component9">[1]RRF!$C$40</definedName>
    <definedName name="d" localSheetId="7">#REF!</definedName>
    <definedName name="d" localSheetId="18">#REF!</definedName>
    <definedName name="d" localSheetId="17">#REF!</definedName>
    <definedName name="d" localSheetId="13">#REF!</definedName>
    <definedName name="d" localSheetId="12">#REF!</definedName>
    <definedName name="d" localSheetId="14">#REF!</definedName>
    <definedName name="d">#REF!</definedName>
    <definedName name="DDD" localSheetId="7">#REF!</definedName>
    <definedName name="DDD" localSheetId="3">#REF!</definedName>
    <definedName name="DDD" localSheetId="5">#REF!</definedName>
    <definedName name="DDD" localSheetId="4">#REF!</definedName>
    <definedName name="DDD" localSheetId="6">#REF!</definedName>
    <definedName name="DDD" localSheetId="15">#REF!</definedName>
    <definedName name="DDD" localSheetId="18">#REF!</definedName>
    <definedName name="DDD" localSheetId="17">#REF!</definedName>
    <definedName name="DDD" localSheetId="16">#REF!</definedName>
    <definedName name="DDD" localSheetId="13">#REF!</definedName>
    <definedName name="DDD" localSheetId="12">#REF!</definedName>
    <definedName name="DDD" localSheetId="11">#REF!</definedName>
    <definedName name="DDD" localSheetId="14">#REF!</definedName>
    <definedName name="DDD">#REF!</definedName>
    <definedName name="e" localSheetId="7">#REF!</definedName>
    <definedName name="e" localSheetId="6">#REF!</definedName>
    <definedName name="e" localSheetId="15">#REF!</definedName>
    <definedName name="e" localSheetId="18">#REF!</definedName>
    <definedName name="e" localSheetId="17">#REF!</definedName>
    <definedName name="e" localSheetId="16">#REF!</definedName>
    <definedName name="e" localSheetId="13">#REF!</definedName>
    <definedName name="e" localSheetId="12">#REF!</definedName>
    <definedName name="e" localSheetId="14">#REF!</definedName>
    <definedName name="e">#REF!</definedName>
    <definedName name="ffff" localSheetId="7">#REF!</definedName>
    <definedName name="ffff" localSheetId="6">#REF!</definedName>
    <definedName name="ffff" localSheetId="15">#REF!</definedName>
    <definedName name="ffff" localSheetId="18">#REF!</definedName>
    <definedName name="ffff" localSheetId="17">#REF!</definedName>
    <definedName name="ffff" localSheetId="16">#REF!</definedName>
    <definedName name="ffff" localSheetId="13">#REF!</definedName>
    <definedName name="ffff" localSheetId="12">#REF!</definedName>
    <definedName name="ffff" localSheetId="14">#REF!</definedName>
    <definedName name="ffff">#REF!</definedName>
    <definedName name="gra">#REF!</definedName>
    <definedName name="GRAFI" localSheetId="7">#REF!</definedName>
    <definedName name="GRAFI" localSheetId="6">#REF!</definedName>
    <definedName name="GRAFI" localSheetId="15">#REF!</definedName>
    <definedName name="GRAFI" localSheetId="18">#REF!</definedName>
    <definedName name="GRAFI" localSheetId="17">#REF!</definedName>
    <definedName name="GRAFI" localSheetId="16">#REF!</definedName>
    <definedName name="GRAFI" localSheetId="13">#REF!</definedName>
    <definedName name="GRAFI" localSheetId="12">#REF!</definedName>
    <definedName name="GRAFI" localSheetId="14">#REF!</definedName>
    <definedName name="GRAFI">#REF!</definedName>
    <definedName name="GRAFICO" localSheetId="7">#REF!</definedName>
    <definedName name="GRAFICO" localSheetId="6">#REF!</definedName>
    <definedName name="GRAFICO" localSheetId="15">#REF!</definedName>
    <definedName name="GRAFICO" localSheetId="18">#REF!</definedName>
    <definedName name="GRAFICO" localSheetId="17">#REF!</definedName>
    <definedName name="GRAFICO" localSheetId="16">#REF!</definedName>
    <definedName name="GRAFICO" localSheetId="13">#REF!</definedName>
    <definedName name="GRAFICO" localSheetId="12">#REF!</definedName>
    <definedName name="GRAFICO" localSheetId="14">#REF!</definedName>
    <definedName name="GRAFICO">#REF!</definedName>
    <definedName name="Level1">[1]MER!$J$15</definedName>
    <definedName name="Level11">[1]MER!$J$25</definedName>
    <definedName name="Level2">[1]MER!$J$16</definedName>
    <definedName name="Level3">[1]MER!$J$17</definedName>
    <definedName name="Level4">[1]MER!$J$18</definedName>
    <definedName name="Level7">[1]MER!$J$21</definedName>
    <definedName name="Level8">[1]MER!$J$22</definedName>
    <definedName name="Level9">[1]MER!$J$23</definedName>
    <definedName name="Np" localSheetId="7">#REF!</definedName>
    <definedName name="Np" localSheetId="18">#REF!</definedName>
    <definedName name="Np" localSheetId="17">#REF!</definedName>
    <definedName name="Np" localSheetId="13">#REF!</definedName>
    <definedName name="Np" localSheetId="12">#REF!</definedName>
    <definedName name="Np" localSheetId="14">#REF!</definedName>
    <definedName name="Np">#REF!</definedName>
    <definedName name="Nuevo" localSheetId="7">#REF!</definedName>
    <definedName name="Nuevo" localSheetId="18">#REF!</definedName>
    <definedName name="Nuevo" localSheetId="17">#REF!</definedName>
    <definedName name="Nuevo" localSheetId="16">#REF!</definedName>
    <definedName name="Nuevo" localSheetId="13">#REF!</definedName>
    <definedName name="Nuevo" localSheetId="12">#REF!</definedName>
    <definedName name="Nuevo" localSheetId="14">#REF!</definedName>
    <definedName name="Nuevo">#REF!</definedName>
    <definedName name="Pres" localSheetId="7">#REF!</definedName>
    <definedName name="Pres" localSheetId="4">#REF!</definedName>
    <definedName name="Pres" localSheetId="6">#REF!</definedName>
    <definedName name="Pres" localSheetId="15">#REF!</definedName>
    <definedName name="Pres" localSheetId="18">#REF!</definedName>
    <definedName name="Pres" localSheetId="17">#REF!</definedName>
    <definedName name="Pres" localSheetId="16">#REF!</definedName>
    <definedName name="Pres" localSheetId="13">#REF!</definedName>
    <definedName name="Pres" localSheetId="12">#REF!</definedName>
    <definedName name="Pres" localSheetId="11">#REF!</definedName>
    <definedName name="Pres" localSheetId="14">#REF!</definedName>
    <definedName name="Pres">#REF!</definedName>
    <definedName name="_xlnm.Print_Area" localSheetId="0">' Cuadro de Costos Detallado'!$A$1:$F$41</definedName>
    <definedName name="_xlnm.Print_Area" localSheetId="5">'4. CC D'!$A$1:$L$9</definedName>
    <definedName name="_xlnm.Print_Area" localSheetId="4">'6. PEP Mensual'!$A$1:$BM$43</definedName>
    <definedName name="_xlnm.Print_Area" localSheetId="15">'ER6-frt-ECE'!$A$1:$J$47</definedName>
    <definedName name="_xlnm.Print_Area" localSheetId="13">'Obras Complementarias'!$A$1:$J$47</definedName>
    <definedName name="_xlnm.Print_Area" localSheetId="12">Oriental1!$A$1:$J$47</definedName>
    <definedName name="_xlnm.Print_Area" localSheetId="11">'Paratodo-Douglas'!$A$1:$J$47</definedName>
    <definedName name="_xlnm.Print_Area" localSheetId="14">'tramos criticos'!$A$1:$J$47</definedName>
    <definedName name="Print_Area_MI" localSheetId="7">#REF!</definedName>
    <definedName name="Print_Area_MI" localSheetId="4">#REF!</definedName>
    <definedName name="Print_Area_MI" localSheetId="6">#REF!</definedName>
    <definedName name="Print_Area_MI" localSheetId="15">#REF!</definedName>
    <definedName name="Print_Area_MI" localSheetId="18">#REF!</definedName>
    <definedName name="Print_Area_MI" localSheetId="17">#REF!</definedName>
    <definedName name="Print_Area_MI" localSheetId="16">#REF!</definedName>
    <definedName name="Print_Area_MI" localSheetId="13">#REF!</definedName>
    <definedName name="Print_Area_MI" localSheetId="12">#REF!</definedName>
    <definedName name="Print_Area_MI" localSheetId="11">#REF!</definedName>
    <definedName name="Print_Area_MI" localSheetId="14">#REF!</definedName>
    <definedName name="Print_Area_MI">#REF!</definedName>
    <definedName name="_xlnm.Print_Titles" localSheetId="7">'12. POA año 1 (2)'!$A:$B,'12. POA año 1 (2)'!#REF!</definedName>
    <definedName name="_xlnm.Print_Titles" localSheetId="3">'3. PEP'!$1:$8</definedName>
    <definedName name="_xlnm.Print_Titles" localSheetId="5">'4. CC D'!$7:$8</definedName>
    <definedName name="_xlnm.Print_Titles" localSheetId="4">'6. PEP Mensual'!$A:$C,'6. PEP Mensual'!$1:$11</definedName>
    <definedName name="_xlnm.Print_Titles" localSheetId="6">'7. PEP Anual'!$1:$8</definedName>
    <definedName name="Resumen" localSheetId="7">#REF!</definedName>
    <definedName name="Resumen" localSheetId="4">#REF!</definedName>
    <definedName name="Resumen" localSheetId="6">#REF!</definedName>
    <definedName name="Resumen" localSheetId="15">#REF!</definedName>
    <definedName name="Resumen" localSheetId="18">#REF!</definedName>
    <definedName name="Resumen" localSheetId="17">#REF!</definedName>
    <definedName name="Resumen" localSheetId="16">#REF!</definedName>
    <definedName name="Resumen" localSheetId="13">#REF!</definedName>
    <definedName name="Resumen" localSheetId="12">#REF!</definedName>
    <definedName name="Resumen" localSheetId="11">#REF!</definedName>
    <definedName name="Resumen" localSheetId="14">#REF!</definedName>
    <definedName name="Resumen">#REF!</definedName>
    <definedName name="Risk1">[1]RRF!$E$8</definedName>
    <definedName name="Risk11">[1]RRF!$E$44</definedName>
    <definedName name="Risk2">[1]RRF!$E$12</definedName>
    <definedName name="Risk3">[1]RRF!$E$19</definedName>
    <definedName name="Risk4">[1]RRF!$E$26</definedName>
    <definedName name="Risk7">[1]RRF!$E$31</definedName>
    <definedName name="Risk8">[1]RRF!$E$35</definedName>
    <definedName name="Risk9">[1]RRF!$E$40</definedName>
    <definedName name="s" localSheetId="7">#REF!</definedName>
    <definedName name="s" localSheetId="18">#REF!</definedName>
    <definedName name="s" localSheetId="17">#REF!</definedName>
    <definedName name="s" localSheetId="13">#REF!</definedName>
    <definedName name="s" localSheetId="12">#REF!</definedName>
    <definedName name="s" localSheetId="14">#REF!</definedName>
    <definedName name="s">#REF!</definedName>
    <definedName name="SFGH" localSheetId="7">#REF!</definedName>
    <definedName name="SFGH" localSheetId="3">#REF!</definedName>
    <definedName name="SFGH" localSheetId="5">#REF!</definedName>
    <definedName name="SFGH" localSheetId="6">#REF!</definedName>
    <definedName name="SFGH" localSheetId="15">#REF!</definedName>
    <definedName name="SFGH" localSheetId="18">#REF!</definedName>
    <definedName name="SFGH" localSheetId="17">#REF!</definedName>
    <definedName name="SFGH" localSheetId="16">#REF!</definedName>
    <definedName name="SFGH" localSheetId="13">#REF!</definedName>
    <definedName name="SFGH" localSheetId="12">#REF!</definedName>
    <definedName name="SFGH" localSheetId="14">#REF!</definedName>
    <definedName name="SFGH">#REF!</definedName>
    <definedName name="si" localSheetId="7">#REF!</definedName>
    <definedName name="si" localSheetId="18">#REF!</definedName>
    <definedName name="si" localSheetId="17">#REF!</definedName>
    <definedName name="si" localSheetId="13">#REF!</definedName>
    <definedName name="si" localSheetId="12">#REF!</definedName>
    <definedName name="si" localSheetId="14">#REF!</definedName>
    <definedName name="si">#REF!</definedName>
    <definedName name="Typeofrisk1">[1]RRF!$D$8</definedName>
    <definedName name="Typeofrisk11">[1]RRF!$D$44</definedName>
    <definedName name="Typeofrisk2">[1]RRF!$D$12</definedName>
    <definedName name="Typeofrisk3">[1]RRF!$D$19</definedName>
    <definedName name="Typeofrisk4">[1]RRF!$D$26</definedName>
    <definedName name="Typeofrisk7">[1]RRF!$D$31</definedName>
    <definedName name="Typeofrisk8">[1]RRF!$D$35</definedName>
    <definedName name="Typeofrisk9">[1]RRF!$D$40</definedName>
    <definedName name="Value1">[1]MER!$I$15</definedName>
    <definedName name="Value11">[1]MER!$I$25</definedName>
    <definedName name="Value2">[1]MER!$I$16</definedName>
    <definedName name="Value3">[1]MER!$I$17</definedName>
    <definedName name="Value4">[1]MER!$I$18</definedName>
    <definedName name="Value7">[1]MER!$I$21</definedName>
    <definedName name="Value8">[1]MER!$I$22</definedName>
    <definedName name="Value9">[1]MER!$I$23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41" l="1"/>
  <c r="H38" i="41"/>
  <c r="I38" i="41"/>
  <c r="J38" i="41"/>
  <c r="K38" i="41"/>
  <c r="L38" i="41"/>
  <c r="F38" i="41"/>
  <c r="F30" i="41"/>
  <c r="F13" i="41"/>
  <c r="G23" i="41"/>
  <c r="H23" i="41"/>
  <c r="H20" i="41" s="1"/>
  <c r="I23" i="41"/>
  <c r="J23" i="41"/>
  <c r="K23" i="41"/>
  <c r="K20" i="41" s="1"/>
  <c r="L23" i="41"/>
  <c r="F23" i="41"/>
  <c r="G22" i="41"/>
  <c r="H22" i="41"/>
  <c r="I22" i="41"/>
  <c r="J22" i="41"/>
  <c r="K22" i="41"/>
  <c r="L22" i="41"/>
  <c r="F22" i="41"/>
  <c r="G21" i="41"/>
  <c r="H21" i="41"/>
  <c r="I21" i="41"/>
  <c r="J21" i="41"/>
  <c r="K21" i="41"/>
  <c r="L21" i="41"/>
  <c r="F21" i="41"/>
  <c r="G14" i="41"/>
  <c r="H14" i="41"/>
  <c r="I14" i="41"/>
  <c r="J14" i="41"/>
  <c r="K14" i="41"/>
  <c r="L14" i="41"/>
  <c r="F14" i="41"/>
  <c r="G19" i="41"/>
  <c r="H19" i="41"/>
  <c r="I19" i="41"/>
  <c r="J19" i="41"/>
  <c r="K19" i="41"/>
  <c r="L19" i="41"/>
  <c r="F19" i="41"/>
  <c r="G18" i="41"/>
  <c r="H18" i="41"/>
  <c r="I18" i="41"/>
  <c r="J18" i="41"/>
  <c r="K18" i="41"/>
  <c r="L18" i="41"/>
  <c r="F18" i="41"/>
  <c r="G17" i="41"/>
  <c r="H17" i="41"/>
  <c r="I17" i="41"/>
  <c r="J17" i="41"/>
  <c r="K17" i="41"/>
  <c r="L17" i="41"/>
  <c r="F17" i="41"/>
  <c r="G16" i="41"/>
  <c r="H16" i="41"/>
  <c r="I16" i="41"/>
  <c r="J16" i="41"/>
  <c r="K16" i="41"/>
  <c r="L16" i="41"/>
  <c r="F16" i="41"/>
  <c r="G13" i="41"/>
  <c r="H13" i="41"/>
  <c r="I13" i="41"/>
  <c r="J13" i="41"/>
  <c r="K13" i="41"/>
  <c r="L13" i="41"/>
  <c r="G12" i="41"/>
  <c r="H12" i="41"/>
  <c r="I12" i="41"/>
  <c r="J12" i="41"/>
  <c r="K12" i="41"/>
  <c r="L12" i="41"/>
  <c r="F12" i="41"/>
  <c r="G11" i="41"/>
  <c r="H11" i="41"/>
  <c r="I11" i="41"/>
  <c r="J11" i="41"/>
  <c r="K11" i="41"/>
  <c r="L11" i="41"/>
  <c r="F11" i="41"/>
  <c r="D10" i="41"/>
  <c r="E10" i="41"/>
  <c r="F10" i="41"/>
  <c r="G10" i="41"/>
  <c r="K10" i="41"/>
  <c r="C10" i="41"/>
  <c r="D15" i="41"/>
  <c r="E15" i="41"/>
  <c r="F15" i="41"/>
  <c r="G15" i="41"/>
  <c r="K15" i="41"/>
  <c r="C15" i="41"/>
  <c r="D20" i="41"/>
  <c r="E20" i="41"/>
  <c r="F20" i="41"/>
  <c r="G20" i="41"/>
  <c r="C20" i="41"/>
  <c r="E23" i="41"/>
  <c r="D23" i="41"/>
  <c r="C23" i="41"/>
  <c r="L20" i="41" l="1"/>
  <c r="I20" i="41"/>
  <c r="J20" i="41"/>
  <c r="I15" i="41"/>
  <c r="H15" i="41"/>
  <c r="L15" i="41"/>
  <c r="J15" i="41"/>
  <c r="J10" i="41"/>
  <c r="I10" i="41"/>
  <c r="L10" i="41"/>
  <c r="H10" i="41"/>
  <c r="G79" i="33" l="1"/>
  <c r="C15" i="33" l="1"/>
  <c r="H15" i="33"/>
  <c r="M15" i="33"/>
  <c r="N15" i="33"/>
  <c r="A15" i="40"/>
  <c r="C15" i="40"/>
  <c r="G15" i="40" s="1"/>
  <c r="D15" i="40"/>
  <c r="H15" i="40" s="1"/>
  <c r="E15" i="40"/>
  <c r="K15" i="40"/>
  <c r="G10" i="32"/>
  <c r="H10" i="32"/>
  <c r="I10" i="32"/>
  <c r="J10" i="32"/>
  <c r="K10" i="32"/>
  <c r="L10" i="32"/>
  <c r="F10" i="32"/>
  <c r="F9" i="32"/>
  <c r="F44" i="32"/>
  <c r="E9" i="32"/>
  <c r="A14" i="32"/>
  <c r="C14" i="32"/>
  <c r="D14" i="32"/>
  <c r="E14" i="32"/>
  <c r="F14" i="32"/>
  <c r="G14" i="32"/>
  <c r="H14" i="32"/>
  <c r="I14" i="32"/>
  <c r="J14" i="32"/>
  <c r="K14" i="32"/>
  <c r="L14" i="32"/>
  <c r="CL17" i="26"/>
  <c r="CK17" i="26"/>
  <c r="CJ17" i="26"/>
  <c r="CI17" i="26"/>
  <c r="CH17" i="26"/>
  <c r="CG17" i="26"/>
  <c r="CF17" i="26"/>
  <c r="CE17" i="26"/>
  <c r="CD17" i="26"/>
  <c r="CC17" i="26"/>
  <c r="CB17" i="26"/>
  <c r="CA17" i="26"/>
  <c r="BZ17" i="26"/>
  <c r="BY17" i="26"/>
  <c r="BX17" i="26"/>
  <c r="BW17" i="26"/>
  <c r="BV17" i="26"/>
  <c r="BU17" i="26"/>
  <c r="BT17" i="26"/>
  <c r="BS17" i="26"/>
  <c r="BR17" i="26"/>
  <c r="BQ17" i="26"/>
  <c r="BP17" i="26"/>
  <c r="BO17" i="26"/>
  <c r="BN17" i="26"/>
  <c r="BM17" i="26"/>
  <c r="BL17" i="26"/>
  <c r="BK17" i="26"/>
  <c r="BJ17" i="26"/>
  <c r="BI17" i="26"/>
  <c r="BH17" i="26"/>
  <c r="BG17" i="26"/>
  <c r="BF17" i="26"/>
  <c r="BE17" i="26"/>
  <c r="BD17" i="26"/>
  <c r="BC17" i="26"/>
  <c r="AE17" i="26"/>
  <c r="AF17" i="26"/>
  <c r="AG17" i="26"/>
  <c r="AH17" i="26"/>
  <c r="AI17" i="26"/>
  <c r="AJ17" i="26"/>
  <c r="AK17" i="26"/>
  <c r="AL17" i="26"/>
  <c r="AM17" i="26"/>
  <c r="AN17" i="26"/>
  <c r="AO17" i="26"/>
  <c r="AP17" i="26"/>
  <c r="AQ17" i="26"/>
  <c r="AR17" i="26"/>
  <c r="AS17" i="26"/>
  <c r="AT17" i="26"/>
  <c r="AU17" i="26"/>
  <c r="AV17" i="26"/>
  <c r="AW17" i="26"/>
  <c r="AX17" i="26"/>
  <c r="AY17" i="26"/>
  <c r="AZ17" i="26"/>
  <c r="BA17" i="26"/>
  <c r="BB17" i="26"/>
  <c r="AD17" i="26"/>
  <c r="B54" i="44"/>
  <c r="CK16" i="26"/>
  <c r="CJ16" i="26"/>
  <c r="CI16" i="26"/>
  <c r="CH16" i="26"/>
  <c r="CG16" i="26"/>
  <c r="CF16" i="26"/>
  <c r="CE16" i="26"/>
  <c r="CD16" i="26"/>
  <c r="CC16" i="26"/>
  <c r="CB16" i="26"/>
  <c r="CA16" i="26"/>
  <c r="BZ16" i="26"/>
  <c r="BY16" i="26"/>
  <c r="BX16" i="26"/>
  <c r="BW16" i="26"/>
  <c r="BV16" i="26"/>
  <c r="BU16" i="26"/>
  <c r="BT16" i="26"/>
  <c r="BS16" i="26"/>
  <c r="BR16" i="26"/>
  <c r="BQ16" i="26"/>
  <c r="BP16" i="26"/>
  <c r="BO16" i="26"/>
  <c r="BN16" i="26"/>
  <c r="BM16" i="26"/>
  <c r="BL16" i="26"/>
  <c r="BK16" i="26"/>
  <c r="BJ16" i="26"/>
  <c r="BI16" i="26"/>
  <c r="BH16" i="26"/>
  <c r="BG16" i="26"/>
  <c r="BF16" i="26"/>
  <c r="BE16" i="26"/>
  <c r="BD16" i="26"/>
  <c r="BC16" i="26"/>
  <c r="E58" i="36"/>
  <c r="G56" i="36"/>
  <c r="U50" i="44"/>
  <c r="B43" i="44"/>
  <c r="A43" i="44"/>
  <c r="A5" i="44" s="1"/>
  <c r="D41" i="44"/>
  <c r="H41" i="44" s="1"/>
  <c r="D40" i="44"/>
  <c r="J40" i="44" s="1"/>
  <c r="X51" i="44" s="1"/>
  <c r="D37" i="44"/>
  <c r="H37" i="44" s="1"/>
  <c r="D36" i="44"/>
  <c r="H36" i="44" s="1"/>
  <c r="D35" i="44"/>
  <c r="J35" i="44" s="1"/>
  <c r="S51" i="44" s="1"/>
  <c r="S52" i="44" s="1"/>
  <c r="D31" i="44"/>
  <c r="H31" i="44" s="1"/>
  <c r="D30" i="44"/>
  <c r="J30" i="44" s="1"/>
  <c r="N51" i="44" s="1"/>
  <c r="N52" i="44" s="1"/>
  <c r="D27" i="44"/>
  <c r="H27" i="44" s="1"/>
  <c r="H26" i="44"/>
  <c r="D26" i="44"/>
  <c r="J26" i="44" s="1"/>
  <c r="J51" i="44" s="1"/>
  <c r="J52" i="44" s="1"/>
  <c r="D23" i="44"/>
  <c r="H23" i="44" s="1"/>
  <c r="D22" i="44"/>
  <c r="J22" i="44" s="1"/>
  <c r="F51" i="44" s="1"/>
  <c r="F52" i="44" s="1"/>
  <c r="C20" i="44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19" i="44"/>
  <c r="D18" i="44"/>
  <c r="B18" i="44"/>
  <c r="J17" i="44"/>
  <c r="I17" i="44"/>
  <c r="D17" i="44"/>
  <c r="D13" i="44"/>
  <c r="D42" i="44"/>
  <c r="C11" i="44"/>
  <c r="C8" i="44"/>
  <c r="I7" i="44"/>
  <c r="CL14" i="26"/>
  <c r="E13" i="26"/>
  <c r="A15" i="26"/>
  <c r="B15" i="26"/>
  <c r="C15" i="26"/>
  <c r="D15" i="26"/>
  <c r="E15" i="26"/>
  <c r="A16" i="26"/>
  <c r="C16" i="26"/>
  <c r="D16" i="26"/>
  <c r="E16" i="26"/>
  <c r="A17" i="26"/>
  <c r="C17" i="26"/>
  <c r="D17" i="26"/>
  <c r="E17" i="26"/>
  <c r="C31" i="23"/>
  <c r="G31" i="23"/>
  <c r="H31" i="23"/>
  <c r="I31" i="23"/>
  <c r="A31" i="23"/>
  <c r="B31" i="23"/>
  <c r="B17" i="26" s="1"/>
  <c r="K10" i="25"/>
  <c r="K9" i="25"/>
  <c r="K8" i="25"/>
  <c r="K14" i="25"/>
  <c r="J14" i="25"/>
  <c r="I14" i="25"/>
  <c r="J13" i="25"/>
  <c r="I13" i="25"/>
  <c r="K11" i="25"/>
  <c r="C33" i="10"/>
  <c r="B23" i="41" l="1"/>
  <c r="B15" i="40"/>
  <c r="B14" i="32"/>
  <c r="H22" i="44"/>
  <c r="H35" i="44"/>
  <c r="H40" i="44"/>
  <c r="I40" i="44" s="1"/>
  <c r="H30" i="44"/>
  <c r="I30" i="44" s="1"/>
  <c r="H42" i="44"/>
  <c r="J42" i="44"/>
  <c r="Z51" i="44" s="1"/>
  <c r="I37" i="44"/>
  <c r="E18" i="44"/>
  <c r="J18" i="44"/>
  <c r="I22" i="44"/>
  <c r="J23" i="44"/>
  <c r="G51" i="44" s="1"/>
  <c r="G52" i="44" s="1"/>
  <c r="I26" i="44"/>
  <c r="J27" i="44"/>
  <c r="K51" i="44" s="1"/>
  <c r="K52" i="44" s="1"/>
  <c r="J31" i="44"/>
  <c r="O51" i="44" s="1"/>
  <c r="O52" i="44" s="1"/>
  <c r="I35" i="44"/>
  <c r="J36" i="44"/>
  <c r="T51" i="44" s="1"/>
  <c r="T52" i="44" s="1"/>
  <c r="J37" i="44"/>
  <c r="U51" i="44" s="1"/>
  <c r="U52" i="44" s="1"/>
  <c r="J41" i="44"/>
  <c r="Y51" i="44" s="1"/>
  <c r="D20" i="44"/>
  <c r="D21" i="44"/>
  <c r="D25" i="44"/>
  <c r="D29" i="44"/>
  <c r="D34" i="44"/>
  <c r="D39" i="44"/>
  <c r="W50" i="44"/>
  <c r="V50" i="44"/>
  <c r="H18" i="44"/>
  <c r="I18" i="44" s="1"/>
  <c r="D19" i="44"/>
  <c r="D24" i="44"/>
  <c r="D28" i="44"/>
  <c r="D32" i="44"/>
  <c r="D33" i="44"/>
  <c r="D38" i="44"/>
  <c r="I23" i="44" l="1"/>
  <c r="D43" i="44"/>
  <c r="I41" i="44"/>
  <c r="I42" i="44"/>
  <c r="H33" i="44"/>
  <c r="J33" i="44"/>
  <c r="J29" i="44"/>
  <c r="M51" i="44" s="1"/>
  <c r="M52" i="44" s="1"/>
  <c r="H29" i="44"/>
  <c r="I29" i="44" s="1"/>
  <c r="B51" i="44"/>
  <c r="J25" i="44"/>
  <c r="I51" i="44" s="1"/>
  <c r="I52" i="44" s="1"/>
  <c r="H25" i="44"/>
  <c r="I25" i="44" s="1"/>
  <c r="E19" i="44"/>
  <c r="I36" i="44"/>
  <c r="H19" i="44"/>
  <c r="J19" i="44"/>
  <c r="C51" i="44" s="1"/>
  <c r="C52" i="44" s="1"/>
  <c r="I27" i="44"/>
  <c r="H32" i="44"/>
  <c r="J32" i="44"/>
  <c r="P51" i="44" s="1"/>
  <c r="P52" i="44" s="1"/>
  <c r="H28" i="44"/>
  <c r="J28" i="44"/>
  <c r="L51" i="44" s="1"/>
  <c r="L52" i="44" s="1"/>
  <c r="J39" i="44"/>
  <c r="W51" i="44" s="1"/>
  <c r="W52" i="44" s="1"/>
  <c r="H39" i="44"/>
  <c r="I39" i="44" s="1"/>
  <c r="J21" i="44"/>
  <c r="H21" i="44"/>
  <c r="I21" i="44" s="1"/>
  <c r="H38" i="44"/>
  <c r="J38" i="44"/>
  <c r="V51" i="44" s="1"/>
  <c r="V52" i="44" s="1"/>
  <c r="H24" i="44"/>
  <c r="J24" i="44"/>
  <c r="H51" i="44" s="1"/>
  <c r="H52" i="44" s="1"/>
  <c r="J34" i="44"/>
  <c r="R51" i="44" s="1"/>
  <c r="R52" i="44" s="1"/>
  <c r="H34" i="44"/>
  <c r="I34" i="44" s="1"/>
  <c r="J20" i="44"/>
  <c r="D51" i="44" s="1"/>
  <c r="D52" i="44" s="1"/>
  <c r="H20" i="44"/>
  <c r="I20" i="44" s="1"/>
  <c r="Y50" i="44"/>
  <c r="Y52" i="44" s="1"/>
  <c r="I31" i="44"/>
  <c r="X50" i="44"/>
  <c r="D11" i="38"/>
  <c r="E61" i="38"/>
  <c r="C61" i="38"/>
  <c r="A62" i="37"/>
  <c r="I28" i="44" l="1"/>
  <c r="I33" i="44"/>
  <c r="I38" i="44"/>
  <c r="I19" i="44"/>
  <c r="I43" i="44" s="1"/>
  <c r="I24" i="44"/>
  <c r="I32" i="44"/>
  <c r="Q51" i="44"/>
  <c r="Q52" i="44" s="1"/>
  <c r="K36" i="44"/>
  <c r="E20" i="44"/>
  <c r="E51" i="44"/>
  <c r="E52" i="44" s="1"/>
  <c r="K32" i="44"/>
  <c r="B52" i="44"/>
  <c r="K20" i="44"/>
  <c r="X52" i="44"/>
  <c r="AA50" i="44"/>
  <c r="Z50" i="44"/>
  <c r="Z52" i="44" s="1"/>
  <c r="J43" i="44"/>
  <c r="B18" i="38"/>
  <c r="F35" i="41"/>
  <c r="G35" i="41"/>
  <c r="H35" i="41"/>
  <c r="I35" i="41"/>
  <c r="J35" i="41"/>
  <c r="K35" i="41"/>
  <c r="L35" i="41"/>
  <c r="M48" i="33"/>
  <c r="L48" i="33"/>
  <c r="E48" i="33"/>
  <c r="K44" i="40"/>
  <c r="H43" i="32"/>
  <c r="I43" i="32"/>
  <c r="J43" i="32"/>
  <c r="K43" i="32"/>
  <c r="L43" i="32"/>
  <c r="G43" i="32"/>
  <c r="F43" i="32"/>
  <c r="C57" i="23"/>
  <c r="C58" i="23"/>
  <c r="C59" i="23"/>
  <c r="C60" i="23"/>
  <c r="CL46" i="26"/>
  <c r="D47" i="26"/>
  <c r="A57" i="23"/>
  <c r="A58" i="23"/>
  <c r="A44" i="26" s="1"/>
  <c r="A59" i="23"/>
  <c r="A45" i="26" s="1"/>
  <c r="A60" i="23"/>
  <c r="A46" i="26" s="1"/>
  <c r="A44" i="40" s="1"/>
  <c r="A43" i="26"/>
  <c r="H57" i="23"/>
  <c r="D43" i="26" s="1"/>
  <c r="H60" i="23"/>
  <c r="D46" i="26" s="1"/>
  <c r="D43" i="32" s="1"/>
  <c r="G57" i="23"/>
  <c r="C43" i="26" s="1"/>
  <c r="G60" i="23"/>
  <c r="C46" i="26" s="1"/>
  <c r="K41" i="25"/>
  <c r="B40" i="25"/>
  <c r="B57" i="23" s="1"/>
  <c r="B43" i="26" s="1"/>
  <c r="B41" i="25"/>
  <c r="B58" i="23" s="1"/>
  <c r="B44" i="26" s="1"/>
  <c r="B42" i="25"/>
  <c r="B59" i="23" s="1"/>
  <c r="B45" i="26" s="1"/>
  <c r="B43" i="25"/>
  <c r="B60" i="23" s="1"/>
  <c r="B39" i="25"/>
  <c r="J39" i="25"/>
  <c r="J40" i="25"/>
  <c r="J41" i="25"/>
  <c r="H58" i="23" s="1"/>
  <c r="D44" i="26" s="1"/>
  <c r="J42" i="25"/>
  <c r="H59" i="23" s="1"/>
  <c r="D45" i="26" s="1"/>
  <c r="J43" i="25"/>
  <c r="I40" i="25"/>
  <c r="I41" i="25"/>
  <c r="G58" i="23" s="1"/>
  <c r="I42" i="25"/>
  <c r="G59" i="23" s="1"/>
  <c r="I43" i="25"/>
  <c r="J12" i="25"/>
  <c r="I12" i="25"/>
  <c r="I11" i="25"/>
  <c r="F13" i="10"/>
  <c r="D13" i="10"/>
  <c r="E13" i="10"/>
  <c r="C13" i="10"/>
  <c r="E17" i="10"/>
  <c r="D17" i="10"/>
  <c r="C17" i="10"/>
  <c r="B17" i="10"/>
  <c r="D42" i="10"/>
  <c r="C42" i="10"/>
  <c r="E42" i="10"/>
  <c r="D62" i="10"/>
  <c r="C62" i="10"/>
  <c r="E62" i="10" s="1"/>
  <c r="C34" i="39"/>
  <c r="C30" i="39"/>
  <c r="D29" i="39"/>
  <c r="C29" i="39"/>
  <c r="D20" i="39"/>
  <c r="C24" i="39"/>
  <c r="C20" i="39"/>
  <c r="E19" i="39"/>
  <c r="D19" i="39"/>
  <c r="C15" i="39"/>
  <c r="D12" i="39"/>
  <c r="E12" i="39"/>
  <c r="C12" i="39"/>
  <c r="D7" i="39"/>
  <c r="E7" i="39"/>
  <c r="C7" i="39"/>
  <c r="D4" i="39"/>
  <c r="E4" i="39"/>
  <c r="C4" i="39"/>
  <c r="E36" i="39"/>
  <c r="D36" i="39"/>
  <c r="C36" i="39"/>
  <c r="B53" i="44" l="1"/>
  <c r="E21" i="44"/>
  <c r="AA51" i="44"/>
  <c r="AA52" i="44" s="1"/>
  <c r="I44" i="44"/>
  <c r="I45" i="44" s="1"/>
  <c r="A43" i="32"/>
  <c r="A35" i="41"/>
  <c r="I58" i="23"/>
  <c r="E44" i="26" s="1"/>
  <c r="C44" i="26"/>
  <c r="C48" i="33"/>
  <c r="B46" i="26"/>
  <c r="C43" i="32"/>
  <c r="C35" i="41"/>
  <c r="I59" i="23"/>
  <c r="E45" i="26" s="1"/>
  <c r="C45" i="26"/>
  <c r="I57" i="23"/>
  <c r="E43" i="26" s="1"/>
  <c r="I60" i="23"/>
  <c r="D35" i="41"/>
  <c r="C19" i="39"/>
  <c r="C26" i="41"/>
  <c r="D26" i="41" s="1"/>
  <c r="C24" i="41"/>
  <c r="D24" i="41" s="1"/>
  <c r="F26" i="41"/>
  <c r="G26" i="41"/>
  <c r="H26" i="41"/>
  <c r="L34" i="41"/>
  <c r="J34" i="41"/>
  <c r="I34" i="41"/>
  <c r="H34" i="41"/>
  <c r="G34" i="41"/>
  <c r="F34" i="41"/>
  <c r="L33" i="41"/>
  <c r="K33" i="41"/>
  <c r="J33" i="41"/>
  <c r="I33" i="41"/>
  <c r="F33" i="41"/>
  <c r="L32" i="41"/>
  <c r="K32" i="41"/>
  <c r="J32" i="41"/>
  <c r="I32" i="41"/>
  <c r="H32" i="41"/>
  <c r="G29" i="41"/>
  <c r="G28" i="41" s="1"/>
  <c r="F29" i="41"/>
  <c r="F28" i="41" s="1"/>
  <c r="L25" i="41"/>
  <c r="K25" i="41"/>
  <c r="J25" i="41"/>
  <c r="I25" i="41"/>
  <c r="H25" i="41"/>
  <c r="F25" i="41"/>
  <c r="E22" i="44" l="1"/>
  <c r="B35" i="41"/>
  <c r="B43" i="32"/>
  <c r="B44" i="40"/>
  <c r="G48" i="33"/>
  <c r="E46" i="26"/>
  <c r="F17" i="32"/>
  <c r="G17" i="32"/>
  <c r="K17" i="32"/>
  <c r="L17" i="32"/>
  <c r="F13" i="32"/>
  <c r="G13" i="32"/>
  <c r="BD20" i="26"/>
  <c r="BE20" i="26"/>
  <c r="BF20" i="26"/>
  <c r="BG20" i="26"/>
  <c r="BH20" i="26"/>
  <c r="BI20" i="26"/>
  <c r="BJ20" i="26"/>
  <c r="BK20" i="26"/>
  <c r="BL20" i="26"/>
  <c r="BM20" i="26"/>
  <c r="BN20" i="26"/>
  <c r="BO20" i="26"/>
  <c r="BP20" i="26"/>
  <c r="BQ20" i="26"/>
  <c r="BR20" i="26"/>
  <c r="BS20" i="26"/>
  <c r="BT20" i="26"/>
  <c r="BU20" i="26"/>
  <c r="BV20" i="26"/>
  <c r="BW20" i="26"/>
  <c r="BX20" i="26"/>
  <c r="BY20" i="26"/>
  <c r="BZ20" i="26"/>
  <c r="CA20" i="26"/>
  <c r="CB20" i="26"/>
  <c r="CC20" i="26"/>
  <c r="CD20" i="26"/>
  <c r="CE20" i="26"/>
  <c r="CF20" i="26"/>
  <c r="CG20" i="26"/>
  <c r="CH20" i="26"/>
  <c r="CI20" i="26"/>
  <c r="CJ20" i="26"/>
  <c r="CK20" i="26"/>
  <c r="BC20" i="26"/>
  <c r="B30" i="23"/>
  <c r="B16" i="26" s="1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19" i="30"/>
  <c r="C61" i="30"/>
  <c r="A63" i="38"/>
  <c r="B58" i="38"/>
  <c r="A63" i="30"/>
  <c r="C63" i="30"/>
  <c r="C57" i="30" s="1"/>
  <c r="B58" i="30"/>
  <c r="B59" i="30"/>
  <c r="E23" i="44" l="1"/>
  <c r="E35" i="41"/>
  <c r="E43" i="32"/>
  <c r="L13" i="32"/>
  <c r="K13" i="32"/>
  <c r="D7" i="26"/>
  <c r="D9" i="26"/>
  <c r="E24" i="44" l="1"/>
  <c r="I41" i="39"/>
  <c r="H41" i="39"/>
  <c r="I40" i="39"/>
  <c r="H40" i="39"/>
  <c r="I38" i="39"/>
  <c r="H38" i="39"/>
  <c r="I37" i="39"/>
  <c r="H37" i="39"/>
  <c r="J2" i="39"/>
  <c r="J4" i="39" s="1"/>
  <c r="K3" i="39" s="1"/>
  <c r="E30" i="39"/>
  <c r="E24" i="39"/>
  <c r="E20" i="39"/>
  <c r="E18" i="39"/>
  <c r="N12" i="39"/>
  <c r="E25" i="44" l="1"/>
  <c r="E17" i="39"/>
  <c r="D17" i="39" s="1"/>
  <c r="D45" i="10" s="1"/>
  <c r="D14" i="39"/>
  <c r="D39" i="39"/>
  <c r="E29" i="39"/>
  <c r="D50" i="10" s="1"/>
  <c r="D40" i="39"/>
  <c r="D60" i="10" s="1"/>
  <c r="D37" i="39"/>
  <c r="D58" i="10" s="1"/>
  <c r="D35" i="39"/>
  <c r="D56" i="10" s="1"/>
  <c r="J37" i="25" s="1"/>
  <c r="D32" i="39"/>
  <c r="D53" i="10" s="1"/>
  <c r="D27" i="39"/>
  <c r="J26" i="25" s="1"/>
  <c r="D25" i="39"/>
  <c r="J24" i="25" s="1"/>
  <c r="D23" i="39"/>
  <c r="J22" i="25" s="1"/>
  <c r="D21" i="39"/>
  <c r="J20" i="25" s="1"/>
  <c r="D8" i="39"/>
  <c r="D6" i="39"/>
  <c r="D13" i="39"/>
  <c r="D41" i="39"/>
  <c r="D61" i="10" s="1"/>
  <c r="D38" i="39"/>
  <c r="D59" i="10" s="1"/>
  <c r="D33" i="39"/>
  <c r="D54" i="10" s="1"/>
  <c r="D31" i="39"/>
  <c r="D52" i="10" s="1"/>
  <c r="D28" i="39"/>
  <c r="J27" i="25" s="1"/>
  <c r="D26" i="39"/>
  <c r="J25" i="25" s="1"/>
  <c r="D22" i="39"/>
  <c r="J21" i="25" s="1"/>
  <c r="D9" i="39"/>
  <c r="D5" i="39"/>
  <c r="D10" i="39"/>
  <c r="D11" i="39"/>
  <c r="D41" i="10" s="1"/>
  <c r="K2" i="39"/>
  <c r="D18" i="39"/>
  <c r="D46" i="10" s="1"/>
  <c r="E16" i="39"/>
  <c r="E34" i="39"/>
  <c r="E26" i="44" l="1"/>
  <c r="D57" i="10"/>
  <c r="C11" i="39"/>
  <c r="C14" i="39"/>
  <c r="C39" i="39"/>
  <c r="D37" i="10"/>
  <c r="M8" i="39"/>
  <c r="M7" i="39"/>
  <c r="D48" i="10"/>
  <c r="D30" i="39"/>
  <c r="C5" i="39"/>
  <c r="C41" i="10"/>
  <c r="C10" i="39"/>
  <c r="C40" i="39"/>
  <c r="C60" i="10" s="1"/>
  <c r="C37" i="39"/>
  <c r="C58" i="10" s="1"/>
  <c r="C35" i="39"/>
  <c r="C56" i="10" s="1"/>
  <c r="I37" i="25" s="1"/>
  <c r="C32" i="39"/>
  <c r="C53" i="10" s="1"/>
  <c r="C27" i="39"/>
  <c r="I26" i="25" s="1"/>
  <c r="K26" i="25" s="1"/>
  <c r="C25" i="39"/>
  <c r="I24" i="25" s="1"/>
  <c r="K24" i="25" s="1"/>
  <c r="C23" i="39"/>
  <c r="I22" i="25" s="1"/>
  <c r="K22" i="25" s="1"/>
  <c r="C21" i="39"/>
  <c r="I20" i="25" s="1"/>
  <c r="K20" i="25" s="1"/>
  <c r="C6" i="39"/>
  <c r="C13" i="39"/>
  <c r="C33" i="39"/>
  <c r="C54" i="10" s="1"/>
  <c r="C28" i="39"/>
  <c r="I27" i="25" s="1"/>
  <c r="K27" i="25" s="1"/>
  <c r="C9" i="39"/>
  <c r="C40" i="10" s="1"/>
  <c r="C8" i="39"/>
  <c r="C41" i="39"/>
  <c r="C61" i="10" s="1"/>
  <c r="C38" i="39"/>
  <c r="C59" i="10" s="1"/>
  <c r="C31" i="39"/>
  <c r="C26" i="39"/>
  <c r="I25" i="25" s="1"/>
  <c r="K25" i="25" s="1"/>
  <c r="C22" i="39"/>
  <c r="I21" i="25" s="1"/>
  <c r="K21" i="25" s="1"/>
  <c r="C18" i="39"/>
  <c r="C46" i="10" s="1"/>
  <c r="C50" i="10"/>
  <c r="C17" i="39"/>
  <c r="C45" i="10" s="1"/>
  <c r="D24" i="39"/>
  <c r="D49" i="10" s="1"/>
  <c r="D34" i="39"/>
  <c r="C16" i="39"/>
  <c r="E15" i="39"/>
  <c r="D16" i="39"/>
  <c r="E27" i="44" l="1"/>
  <c r="C57" i="10"/>
  <c r="M12" i="39"/>
  <c r="C37" i="10"/>
  <c r="E37" i="10" s="1"/>
  <c r="L8" i="39"/>
  <c r="N8" i="39" s="1"/>
  <c r="C3" i="39"/>
  <c r="C44" i="10"/>
  <c r="C52" i="10"/>
  <c r="C51" i="10" s="1"/>
  <c r="D15" i="39"/>
  <c r="D44" i="10"/>
  <c r="C48" i="10"/>
  <c r="C49" i="10"/>
  <c r="E3" i="39"/>
  <c r="E42" i="39" s="1"/>
  <c r="E28" i="44" l="1"/>
  <c r="F7" i="39"/>
  <c r="F12" i="39"/>
  <c r="F4" i="39"/>
  <c r="L7" i="39"/>
  <c r="L12" i="39" s="1"/>
  <c r="F14" i="39"/>
  <c r="F39" i="39"/>
  <c r="D3" i="39"/>
  <c r="D42" i="39" s="1"/>
  <c r="E44" i="10"/>
  <c r="F42" i="39"/>
  <c r="F41" i="39"/>
  <c r="F35" i="39"/>
  <c r="F28" i="39"/>
  <c r="F23" i="39"/>
  <c r="F13" i="39"/>
  <c r="F6" i="39"/>
  <c r="F37" i="39"/>
  <c r="F31" i="39"/>
  <c r="F25" i="39"/>
  <c r="F11" i="39"/>
  <c r="F8" i="39"/>
  <c r="F38" i="39"/>
  <c r="F32" i="39"/>
  <c r="F26" i="39"/>
  <c r="F21" i="39"/>
  <c r="F9" i="39"/>
  <c r="F40" i="39"/>
  <c r="F33" i="39"/>
  <c r="F27" i="39"/>
  <c r="F22" i="39"/>
  <c r="F10" i="39"/>
  <c r="F5" i="39"/>
  <c r="F29" i="39"/>
  <c r="F19" i="39"/>
  <c r="F17" i="39"/>
  <c r="F30" i="39"/>
  <c r="F20" i="39"/>
  <c r="F18" i="39"/>
  <c r="F24" i="39"/>
  <c r="F36" i="39"/>
  <c r="F34" i="39"/>
  <c r="F16" i="39"/>
  <c r="F15" i="39"/>
  <c r="E29" i="44" l="1"/>
  <c r="C42" i="39"/>
  <c r="N7" i="39"/>
  <c r="F3" i="39"/>
  <c r="E30" i="44" l="1"/>
  <c r="E35" i="40"/>
  <c r="D35" i="40"/>
  <c r="H35" i="40" s="1"/>
  <c r="C35" i="40"/>
  <c r="G35" i="40" s="1"/>
  <c r="E34" i="40"/>
  <c r="D34" i="40"/>
  <c r="H34" i="40" s="1"/>
  <c r="C34" i="40"/>
  <c r="G34" i="40" s="1"/>
  <c r="E33" i="40"/>
  <c r="E32" i="40"/>
  <c r="D32" i="40"/>
  <c r="H32" i="40" s="1"/>
  <c r="C32" i="40"/>
  <c r="G32" i="40" s="1"/>
  <c r="E30" i="40"/>
  <c r="D30" i="40"/>
  <c r="H30" i="40" s="1"/>
  <c r="C30" i="40"/>
  <c r="G30" i="40" s="1"/>
  <c r="E29" i="40"/>
  <c r="D29" i="40"/>
  <c r="H29" i="40" s="1"/>
  <c r="C29" i="40"/>
  <c r="G29" i="40" s="1"/>
  <c r="E28" i="40"/>
  <c r="D28" i="40"/>
  <c r="H28" i="40" s="1"/>
  <c r="C28" i="40"/>
  <c r="G28" i="40" s="1"/>
  <c r="E27" i="40"/>
  <c r="D27" i="40"/>
  <c r="H27" i="40" s="1"/>
  <c r="C27" i="40"/>
  <c r="G27" i="40" s="1"/>
  <c r="E26" i="40"/>
  <c r="H21" i="40"/>
  <c r="E21" i="40"/>
  <c r="D21" i="40"/>
  <c r="C21" i="40"/>
  <c r="G21" i="40" s="1"/>
  <c r="E20" i="40"/>
  <c r="D20" i="40"/>
  <c r="H20" i="40" s="1"/>
  <c r="C20" i="40"/>
  <c r="G20" i="40" s="1"/>
  <c r="E19" i="40"/>
  <c r="E18" i="40"/>
  <c r="D18" i="40"/>
  <c r="H18" i="40" s="1"/>
  <c r="C18" i="40"/>
  <c r="G18" i="40" s="1"/>
  <c r="E17" i="40"/>
  <c r="D17" i="40"/>
  <c r="H17" i="40" s="1"/>
  <c r="C17" i="40"/>
  <c r="G17" i="40" s="1"/>
  <c r="E16" i="40"/>
  <c r="D16" i="40"/>
  <c r="H16" i="40" s="1"/>
  <c r="C16" i="40"/>
  <c r="G16" i="40" s="1"/>
  <c r="E14" i="40"/>
  <c r="D14" i="40"/>
  <c r="H14" i="40" s="1"/>
  <c r="C14" i="40"/>
  <c r="G14" i="40" s="1"/>
  <c r="E13" i="40"/>
  <c r="D13" i="40"/>
  <c r="H13" i="40" s="1"/>
  <c r="C13" i="40"/>
  <c r="G13" i="40" s="1"/>
  <c r="E12" i="40"/>
  <c r="D12" i="40"/>
  <c r="H12" i="40" s="1"/>
  <c r="C12" i="40"/>
  <c r="G12" i="40" s="1"/>
  <c r="E11" i="40"/>
  <c r="E10" i="40"/>
  <c r="A4" i="40"/>
  <c r="E31" i="44" l="1"/>
  <c r="D20" i="36"/>
  <c r="J20" i="36" s="1"/>
  <c r="D21" i="36"/>
  <c r="D22" i="36"/>
  <c r="D23" i="36"/>
  <c r="J23" i="36" s="1"/>
  <c r="D24" i="36"/>
  <c r="D25" i="36"/>
  <c r="J25" i="36" s="1"/>
  <c r="D26" i="36"/>
  <c r="J26" i="36" s="1"/>
  <c r="D27" i="36"/>
  <c r="D28" i="36"/>
  <c r="J28" i="36" s="1"/>
  <c r="D29" i="36"/>
  <c r="D30" i="36"/>
  <c r="J30" i="36" s="1"/>
  <c r="D31" i="36"/>
  <c r="D32" i="36"/>
  <c r="J32" i="36" s="1"/>
  <c r="D33" i="36"/>
  <c r="D34" i="36"/>
  <c r="D35" i="36"/>
  <c r="D36" i="36"/>
  <c r="D37" i="36"/>
  <c r="J37" i="36" s="1"/>
  <c r="D38" i="36"/>
  <c r="D39" i="36"/>
  <c r="J39" i="36" s="1"/>
  <c r="D40" i="36"/>
  <c r="D41" i="36"/>
  <c r="D42" i="36"/>
  <c r="D19" i="36"/>
  <c r="J19" i="36" s="1"/>
  <c r="D18" i="36"/>
  <c r="J18" i="36" s="1"/>
  <c r="J21" i="36"/>
  <c r="J22" i="36"/>
  <c r="J18" i="35"/>
  <c r="CE19" i="26"/>
  <c r="CD19" i="26"/>
  <c r="CC19" i="26"/>
  <c r="CB19" i="26"/>
  <c r="CA19" i="26"/>
  <c r="BZ19" i="26"/>
  <c r="BY19" i="26"/>
  <c r="BX19" i="26"/>
  <c r="BW19" i="26"/>
  <c r="BV19" i="26"/>
  <c r="BU19" i="26"/>
  <c r="BT19" i="26"/>
  <c r="BS19" i="26"/>
  <c r="BR19" i="26"/>
  <c r="BQ19" i="26"/>
  <c r="BP19" i="26"/>
  <c r="BO19" i="26"/>
  <c r="BN19" i="26"/>
  <c r="BM19" i="26"/>
  <c r="BL19" i="26"/>
  <c r="BK19" i="26"/>
  <c r="BJ19" i="26"/>
  <c r="BI19" i="26"/>
  <c r="BH19" i="26"/>
  <c r="BG19" i="26"/>
  <c r="BF19" i="26"/>
  <c r="BE19" i="26"/>
  <c r="BD19" i="26"/>
  <c r="BC19" i="26"/>
  <c r="BB19" i="26"/>
  <c r="BA19" i="26"/>
  <c r="AZ19" i="26"/>
  <c r="AY19" i="26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62" i="30"/>
  <c r="CE18" i="26"/>
  <c r="CD18" i="26"/>
  <c r="CC18" i="26"/>
  <c r="CB18" i="26"/>
  <c r="CA18" i="26"/>
  <c r="BZ18" i="26"/>
  <c r="BY18" i="26"/>
  <c r="BX18" i="26"/>
  <c r="BW18" i="26"/>
  <c r="BV18" i="26"/>
  <c r="BU18" i="26"/>
  <c r="BT18" i="26"/>
  <c r="BS18" i="26"/>
  <c r="BR18" i="26"/>
  <c r="BQ18" i="26"/>
  <c r="BP18" i="26"/>
  <c r="BO18" i="26"/>
  <c r="BN18" i="26"/>
  <c r="BM18" i="26"/>
  <c r="BL18" i="26"/>
  <c r="BK18" i="26"/>
  <c r="BJ18" i="26"/>
  <c r="BI18" i="26"/>
  <c r="BH18" i="26"/>
  <c r="BG18" i="26"/>
  <c r="BF18" i="26"/>
  <c r="BE18" i="26"/>
  <c r="BD18" i="26"/>
  <c r="BC18" i="26"/>
  <c r="BB18" i="26"/>
  <c r="BA18" i="26"/>
  <c r="AZ18" i="26"/>
  <c r="AY18" i="26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AK18" i="26"/>
  <c r="CE15" i="26"/>
  <c r="CD15" i="26"/>
  <c r="CC15" i="26"/>
  <c r="CB15" i="26"/>
  <c r="CA15" i="26"/>
  <c r="BZ15" i="26"/>
  <c r="BY15" i="26"/>
  <c r="BX15" i="26"/>
  <c r="BW15" i="26"/>
  <c r="BV15" i="26"/>
  <c r="BU15" i="26"/>
  <c r="BT15" i="26"/>
  <c r="BS15" i="26"/>
  <c r="BR15" i="26"/>
  <c r="BQ15" i="26"/>
  <c r="BP15" i="26"/>
  <c r="BO15" i="26"/>
  <c r="BN15" i="26"/>
  <c r="BM15" i="26"/>
  <c r="BL15" i="26"/>
  <c r="BK15" i="26"/>
  <c r="BJ15" i="26"/>
  <c r="BI15" i="26"/>
  <c r="BH15" i="26"/>
  <c r="BG15" i="26"/>
  <c r="BF15" i="26"/>
  <c r="BE15" i="26"/>
  <c r="BD15" i="26"/>
  <c r="BC15" i="26"/>
  <c r="BB15" i="26"/>
  <c r="BA15" i="26"/>
  <c r="AZ15" i="26"/>
  <c r="AY15" i="26"/>
  <c r="AX15" i="26"/>
  <c r="AW15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CE14" i="26"/>
  <c r="CD14" i="26"/>
  <c r="CC14" i="26"/>
  <c r="CB14" i="26"/>
  <c r="CA14" i="26"/>
  <c r="BZ14" i="26"/>
  <c r="BY14" i="26"/>
  <c r="BX14" i="26"/>
  <c r="BW14" i="26"/>
  <c r="BV14" i="26"/>
  <c r="BU14" i="26"/>
  <c r="BT14" i="26"/>
  <c r="BS14" i="26"/>
  <c r="BR14" i="26"/>
  <c r="BQ14" i="26"/>
  <c r="BP14" i="26"/>
  <c r="BO14" i="26"/>
  <c r="BN14" i="26"/>
  <c r="BM14" i="26"/>
  <c r="BL14" i="26"/>
  <c r="BK14" i="26"/>
  <c r="BJ14" i="26"/>
  <c r="BI14" i="26"/>
  <c r="BH14" i="26"/>
  <c r="BG14" i="26"/>
  <c r="BF14" i="26"/>
  <c r="BE14" i="26"/>
  <c r="BD14" i="26"/>
  <c r="BC14" i="26"/>
  <c r="BB14" i="26"/>
  <c r="BA14" i="26"/>
  <c r="AZ14" i="26"/>
  <c r="AY14" i="26"/>
  <c r="AX14" i="26"/>
  <c r="AW14" i="26"/>
  <c r="AV14" i="26"/>
  <c r="AU14" i="26"/>
  <c r="AT14" i="26"/>
  <c r="AS14" i="26"/>
  <c r="AR14" i="26"/>
  <c r="AQ14" i="26"/>
  <c r="AP14" i="26"/>
  <c r="AO14" i="26"/>
  <c r="AN14" i="26"/>
  <c r="AM14" i="26"/>
  <c r="AL14" i="26"/>
  <c r="AK14" i="26"/>
  <c r="L45" i="33"/>
  <c r="M45" i="33"/>
  <c r="L46" i="33"/>
  <c r="M46" i="33"/>
  <c r="L47" i="33"/>
  <c r="M47" i="33"/>
  <c r="M44" i="33"/>
  <c r="L44" i="33"/>
  <c r="M43" i="33"/>
  <c r="L43" i="33"/>
  <c r="L40" i="33"/>
  <c r="M40" i="33"/>
  <c r="L41" i="33"/>
  <c r="M41" i="33"/>
  <c r="L42" i="33"/>
  <c r="M42" i="33"/>
  <c r="M39" i="33"/>
  <c r="L39" i="33"/>
  <c r="L37" i="33"/>
  <c r="M37" i="33"/>
  <c r="L38" i="33"/>
  <c r="M38" i="33"/>
  <c r="M36" i="33"/>
  <c r="L36" i="33"/>
  <c r="E47" i="33"/>
  <c r="E46" i="33"/>
  <c r="E45" i="33"/>
  <c r="E44" i="33"/>
  <c r="E43" i="33"/>
  <c r="E42" i="33"/>
  <c r="L34" i="33"/>
  <c r="M34" i="33"/>
  <c r="L35" i="33"/>
  <c r="M35" i="33"/>
  <c r="N12" i="33"/>
  <c r="A43" i="27"/>
  <c r="M13" i="33"/>
  <c r="M14" i="33"/>
  <c r="M12" i="33"/>
  <c r="E32" i="44" l="1"/>
  <c r="J29" i="36"/>
  <c r="J36" i="36"/>
  <c r="J31" i="36"/>
  <c r="J38" i="36"/>
  <c r="J27" i="36"/>
  <c r="J33" i="36"/>
  <c r="J40" i="36"/>
  <c r="J35" i="36"/>
  <c r="J42" i="36"/>
  <c r="J24" i="36"/>
  <c r="B51" i="36"/>
  <c r="B52" i="36" s="1"/>
  <c r="L42" i="32"/>
  <c r="J42" i="32"/>
  <c r="I42" i="32"/>
  <c r="H42" i="32"/>
  <c r="G42" i="32"/>
  <c r="F42" i="32"/>
  <c r="K43" i="40" s="1"/>
  <c r="L41" i="32"/>
  <c r="K41" i="32"/>
  <c r="J41" i="32"/>
  <c r="I41" i="32"/>
  <c r="F41" i="32"/>
  <c r="K42" i="40" s="1"/>
  <c r="L40" i="32"/>
  <c r="K40" i="32"/>
  <c r="J40" i="32"/>
  <c r="I40" i="32"/>
  <c r="H40" i="32"/>
  <c r="H34" i="32"/>
  <c r="G34" i="32"/>
  <c r="G33" i="32" s="1"/>
  <c r="F34" i="32"/>
  <c r="K35" i="40" s="1"/>
  <c r="L32" i="32"/>
  <c r="K32" i="32"/>
  <c r="J32" i="32"/>
  <c r="I32" i="32"/>
  <c r="L31" i="32"/>
  <c r="L30" i="32" s="1"/>
  <c r="K31" i="32"/>
  <c r="K30" i="32" s="1"/>
  <c r="J31" i="32"/>
  <c r="I31" i="32"/>
  <c r="L29" i="32"/>
  <c r="L28" i="32" s="1"/>
  <c r="K29" i="32"/>
  <c r="K28" i="32" s="1"/>
  <c r="J29" i="32"/>
  <c r="J28" i="32" s="1"/>
  <c r="I29" i="32"/>
  <c r="H29" i="32"/>
  <c r="H28" i="32" s="1"/>
  <c r="F29" i="32"/>
  <c r="K25" i="32"/>
  <c r="L25" i="32"/>
  <c r="F26" i="32"/>
  <c r="K27" i="40" s="1"/>
  <c r="K26" i="32"/>
  <c r="L26" i="32"/>
  <c r="F27" i="32"/>
  <c r="K28" i="40" s="1"/>
  <c r="L27" i="32"/>
  <c r="G24" i="32"/>
  <c r="F24" i="32"/>
  <c r="K25" i="40" s="1"/>
  <c r="K21" i="32"/>
  <c r="L21" i="32"/>
  <c r="L22" i="32"/>
  <c r="G20" i="32"/>
  <c r="F22" i="32"/>
  <c r="K23" i="40" s="1"/>
  <c r="F20" i="32"/>
  <c r="K21" i="40" s="1"/>
  <c r="H33" i="32"/>
  <c r="K12" i="32"/>
  <c r="K15" i="32"/>
  <c r="K16" i="32"/>
  <c r="J12" i="32"/>
  <c r="J15" i="32"/>
  <c r="J16" i="32"/>
  <c r="I12" i="32"/>
  <c r="I15" i="32"/>
  <c r="I16" i="32"/>
  <c r="K14" i="40"/>
  <c r="K18" i="40"/>
  <c r="L11" i="32"/>
  <c r="K11" i="32"/>
  <c r="J11" i="32"/>
  <c r="I11" i="32"/>
  <c r="Q40" i="26"/>
  <c r="F37" i="32" s="1"/>
  <c r="K38" i="40" s="1"/>
  <c r="G13" i="26"/>
  <c r="H13" i="26"/>
  <c r="I13" i="26"/>
  <c r="J13" i="26"/>
  <c r="K13" i="26"/>
  <c r="BC13" i="26"/>
  <c r="BD13" i="26"/>
  <c r="BE13" i="26"/>
  <c r="BF13" i="26"/>
  <c r="BG13" i="26"/>
  <c r="BH13" i="26"/>
  <c r="BI13" i="26"/>
  <c r="BJ13" i="26"/>
  <c r="BK13" i="26"/>
  <c r="BL13" i="26"/>
  <c r="BM13" i="26"/>
  <c r="BN13" i="26"/>
  <c r="BO13" i="26"/>
  <c r="BP13" i="26"/>
  <c r="BQ13" i="26"/>
  <c r="BR13" i="26"/>
  <c r="BS13" i="26"/>
  <c r="BT13" i="26"/>
  <c r="BU13" i="26"/>
  <c r="BV13" i="26"/>
  <c r="BW13" i="26"/>
  <c r="BX13" i="26"/>
  <c r="BY13" i="26"/>
  <c r="BZ13" i="26"/>
  <c r="F13" i="26"/>
  <c r="G22" i="26"/>
  <c r="H22" i="26"/>
  <c r="H21" i="26" s="1"/>
  <c r="I22" i="26"/>
  <c r="J22" i="26"/>
  <c r="K22" i="26"/>
  <c r="L22" i="26"/>
  <c r="M22" i="26"/>
  <c r="M21" i="26" s="1"/>
  <c r="N22" i="26"/>
  <c r="O22" i="26"/>
  <c r="P22" i="26"/>
  <c r="R22" i="26"/>
  <c r="S22" i="26"/>
  <c r="T22" i="26"/>
  <c r="V22" i="26"/>
  <c r="W22" i="26"/>
  <c r="X22" i="26"/>
  <c r="Y22" i="26"/>
  <c r="Z22" i="26"/>
  <c r="AA22" i="26"/>
  <c r="AB22" i="26"/>
  <c r="AD22" i="26"/>
  <c r="AE22" i="26"/>
  <c r="AF22" i="26"/>
  <c r="AH22" i="26"/>
  <c r="AI22" i="26"/>
  <c r="AJ22" i="26"/>
  <c r="AK22" i="26"/>
  <c r="AL22" i="26"/>
  <c r="AM22" i="26"/>
  <c r="AN22" i="26"/>
  <c r="AP22" i="26"/>
  <c r="AQ22" i="26"/>
  <c r="AR22" i="26"/>
  <c r="AS22" i="26"/>
  <c r="AU22" i="26"/>
  <c r="AV22" i="26"/>
  <c r="AW22" i="26"/>
  <c r="AX22" i="26"/>
  <c r="AY22" i="26"/>
  <c r="AZ22" i="26"/>
  <c r="BB22" i="26"/>
  <c r="BC22" i="26"/>
  <c r="BD22" i="26"/>
  <c r="BF22" i="26"/>
  <c r="BG22" i="26"/>
  <c r="BH22" i="26"/>
  <c r="BI22" i="26"/>
  <c r="BJ22" i="26"/>
  <c r="BK22" i="26"/>
  <c r="BM22" i="26"/>
  <c r="BN22" i="26"/>
  <c r="BO22" i="26"/>
  <c r="BP22" i="26"/>
  <c r="BS22" i="26"/>
  <c r="BT22" i="26"/>
  <c r="BU22" i="26"/>
  <c r="BV22" i="26"/>
  <c r="BW22" i="26"/>
  <c r="BX22" i="26"/>
  <c r="BY22" i="26"/>
  <c r="CA22" i="26"/>
  <c r="CB22" i="26"/>
  <c r="CC22" i="26"/>
  <c r="CD22" i="26"/>
  <c r="CE22" i="26"/>
  <c r="CF22" i="26"/>
  <c r="CG22" i="26"/>
  <c r="CG21" i="26" s="1"/>
  <c r="CH22" i="26"/>
  <c r="CI22" i="26"/>
  <c r="CJ22" i="26"/>
  <c r="CK22" i="26"/>
  <c r="F22" i="26"/>
  <c r="F21" i="26" s="1"/>
  <c r="T21" i="26"/>
  <c r="AA21" i="26"/>
  <c r="BP21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W36" i="26"/>
  <c r="X36" i="26"/>
  <c r="Y36" i="26"/>
  <c r="Z36" i="26"/>
  <c r="AA36" i="26"/>
  <c r="AB36" i="26"/>
  <c r="AC36" i="26"/>
  <c r="AD36" i="26"/>
  <c r="AE36" i="26"/>
  <c r="AF36" i="26"/>
  <c r="AG36" i="26"/>
  <c r="AH36" i="26"/>
  <c r="AI36" i="26"/>
  <c r="AJ36" i="26"/>
  <c r="AK36" i="26"/>
  <c r="AL36" i="26"/>
  <c r="AM36" i="26"/>
  <c r="AN36" i="26"/>
  <c r="AO36" i="26"/>
  <c r="F36" i="26"/>
  <c r="AP33" i="26"/>
  <c r="AQ33" i="26"/>
  <c r="AR33" i="26"/>
  <c r="AS33" i="26"/>
  <c r="AT33" i="26"/>
  <c r="AU33" i="26"/>
  <c r="AV33" i="26"/>
  <c r="AW33" i="26"/>
  <c r="AX33" i="26"/>
  <c r="AY33" i="26"/>
  <c r="AZ33" i="26"/>
  <c r="BA33" i="26"/>
  <c r="BB33" i="26"/>
  <c r="BC33" i="26"/>
  <c r="BD33" i="26"/>
  <c r="BE33" i="26"/>
  <c r="BF33" i="26"/>
  <c r="BG33" i="26"/>
  <c r="BH33" i="26"/>
  <c r="BI33" i="26"/>
  <c r="BJ33" i="26"/>
  <c r="BK33" i="26"/>
  <c r="BL33" i="26"/>
  <c r="BM33" i="26"/>
  <c r="BN33" i="26"/>
  <c r="BO33" i="26"/>
  <c r="BP33" i="26"/>
  <c r="BQ33" i="26"/>
  <c r="BR33" i="26"/>
  <c r="BS33" i="26"/>
  <c r="BT33" i="26"/>
  <c r="BU33" i="26"/>
  <c r="BV33" i="26"/>
  <c r="BW33" i="26"/>
  <c r="BX33" i="26"/>
  <c r="BY33" i="26"/>
  <c r="BZ33" i="26"/>
  <c r="CA33" i="26"/>
  <c r="CB33" i="26"/>
  <c r="CC33" i="26"/>
  <c r="CD33" i="26"/>
  <c r="CE33" i="26"/>
  <c r="CF33" i="26"/>
  <c r="CG33" i="26"/>
  <c r="CH33" i="26"/>
  <c r="CI33" i="26"/>
  <c r="CJ33" i="26"/>
  <c r="CK33" i="26"/>
  <c r="G31" i="26"/>
  <c r="H31" i="26"/>
  <c r="I31" i="26"/>
  <c r="J31" i="26"/>
  <c r="K31" i="26"/>
  <c r="L31" i="26"/>
  <c r="M31" i="26"/>
  <c r="N31" i="26"/>
  <c r="O31" i="26"/>
  <c r="P31" i="26"/>
  <c r="Q31" i="26"/>
  <c r="R31" i="26"/>
  <c r="S31" i="26"/>
  <c r="T31" i="26"/>
  <c r="U31" i="26"/>
  <c r="V31" i="26"/>
  <c r="W31" i="26"/>
  <c r="Y31" i="26"/>
  <c r="Z31" i="26"/>
  <c r="AA31" i="26"/>
  <c r="AB31" i="26"/>
  <c r="AC31" i="26"/>
  <c r="AD31" i="26"/>
  <c r="AE31" i="26"/>
  <c r="AF31" i="26"/>
  <c r="AG31" i="26"/>
  <c r="AH31" i="26"/>
  <c r="AI31" i="26"/>
  <c r="AJ31" i="26"/>
  <c r="AK31" i="26"/>
  <c r="AL31" i="26"/>
  <c r="AM31" i="26"/>
  <c r="AN31" i="26"/>
  <c r="AO31" i="26"/>
  <c r="AP31" i="26"/>
  <c r="AQ31" i="26"/>
  <c r="AR31" i="26"/>
  <c r="AS31" i="26"/>
  <c r="AT31" i="26"/>
  <c r="AU31" i="26"/>
  <c r="AV31" i="26"/>
  <c r="AW31" i="26"/>
  <c r="AX31" i="26"/>
  <c r="AY31" i="26"/>
  <c r="AZ31" i="26"/>
  <c r="BA31" i="26"/>
  <c r="BB31" i="26"/>
  <c r="BC31" i="26"/>
  <c r="BD31" i="26"/>
  <c r="BE31" i="26"/>
  <c r="BF31" i="26"/>
  <c r="BG31" i="26"/>
  <c r="BH31" i="26"/>
  <c r="BI31" i="26"/>
  <c r="BJ31" i="26"/>
  <c r="BK31" i="26"/>
  <c r="BL31" i="26"/>
  <c r="BM31" i="26"/>
  <c r="BN31" i="26"/>
  <c r="BO31" i="26"/>
  <c r="BP31" i="26"/>
  <c r="BQ31" i="26"/>
  <c r="BR31" i="26"/>
  <c r="BS31" i="26"/>
  <c r="BT31" i="26"/>
  <c r="BU31" i="26"/>
  <c r="BV31" i="26"/>
  <c r="BW31" i="26"/>
  <c r="BX31" i="26"/>
  <c r="BY31" i="26"/>
  <c r="BZ31" i="26"/>
  <c r="CA31" i="26"/>
  <c r="CB31" i="26"/>
  <c r="CC31" i="26"/>
  <c r="CD31" i="26"/>
  <c r="CE31" i="26"/>
  <c r="CF31" i="26"/>
  <c r="CG31" i="26"/>
  <c r="CH31" i="26"/>
  <c r="CI31" i="26"/>
  <c r="CJ31" i="26"/>
  <c r="CK31" i="26"/>
  <c r="F31" i="26"/>
  <c r="G26" i="26"/>
  <c r="G21" i="26" s="1"/>
  <c r="H26" i="26"/>
  <c r="I26" i="26"/>
  <c r="I21" i="26" s="1"/>
  <c r="J26" i="26"/>
  <c r="K26" i="26"/>
  <c r="K21" i="26" s="1"/>
  <c r="L26" i="26"/>
  <c r="M26" i="26"/>
  <c r="N26" i="26"/>
  <c r="O26" i="26"/>
  <c r="O21" i="26" s="1"/>
  <c r="P26" i="26"/>
  <c r="S26" i="26"/>
  <c r="S21" i="26" s="1"/>
  <c r="T26" i="26"/>
  <c r="V26" i="26"/>
  <c r="W26" i="26"/>
  <c r="W21" i="26" s="1"/>
  <c r="X26" i="26"/>
  <c r="X21" i="26" s="1"/>
  <c r="Y26" i="26"/>
  <c r="Y21" i="26" s="1"/>
  <c r="Z26" i="26"/>
  <c r="AA26" i="26"/>
  <c r="AB26" i="26"/>
  <c r="AB21" i="26" s="1"/>
  <c r="AE26" i="26"/>
  <c r="AF26" i="26"/>
  <c r="AF21" i="26" s="1"/>
  <c r="AH26" i="26"/>
  <c r="AI26" i="26"/>
  <c r="AI21" i="26" s="1"/>
  <c r="AJ26" i="26"/>
  <c r="AK26" i="26"/>
  <c r="AK21" i="26" s="1"/>
  <c r="AL26" i="26"/>
  <c r="AM26" i="26"/>
  <c r="AN26" i="26"/>
  <c r="AQ26" i="26"/>
  <c r="AR26" i="26"/>
  <c r="AR21" i="26" s="1"/>
  <c r="AS26" i="26"/>
  <c r="AU26" i="26"/>
  <c r="AV26" i="26"/>
  <c r="AW26" i="26"/>
  <c r="AW21" i="26" s="1"/>
  <c r="AX26" i="26"/>
  <c r="AY26" i="26"/>
  <c r="AZ26" i="26"/>
  <c r="BC26" i="26"/>
  <c r="BC21" i="26" s="1"/>
  <c r="BD26" i="26"/>
  <c r="BD21" i="26" s="1"/>
  <c r="BF26" i="26"/>
  <c r="BG26" i="26"/>
  <c r="BG21" i="26" s="1"/>
  <c r="BH26" i="26"/>
  <c r="BI26" i="26"/>
  <c r="BI21" i="26" s="1"/>
  <c r="BK26" i="26"/>
  <c r="BK21" i="26" s="1"/>
  <c r="BM26" i="26"/>
  <c r="BN26" i="26"/>
  <c r="BO26" i="26"/>
  <c r="BO21" i="26" s="1"/>
  <c r="BP26" i="26"/>
  <c r="BS26" i="26"/>
  <c r="BT26" i="26"/>
  <c r="BT21" i="26" s="1"/>
  <c r="BU26" i="26"/>
  <c r="BU21" i="26" s="1"/>
  <c r="BV26" i="26"/>
  <c r="BW26" i="26"/>
  <c r="BW21" i="26" s="1"/>
  <c r="BX26" i="26"/>
  <c r="BX21" i="26" s="1"/>
  <c r="BY26" i="26"/>
  <c r="BY21" i="26" s="1"/>
  <c r="CA26" i="26"/>
  <c r="CA21" i="26" s="1"/>
  <c r="CB26" i="26"/>
  <c r="CB21" i="26" s="1"/>
  <c r="CC26" i="26"/>
  <c r="CC21" i="26" s="1"/>
  <c r="CD26" i="26"/>
  <c r="CE26" i="26"/>
  <c r="CE21" i="26" s="1"/>
  <c r="CF26" i="26"/>
  <c r="CG26" i="26"/>
  <c r="CH26" i="26"/>
  <c r="CI26" i="26"/>
  <c r="CI21" i="26" s="1"/>
  <c r="CJ26" i="26"/>
  <c r="CK26" i="26"/>
  <c r="CK21" i="26" s="1"/>
  <c r="F26" i="26"/>
  <c r="G41" i="26"/>
  <c r="H41" i="26"/>
  <c r="J41" i="26"/>
  <c r="K41" i="26"/>
  <c r="L41" i="26"/>
  <c r="M41" i="26"/>
  <c r="N41" i="26"/>
  <c r="O41" i="26"/>
  <c r="V41" i="26"/>
  <c r="W41" i="26"/>
  <c r="X41" i="26"/>
  <c r="Y41" i="26"/>
  <c r="Z41" i="26"/>
  <c r="AA41" i="26"/>
  <c r="AB41" i="26"/>
  <c r="AI41" i="26"/>
  <c r="AJ41" i="26"/>
  <c r="AK41" i="26"/>
  <c r="AL41" i="26"/>
  <c r="AM41" i="26"/>
  <c r="AN41" i="26"/>
  <c r="AO41" i="26"/>
  <c r="AQ41" i="26"/>
  <c r="AR41" i="26"/>
  <c r="AS41" i="26"/>
  <c r="AT41" i="26"/>
  <c r="AU41" i="26"/>
  <c r="AV41" i="26"/>
  <c r="AW41" i="26"/>
  <c r="AX41" i="26"/>
  <c r="AY41" i="26"/>
  <c r="AZ41" i="26"/>
  <c r="BA41" i="26"/>
  <c r="BC41" i="26"/>
  <c r="BD41" i="26"/>
  <c r="BE41" i="26"/>
  <c r="BF41" i="26"/>
  <c r="BG41" i="26"/>
  <c r="BH41" i="26"/>
  <c r="BI41" i="26"/>
  <c r="BJ41" i="26"/>
  <c r="BK41" i="26"/>
  <c r="BL41" i="26"/>
  <c r="BM41" i="26"/>
  <c r="BN41" i="26"/>
  <c r="BP41" i="26"/>
  <c r="BQ41" i="26"/>
  <c r="BR41" i="26"/>
  <c r="BS41" i="26"/>
  <c r="BZ41" i="26"/>
  <c r="CB41" i="26"/>
  <c r="CC41" i="26"/>
  <c r="CD41" i="26"/>
  <c r="CE41" i="26"/>
  <c r="CF41" i="26"/>
  <c r="CG41" i="26"/>
  <c r="CH41" i="26"/>
  <c r="CI41" i="26"/>
  <c r="CJ41" i="26"/>
  <c r="CK41" i="26"/>
  <c r="F41" i="26"/>
  <c r="F39" i="26"/>
  <c r="E33" i="44" l="1"/>
  <c r="AZ21" i="26"/>
  <c r="AQ21" i="26"/>
  <c r="CJ21" i="26"/>
  <c r="CF21" i="26"/>
  <c r="BS21" i="26"/>
  <c r="BM21" i="26"/>
  <c r="BH21" i="26"/>
  <c r="AX21" i="26"/>
  <c r="AS21" i="26"/>
  <c r="AN21" i="26"/>
  <c r="AJ21" i="26"/>
  <c r="AE21" i="26"/>
  <c r="P21" i="26"/>
  <c r="L21" i="26"/>
  <c r="AV21" i="26"/>
  <c r="AY21" i="26"/>
  <c r="AU21" i="26"/>
  <c r="Z21" i="26"/>
  <c r="V21" i="26"/>
  <c r="F38" i="26"/>
  <c r="BV21" i="26"/>
  <c r="AM21" i="26"/>
  <c r="CH21" i="26"/>
  <c r="CD21" i="26"/>
  <c r="BF21" i="26"/>
  <c r="AL21" i="26"/>
  <c r="AH21" i="26"/>
  <c r="N21" i="26"/>
  <c r="J21" i="26"/>
  <c r="F28" i="32"/>
  <c r="K29" i="40" s="1"/>
  <c r="K30" i="40"/>
  <c r="BN21" i="26"/>
  <c r="J34" i="36"/>
  <c r="J41" i="36"/>
  <c r="F33" i="32"/>
  <c r="K34" i="40" s="1"/>
  <c r="I30" i="32"/>
  <c r="J30" i="32"/>
  <c r="I28" i="32"/>
  <c r="E34" i="44" l="1"/>
  <c r="J43" i="36"/>
  <c r="E35" i="44" l="1"/>
  <c r="A31" i="26"/>
  <c r="A33" i="26"/>
  <c r="A36" i="26"/>
  <c r="A21" i="26"/>
  <c r="A34" i="41"/>
  <c r="C51" i="23"/>
  <c r="A51" i="23"/>
  <c r="A37" i="26" s="1"/>
  <c r="C49" i="23"/>
  <c r="C48" i="23"/>
  <c r="A49" i="23"/>
  <c r="A35" i="26" s="1"/>
  <c r="A48" i="23"/>
  <c r="A34" i="26" s="1"/>
  <c r="B30" i="25"/>
  <c r="B47" i="23" s="1"/>
  <c r="B33" i="26" s="1"/>
  <c r="C46" i="23"/>
  <c r="B46" i="23"/>
  <c r="A46" i="23"/>
  <c r="A32" i="26" s="1"/>
  <c r="C42" i="23"/>
  <c r="C43" i="23"/>
  <c r="C44" i="23"/>
  <c r="C41" i="23"/>
  <c r="A41" i="23"/>
  <c r="A27" i="26" s="1"/>
  <c r="A42" i="23"/>
  <c r="A28" i="26" s="1"/>
  <c r="A43" i="23"/>
  <c r="A29" i="26" s="1"/>
  <c r="A44" i="23"/>
  <c r="A30" i="26" s="1"/>
  <c r="A40" i="23"/>
  <c r="A26" i="26" s="1"/>
  <c r="C38" i="23"/>
  <c r="C39" i="23"/>
  <c r="C37" i="23"/>
  <c r="A38" i="23"/>
  <c r="A24" i="26" s="1"/>
  <c r="A39" i="23"/>
  <c r="A25" i="26" s="1"/>
  <c r="A37" i="23"/>
  <c r="A23" i="26" s="1"/>
  <c r="A36" i="23"/>
  <c r="A22" i="26" s="1"/>
  <c r="B35" i="23"/>
  <c r="B21" i="26" s="1"/>
  <c r="C29" i="23"/>
  <c r="C30" i="23"/>
  <c r="C32" i="23"/>
  <c r="C33" i="23"/>
  <c r="C34" i="23"/>
  <c r="C28" i="23"/>
  <c r="B29" i="23"/>
  <c r="B16" i="41" s="1"/>
  <c r="B21" i="41"/>
  <c r="B32" i="23"/>
  <c r="B33" i="23"/>
  <c r="B34" i="23"/>
  <c r="B28" i="23"/>
  <c r="B14" i="26" s="1"/>
  <c r="B11" i="41" s="1"/>
  <c r="A29" i="23"/>
  <c r="A30" i="23"/>
  <c r="A32" i="23"/>
  <c r="A18" i="26" s="1"/>
  <c r="A33" i="23"/>
  <c r="A19" i="26" s="1"/>
  <c r="A34" i="23"/>
  <c r="A20" i="26" s="1"/>
  <c r="A28" i="23"/>
  <c r="A14" i="26" s="1"/>
  <c r="E36" i="44" l="1"/>
  <c r="A12" i="40"/>
  <c r="A11" i="32"/>
  <c r="A27" i="40"/>
  <c r="A26" i="32"/>
  <c r="B32" i="26"/>
  <c r="B25" i="41" s="1"/>
  <c r="C61" i="33"/>
  <c r="A33" i="40"/>
  <c r="A32" i="32"/>
  <c r="A18" i="32"/>
  <c r="A19" i="40"/>
  <c r="A14" i="40"/>
  <c r="A13" i="32"/>
  <c r="A18" i="40"/>
  <c r="A17" i="32"/>
  <c r="A13" i="40"/>
  <c r="A12" i="32"/>
  <c r="A23" i="40"/>
  <c r="A22" i="32"/>
  <c r="A26" i="40"/>
  <c r="A25" i="32"/>
  <c r="A43" i="40"/>
  <c r="A42" i="32"/>
  <c r="A21" i="40"/>
  <c r="A20" i="32"/>
  <c r="A17" i="40"/>
  <c r="A16" i="32"/>
  <c r="B11" i="32"/>
  <c r="B12" i="40"/>
  <c r="B14" i="40"/>
  <c r="B13" i="32"/>
  <c r="B19" i="40"/>
  <c r="B18" i="32"/>
  <c r="A22" i="40"/>
  <c r="A21" i="32"/>
  <c r="A24" i="40"/>
  <c r="A23" i="32"/>
  <c r="A25" i="40"/>
  <c r="A24" i="32"/>
  <c r="B31" i="40"/>
  <c r="B30" i="32"/>
  <c r="C47" i="33"/>
  <c r="B34" i="41"/>
  <c r="A16" i="40"/>
  <c r="A15" i="32"/>
  <c r="B20" i="26"/>
  <c r="B22" i="41" s="1"/>
  <c r="C35" i="33"/>
  <c r="B12" i="32"/>
  <c r="B13" i="40"/>
  <c r="A20" i="40"/>
  <c r="A19" i="32"/>
  <c r="A28" i="40"/>
  <c r="A27" i="32"/>
  <c r="A30" i="40"/>
  <c r="A29" i="32"/>
  <c r="A32" i="40"/>
  <c r="A31" i="32"/>
  <c r="A35" i="40"/>
  <c r="A34" i="32"/>
  <c r="A34" i="40"/>
  <c r="A33" i="32"/>
  <c r="A31" i="40"/>
  <c r="A30" i="32"/>
  <c r="A29" i="40"/>
  <c r="A28" i="32"/>
  <c r="B19" i="26"/>
  <c r="B17" i="41" s="1"/>
  <c r="C34" i="33"/>
  <c r="B18" i="26"/>
  <c r="C33" i="33"/>
  <c r="B34" i="25"/>
  <c r="B51" i="23" s="1"/>
  <c r="B37" i="26" s="1"/>
  <c r="B26" i="41" s="1"/>
  <c r="B33" i="25"/>
  <c r="B50" i="23" s="1"/>
  <c r="B36" i="26" s="1"/>
  <c r="B32" i="25"/>
  <c r="B49" i="23" s="1"/>
  <c r="B35" i="26" s="1"/>
  <c r="B31" i="25"/>
  <c r="B48" i="23" s="1"/>
  <c r="B34" i="26" s="1"/>
  <c r="B14" i="41" s="1"/>
  <c r="B28" i="25"/>
  <c r="B45" i="23" s="1"/>
  <c r="B31" i="26" s="1"/>
  <c r="B25" i="25"/>
  <c r="B42" i="23" s="1"/>
  <c r="B26" i="25"/>
  <c r="B43" i="23" s="1"/>
  <c r="B27" i="25"/>
  <c r="B44" i="23" s="1"/>
  <c r="B24" i="25"/>
  <c r="B41" i="23" s="1"/>
  <c r="B23" i="25"/>
  <c r="B40" i="23" s="1"/>
  <c r="B26" i="26" s="1"/>
  <c r="B21" i="25"/>
  <c r="B38" i="23" s="1"/>
  <c r="B22" i="25"/>
  <c r="B39" i="23" s="1"/>
  <c r="B20" i="25"/>
  <c r="B37" i="23" s="1"/>
  <c r="B19" i="25"/>
  <c r="B36" i="23" s="1"/>
  <c r="B22" i="26" s="1"/>
  <c r="H42" i="23"/>
  <c r="D28" i="26" s="1"/>
  <c r="D25" i="32" s="1"/>
  <c r="D39" i="10"/>
  <c r="E37" i="44" l="1"/>
  <c r="D14" i="10"/>
  <c r="B15" i="32"/>
  <c r="B16" i="40"/>
  <c r="B20" i="40"/>
  <c r="B19" i="32"/>
  <c r="B32" i="40"/>
  <c r="B31" i="32"/>
  <c r="B33" i="40"/>
  <c r="B32" i="32"/>
  <c r="B34" i="40"/>
  <c r="B33" i="32"/>
  <c r="B43" i="40"/>
  <c r="B42" i="32"/>
  <c r="B29" i="40"/>
  <c r="B28" i="32"/>
  <c r="B35" i="40"/>
  <c r="B34" i="32"/>
  <c r="B16" i="32"/>
  <c r="B17" i="40"/>
  <c r="B18" i="40"/>
  <c r="B17" i="32"/>
  <c r="B30" i="40"/>
  <c r="B29" i="32"/>
  <c r="D35" i="10"/>
  <c r="D16" i="10"/>
  <c r="C39" i="10"/>
  <c r="C38" i="10" s="1"/>
  <c r="E41" i="10"/>
  <c r="B27" i="26"/>
  <c r="C39" i="33"/>
  <c r="B25" i="26"/>
  <c r="C38" i="33"/>
  <c r="B30" i="26"/>
  <c r="C42" i="33"/>
  <c r="B23" i="26"/>
  <c r="C36" i="33"/>
  <c r="B24" i="26"/>
  <c r="C37" i="33"/>
  <c r="B29" i="26"/>
  <c r="C41" i="33"/>
  <c r="B24" i="40"/>
  <c r="B23" i="32"/>
  <c r="B28" i="26"/>
  <c r="C40" i="33"/>
  <c r="G41" i="23"/>
  <c r="J16" i="25"/>
  <c r="H33" i="23" s="1"/>
  <c r="D19" i="26" s="1"/>
  <c r="J17" i="25"/>
  <c r="H34" i="23" s="1"/>
  <c r="D20" i="26" s="1"/>
  <c r="G44" i="23"/>
  <c r="G38" i="23"/>
  <c r="H39" i="23"/>
  <c r="D25" i="26" s="1"/>
  <c r="D22" i="32" s="1"/>
  <c r="H44" i="23"/>
  <c r="D30" i="26" s="1"/>
  <c r="D27" i="32" s="1"/>
  <c r="E54" i="10"/>
  <c r="C35" i="10"/>
  <c r="D40" i="10"/>
  <c r="D15" i="10" s="1"/>
  <c r="H38" i="23"/>
  <c r="D24" i="26" s="1"/>
  <c r="D21" i="32" s="1"/>
  <c r="J31" i="10"/>
  <c r="I31" i="10"/>
  <c r="J30" i="10"/>
  <c r="I30" i="10"/>
  <c r="E38" i="44" l="1"/>
  <c r="D38" i="10"/>
  <c r="E35" i="10"/>
  <c r="C11" i="10"/>
  <c r="D42" i="32"/>
  <c r="D34" i="41"/>
  <c r="D16" i="32"/>
  <c r="D17" i="41"/>
  <c r="D17" i="32"/>
  <c r="D22" i="41"/>
  <c r="D41" i="32"/>
  <c r="D33" i="41"/>
  <c r="I38" i="23"/>
  <c r="K42" i="25"/>
  <c r="E60" i="10"/>
  <c r="I16" i="25"/>
  <c r="G33" i="23" s="1"/>
  <c r="E45" i="10"/>
  <c r="K43" i="25"/>
  <c r="E61" i="10"/>
  <c r="C15" i="10"/>
  <c r="E15" i="10" s="1"/>
  <c r="E40" i="10"/>
  <c r="I17" i="25"/>
  <c r="K17" i="25" s="1"/>
  <c r="E46" i="10"/>
  <c r="C14" i="10"/>
  <c r="E14" i="10" s="1"/>
  <c r="E39" i="10"/>
  <c r="E38" i="10" s="1"/>
  <c r="E59" i="10"/>
  <c r="I39" i="25"/>
  <c r="G56" i="23" s="1"/>
  <c r="G55" i="23" s="1"/>
  <c r="C41" i="26" s="1"/>
  <c r="E58" i="10"/>
  <c r="E57" i="10" s="1"/>
  <c r="I31" i="25"/>
  <c r="E52" i="10"/>
  <c r="I44" i="23"/>
  <c r="C21" i="10"/>
  <c r="E56" i="10"/>
  <c r="C16" i="10"/>
  <c r="E16" i="10" s="1"/>
  <c r="J31" i="25"/>
  <c r="D36" i="10"/>
  <c r="I34" i="25"/>
  <c r="C19" i="10"/>
  <c r="B21" i="40"/>
  <c r="B20" i="32"/>
  <c r="D34" i="10"/>
  <c r="J29" i="25"/>
  <c r="C34" i="10"/>
  <c r="J34" i="25"/>
  <c r="D19" i="10"/>
  <c r="G39" i="23"/>
  <c r="B25" i="40"/>
  <c r="B24" i="32"/>
  <c r="E48" i="10"/>
  <c r="C36" i="10"/>
  <c r="B23" i="40"/>
  <c r="B22" i="32"/>
  <c r="G54" i="23"/>
  <c r="B26" i="40"/>
  <c r="B25" i="32"/>
  <c r="J32" i="25"/>
  <c r="H49" i="23" s="1"/>
  <c r="D35" i="26" s="1"/>
  <c r="D32" i="32" s="1"/>
  <c r="H41" i="23"/>
  <c r="I41" i="23" s="1"/>
  <c r="H29" i="23"/>
  <c r="D11" i="10"/>
  <c r="B22" i="40"/>
  <c r="B21" i="32"/>
  <c r="H43" i="23"/>
  <c r="D29" i="26" s="1"/>
  <c r="D26" i="32" s="1"/>
  <c r="G43" i="23"/>
  <c r="C22" i="10"/>
  <c r="B27" i="40"/>
  <c r="B26" i="32"/>
  <c r="B28" i="40"/>
  <c r="B27" i="32"/>
  <c r="H37" i="23"/>
  <c r="J19" i="25"/>
  <c r="K23" i="25"/>
  <c r="C30" i="26"/>
  <c r="C27" i="32" s="1"/>
  <c r="C27" i="26"/>
  <c r="C24" i="32" s="1"/>
  <c r="C24" i="26"/>
  <c r="C21" i="32" s="1"/>
  <c r="E39" i="44" l="1"/>
  <c r="E19" i="10"/>
  <c r="E43" i="10"/>
  <c r="D33" i="10"/>
  <c r="E36" i="10"/>
  <c r="C12" i="10"/>
  <c r="D12" i="10"/>
  <c r="H30" i="23"/>
  <c r="G34" i="23"/>
  <c r="E11" i="10"/>
  <c r="E34" i="10"/>
  <c r="C10" i="10"/>
  <c r="D40" i="32"/>
  <c r="D32" i="41"/>
  <c r="K31" i="25"/>
  <c r="I43" i="23"/>
  <c r="D12" i="32"/>
  <c r="D16" i="41"/>
  <c r="C20" i="10"/>
  <c r="K39" i="25"/>
  <c r="G48" i="23"/>
  <c r="C34" i="26" s="1"/>
  <c r="I33" i="23"/>
  <c r="G34" i="33" s="1"/>
  <c r="C19" i="26"/>
  <c r="E53" i="10"/>
  <c r="E51" i="10" s="1"/>
  <c r="I38" i="25"/>
  <c r="K16" i="25"/>
  <c r="E49" i="10"/>
  <c r="K34" i="25"/>
  <c r="K33" i="25" s="1"/>
  <c r="K40" i="25"/>
  <c r="K12" i="25"/>
  <c r="G39" i="33"/>
  <c r="C25" i="26"/>
  <c r="C22" i="32" s="1"/>
  <c r="I39" i="23"/>
  <c r="G38" i="33" s="1"/>
  <c r="J23" i="25"/>
  <c r="J18" i="25" s="1"/>
  <c r="E24" i="26"/>
  <c r="G37" i="33"/>
  <c r="G29" i="23"/>
  <c r="I29" i="23" s="1"/>
  <c r="D27" i="26"/>
  <c r="D24" i="32" s="1"/>
  <c r="H40" i="23"/>
  <c r="D26" i="26" s="1"/>
  <c r="D23" i="32" s="1"/>
  <c r="D32" i="26"/>
  <c r="J28" i="25"/>
  <c r="H46" i="23"/>
  <c r="H45" i="23" s="1"/>
  <c r="D31" i="26" s="1"/>
  <c r="D28" i="32" s="1"/>
  <c r="K37" i="25"/>
  <c r="D21" i="10"/>
  <c r="E21" i="10" s="1"/>
  <c r="G51" i="23"/>
  <c r="I33" i="25"/>
  <c r="D51" i="10"/>
  <c r="G42" i="23"/>
  <c r="I42" i="23" s="1"/>
  <c r="I23" i="25"/>
  <c r="C55" i="10"/>
  <c r="K19" i="25"/>
  <c r="K18" i="25" s="1"/>
  <c r="G37" i="23"/>
  <c r="I37" i="23" s="1"/>
  <c r="I19" i="25"/>
  <c r="H51" i="23"/>
  <c r="J33" i="25"/>
  <c r="J11" i="25"/>
  <c r="H48" i="23"/>
  <c r="J30" i="25"/>
  <c r="D47" i="10"/>
  <c r="C42" i="26"/>
  <c r="H36" i="23"/>
  <c r="D23" i="26"/>
  <c r="D20" i="32" s="1"/>
  <c r="D10" i="10"/>
  <c r="E30" i="26"/>
  <c r="G42" i="33"/>
  <c r="C29" i="26"/>
  <c r="C26" i="32" s="1"/>
  <c r="H56" i="23"/>
  <c r="J38" i="25"/>
  <c r="G53" i="23"/>
  <c r="C40" i="26"/>
  <c r="C47" i="10"/>
  <c r="I32" i="25"/>
  <c r="K32" i="25" s="1"/>
  <c r="E27" i="26"/>
  <c r="E40" i="44" l="1"/>
  <c r="I34" i="23"/>
  <c r="G35" i="33" s="1"/>
  <c r="K38" i="25"/>
  <c r="I56" i="23"/>
  <c r="I55" i="23" s="1"/>
  <c r="H55" i="23"/>
  <c r="D41" i="26" s="1"/>
  <c r="C42" i="32"/>
  <c r="I48" i="23"/>
  <c r="E33" i="10"/>
  <c r="E19" i="26"/>
  <c r="E17" i="41" s="1"/>
  <c r="E20" i="26"/>
  <c r="E10" i="10"/>
  <c r="C41" i="32"/>
  <c r="C20" i="26"/>
  <c r="C17" i="32" s="1"/>
  <c r="E12" i="10"/>
  <c r="C38" i="32"/>
  <c r="C37" i="32"/>
  <c r="C29" i="41"/>
  <c r="D21" i="41"/>
  <c r="D13" i="32"/>
  <c r="C40" i="32"/>
  <c r="C32" i="41"/>
  <c r="I40" i="23"/>
  <c r="E26" i="26" s="1"/>
  <c r="E23" i="32" s="1"/>
  <c r="C39" i="32"/>
  <c r="C31" i="41"/>
  <c r="D29" i="32"/>
  <c r="D25" i="41"/>
  <c r="C31" i="32"/>
  <c r="C14" i="41"/>
  <c r="C16" i="32"/>
  <c r="C17" i="41"/>
  <c r="E25" i="26"/>
  <c r="BQ25" i="26" s="1"/>
  <c r="D22" i="10"/>
  <c r="E22" i="10" s="1"/>
  <c r="E20" i="10" s="1"/>
  <c r="D55" i="10"/>
  <c r="I29" i="25"/>
  <c r="K29" i="25" s="1"/>
  <c r="E50" i="10"/>
  <c r="D18" i="10"/>
  <c r="G28" i="23"/>
  <c r="K13" i="25"/>
  <c r="I51" i="23"/>
  <c r="D9" i="10"/>
  <c r="C18" i="10"/>
  <c r="E24" i="32"/>
  <c r="BE27" i="26"/>
  <c r="AT27" i="26"/>
  <c r="BR27" i="26"/>
  <c r="BZ27" i="26"/>
  <c r="AG27" i="26"/>
  <c r="C39" i="26"/>
  <c r="I15" i="25"/>
  <c r="C43" i="10"/>
  <c r="C32" i="10" s="1"/>
  <c r="C63" i="10" s="1"/>
  <c r="D37" i="26"/>
  <c r="D34" i="32" s="1"/>
  <c r="H50" i="23"/>
  <c r="D36" i="26" s="1"/>
  <c r="D33" i="32" s="1"/>
  <c r="E32" i="41"/>
  <c r="G45" i="33"/>
  <c r="E27" i="32"/>
  <c r="BQ30" i="26"/>
  <c r="U30" i="26"/>
  <c r="BE30" i="26"/>
  <c r="J27" i="32" s="1"/>
  <c r="AG30" i="26"/>
  <c r="H27" i="32" s="1"/>
  <c r="AT30" i="26"/>
  <c r="I27" i="32" s="1"/>
  <c r="D22" i="26"/>
  <c r="D19" i="32" s="1"/>
  <c r="H35" i="23"/>
  <c r="G47" i="33"/>
  <c r="E34" i="41"/>
  <c r="D42" i="26"/>
  <c r="E33" i="41"/>
  <c r="G46" i="33"/>
  <c r="G30" i="23"/>
  <c r="I30" i="23" s="1"/>
  <c r="H47" i="23"/>
  <c r="D33" i="26" s="1"/>
  <c r="D30" i="32" s="1"/>
  <c r="D34" i="26"/>
  <c r="G50" i="23"/>
  <c r="C36" i="26" s="1"/>
  <c r="C33" i="32" s="1"/>
  <c r="C37" i="26"/>
  <c r="C34" i="32" s="1"/>
  <c r="J15" i="25"/>
  <c r="H32" i="23" s="1"/>
  <c r="D18" i="26" s="1"/>
  <c r="D15" i="32" s="1"/>
  <c r="D43" i="10"/>
  <c r="D32" i="10" s="1"/>
  <c r="C28" i="26"/>
  <c r="C25" i="32" s="1"/>
  <c r="G40" i="23"/>
  <c r="C26" i="26" s="1"/>
  <c r="C23" i="32" s="1"/>
  <c r="J36" i="25"/>
  <c r="J35" i="25" s="1"/>
  <c r="H54" i="23"/>
  <c r="I54" i="23" s="1"/>
  <c r="K36" i="25"/>
  <c r="K35" i="25" s="1"/>
  <c r="E21" i="32"/>
  <c r="BL24" i="26"/>
  <c r="Q24" i="26"/>
  <c r="AC24" i="26"/>
  <c r="BA24" i="26"/>
  <c r="AO24" i="26"/>
  <c r="E29" i="26"/>
  <c r="G41" i="33"/>
  <c r="I18" i="25"/>
  <c r="G49" i="23"/>
  <c r="I49" i="23" s="1"/>
  <c r="K30" i="25"/>
  <c r="I30" i="25"/>
  <c r="E47" i="10"/>
  <c r="H28" i="23"/>
  <c r="G36" i="23"/>
  <c r="C23" i="26"/>
  <c r="C20" i="32" s="1"/>
  <c r="L16" i="25"/>
  <c r="G14" i="10"/>
  <c r="E41" i="44" l="1"/>
  <c r="E16" i="32"/>
  <c r="E17" i="32"/>
  <c r="E22" i="41"/>
  <c r="C34" i="41"/>
  <c r="C22" i="41"/>
  <c r="C30" i="41"/>
  <c r="E18" i="10"/>
  <c r="C33" i="41"/>
  <c r="D8" i="10"/>
  <c r="G52" i="23"/>
  <c r="C38" i="26" s="1"/>
  <c r="C35" i="32" s="1"/>
  <c r="U25" i="26"/>
  <c r="U22" i="26" s="1"/>
  <c r="G46" i="23"/>
  <c r="I46" i="23" s="1"/>
  <c r="D38" i="32"/>
  <c r="D30" i="41"/>
  <c r="AT25" i="26"/>
  <c r="I22" i="32" s="1"/>
  <c r="C36" i="32"/>
  <c r="C28" i="41"/>
  <c r="D31" i="32"/>
  <c r="D14" i="41"/>
  <c r="I28" i="25"/>
  <c r="BE25" i="26"/>
  <c r="J22" i="32" s="1"/>
  <c r="D39" i="32"/>
  <c r="D31" i="41"/>
  <c r="C32" i="26"/>
  <c r="AG25" i="26"/>
  <c r="H22" i="32" s="1"/>
  <c r="E22" i="32"/>
  <c r="C12" i="32"/>
  <c r="C16" i="41"/>
  <c r="D20" i="10"/>
  <c r="I28" i="23"/>
  <c r="I10" i="25"/>
  <c r="K15" i="25"/>
  <c r="J10" i="25"/>
  <c r="J9" i="25" s="1"/>
  <c r="J8" i="25" s="1"/>
  <c r="E26" i="32"/>
  <c r="BJ29" i="26"/>
  <c r="BJ26" i="26" s="1"/>
  <c r="BJ21" i="26" s="1"/>
  <c r="BB29" i="26"/>
  <c r="R29" i="26"/>
  <c r="AP29" i="26"/>
  <c r="AD29" i="26"/>
  <c r="H27" i="23"/>
  <c r="D13" i="26" s="1"/>
  <c r="D10" i="32" s="1"/>
  <c r="D14" i="26"/>
  <c r="E35" i="26"/>
  <c r="C35" i="26"/>
  <c r="C32" i="32" s="1"/>
  <c r="G47" i="23"/>
  <c r="C33" i="26" s="1"/>
  <c r="C30" i="32" s="1"/>
  <c r="J21" i="32"/>
  <c r="BL22" i="26"/>
  <c r="AF44" i="26"/>
  <c r="AF41" i="26" s="1"/>
  <c r="AE44" i="26"/>
  <c r="AE41" i="26" s="1"/>
  <c r="E41" i="32"/>
  <c r="AH44" i="26"/>
  <c r="AH41" i="26" s="1"/>
  <c r="AD44" i="26"/>
  <c r="AG44" i="26"/>
  <c r="AG41" i="26" s="1"/>
  <c r="AC44" i="26"/>
  <c r="G33" i="41" s="1"/>
  <c r="D21" i="26"/>
  <c r="D18" i="32" s="1"/>
  <c r="E42" i="26"/>
  <c r="E31" i="41" s="1"/>
  <c r="G44" i="33"/>
  <c r="E41" i="26"/>
  <c r="I21" i="32"/>
  <c r="BA22" i="26"/>
  <c r="E28" i="26"/>
  <c r="G40" i="33"/>
  <c r="I24" i="32"/>
  <c r="AT26" i="26"/>
  <c r="CK37" i="26"/>
  <c r="CK36" i="26" s="1"/>
  <c r="CG37" i="26"/>
  <c r="CG36" i="26" s="1"/>
  <c r="CC37" i="26"/>
  <c r="CC36" i="26" s="1"/>
  <c r="BY37" i="26"/>
  <c r="BY36" i="26" s="1"/>
  <c r="BY12" i="26" s="1"/>
  <c r="BU37" i="26"/>
  <c r="BU36" i="26" s="1"/>
  <c r="BU12" i="26" s="1"/>
  <c r="BQ37" i="26"/>
  <c r="BQ36" i="26" s="1"/>
  <c r="BM37" i="26"/>
  <c r="BM36" i="26" s="1"/>
  <c r="BI37" i="26"/>
  <c r="BI36" i="26" s="1"/>
  <c r="BE37" i="26"/>
  <c r="BE36" i="26" s="1"/>
  <c r="BA37" i="26"/>
  <c r="BA36" i="26" s="1"/>
  <c r="AW37" i="26"/>
  <c r="AW36" i="26" s="1"/>
  <c r="AS37" i="26"/>
  <c r="AS36" i="26" s="1"/>
  <c r="CJ37" i="26"/>
  <c r="CJ36" i="26" s="1"/>
  <c r="CF37" i="26"/>
  <c r="CF36" i="26" s="1"/>
  <c r="CB37" i="26"/>
  <c r="CB36" i="26" s="1"/>
  <c r="BX37" i="26"/>
  <c r="BX36" i="26" s="1"/>
  <c r="BX12" i="26" s="1"/>
  <c r="BT37" i="26"/>
  <c r="BT36" i="26" s="1"/>
  <c r="BT12" i="26" s="1"/>
  <c r="BP37" i="26"/>
  <c r="BP36" i="26" s="1"/>
  <c r="BL37" i="26"/>
  <c r="BL36" i="26" s="1"/>
  <c r="BH37" i="26"/>
  <c r="BH36" i="26" s="1"/>
  <c r="BD37" i="26"/>
  <c r="BD36" i="26" s="1"/>
  <c r="AZ37" i="26"/>
  <c r="AZ36" i="26" s="1"/>
  <c r="AV37" i="26"/>
  <c r="AV36" i="26" s="1"/>
  <c r="AR37" i="26"/>
  <c r="AR36" i="26" s="1"/>
  <c r="CI37" i="26"/>
  <c r="CI36" i="26" s="1"/>
  <c r="CE37" i="26"/>
  <c r="CE36" i="26" s="1"/>
  <c r="CA37" i="26"/>
  <c r="CA36" i="26" s="1"/>
  <c r="BW37" i="26"/>
  <c r="BW36" i="26" s="1"/>
  <c r="BW12" i="26" s="1"/>
  <c r="BS37" i="26"/>
  <c r="BS36" i="26" s="1"/>
  <c r="BS12" i="26" s="1"/>
  <c r="BO37" i="26"/>
  <c r="BO36" i="26" s="1"/>
  <c r="BK37" i="26"/>
  <c r="BK36" i="26" s="1"/>
  <c r="BG37" i="26"/>
  <c r="BG36" i="26" s="1"/>
  <c r="BC37" i="26"/>
  <c r="BC36" i="26" s="1"/>
  <c r="AY37" i="26"/>
  <c r="AY36" i="26" s="1"/>
  <c r="AU37" i="26"/>
  <c r="AU36" i="26" s="1"/>
  <c r="AQ37" i="26"/>
  <c r="AQ36" i="26" s="1"/>
  <c r="CH37" i="26"/>
  <c r="CH36" i="26" s="1"/>
  <c r="CD37" i="26"/>
  <c r="CD36" i="26" s="1"/>
  <c r="BZ37" i="26"/>
  <c r="BV37" i="26"/>
  <c r="BV36" i="26" s="1"/>
  <c r="BV12" i="26" s="1"/>
  <c r="BR37" i="26"/>
  <c r="BR36" i="26" s="1"/>
  <c r="BN37" i="26"/>
  <c r="BJ37" i="26"/>
  <c r="BJ36" i="26" s="1"/>
  <c r="BF37" i="26"/>
  <c r="BF36" i="26" s="1"/>
  <c r="BB37" i="26"/>
  <c r="AX37" i="26"/>
  <c r="AX36" i="26" s="1"/>
  <c r="AT37" i="26"/>
  <c r="AT36" i="26" s="1"/>
  <c r="AP37" i="26"/>
  <c r="I50" i="23"/>
  <c r="E36" i="26" s="1"/>
  <c r="E33" i="32" s="1"/>
  <c r="E37" i="26"/>
  <c r="E34" i="32" s="1"/>
  <c r="H21" i="32"/>
  <c r="AO22" i="26"/>
  <c r="C14" i="26"/>
  <c r="K24" i="32"/>
  <c r="BR26" i="26"/>
  <c r="C22" i="26"/>
  <c r="C19" i="32" s="1"/>
  <c r="G35" i="23"/>
  <c r="C21" i="26" s="1"/>
  <c r="C18" i="32" s="1"/>
  <c r="C9" i="10"/>
  <c r="C8" i="10" s="1"/>
  <c r="G36" i="33"/>
  <c r="E23" i="26"/>
  <c r="I36" i="23"/>
  <c r="D63" i="10"/>
  <c r="G21" i="32"/>
  <c r="AC22" i="26"/>
  <c r="E34" i="26"/>
  <c r="E14" i="41" s="1"/>
  <c r="I47" i="23"/>
  <c r="E33" i="26" s="1"/>
  <c r="E30" i="32" s="1"/>
  <c r="E42" i="32"/>
  <c r="BU45" i="26"/>
  <c r="BU41" i="26" s="1"/>
  <c r="BY45" i="26"/>
  <c r="BY41" i="26" s="1"/>
  <c r="BV45" i="26"/>
  <c r="BV41" i="26" s="1"/>
  <c r="BT45" i="26"/>
  <c r="BW45" i="26"/>
  <c r="BW41" i="26" s="1"/>
  <c r="BX45" i="26"/>
  <c r="BX41" i="26" s="1"/>
  <c r="CL30" i="26"/>
  <c r="G27" i="32"/>
  <c r="U26" i="26"/>
  <c r="E40" i="32"/>
  <c r="Q43" i="26"/>
  <c r="Q41" i="26" s="1"/>
  <c r="U43" i="26"/>
  <c r="U41" i="26" s="1"/>
  <c r="R43" i="26"/>
  <c r="P43" i="26"/>
  <c r="S43" i="26"/>
  <c r="S41" i="26" s="1"/>
  <c r="T43" i="26"/>
  <c r="T41" i="26" s="1"/>
  <c r="H24" i="32"/>
  <c r="AG26" i="26"/>
  <c r="CL27" i="26"/>
  <c r="J24" i="32"/>
  <c r="BE26" i="26"/>
  <c r="E32" i="26"/>
  <c r="E25" i="41" s="1"/>
  <c r="K28" i="25"/>
  <c r="F21" i="32"/>
  <c r="Q22" i="26"/>
  <c r="CL24" i="26"/>
  <c r="H53" i="23"/>
  <c r="D40" i="26"/>
  <c r="K22" i="32"/>
  <c r="BQ22" i="26"/>
  <c r="H13" i="33"/>
  <c r="K27" i="32"/>
  <c r="BQ26" i="26"/>
  <c r="BQ21" i="26" s="1"/>
  <c r="G32" i="23"/>
  <c r="I32" i="23" s="1"/>
  <c r="L24" i="32"/>
  <c r="L23" i="32" s="1"/>
  <c r="BZ26" i="26"/>
  <c r="E32" i="10"/>
  <c r="G15" i="10"/>
  <c r="H15" i="10" s="1"/>
  <c r="M33" i="33"/>
  <c r="L33" i="33"/>
  <c r="N13" i="33"/>
  <c r="N14" i="33"/>
  <c r="E41" i="33"/>
  <c r="E40" i="33"/>
  <c r="E38" i="33"/>
  <c r="E39" i="33"/>
  <c r="E37" i="33"/>
  <c r="E36" i="33"/>
  <c r="E34" i="33"/>
  <c r="E35" i="33"/>
  <c r="E33" i="33"/>
  <c r="E42" i="44" l="1"/>
  <c r="C27" i="41"/>
  <c r="G22" i="32"/>
  <c r="D23" i="10"/>
  <c r="G45" i="23"/>
  <c r="C31" i="26" s="1"/>
  <c r="C28" i="32" s="1"/>
  <c r="CL25" i="26"/>
  <c r="I9" i="25"/>
  <c r="I26" i="41"/>
  <c r="F32" i="41"/>
  <c r="E38" i="32"/>
  <c r="E30" i="41"/>
  <c r="D11" i="32"/>
  <c r="D11" i="41"/>
  <c r="D9" i="41" s="1"/>
  <c r="C21" i="41"/>
  <c r="C13" i="32"/>
  <c r="G32" i="41"/>
  <c r="C11" i="32"/>
  <c r="C11" i="41"/>
  <c r="K26" i="41"/>
  <c r="K9" i="41" s="1"/>
  <c r="C29" i="32"/>
  <c r="C25" i="41"/>
  <c r="E12" i="32"/>
  <c r="E16" i="41"/>
  <c r="D37" i="32"/>
  <c r="D29" i="41"/>
  <c r="K34" i="41"/>
  <c r="J26" i="41"/>
  <c r="H33" i="41"/>
  <c r="H41" i="32"/>
  <c r="G40" i="32"/>
  <c r="U21" i="26"/>
  <c r="G19" i="32"/>
  <c r="K23" i="32"/>
  <c r="J34" i="32"/>
  <c r="J33" i="32" s="1"/>
  <c r="BB36" i="26"/>
  <c r="E29" i="32"/>
  <c r="X32" i="26"/>
  <c r="G25" i="41" s="1"/>
  <c r="BB42" i="26"/>
  <c r="J31" i="41" s="1"/>
  <c r="J30" i="41" s="1"/>
  <c r="I42" i="26"/>
  <c r="F31" i="41" s="1"/>
  <c r="AP42" i="26"/>
  <c r="I31" i="41" s="1"/>
  <c r="I30" i="41" s="1"/>
  <c r="E39" i="32"/>
  <c r="CA42" i="26"/>
  <c r="L31" i="41" s="1"/>
  <c r="L30" i="41" s="1"/>
  <c r="AD42" i="26"/>
  <c r="H31" i="41" s="1"/>
  <c r="BO42" i="26"/>
  <c r="K31" i="41" s="1"/>
  <c r="K30" i="41" s="1"/>
  <c r="R42" i="26"/>
  <c r="G31" i="41" s="1"/>
  <c r="G26" i="32"/>
  <c r="CL29" i="26"/>
  <c r="R26" i="26"/>
  <c r="R21" i="26" s="1"/>
  <c r="C18" i="26"/>
  <c r="C15" i="32" s="1"/>
  <c r="G43" i="33"/>
  <c r="E40" i="26"/>
  <c r="E29" i="41" s="1"/>
  <c r="I53" i="23"/>
  <c r="F40" i="32"/>
  <c r="K41" i="40" s="1"/>
  <c r="P41" i="26"/>
  <c r="I34" i="26"/>
  <c r="M34" i="26"/>
  <c r="Q34" i="26"/>
  <c r="U34" i="26"/>
  <c r="E31" i="32"/>
  <c r="G34" i="26"/>
  <c r="K34" i="26"/>
  <c r="O34" i="26"/>
  <c r="S34" i="26"/>
  <c r="W34" i="26"/>
  <c r="AA34" i="26"/>
  <c r="AE34" i="26"/>
  <c r="AI34" i="26"/>
  <c r="AM34" i="26"/>
  <c r="H34" i="26"/>
  <c r="L34" i="26"/>
  <c r="P34" i="26"/>
  <c r="T34" i="26"/>
  <c r="X34" i="26"/>
  <c r="R34" i="26"/>
  <c r="AB34" i="26"/>
  <c r="AG34" i="26"/>
  <c r="AL34" i="26"/>
  <c r="Z34" i="26"/>
  <c r="AK34" i="26"/>
  <c r="V34" i="26"/>
  <c r="AC34" i="26"/>
  <c r="AH34" i="26"/>
  <c r="AN34" i="26"/>
  <c r="N34" i="26"/>
  <c r="AF34" i="26"/>
  <c r="F34" i="26"/>
  <c r="J34" i="26"/>
  <c r="Y34" i="26"/>
  <c r="AD34" i="26"/>
  <c r="AJ34" i="26"/>
  <c r="AO34" i="26"/>
  <c r="E22" i="26"/>
  <c r="E19" i="32" s="1"/>
  <c r="I35" i="23"/>
  <c r="E21" i="26" s="1"/>
  <c r="E18" i="32" s="1"/>
  <c r="I45" i="23"/>
  <c r="E31" i="26" s="1"/>
  <c r="E28" i="32" s="1"/>
  <c r="G61" i="33"/>
  <c r="CL37" i="26"/>
  <c r="CL36" i="26" s="1"/>
  <c r="I34" i="32"/>
  <c r="I33" i="32" s="1"/>
  <c r="AP36" i="26"/>
  <c r="J26" i="32"/>
  <c r="BB26" i="26"/>
  <c r="BB21" i="26" s="1"/>
  <c r="K22" i="40"/>
  <c r="F19" i="32"/>
  <c r="E20" i="32"/>
  <c r="AT23" i="26"/>
  <c r="BZ23" i="26"/>
  <c r="AG23" i="26"/>
  <c r="BR23" i="26"/>
  <c r="BE23" i="26"/>
  <c r="H14" i="33"/>
  <c r="H12" i="33"/>
  <c r="H16" i="33" s="1"/>
  <c r="E14" i="26"/>
  <c r="I27" i="23"/>
  <c r="L34" i="32"/>
  <c r="L33" i="32" s="1"/>
  <c r="BZ36" i="26"/>
  <c r="H26" i="23"/>
  <c r="H26" i="32"/>
  <c r="AD26" i="26"/>
  <c r="AD21" i="26" s="1"/>
  <c r="D39" i="26"/>
  <c r="H52" i="23"/>
  <c r="D38" i="26" s="1"/>
  <c r="K42" i="32"/>
  <c r="BT41" i="26"/>
  <c r="CL45" i="26"/>
  <c r="K34" i="32"/>
  <c r="K33" i="32" s="1"/>
  <c r="BN36" i="26"/>
  <c r="E25" i="32"/>
  <c r="AC28" i="26"/>
  <c r="AO28" i="26"/>
  <c r="BL28" i="26"/>
  <c r="Q28" i="26"/>
  <c r="BA28" i="26"/>
  <c r="G41" i="32"/>
  <c r="AC41" i="26"/>
  <c r="I35" i="26"/>
  <c r="M35" i="26"/>
  <c r="Q35" i="26"/>
  <c r="U35" i="26"/>
  <c r="Y35" i="26"/>
  <c r="AC35" i="26"/>
  <c r="AG35" i="26"/>
  <c r="AK35" i="26"/>
  <c r="AO35" i="26"/>
  <c r="J35" i="26"/>
  <c r="N35" i="26"/>
  <c r="R35" i="26"/>
  <c r="V35" i="26"/>
  <c r="E32" i="32"/>
  <c r="G35" i="26"/>
  <c r="K35" i="26"/>
  <c r="O35" i="26"/>
  <c r="S35" i="26"/>
  <c r="W35" i="26"/>
  <c r="AA35" i="26"/>
  <c r="AE35" i="26"/>
  <c r="AI35" i="26"/>
  <c r="AM35" i="26"/>
  <c r="H35" i="26"/>
  <c r="L35" i="26"/>
  <c r="P35" i="26"/>
  <c r="T35" i="26"/>
  <c r="X35" i="26"/>
  <c r="AB35" i="26"/>
  <c r="AF35" i="26"/>
  <c r="AJ35" i="26"/>
  <c r="AN35" i="26"/>
  <c r="AL35" i="26"/>
  <c r="AH35" i="26"/>
  <c r="Z35" i="26"/>
  <c r="F35" i="26"/>
  <c r="AD35" i="26"/>
  <c r="I26" i="32"/>
  <c r="AP26" i="26"/>
  <c r="AP21" i="26" s="1"/>
  <c r="H35" i="10"/>
  <c r="C13" i="33"/>
  <c r="C14" i="33"/>
  <c r="C12" i="33"/>
  <c r="CB13" i="26"/>
  <c r="CB12" i="26" s="1"/>
  <c r="CC13" i="26"/>
  <c r="CC12" i="26" s="1"/>
  <c r="CD13" i="26"/>
  <c r="CD12" i="26" s="1"/>
  <c r="CE13" i="26"/>
  <c r="CE12" i="26" s="1"/>
  <c r="CF19" i="26"/>
  <c r="CG19" i="26"/>
  <c r="CH19" i="26"/>
  <c r="CI19" i="26"/>
  <c r="CJ19" i="26"/>
  <c r="CK19" i="26"/>
  <c r="CF18" i="26"/>
  <c r="CG18" i="26"/>
  <c r="CH18" i="26"/>
  <c r="CI18" i="26"/>
  <c r="CJ18" i="26"/>
  <c r="CK18" i="26"/>
  <c r="AA54" i="38"/>
  <c r="B43" i="38"/>
  <c r="A43" i="38"/>
  <c r="C23" i="38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20" i="38"/>
  <c r="C21" i="38" s="1"/>
  <c r="C22" i="38" s="1"/>
  <c r="C19" i="38"/>
  <c r="J17" i="38"/>
  <c r="D17" i="38"/>
  <c r="D13" i="38"/>
  <c r="I17" i="38" s="1"/>
  <c r="C11" i="38"/>
  <c r="C8" i="38"/>
  <c r="I7" i="38"/>
  <c r="A5" i="38"/>
  <c r="B43" i="37"/>
  <c r="A43" i="37"/>
  <c r="A5" i="37" s="1"/>
  <c r="C20" i="37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19" i="37"/>
  <c r="B18" i="37"/>
  <c r="J17" i="37"/>
  <c r="D17" i="37"/>
  <c r="I17" i="37"/>
  <c r="C11" i="37"/>
  <c r="C8" i="37"/>
  <c r="I7" i="37"/>
  <c r="U50" i="36"/>
  <c r="B43" i="36"/>
  <c r="A43" i="36"/>
  <c r="C20" i="36"/>
  <c r="C21" i="36" s="1"/>
  <c r="C22" i="36" s="1"/>
  <c r="C23" i="36" s="1"/>
  <c r="C24" i="36" s="1"/>
  <c r="C25" i="36" s="1"/>
  <c r="C26" i="36" s="1"/>
  <c r="C27" i="36" s="1"/>
  <c r="C28" i="36" s="1"/>
  <c r="C29" i="36" s="1"/>
  <c r="C30" i="36" s="1"/>
  <c r="C31" i="36" s="1"/>
  <c r="C32" i="36" s="1"/>
  <c r="C33" i="36" s="1"/>
  <c r="C34" i="36" s="1"/>
  <c r="C35" i="36" s="1"/>
  <c r="C36" i="36" s="1"/>
  <c r="C37" i="36" s="1"/>
  <c r="C38" i="36" s="1"/>
  <c r="C39" i="36" s="1"/>
  <c r="C40" i="36" s="1"/>
  <c r="C41" i="36" s="1"/>
  <c r="C42" i="36" s="1"/>
  <c r="C19" i="36"/>
  <c r="B18" i="36"/>
  <c r="J17" i="36"/>
  <c r="D17" i="36"/>
  <c r="D13" i="36"/>
  <c r="C11" i="36"/>
  <c r="C8" i="36"/>
  <c r="I7" i="36"/>
  <c r="A5" i="36"/>
  <c r="CF15" i="26"/>
  <c r="CG15" i="26"/>
  <c r="CH15" i="26"/>
  <c r="CI15" i="26"/>
  <c r="CJ15" i="26"/>
  <c r="CK15" i="26"/>
  <c r="J17" i="35"/>
  <c r="B43" i="35"/>
  <c r="A43" i="35"/>
  <c r="C20" i="35"/>
  <c r="C21" i="35" s="1"/>
  <c r="C22" i="35" s="1"/>
  <c r="C23" i="35" s="1"/>
  <c r="C24" i="35" s="1"/>
  <c r="C25" i="35" s="1"/>
  <c r="C26" i="35" s="1"/>
  <c r="C27" i="35" s="1"/>
  <c r="C28" i="35" s="1"/>
  <c r="C29" i="35" s="1"/>
  <c r="C30" i="35" s="1"/>
  <c r="C31" i="35" s="1"/>
  <c r="C32" i="35" s="1"/>
  <c r="C33" i="35" s="1"/>
  <c r="C34" i="35" s="1"/>
  <c r="C35" i="35" s="1"/>
  <c r="C36" i="35" s="1"/>
  <c r="C37" i="35" s="1"/>
  <c r="C38" i="35" s="1"/>
  <c r="C39" i="35" s="1"/>
  <c r="C40" i="35" s="1"/>
  <c r="C41" i="35" s="1"/>
  <c r="C42" i="35" s="1"/>
  <c r="C19" i="35"/>
  <c r="B18" i="35"/>
  <c r="D17" i="35"/>
  <c r="I17" i="35"/>
  <c r="C11" i="35"/>
  <c r="C8" i="35"/>
  <c r="I7" i="35"/>
  <c r="A5" i="35"/>
  <c r="D13" i="27"/>
  <c r="B43" i="27"/>
  <c r="B18" i="27"/>
  <c r="E7" i="26"/>
  <c r="E8" i="26"/>
  <c r="E9" i="26"/>
  <c r="C8" i="26"/>
  <c r="C9" i="26"/>
  <c r="C7" i="26"/>
  <c r="A4" i="26"/>
  <c r="F42" i="44" l="1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F31" i="44"/>
  <c r="F32" i="44"/>
  <c r="F33" i="44"/>
  <c r="F34" i="44"/>
  <c r="F35" i="44"/>
  <c r="F36" i="44"/>
  <c r="F37" i="44"/>
  <c r="F38" i="44"/>
  <c r="F39" i="44"/>
  <c r="F40" i="44"/>
  <c r="F41" i="44"/>
  <c r="CJ13" i="26"/>
  <c r="CJ12" i="26" s="1"/>
  <c r="F27" i="41"/>
  <c r="H30" i="41"/>
  <c r="G30" i="41"/>
  <c r="G27" i="41" s="1"/>
  <c r="C9" i="41"/>
  <c r="C36" i="41" s="1"/>
  <c r="A4" i="32"/>
  <c r="A4" i="41"/>
  <c r="E21" i="41"/>
  <c r="E13" i="32"/>
  <c r="D35" i="32"/>
  <c r="D27" i="41"/>
  <c r="D36" i="41" s="1"/>
  <c r="E11" i="32"/>
  <c r="E11" i="41"/>
  <c r="D36" i="32"/>
  <c r="D28" i="41"/>
  <c r="L16" i="32"/>
  <c r="CI13" i="26"/>
  <c r="CI12" i="26" s="1"/>
  <c r="L15" i="32"/>
  <c r="L12" i="32"/>
  <c r="CF13" i="26"/>
  <c r="CF12" i="26" s="1"/>
  <c r="CH13" i="26"/>
  <c r="CH12" i="26" s="1"/>
  <c r="CK13" i="26"/>
  <c r="CK12" i="26" s="1"/>
  <c r="CG13" i="26"/>
  <c r="CG12" i="26" s="1"/>
  <c r="CA13" i="26"/>
  <c r="CA12" i="26" s="1"/>
  <c r="H32" i="32"/>
  <c r="I26" i="23"/>
  <c r="Q33" i="26"/>
  <c r="M33" i="32"/>
  <c r="G32" i="32"/>
  <c r="H31" i="32"/>
  <c r="AB33" i="26"/>
  <c r="Z33" i="26"/>
  <c r="U33" i="26"/>
  <c r="BR22" i="26"/>
  <c r="BR21" i="26" s="1"/>
  <c r="K20" i="32"/>
  <c r="K19" i="32" s="1"/>
  <c r="K18" i="32" s="1"/>
  <c r="K9" i="32" s="1"/>
  <c r="F31" i="32"/>
  <c r="F33" i="26"/>
  <c r="F12" i="26" s="1"/>
  <c r="J25" i="32"/>
  <c r="J23" i="32" s="1"/>
  <c r="BL26" i="26"/>
  <c r="BL21" i="26" s="1"/>
  <c r="H20" i="32"/>
  <c r="H19" i="32" s="1"/>
  <c r="AG22" i="26"/>
  <c r="AG21" i="26" s="1"/>
  <c r="CL23" i="26"/>
  <c r="CL22" i="26" s="1"/>
  <c r="X33" i="26"/>
  <c r="H33" i="26"/>
  <c r="AA33" i="26"/>
  <c r="K33" i="26"/>
  <c r="H39" i="32"/>
  <c r="H38" i="32" s="1"/>
  <c r="AD41" i="26"/>
  <c r="F39" i="32"/>
  <c r="F38" i="32" s="1"/>
  <c r="I41" i="26"/>
  <c r="L33" i="26"/>
  <c r="O33" i="26"/>
  <c r="F32" i="32"/>
  <c r="K33" i="40" s="1"/>
  <c r="CL35" i="26"/>
  <c r="H25" i="32"/>
  <c r="H23" i="32" s="1"/>
  <c r="AO26" i="26"/>
  <c r="AO21" i="26" s="1"/>
  <c r="H25" i="23"/>
  <c r="D11" i="26" s="1"/>
  <c r="D12" i="26"/>
  <c r="D9" i="32" s="1"/>
  <c r="E10" i="32"/>
  <c r="L20" i="32"/>
  <c r="L19" i="32" s="1"/>
  <c r="L18" i="32" s="1"/>
  <c r="BZ22" i="26"/>
  <c r="BZ21" i="26" s="1"/>
  <c r="BZ12" i="26" s="1"/>
  <c r="Y33" i="26"/>
  <c r="N33" i="26"/>
  <c r="V33" i="26"/>
  <c r="T33" i="26"/>
  <c r="W33" i="26"/>
  <c r="G33" i="26"/>
  <c r="M33" i="26"/>
  <c r="E39" i="26"/>
  <c r="I52" i="23"/>
  <c r="E38" i="26" s="1"/>
  <c r="G33" i="33"/>
  <c r="G49" i="33" s="1"/>
  <c r="G75" i="33" s="1"/>
  <c r="E18" i="26"/>
  <c r="E15" i="32" s="1"/>
  <c r="L39" i="32"/>
  <c r="L38" i="32" s="1"/>
  <c r="CA41" i="26"/>
  <c r="J39" i="32"/>
  <c r="J38" i="32" s="1"/>
  <c r="BB41" i="26"/>
  <c r="F25" i="32"/>
  <c r="Q26" i="26"/>
  <c r="Q21" i="26" s="1"/>
  <c r="CL28" i="26"/>
  <c r="CL26" i="26" s="1"/>
  <c r="G31" i="32"/>
  <c r="R33" i="26"/>
  <c r="K39" i="32"/>
  <c r="K38" i="32" s="1"/>
  <c r="BO41" i="26"/>
  <c r="I39" i="32"/>
  <c r="I38" i="32" s="1"/>
  <c r="AP41" i="26"/>
  <c r="I25" i="32"/>
  <c r="I23" i="32" s="1"/>
  <c r="BA26" i="26"/>
  <c r="BA21" i="26" s="1"/>
  <c r="G25" i="32"/>
  <c r="G23" i="32" s="1"/>
  <c r="G18" i="32" s="1"/>
  <c r="AC26" i="26"/>
  <c r="AC21" i="26" s="1"/>
  <c r="J20" i="32"/>
  <c r="J19" i="32" s="1"/>
  <c r="BE22" i="26"/>
  <c r="BE21" i="26" s="1"/>
  <c r="I20" i="32"/>
  <c r="I19" i="32" s="1"/>
  <c r="AT22" i="26"/>
  <c r="AT21" i="26" s="1"/>
  <c r="K20" i="40"/>
  <c r="J33" i="26"/>
  <c r="P33" i="26"/>
  <c r="S33" i="26"/>
  <c r="I33" i="26"/>
  <c r="AD40" i="26"/>
  <c r="E37" i="32"/>
  <c r="G39" i="32"/>
  <c r="G38" i="32" s="1"/>
  <c r="R41" i="26"/>
  <c r="G29" i="32"/>
  <c r="G28" i="32" s="1"/>
  <c r="M28" i="32" s="1"/>
  <c r="X31" i="26"/>
  <c r="CL32" i="26"/>
  <c r="CL31" i="26" s="1"/>
  <c r="I17" i="36"/>
  <c r="AC33" i="26"/>
  <c r="V50" i="36"/>
  <c r="C45" i="33"/>
  <c r="L21" i="25"/>
  <c r="M21" i="25" s="1"/>
  <c r="I36" i="25"/>
  <c r="I35" i="25" s="1"/>
  <c r="B10" i="25"/>
  <c r="B27" i="23" s="1"/>
  <c r="A4" i="23"/>
  <c r="B25" i="23" s="1"/>
  <c r="E55" i="10"/>
  <c r="H45" i="10"/>
  <c r="E9" i="10"/>
  <c r="I13" i="10"/>
  <c r="L9" i="41" l="1"/>
  <c r="CL21" i="26"/>
  <c r="E9" i="41"/>
  <c r="E36" i="41" s="1"/>
  <c r="E63" i="10"/>
  <c r="F42" i="10" s="1"/>
  <c r="E36" i="32"/>
  <c r="E28" i="41"/>
  <c r="A42" i="40"/>
  <c r="A33" i="41"/>
  <c r="E35" i="32"/>
  <c r="E27" i="41"/>
  <c r="D44" i="32"/>
  <c r="E8" i="10"/>
  <c r="E23" i="10" s="1"/>
  <c r="F17" i="10" s="1"/>
  <c r="H30" i="32"/>
  <c r="G30" i="32"/>
  <c r="L9" i="32"/>
  <c r="I8" i="25"/>
  <c r="M19" i="32"/>
  <c r="I25" i="23"/>
  <c r="E12" i="26"/>
  <c r="C46" i="33"/>
  <c r="H18" i="32"/>
  <c r="I18" i="32"/>
  <c r="AG40" i="26"/>
  <c r="AJ40" i="26" s="1"/>
  <c r="AM40" i="26" s="1"/>
  <c r="AP40" i="26" s="1"/>
  <c r="K26" i="40"/>
  <c r="F23" i="32"/>
  <c r="K32" i="40"/>
  <c r="F30" i="32"/>
  <c r="J18" i="32"/>
  <c r="K40" i="40"/>
  <c r="AD33" i="26"/>
  <c r="P13" i="33"/>
  <c r="I35" i="10"/>
  <c r="I46" i="10"/>
  <c r="I45" i="10"/>
  <c r="D11" i="35"/>
  <c r="A41" i="32"/>
  <c r="W50" i="36"/>
  <c r="X50" i="36"/>
  <c r="L20" i="25"/>
  <c r="M20" i="25" s="1"/>
  <c r="L22" i="25"/>
  <c r="M22" i="25" s="1"/>
  <c r="F37" i="10" l="1"/>
  <c r="F62" i="10"/>
  <c r="H29" i="41"/>
  <c r="H28" i="41" s="1"/>
  <c r="H27" i="41" s="1"/>
  <c r="E44" i="32"/>
  <c r="B42" i="40"/>
  <c r="B33" i="41"/>
  <c r="F19" i="10"/>
  <c r="F16" i="10"/>
  <c r="B41" i="32"/>
  <c r="K39" i="40"/>
  <c r="AS40" i="26"/>
  <c r="AV40" i="26" s="1"/>
  <c r="AY40" i="26" s="1"/>
  <c r="BB40" i="26" s="1"/>
  <c r="K31" i="40"/>
  <c r="M30" i="32"/>
  <c r="K24" i="40"/>
  <c r="M23" i="32"/>
  <c r="F18" i="32"/>
  <c r="AE33" i="26"/>
  <c r="Q13" i="33"/>
  <c r="F61" i="10"/>
  <c r="F54" i="10"/>
  <c r="F60" i="10"/>
  <c r="F53" i="10"/>
  <c r="F59" i="10"/>
  <c r="F52" i="10"/>
  <c r="F58" i="10"/>
  <c r="F41" i="10"/>
  <c r="F48" i="10"/>
  <c r="F49" i="10"/>
  <c r="F14" i="10"/>
  <c r="D24" i="10"/>
  <c r="F21" i="10"/>
  <c r="F11" i="10"/>
  <c r="F18" i="10"/>
  <c r="F22" i="10"/>
  <c r="F12" i="10"/>
  <c r="F15" i="10"/>
  <c r="F10" i="10"/>
  <c r="F51" i="10"/>
  <c r="F40" i="10"/>
  <c r="F34" i="10"/>
  <c r="F47" i="10"/>
  <c r="F46" i="10"/>
  <c r="F45" i="10"/>
  <c r="F36" i="10"/>
  <c r="F50" i="10"/>
  <c r="F44" i="10"/>
  <c r="F35" i="10"/>
  <c r="F39" i="10"/>
  <c r="I36" i="10"/>
  <c r="Q34" i="33"/>
  <c r="P34" i="33"/>
  <c r="G12" i="10"/>
  <c r="H12" i="10" s="1"/>
  <c r="G10" i="10"/>
  <c r="H10" i="10" s="1"/>
  <c r="G11" i="10"/>
  <c r="H11" i="10" s="1"/>
  <c r="G72" i="33"/>
  <c r="D19" i="35"/>
  <c r="D20" i="35"/>
  <c r="D24" i="35"/>
  <c r="D28" i="35"/>
  <c r="D32" i="35"/>
  <c r="D36" i="35"/>
  <c r="J36" i="35" s="1"/>
  <c r="T51" i="35" s="1"/>
  <c r="D40" i="35"/>
  <c r="J40" i="35" s="1"/>
  <c r="X51" i="35" s="1"/>
  <c r="D18" i="35"/>
  <c r="D21" i="35"/>
  <c r="D25" i="35"/>
  <c r="D29" i="35"/>
  <c r="D33" i="35"/>
  <c r="D37" i="35"/>
  <c r="D41" i="35"/>
  <c r="D22" i="35"/>
  <c r="D30" i="35"/>
  <c r="D38" i="35"/>
  <c r="D23" i="35"/>
  <c r="D31" i="35"/>
  <c r="D39" i="35"/>
  <c r="D34" i="35"/>
  <c r="D42" i="35"/>
  <c r="D26" i="35"/>
  <c r="D35" i="35"/>
  <c r="D27" i="35"/>
  <c r="Y50" i="36"/>
  <c r="H40" i="35"/>
  <c r="F57" i="10"/>
  <c r="F56" i="10"/>
  <c r="F38" i="10" l="1"/>
  <c r="F33" i="10"/>
  <c r="I29" i="41"/>
  <c r="I28" i="41" s="1"/>
  <c r="I27" i="41" s="1"/>
  <c r="BE40" i="26"/>
  <c r="BH40" i="26" s="1"/>
  <c r="BK40" i="26" s="1"/>
  <c r="K19" i="40"/>
  <c r="M18" i="32"/>
  <c r="AF33" i="26"/>
  <c r="E11" i="26"/>
  <c r="F20" i="10"/>
  <c r="F9" i="10"/>
  <c r="F43" i="10"/>
  <c r="F55" i="10"/>
  <c r="H36" i="35"/>
  <c r="CL44" i="26"/>
  <c r="H27" i="35"/>
  <c r="J27" i="35"/>
  <c r="K51" i="35" s="1"/>
  <c r="J38" i="35"/>
  <c r="V51" i="35" s="1"/>
  <c r="H38" i="35"/>
  <c r="J21" i="35"/>
  <c r="I21" i="35" s="1"/>
  <c r="E50" i="35" s="1"/>
  <c r="H21" i="35"/>
  <c r="H32" i="36"/>
  <c r="P51" i="36"/>
  <c r="P52" i="36" s="1"/>
  <c r="AR16" i="26" s="1"/>
  <c r="I51" i="36"/>
  <c r="I52" i="36" s="1"/>
  <c r="AK16" i="26" s="1"/>
  <c r="H25" i="36"/>
  <c r="J39" i="35"/>
  <c r="W51" i="35" s="1"/>
  <c r="H39" i="35"/>
  <c r="J33" i="35"/>
  <c r="Q51" i="35" s="1"/>
  <c r="H33" i="35"/>
  <c r="I18" i="35"/>
  <c r="B50" i="35" s="1"/>
  <c r="H18" i="35"/>
  <c r="E18" i="35"/>
  <c r="E19" i="35" s="1"/>
  <c r="E20" i="35" s="1"/>
  <c r="D43" i="35"/>
  <c r="K43" i="35" s="1"/>
  <c r="H41" i="36"/>
  <c r="Y51" i="36"/>
  <c r="Y52" i="36" s="1"/>
  <c r="BA16" i="26" s="1"/>
  <c r="H19" i="36"/>
  <c r="C51" i="36"/>
  <c r="C52" i="36" s="1"/>
  <c r="L51" i="36"/>
  <c r="L52" i="36" s="1"/>
  <c r="AN16" i="26" s="1"/>
  <c r="H28" i="36"/>
  <c r="H38" i="36"/>
  <c r="V51" i="36"/>
  <c r="V52" i="36" s="1"/>
  <c r="AX16" i="26" s="1"/>
  <c r="J31" i="35"/>
  <c r="O51" i="35" s="1"/>
  <c r="H31" i="35"/>
  <c r="J24" i="35"/>
  <c r="H51" i="35" s="1"/>
  <c r="H24" i="35"/>
  <c r="H34" i="35"/>
  <c r="J34" i="35"/>
  <c r="R51" i="35" s="1"/>
  <c r="J37" i="35"/>
  <c r="H37" i="35"/>
  <c r="J32" i="35"/>
  <c r="P51" i="35" s="1"/>
  <c r="H32" i="35"/>
  <c r="H19" i="35"/>
  <c r="J19" i="35"/>
  <c r="C51" i="35" s="1"/>
  <c r="H42" i="36"/>
  <c r="Z51" i="36"/>
  <c r="R51" i="36"/>
  <c r="R52" i="36" s="1"/>
  <c r="AT16" i="26" s="1"/>
  <c r="H34" i="36"/>
  <c r="H37" i="36"/>
  <c r="U51" i="36"/>
  <c r="U52" i="36" s="1"/>
  <c r="AW16" i="26" s="1"/>
  <c r="H24" i="36"/>
  <c r="H51" i="36"/>
  <c r="H52" i="36" s="1"/>
  <c r="AJ16" i="26" s="1"/>
  <c r="C63" i="38"/>
  <c r="C57" i="38" s="1"/>
  <c r="C60" i="38"/>
  <c r="A62" i="38"/>
  <c r="AA58" i="38"/>
  <c r="J35" i="35"/>
  <c r="S51" i="35" s="1"/>
  <c r="H35" i="35"/>
  <c r="H30" i="35"/>
  <c r="J30" i="35"/>
  <c r="N51" i="35" s="1"/>
  <c r="J28" i="35"/>
  <c r="L51" i="35" s="1"/>
  <c r="H28" i="35"/>
  <c r="D43" i="36"/>
  <c r="H18" i="36"/>
  <c r="E18" i="36"/>
  <c r="E19" i="36" s="1"/>
  <c r="E20" i="36" s="1"/>
  <c r="H23" i="36"/>
  <c r="G51" i="36"/>
  <c r="G52" i="36" s="1"/>
  <c r="AI16" i="26" s="1"/>
  <c r="X51" i="36"/>
  <c r="X52" i="36" s="1"/>
  <c r="AZ16" i="26" s="1"/>
  <c r="H40" i="36"/>
  <c r="J26" i="35"/>
  <c r="J51" i="35" s="1"/>
  <c r="H26" i="35"/>
  <c r="J22" i="35"/>
  <c r="F51" i="35" s="1"/>
  <c r="H22" i="35"/>
  <c r="J29" i="35"/>
  <c r="H29" i="35"/>
  <c r="F51" i="36"/>
  <c r="F52" i="36" s="1"/>
  <c r="AH16" i="26" s="1"/>
  <c r="H22" i="36"/>
  <c r="S51" i="36"/>
  <c r="S52" i="36" s="1"/>
  <c r="AU16" i="26" s="1"/>
  <c r="H35" i="36"/>
  <c r="H31" i="36"/>
  <c r="O51" i="36"/>
  <c r="O52" i="36" s="1"/>
  <c r="AQ16" i="26" s="1"/>
  <c r="H33" i="36"/>
  <c r="H27" i="36"/>
  <c r="K51" i="36"/>
  <c r="K52" i="36" s="1"/>
  <c r="AM16" i="26" s="1"/>
  <c r="H21" i="36"/>
  <c r="J42" i="35"/>
  <c r="H42" i="35"/>
  <c r="H23" i="35"/>
  <c r="J23" i="35"/>
  <c r="G51" i="35" s="1"/>
  <c r="J41" i="35"/>
  <c r="H41" i="35"/>
  <c r="J25" i="35"/>
  <c r="I51" i="35" s="1"/>
  <c r="H25" i="35"/>
  <c r="J20" i="35"/>
  <c r="D51" i="35" s="1"/>
  <c r="H20" i="35"/>
  <c r="J51" i="36"/>
  <c r="J52" i="36" s="1"/>
  <c r="AL16" i="26" s="1"/>
  <c r="H26" i="36"/>
  <c r="N51" i="36"/>
  <c r="N52" i="36" s="1"/>
  <c r="AP16" i="26" s="1"/>
  <c r="H30" i="36"/>
  <c r="D51" i="36"/>
  <c r="D52" i="36" s="1"/>
  <c r="AF16" i="26" s="1"/>
  <c r="H20" i="36"/>
  <c r="H36" i="36"/>
  <c r="T51" i="36"/>
  <c r="T52" i="36" s="1"/>
  <c r="AV16" i="26" s="1"/>
  <c r="M51" i="36"/>
  <c r="M52" i="36" s="1"/>
  <c r="AO16" i="26" s="1"/>
  <c r="H29" i="36"/>
  <c r="W51" i="36"/>
  <c r="W52" i="36" s="1"/>
  <c r="AY16" i="26" s="1"/>
  <c r="H39" i="36"/>
  <c r="D8" i="37"/>
  <c r="D11" i="37" s="1"/>
  <c r="A63" i="37"/>
  <c r="C63" i="37" s="1"/>
  <c r="C57" i="37" s="1"/>
  <c r="C60" i="37"/>
  <c r="B58" i="37"/>
  <c r="AA58" i="37" s="1"/>
  <c r="Z50" i="36"/>
  <c r="I36" i="35"/>
  <c r="T50" i="35" s="1"/>
  <c r="T52" i="35" s="1"/>
  <c r="AD15" i="26" s="1"/>
  <c r="I40" i="35"/>
  <c r="X50" i="35" s="1"/>
  <c r="X52" i="35" s="1"/>
  <c r="AH15" i="26" s="1"/>
  <c r="K12" i="26"/>
  <c r="D23" i="37" l="1"/>
  <c r="J23" i="37" s="1"/>
  <c r="D27" i="37"/>
  <c r="J27" i="37" s="1"/>
  <c r="D31" i="37"/>
  <c r="J31" i="37" s="1"/>
  <c r="D35" i="37"/>
  <c r="J35" i="37" s="1"/>
  <c r="D39" i="37"/>
  <c r="J39" i="37" s="1"/>
  <c r="D18" i="37"/>
  <c r="J18" i="37" s="1"/>
  <c r="D26" i="37"/>
  <c r="J26" i="37" s="1"/>
  <c r="D38" i="37"/>
  <c r="J38" i="37" s="1"/>
  <c r="D20" i="37"/>
  <c r="J20" i="37" s="1"/>
  <c r="D24" i="37"/>
  <c r="J24" i="37" s="1"/>
  <c r="D28" i="37"/>
  <c r="J28" i="37" s="1"/>
  <c r="D32" i="37"/>
  <c r="J32" i="37" s="1"/>
  <c r="D36" i="37"/>
  <c r="J36" i="37" s="1"/>
  <c r="D40" i="37"/>
  <c r="J40" i="37" s="1"/>
  <c r="D19" i="37"/>
  <c r="J19" i="37" s="1"/>
  <c r="D22" i="37"/>
  <c r="J22" i="37" s="1"/>
  <c r="D30" i="37"/>
  <c r="J30" i="37" s="1"/>
  <c r="D42" i="37"/>
  <c r="J42" i="37" s="1"/>
  <c r="D21" i="37"/>
  <c r="J21" i="37" s="1"/>
  <c r="D25" i="37"/>
  <c r="J25" i="37" s="1"/>
  <c r="D29" i="37"/>
  <c r="J29" i="37" s="1"/>
  <c r="D33" i="37"/>
  <c r="J33" i="37" s="1"/>
  <c r="D37" i="37"/>
  <c r="J37" i="37" s="1"/>
  <c r="D41" i="37"/>
  <c r="J41" i="37" s="1"/>
  <c r="D34" i="37"/>
  <c r="J34" i="37" s="1"/>
  <c r="F32" i="10"/>
  <c r="F63" i="10" s="1"/>
  <c r="J29" i="41"/>
  <c r="J28" i="41" s="1"/>
  <c r="J27" i="41" s="1"/>
  <c r="D22" i="38"/>
  <c r="J22" i="38" s="1"/>
  <c r="D26" i="38"/>
  <c r="J26" i="38" s="1"/>
  <c r="D30" i="38"/>
  <c r="J30" i="38" s="1"/>
  <c r="D34" i="38"/>
  <c r="J34" i="38" s="1"/>
  <c r="D38" i="38"/>
  <c r="J38" i="38" s="1"/>
  <c r="D42" i="38"/>
  <c r="J42" i="38" s="1"/>
  <c r="D24" i="38"/>
  <c r="J24" i="38" s="1"/>
  <c r="D32" i="38"/>
  <c r="J32" i="38" s="1"/>
  <c r="D40" i="38"/>
  <c r="J40" i="38" s="1"/>
  <c r="D21" i="38"/>
  <c r="J21" i="38" s="1"/>
  <c r="D29" i="38"/>
  <c r="J29" i="38" s="1"/>
  <c r="D37" i="38"/>
  <c r="J37" i="38" s="1"/>
  <c r="D23" i="38"/>
  <c r="J23" i="38" s="1"/>
  <c r="D27" i="38"/>
  <c r="J27" i="38" s="1"/>
  <c r="D31" i="38"/>
  <c r="J31" i="38" s="1"/>
  <c r="D35" i="38"/>
  <c r="J35" i="38" s="1"/>
  <c r="D39" i="38"/>
  <c r="J39" i="38" s="1"/>
  <c r="D19" i="38"/>
  <c r="D20" i="38"/>
  <c r="J20" i="38" s="1"/>
  <c r="D28" i="38"/>
  <c r="J28" i="38" s="1"/>
  <c r="D36" i="38"/>
  <c r="J36" i="38" s="1"/>
  <c r="D18" i="38"/>
  <c r="D25" i="38"/>
  <c r="J25" i="38" s="1"/>
  <c r="D33" i="38"/>
  <c r="J33" i="38" s="1"/>
  <c r="D41" i="38"/>
  <c r="J41" i="38" s="1"/>
  <c r="F8" i="10"/>
  <c r="F23" i="10" s="1"/>
  <c r="AE16" i="26"/>
  <c r="AG33" i="26"/>
  <c r="I38" i="35"/>
  <c r="V50" i="35" s="1"/>
  <c r="V52" i="35" s="1"/>
  <c r="AF15" i="26" s="1"/>
  <c r="I27" i="35"/>
  <c r="K50" i="35" s="1"/>
  <c r="K52" i="35" s="1"/>
  <c r="U15" i="26" s="1"/>
  <c r="I31" i="36"/>
  <c r="I32" i="35"/>
  <c r="P50" i="35" s="1"/>
  <c r="P52" i="35" s="1"/>
  <c r="Z15" i="26" s="1"/>
  <c r="I25" i="36"/>
  <c r="I21" i="36"/>
  <c r="I35" i="36"/>
  <c r="I23" i="35"/>
  <c r="G50" i="35" s="1"/>
  <c r="G52" i="35" s="1"/>
  <c r="Q15" i="26" s="1"/>
  <c r="I29" i="36"/>
  <c r="I20" i="36"/>
  <c r="I26" i="36"/>
  <c r="I28" i="35"/>
  <c r="L50" i="35" s="1"/>
  <c r="L52" i="35" s="1"/>
  <c r="V15" i="26" s="1"/>
  <c r="I26" i="35"/>
  <c r="J50" i="35" s="1"/>
  <c r="J52" i="35" s="1"/>
  <c r="T15" i="26" s="1"/>
  <c r="I22" i="36"/>
  <c r="I39" i="36"/>
  <c r="I30" i="36"/>
  <c r="I27" i="36"/>
  <c r="I28" i="36"/>
  <c r="I37" i="36"/>
  <c r="I42" i="36"/>
  <c r="K36" i="35"/>
  <c r="I39" i="35"/>
  <c r="W50" i="35" s="1"/>
  <c r="W52" i="35" s="1"/>
  <c r="AG15" i="26" s="1"/>
  <c r="Z52" i="36"/>
  <c r="BB16" i="26" s="1"/>
  <c r="I33" i="35"/>
  <c r="Q50" i="35" s="1"/>
  <c r="Q52" i="35" s="1"/>
  <c r="AA15" i="26" s="1"/>
  <c r="I23" i="36"/>
  <c r="I30" i="35"/>
  <c r="N50" i="35" s="1"/>
  <c r="N52" i="35" s="1"/>
  <c r="X15" i="26" s="1"/>
  <c r="I24" i="36"/>
  <c r="I24" i="35"/>
  <c r="H50" i="35" s="1"/>
  <c r="H52" i="35" s="1"/>
  <c r="R15" i="26" s="1"/>
  <c r="I36" i="36"/>
  <c r="I20" i="35"/>
  <c r="D50" i="35" s="1"/>
  <c r="D52" i="35" s="1"/>
  <c r="N15" i="26" s="1"/>
  <c r="I25" i="35"/>
  <c r="I50" i="35" s="1"/>
  <c r="I52" i="35" s="1"/>
  <c r="S15" i="26" s="1"/>
  <c r="I18" i="36"/>
  <c r="I35" i="35"/>
  <c r="S50" i="35" s="1"/>
  <c r="S52" i="35" s="1"/>
  <c r="AC15" i="26" s="1"/>
  <c r="D57" i="38"/>
  <c r="E57" i="38" s="1"/>
  <c r="F57" i="38" s="1"/>
  <c r="G57" i="38" s="1"/>
  <c r="H57" i="38" s="1"/>
  <c r="I57" i="38" s="1"/>
  <c r="J57" i="38" s="1"/>
  <c r="K57" i="38" s="1"/>
  <c r="L57" i="38" s="1"/>
  <c r="M57" i="38" s="1"/>
  <c r="N57" i="38" s="1"/>
  <c r="O57" i="38" s="1"/>
  <c r="P57" i="38" s="1"/>
  <c r="Q57" i="38" s="1"/>
  <c r="R57" i="38" s="1"/>
  <c r="S57" i="38" s="1"/>
  <c r="T57" i="38" s="1"/>
  <c r="U57" i="38" s="1"/>
  <c r="V57" i="38" s="1"/>
  <c r="W57" i="38" s="1"/>
  <c r="X57" i="38" s="1"/>
  <c r="Y57" i="38" s="1"/>
  <c r="Z57" i="38" s="1"/>
  <c r="I31" i="35"/>
  <c r="O50" i="35" s="1"/>
  <c r="O52" i="35" s="1"/>
  <c r="Y15" i="26" s="1"/>
  <c r="I38" i="36"/>
  <c r="I19" i="36"/>
  <c r="I32" i="36"/>
  <c r="Q51" i="36"/>
  <c r="Q52" i="36" s="1"/>
  <c r="AS16" i="26" s="1"/>
  <c r="K36" i="36"/>
  <c r="U51" i="35"/>
  <c r="I37" i="35"/>
  <c r="U50" i="35" s="1"/>
  <c r="Y51" i="35"/>
  <c r="I41" i="35"/>
  <c r="Y50" i="35" s="1"/>
  <c r="E51" i="36"/>
  <c r="E52" i="36" s="1"/>
  <c r="AG16" i="26" s="1"/>
  <c r="K32" i="36"/>
  <c r="I33" i="36"/>
  <c r="M51" i="35"/>
  <c r="I29" i="35"/>
  <c r="M50" i="35" s="1"/>
  <c r="I40" i="36"/>
  <c r="K20" i="36"/>
  <c r="I34" i="36"/>
  <c r="I19" i="35"/>
  <c r="C50" i="35" s="1"/>
  <c r="C52" i="35" s="1"/>
  <c r="M15" i="26" s="1"/>
  <c r="I34" i="35"/>
  <c r="R50" i="35" s="1"/>
  <c r="R52" i="35" s="1"/>
  <c r="AB15" i="26" s="1"/>
  <c r="I41" i="36"/>
  <c r="D57" i="37"/>
  <c r="E57" i="37" s="1"/>
  <c r="F57" i="37" s="1"/>
  <c r="G57" i="37" s="1"/>
  <c r="H57" i="37" s="1"/>
  <c r="I57" i="37" s="1"/>
  <c r="J57" i="37" s="1"/>
  <c r="K57" i="37" s="1"/>
  <c r="L57" i="37" s="1"/>
  <c r="M57" i="37" s="1"/>
  <c r="N57" i="37" s="1"/>
  <c r="O57" i="37" s="1"/>
  <c r="P57" i="37" s="1"/>
  <c r="Q57" i="37" s="1"/>
  <c r="R57" i="37" s="1"/>
  <c r="S57" i="37" s="1"/>
  <c r="T57" i="37" s="1"/>
  <c r="U57" i="37" s="1"/>
  <c r="V57" i="37" s="1"/>
  <c r="W57" i="37" s="1"/>
  <c r="X57" i="37" s="1"/>
  <c r="Y57" i="37" s="1"/>
  <c r="Z57" i="37" s="1"/>
  <c r="Z51" i="35"/>
  <c r="I42" i="35"/>
  <c r="Z50" i="35" s="1"/>
  <c r="I22" i="35"/>
  <c r="F50" i="35" s="1"/>
  <c r="F52" i="35" s="1"/>
  <c r="P15" i="26" s="1"/>
  <c r="J43" i="35"/>
  <c r="L43" i="35" s="1"/>
  <c r="B51" i="35"/>
  <c r="B52" i="35" s="1"/>
  <c r="K20" i="35"/>
  <c r="E51" i="35"/>
  <c r="E52" i="35" s="1"/>
  <c r="O15" i="26" s="1"/>
  <c r="K32" i="35"/>
  <c r="AA50" i="36"/>
  <c r="E21" i="36"/>
  <c r="E21" i="35"/>
  <c r="J19" i="38" l="1"/>
  <c r="I13" i="32"/>
  <c r="J13" i="32"/>
  <c r="B53" i="36"/>
  <c r="I43" i="36"/>
  <c r="I44" i="36" s="1"/>
  <c r="I45" i="36" s="1"/>
  <c r="AH33" i="26"/>
  <c r="AA57" i="38"/>
  <c r="M52" i="35"/>
  <c r="W15" i="26" s="1"/>
  <c r="G12" i="32" s="1"/>
  <c r="U52" i="35"/>
  <c r="AE15" i="26" s="1"/>
  <c r="AA50" i="35"/>
  <c r="AA57" i="37"/>
  <c r="Y52" i="35"/>
  <c r="AI15" i="26" s="1"/>
  <c r="P55" i="37"/>
  <c r="H32" i="37"/>
  <c r="L55" i="37"/>
  <c r="H28" i="37"/>
  <c r="H29" i="38"/>
  <c r="M55" i="38"/>
  <c r="M56" i="38" s="1"/>
  <c r="M59" i="38" s="1"/>
  <c r="I55" i="38"/>
  <c r="I56" i="38" s="1"/>
  <c r="I59" i="38" s="1"/>
  <c r="H25" i="38"/>
  <c r="E18" i="38"/>
  <c r="E19" i="38" s="1"/>
  <c r="E20" i="38" s="1"/>
  <c r="E21" i="38" s="1"/>
  <c r="D43" i="38"/>
  <c r="H18" i="38"/>
  <c r="J18" i="38"/>
  <c r="F55" i="37"/>
  <c r="H22" i="37"/>
  <c r="X55" i="37"/>
  <c r="H40" i="37"/>
  <c r="O55" i="37"/>
  <c r="H31" i="37"/>
  <c r="P55" i="38"/>
  <c r="P56" i="38" s="1"/>
  <c r="P59" i="38" s="1"/>
  <c r="H32" i="38"/>
  <c r="H20" i="38"/>
  <c r="D55" i="38"/>
  <c r="D56" i="38" s="1"/>
  <c r="D59" i="38" s="1"/>
  <c r="T55" i="38"/>
  <c r="T56" i="38" s="1"/>
  <c r="T59" i="38" s="1"/>
  <c r="H36" i="38"/>
  <c r="M55" i="37"/>
  <c r="H29" i="37"/>
  <c r="Y55" i="37"/>
  <c r="H41" i="37"/>
  <c r="H55" i="37"/>
  <c r="H24" i="37"/>
  <c r="H42" i="38"/>
  <c r="Z55" i="38"/>
  <c r="Z56" i="38" s="1"/>
  <c r="Z59" i="38" s="1"/>
  <c r="G55" i="37"/>
  <c r="H23" i="37"/>
  <c r="K55" i="37"/>
  <c r="H27" i="37"/>
  <c r="H21" i="37"/>
  <c r="V55" i="37"/>
  <c r="H38" i="37"/>
  <c r="I55" i="37"/>
  <c r="H25" i="37"/>
  <c r="U55" i="38"/>
  <c r="U56" i="38" s="1"/>
  <c r="U59" i="38" s="1"/>
  <c r="H37" i="38"/>
  <c r="J55" i="38"/>
  <c r="J56" i="38" s="1"/>
  <c r="J59" i="38" s="1"/>
  <c r="H26" i="38"/>
  <c r="H30" i="38"/>
  <c r="N55" i="38"/>
  <c r="N56" i="38" s="1"/>
  <c r="N59" i="38" s="1"/>
  <c r="I43" i="35"/>
  <c r="J55" i="37"/>
  <c r="H26" i="37"/>
  <c r="U55" i="37"/>
  <c r="H37" i="37"/>
  <c r="W55" i="37"/>
  <c r="H39" i="37"/>
  <c r="H31" i="38"/>
  <c r="O55" i="38"/>
  <c r="O56" i="38" s="1"/>
  <c r="O59" i="38" s="1"/>
  <c r="H33" i="38"/>
  <c r="H21" i="38"/>
  <c r="R55" i="37"/>
  <c r="H34" i="37"/>
  <c r="H33" i="37"/>
  <c r="Z55" i="37"/>
  <c r="H42" i="37"/>
  <c r="H27" i="38"/>
  <c r="K55" i="38"/>
  <c r="K56" i="38" s="1"/>
  <c r="K59" i="38" s="1"/>
  <c r="F55" i="38"/>
  <c r="F56" i="38" s="1"/>
  <c r="F59" i="38" s="1"/>
  <c r="H22" i="38"/>
  <c r="G55" i="38"/>
  <c r="G56" i="38" s="1"/>
  <c r="G59" i="38" s="1"/>
  <c r="H23" i="38"/>
  <c r="H34" i="38"/>
  <c r="R55" i="38"/>
  <c r="R56" i="38" s="1"/>
  <c r="R59" i="38" s="1"/>
  <c r="H19" i="38"/>
  <c r="I19" i="38" s="1"/>
  <c r="C55" i="38"/>
  <c r="C56" i="38" s="1"/>
  <c r="C59" i="38" s="1"/>
  <c r="W55" i="38"/>
  <c r="W56" i="38" s="1"/>
  <c r="W59" i="38" s="1"/>
  <c r="H39" i="38"/>
  <c r="AA51" i="35"/>
  <c r="Z52" i="35"/>
  <c r="AJ15" i="26" s="1"/>
  <c r="AA51" i="36"/>
  <c r="AA52" i="36" s="1"/>
  <c r="T55" i="37"/>
  <c r="H36" i="37"/>
  <c r="D43" i="37"/>
  <c r="E18" i="37"/>
  <c r="E19" i="37" s="1"/>
  <c r="E20" i="37" s="1"/>
  <c r="E21" i="37" s="1"/>
  <c r="H18" i="37"/>
  <c r="D55" i="37"/>
  <c r="H20" i="37"/>
  <c r="N55" i="37"/>
  <c r="H30" i="37"/>
  <c r="C55" i="37"/>
  <c r="H19" i="37"/>
  <c r="S55" i="37"/>
  <c r="H35" i="37"/>
  <c r="H55" i="38"/>
  <c r="H56" i="38" s="1"/>
  <c r="H59" i="38" s="1"/>
  <c r="H24" i="38"/>
  <c r="X55" i="38"/>
  <c r="X56" i="38" s="1"/>
  <c r="X59" i="38" s="1"/>
  <c r="H40" i="38"/>
  <c r="S55" i="38"/>
  <c r="S56" i="38" s="1"/>
  <c r="S59" i="38" s="1"/>
  <c r="H35" i="38"/>
  <c r="Y55" i="38"/>
  <c r="Y56" i="38" s="1"/>
  <c r="Y59" i="38" s="1"/>
  <c r="H41" i="38"/>
  <c r="V55" i="38"/>
  <c r="V56" i="38" s="1"/>
  <c r="V59" i="38" s="1"/>
  <c r="H38" i="38"/>
  <c r="H28" i="38"/>
  <c r="L55" i="38"/>
  <c r="L56" i="38" s="1"/>
  <c r="L59" i="38" s="1"/>
  <c r="E22" i="36"/>
  <c r="E22" i="35"/>
  <c r="AX20" i="26" l="1"/>
  <c r="AT20" i="26"/>
  <c r="AT13" i="26" s="1"/>
  <c r="AR20" i="26"/>
  <c r="AR13" i="26" s="1"/>
  <c r="AH20" i="26"/>
  <c r="AU20" i="26"/>
  <c r="AU13" i="26" s="1"/>
  <c r="AJ20" i="26"/>
  <c r="AI20" i="26"/>
  <c r="AQ20" i="26"/>
  <c r="AQ13" i="26" s="1"/>
  <c r="AL20" i="26"/>
  <c r="BB20" i="26"/>
  <c r="AN20" i="26"/>
  <c r="AP20" i="26"/>
  <c r="AV20" i="26"/>
  <c r="AV13" i="26" s="1"/>
  <c r="AK20" i="26"/>
  <c r="BA20" i="26"/>
  <c r="AZ20" i="26"/>
  <c r="AY20" i="26"/>
  <c r="AW20" i="26"/>
  <c r="AF20" i="26"/>
  <c r="AO20" i="26"/>
  <c r="AE20" i="26"/>
  <c r="AM20" i="26"/>
  <c r="L44" i="35"/>
  <c r="I44" i="35"/>
  <c r="H12" i="32"/>
  <c r="AI33" i="26"/>
  <c r="I41" i="38"/>
  <c r="I31" i="37"/>
  <c r="O54" i="37" s="1"/>
  <c r="O56" i="37" s="1"/>
  <c r="O59" i="37" s="1"/>
  <c r="I32" i="38"/>
  <c r="I33" i="38"/>
  <c r="I32" i="37"/>
  <c r="P54" i="37" s="1"/>
  <c r="P56" i="37" s="1"/>
  <c r="P59" i="37" s="1"/>
  <c r="I19" i="37"/>
  <c r="C54" i="37" s="1"/>
  <c r="I22" i="38"/>
  <c r="I23" i="37"/>
  <c r="G54" i="37" s="1"/>
  <c r="G56" i="37" s="1"/>
  <c r="G59" i="37" s="1"/>
  <c r="I36" i="37"/>
  <c r="T54" i="37" s="1"/>
  <c r="T56" i="37" s="1"/>
  <c r="T59" i="37" s="1"/>
  <c r="I27" i="37"/>
  <c r="K54" i="37" s="1"/>
  <c r="K56" i="37" s="1"/>
  <c r="K59" i="37" s="1"/>
  <c r="I29" i="37"/>
  <c r="M54" i="37" s="1"/>
  <c r="M56" i="37" s="1"/>
  <c r="M59" i="37" s="1"/>
  <c r="I20" i="38"/>
  <c r="I38" i="38"/>
  <c r="I35" i="38"/>
  <c r="I23" i="38"/>
  <c r="I28" i="38"/>
  <c r="I30" i="38"/>
  <c r="I26" i="38"/>
  <c r="I25" i="38"/>
  <c r="I35" i="37"/>
  <c r="S54" i="37" s="1"/>
  <c r="S56" i="37" s="1"/>
  <c r="S59" i="37" s="1"/>
  <c r="I25" i="37"/>
  <c r="I54" i="37" s="1"/>
  <c r="I56" i="37" s="1"/>
  <c r="I59" i="37" s="1"/>
  <c r="I30" i="37"/>
  <c r="N54" i="37" s="1"/>
  <c r="N56" i="37" s="1"/>
  <c r="N59" i="37" s="1"/>
  <c r="I34" i="38"/>
  <c r="I29" i="38"/>
  <c r="I24" i="38"/>
  <c r="I20" i="37"/>
  <c r="D54" i="37" s="1"/>
  <c r="D56" i="37" s="1"/>
  <c r="D59" i="37" s="1"/>
  <c r="AA52" i="35"/>
  <c r="I27" i="38"/>
  <c r="I21" i="38"/>
  <c r="I39" i="37"/>
  <c r="W54" i="37" s="1"/>
  <c r="W56" i="37" s="1"/>
  <c r="W59" i="37" s="1"/>
  <c r="I37" i="38"/>
  <c r="I42" i="38"/>
  <c r="I28" i="37"/>
  <c r="L54" i="37" s="1"/>
  <c r="L56" i="37" s="1"/>
  <c r="L59" i="37" s="1"/>
  <c r="I38" i="37"/>
  <c r="V54" i="37" s="1"/>
  <c r="V56" i="37" s="1"/>
  <c r="V59" i="37" s="1"/>
  <c r="J43" i="38"/>
  <c r="K20" i="38"/>
  <c r="B55" i="38"/>
  <c r="L15" i="26"/>
  <c r="B53" i="35"/>
  <c r="E55" i="37"/>
  <c r="K32" i="37"/>
  <c r="K36" i="37"/>
  <c r="Q55" i="37"/>
  <c r="I34" i="37"/>
  <c r="R54" i="37" s="1"/>
  <c r="R56" i="37" s="1"/>
  <c r="R59" i="37" s="1"/>
  <c r="I31" i="38"/>
  <c r="I40" i="38"/>
  <c r="I33" i="37"/>
  <c r="Q54" i="37" s="1"/>
  <c r="K36" i="38"/>
  <c r="Q55" i="38"/>
  <c r="Q56" i="38" s="1"/>
  <c r="Q59" i="38" s="1"/>
  <c r="K20" i="37"/>
  <c r="B55" i="37"/>
  <c r="J43" i="37"/>
  <c r="AD16" i="26"/>
  <c r="I39" i="38"/>
  <c r="I42" i="37"/>
  <c r="Z54" i="37" s="1"/>
  <c r="Z56" i="37" s="1"/>
  <c r="Z59" i="37" s="1"/>
  <c r="E55" i="38"/>
  <c r="E56" i="38" s="1"/>
  <c r="E59" i="38" s="1"/>
  <c r="K32" i="38"/>
  <c r="I37" i="37"/>
  <c r="U54" i="37" s="1"/>
  <c r="U56" i="37" s="1"/>
  <c r="U59" i="37" s="1"/>
  <c r="I26" i="37"/>
  <c r="J54" i="37" s="1"/>
  <c r="J56" i="37" s="1"/>
  <c r="J59" i="37" s="1"/>
  <c r="I21" i="37"/>
  <c r="E54" i="37" s="1"/>
  <c r="I24" i="37"/>
  <c r="H54" i="37" s="1"/>
  <c r="H56" i="37" s="1"/>
  <c r="H59" i="37" s="1"/>
  <c r="I41" i="37"/>
  <c r="Y54" i="37" s="1"/>
  <c r="Y56" i="37" s="1"/>
  <c r="Y59" i="37" s="1"/>
  <c r="I36" i="38"/>
  <c r="I40" i="37"/>
  <c r="X54" i="37" s="1"/>
  <c r="X56" i="37" s="1"/>
  <c r="X59" i="37" s="1"/>
  <c r="I22" i="37"/>
  <c r="F54" i="37" s="1"/>
  <c r="F56" i="37" s="1"/>
  <c r="F59" i="37" s="1"/>
  <c r="E22" i="38"/>
  <c r="E22" i="37"/>
  <c r="E23" i="36"/>
  <c r="E23" i="35"/>
  <c r="F12" i="32" l="1"/>
  <c r="K13" i="40" s="1"/>
  <c r="AP13" i="26"/>
  <c r="J9" i="41"/>
  <c r="J36" i="41" s="1"/>
  <c r="J17" i="32"/>
  <c r="J9" i="32" s="1"/>
  <c r="BB13" i="26"/>
  <c r="AM13" i="26"/>
  <c r="AY13" i="26"/>
  <c r="AO13" i="26"/>
  <c r="BA13" i="26"/>
  <c r="AS20" i="26"/>
  <c r="AS13" i="26" s="1"/>
  <c r="AG20" i="26"/>
  <c r="AK13" i="26"/>
  <c r="AW13" i="26"/>
  <c r="AN13" i="26"/>
  <c r="AZ13" i="26"/>
  <c r="AL13" i="26"/>
  <c r="AX13" i="26"/>
  <c r="AH19" i="26"/>
  <c r="AC19" i="26"/>
  <c r="AJ19" i="26"/>
  <c r="AE19" i="26"/>
  <c r="AF19" i="26"/>
  <c r="AG19" i="26"/>
  <c r="N19" i="26"/>
  <c r="X19" i="26"/>
  <c r="U19" i="26"/>
  <c r="Y19" i="26"/>
  <c r="AB19" i="26"/>
  <c r="Q19" i="26"/>
  <c r="T19" i="26"/>
  <c r="W19" i="26"/>
  <c r="AI19" i="26"/>
  <c r="P19" i="26"/>
  <c r="R19" i="26"/>
  <c r="V19" i="26"/>
  <c r="S19" i="26"/>
  <c r="AD19" i="26"/>
  <c r="Z19" i="26"/>
  <c r="H13" i="32"/>
  <c r="M13" i="32" s="1"/>
  <c r="CL16" i="26"/>
  <c r="M12" i="32"/>
  <c r="AJ33" i="26"/>
  <c r="E56" i="37"/>
  <c r="E59" i="37" s="1"/>
  <c r="I43" i="38"/>
  <c r="I44" i="38" s="1"/>
  <c r="I45" i="38" s="1"/>
  <c r="Q56" i="37"/>
  <c r="Q59" i="37" s="1"/>
  <c r="AA55" i="37"/>
  <c r="B56" i="37"/>
  <c r="CL15" i="26"/>
  <c r="AA55" i="38"/>
  <c r="B56" i="38"/>
  <c r="B59" i="38" s="1"/>
  <c r="I43" i="37"/>
  <c r="I44" i="37" s="1"/>
  <c r="AA54" i="37"/>
  <c r="C56" i="37"/>
  <c r="E23" i="38"/>
  <c r="E23" i="37"/>
  <c r="E24" i="36"/>
  <c r="E24" i="35"/>
  <c r="G12" i="26"/>
  <c r="H12" i="26"/>
  <c r="I12" i="26"/>
  <c r="J12" i="26"/>
  <c r="BO12" i="26"/>
  <c r="I17" i="32" l="1"/>
  <c r="I9" i="32" s="1"/>
  <c r="I9" i="41"/>
  <c r="I36" i="41" s="1"/>
  <c r="C59" i="37"/>
  <c r="H16" i="32"/>
  <c r="AA19" i="26"/>
  <c r="G16" i="32" s="1"/>
  <c r="O19" i="26"/>
  <c r="AK33" i="26"/>
  <c r="AA56" i="38"/>
  <c r="B59" i="37"/>
  <c r="AA56" i="37"/>
  <c r="E24" i="38"/>
  <c r="E24" i="37"/>
  <c r="E25" i="36"/>
  <c r="E25" i="35"/>
  <c r="B12" i="33"/>
  <c r="B4" i="33"/>
  <c r="G62" i="33"/>
  <c r="G78" i="33" s="1"/>
  <c r="G56" i="33"/>
  <c r="G76" i="33" s="1"/>
  <c r="H28" i="33"/>
  <c r="G74" i="33" s="1"/>
  <c r="H22" i="33"/>
  <c r="G73" i="33" s="1"/>
  <c r="M19" i="26" l="1"/>
  <c r="AL33" i="26"/>
  <c r="L19" i="26"/>
  <c r="AA59" i="37"/>
  <c r="AA59" i="38"/>
  <c r="AD20" i="26"/>
  <c r="E25" i="38"/>
  <c r="E25" i="37"/>
  <c r="E26" i="36"/>
  <c r="E26" i="35"/>
  <c r="G68" i="33"/>
  <c r="H17" i="32" l="1"/>
  <c r="M17" i="32" s="1"/>
  <c r="CL20" i="26"/>
  <c r="F16" i="32"/>
  <c r="K17" i="40" s="1"/>
  <c r="CL19" i="26"/>
  <c r="AM33" i="26"/>
  <c r="E26" i="38"/>
  <c r="E26" i="37"/>
  <c r="E27" i="36"/>
  <c r="E27" i="35"/>
  <c r="M16" i="32" l="1"/>
  <c r="AN33" i="26"/>
  <c r="E27" i="38"/>
  <c r="E27" i="37"/>
  <c r="E28" i="36"/>
  <c r="E28" i="35"/>
  <c r="AO33" i="26" l="1"/>
  <c r="CL34" i="26"/>
  <c r="CL33" i="26" s="1"/>
  <c r="E28" i="38"/>
  <c r="E28" i="37"/>
  <c r="E29" i="36"/>
  <c r="E29" i="35"/>
  <c r="E29" i="38" l="1"/>
  <c r="E29" i="37"/>
  <c r="E30" i="36"/>
  <c r="E30" i="35"/>
  <c r="E30" i="38" l="1"/>
  <c r="E30" i="37"/>
  <c r="E31" i="36"/>
  <c r="E31" i="35"/>
  <c r="E31" i="38" l="1"/>
  <c r="E31" i="37"/>
  <c r="E32" i="36"/>
  <c r="E32" i="35"/>
  <c r="E32" i="38" l="1"/>
  <c r="E32" i="37"/>
  <c r="E33" i="36"/>
  <c r="E33" i="35"/>
  <c r="B43" i="30"/>
  <c r="AA54" i="30"/>
  <c r="A43" i="30"/>
  <c r="C19" i="30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B18" i="30"/>
  <c r="J17" i="30"/>
  <c r="D17" i="30"/>
  <c r="D13" i="30"/>
  <c r="I17" i="30" s="1"/>
  <c r="C11" i="30"/>
  <c r="C8" i="30"/>
  <c r="I7" i="30"/>
  <c r="A5" i="30"/>
  <c r="BP12" i="26"/>
  <c r="BQ12" i="26"/>
  <c r="BR12" i="26"/>
  <c r="U50" i="28"/>
  <c r="B43" i="28"/>
  <c r="A43" i="28"/>
  <c r="A5" i="28" s="1"/>
  <c r="C19" i="28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B18" i="28"/>
  <c r="J17" i="28"/>
  <c r="D17" i="28"/>
  <c r="D13" i="28"/>
  <c r="I17" i="28" s="1"/>
  <c r="C11" i="28"/>
  <c r="C8" i="28"/>
  <c r="I7" i="28"/>
  <c r="E33" i="38" l="1"/>
  <c r="E33" i="37"/>
  <c r="E34" i="36"/>
  <c r="E34" i="35"/>
  <c r="V50" i="28"/>
  <c r="W50" i="28" s="1"/>
  <c r="X50" i="28" s="1"/>
  <c r="A5" i="27"/>
  <c r="U50" i="27"/>
  <c r="C19" i="27"/>
  <c r="C20" i="27" s="1"/>
  <c r="C21" i="27" s="1"/>
  <c r="J17" i="27"/>
  <c r="D17" i="27"/>
  <c r="I17" i="27"/>
  <c r="C11" i="27"/>
  <c r="C8" i="27"/>
  <c r="I7" i="27"/>
  <c r="BN40" i="26"/>
  <c r="BO40" i="26"/>
  <c r="BO39" i="26" s="1"/>
  <c r="BQ40" i="26" l="1"/>
  <c r="BR40" i="26"/>
  <c r="BU40" i="26" s="1"/>
  <c r="E34" i="38"/>
  <c r="E34" i="37"/>
  <c r="E35" i="36"/>
  <c r="E35" i="35"/>
  <c r="V50" i="27"/>
  <c r="C22" i="27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Y50" i="28"/>
  <c r="BU39" i="26"/>
  <c r="BX40" i="26"/>
  <c r="BT40" i="26"/>
  <c r="BR39" i="26"/>
  <c r="BN39" i="26"/>
  <c r="BN38" i="26" s="1"/>
  <c r="A13" i="26"/>
  <c r="A12" i="26"/>
  <c r="A11" i="26"/>
  <c r="B11" i="26"/>
  <c r="B9" i="40" s="1"/>
  <c r="BL39" i="26"/>
  <c r="BK39" i="26"/>
  <c r="BI39" i="26"/>
  <c r="BH39" i="26"/>
  <c r="BH38" i="26" s="1"/>
  <c r="BF39" i="26"/>
  <c r="BE39" i="26"/>
  <c r="BC39" i="26"/>
  <c r="BB39" i="26"/>
  <c r="BB38" i="26" s="1"/>
  <c r="AZ39" i="26"/>
  <c r="AZ38" i="26" s="1"/>
  <c r="AY39" i="26"/>
  <c r="AY38" i="26" s="1"/>
  <c r="AW39" i="26"/>
  <c r="AV39" i="26"/>
  <c r="AV38" i="26" s="1"/>
  <c r="AT39" i="26"/>
  <c r="AS39" i="26"/>
  <c r="AQ39" i="26"/>
  <c r="AP39" i="26"/>
  <c r="AP38" i="26" s="1"/>
  <c r="AN39" i="26"/>
  <c r="AN38" i="26" s="1"/>
  <c r="AM39" i="26"/>
  <c r="AM38" i="26" s="1"/>
  <c r="AK39" i="26"/>
  <c r="AJ39" i="26"/>
  <c r="AJ38" i="26" s="1"/>
  <c r="AH39" i="26"/>
  <c r="AG39" i="26"/>
  <c r="AE39" i="26"/>
  <c r="AD39" i="26"/>
  <c r="AD38" i="26" s="1"/>
  <c r="AB39" i="26"/>
  <c r="AB38" i="26" s="1"/>
  <c r="AA39" i="26"/>
  <c r="AA38" i="26" s="1"/>
  <c r="Y39" i="26"/>
  <c r="Y38" i="26" s="1"/>
  <c r="X39" i="26"/>
  <c r="X38" i="26" s="1"/>
  <c r="V39" i="26"/>
  <c r="U39" i="26"/>
  <c r="S39" i="26"/>
  <c r="R39" i="26"/>
  <c r="R38" i="26" s="1"/>
  <c r="P39" i="26"/>
  <c r="P38" i="26" s="1"/>
  <c r="O39" i="26"/>
  <c r="O38" i="26" s="1"/>
  <c r="M39" i="26"/>
  <c r="M38" i="26" s="1"/>
  <c r="L39" i="26"/>
  <c r="L38" i="26" s="1"/>
  <c r="J39" i="26"/>
  <c r="J38" i="26" s="1"/>
  <c r="I39" i="26"/>
  <c r="I38" i="26" s="1"/>
  <c r="G39" i="26"/>
  <c r="G38" i="26" s="1"/>
  <c r="A10" i="40" l="1"/>
  <c r="A9" i="41"/>
  <c r="A11" i="40"/>
  <c r="A10" i="41"/>
  <c r="BQ39" i="26"/>
  <c r="E35" i="38"/>
  <c r="E35" i="37"/>
  <c r="E36" i="36"/>
  <c r="E36" i="35"/>
  <c r="A9" i="32"/>
  <c r="A10" i="32"/>
  <c r="W50" i="27"/>
  <c r="Z50" i="28"/>
  <c r="BW40" i="26"/>
  <c r="K29" i="41" s="1"/>
  <c r="K28" i="41" s="1"/>
  <c r="K27" i="41" s="1"/>
  <c r="K36" i="41" s="1"/>
  <c r="BT39" i="26"/>
  <c r="BT38" i="26" s="1"/>
  <c r="CA40" i="26"/>
  <c r="BX39" i="26"/>
  <c r="F11" i="26"/>
  <c r="J11" i="26"/>
  <c r="G11" i="26"/>
  <c r="I11" i="26"/>
  <c r="AK38" i="26"/>
  <c r="E36" i="38" l="1"/>
  <c r="F35" i="38" s="1"/>
  <c r="E36" i="37"/>
  <c r="F35" i="37" s="1"/>
  <c r="E37" i="36"/>
  <c r="E37" i="35"/>
  <c r="X50" i="27"/>
  <c r="Y50" i="27" s="1"/>
  <c r="AA50" i="28"/>
  <c r="CA39" i="26"/>
  <c r="CD40" i="26"/>
  <c r="BW39" i="26"/>
  <c r="BW38" i="26" s="1"/>
  <c r="BZ40" i="26"/>
  <c r="BU38" i="26"/>
  <c r="BU11" i="26" s="1"/>
  <c r="BL38" i="26"/>
  <c r="BI38" i="26"/>
  <c r="F36" i="38" l="1"/>
  <c r="E3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6" i="37"/>
  <c r="E3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E38" i="36"/>
  <c r="E38" i="35"/>
  <c r="Z50" i="27"/>
  <c r="AA50" i="27"/>
  <c r="CC40" i="26"/>
  <c r="L29" i="41" s="1"/>
  <c r="L28" i="41" s="1"/>
  <c r="L27" i="41" s="1"/>
  <c r="L36" i="41" s="1"/>
  <c r="BZ39" i="26"/>
  <c r="BZ38" i="26" s="1"/>
  <c r="CG40" i="26"/>
  <c r="CD39" i="26"/>
  <c r="BX38" i="26"/>
  <c r="BX11" i="26" s="1"/>
  <c r="F37" i="38" l="1"/>
  <c r="E38" i="38"/>
  <c r="F37" i="37"/>
  <c r="E38" i="37"/>
  <c r="E39" i="36"/>
  <c r="E39" i="35"/>
  <c r="CG39" i="26"/>
  <c r="CJ40" i="26"/>
  <c r="CJ39" i="26" s="1"/>
  <c r="CC39" i="26"/>
  <c r="F38" i="38" l="1"/>
  <c r="E39" i="38"/>
  <c r="F38" i="37"/>
  <c r="E39" i="37"/>
  <c r="E40" i="36"/>
  <c r="E40" i="35"/>
  <c r="CI39" i="26"/>
  <c r="CF39" i="26"/>
  <c r="CF38" i="26" s="1"/>
  <c r="E40" i="38" l="1"/>
  <c r="F39" i="38"/>
  <c r="E40" i="37"/>
  <c r="F39" i="37"/>
  <c r="E41" i="36"/>
  <c r="E41" i="35"/>
  <c r="C56" i="23"/>
  <c r="B56" i="23"/>
  <c r="A56" i="23"/>
  <c r="A42" i="26" s="1"/>
  <c r="B55" i="23"/>
  <c r="B41" i="26" s="1"/>
  <c r="A55" i="23"/>
  <c r="A41" i="26" s="1"/>
  <c r="B54" i="23"/>
  <c r="C43" i="33" s="1"/>
  <c r="A54" i="23"/>
  <c r="A40" i="26" s="1"/>
  <c r="B53" i="23"/>
  <c r="B39" i="26" s="1"/>
  <c r="A53" i="23"/>
  <c r="A39" i="26" s="1"/>
  <c r="A52" i="23"/>
  <c r="A38" i="26" s="1"/>
  <c r="A36" i="40" s="1"/>
  <c r="B52" i="23"/>
  <c r="B38" i="26" s="1"/>
  <c r="A26" i="23"/>
  <c r="B37" i="40" l="1"/>
  <c r="B28" i="41"/>
  <c r="B39" i="40"/>
  <c r="B30" i="41"/>
  <c r="A41" i="40"/>
  <c r="A32" i="41"/>
  <c r="B36" i="40"/>
  <c r="B27" i="41"/>
  <c r="A38" i="40"/>
  <c r="A29" i="41"/>
  <c r="A40" i="40"/>
  <c r="A31" i="41"/>
  <c r="A37" i="40"/>
  <c r="A28" i="41"/>
  <c r="A39" i="40"/>
  <c r="A30" i="41"/>
  <c r="B41" i="40"/>
  <c r="B32" i="41"/>
  <c r="B42" i="26"/>
  <c r="C44" i="33"/>
  <c r="B40" i="26"/>
  <c r="B29" i="41" s="1"/>
  <c r="E41" i="38"/>
  <c r="F40" i="38"/>
  <c r="E41" i="37"/>
  <c r="F40" i="37"/>
  <c r="E42" i="36"/>
  <c r="E42" i="35"/>
  <c r="F19" i="35" s="1"/>
  <c r="B36" i="32"/>
  <c r="B38" i="32"/>
  <c r="A37" i="32"/>
  <c r="A40" i="32"/>
  <c r="B35" i="32"/>
  <c r="A39" i="32"/>
  <c r="A36" i="32"/>
  <c r="A38" i="32"/>
  <c r="B40" i="32"/>
  <c r="B9" i="25"/>
  <c r="B12" i="26" s="1"/>
  <c r="B26" i="23"/>
  <c r="J55" i="23"/>
  <c r="J53" i="23"/>
  <c r="J26" i="23"/>
  <c r="J25" i="23"/>
  <c r="A25" i="23"/>
  <c r="B10" i="40" l="1"/>
  <c r="B9" i="41"/>
  <c r="B40" i="40"/>
  <c r="B31" i="41"/>
  <c r="B39" i="32"/>
  <c r="B37" i="32"/>
  <c r="B38" i="40"/>
  <c r="F41" i="38"/>
  <c r="E42" i="38"/>
  <c r="F42" i="38" s="1"/>
  <c r="F41" i="37"/>
  <c r="E42" i="37"/>
  <c r="F42" i="37" s="1"/>
  <c r="F42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5"/>
  <c r="F18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B9" i="32"/>
  <c r="BK38" i="26"/>
  <c r="AW38" i="26"/>
  <c r="B13" i="26"/>
  <c r="B11" i="40" s="1"/>
  <c r="D8" i="28"/>
  <c r="D11" i="28" s="1"/>
  <c r="H39" i="26" l="1"/>
  <c r="H38" i="26" s="1"/>
  <c r="H11" i="26" s="1"/>
  <c r="B10" i="32"/>
  <c r="D40" i="28"/>
  <c r="D32" i="28"/>
  <c r="D36" i="28"/>
  <c r="D30" i="28"/>
  <c r="D19" i="28"/>
  <c r="D23" i="28"/>
  <c r="D38" i="28"/>
  <c r="D41" i="28"/>
  <c r="D34" i="28"/>
  <c r="D26" i="28"/>
  <c r="D28" i="28"/>
  <c r="D21" i="28"/>
  <c r="D35" i="28"/>
  <c r="D39" i="28"/>
  <c r="D31" i="28"/>
  <c r="D24" i="28"/>
  <c r="D27" i="28"/>
  <c r="D20" i="28"/>
  <c r="D42" i="28"/>
  <c r="D33" i="28"/>
  <c r="D37" i="28"/>
  <c r="D29" i="28"/>
  <c r="D22" i="28"/>
  <c r="D25" i="28"/>
  <c r="D18" i="28"/>
  <c r="D11" i="27"/>
  <c r="CG38" i="26" l="1"/>
  <c r="CG11" i="26" s="1"/>
  <c r="CD38" i="26"/>
  <c r="CD11" i="26" s="1"/>
  <c r="BF38" i="26"/>
  <c r="U38" i="26"/>
  <c r="AH38" i="26"/>
  <c r="BR38" i="26"/>
  <c r="BR11" i="26" s="1"/>
  <c r="CC38" i="26"/>
  <c r="AG38" i="26"/>
  <c r="BO38" i="26"/>
  <c r="BO11" i="26" s="1"/>
  <c r="AS38" i="26"/>
  <c r="CI38" i="26"/>
  <c r="AQ38" i="26"/>
  <c r="CJ38" i="26"/>
  <c r="CJ11" i="26" s="1"/>
  <c r="BE38" i="26"/>
  <c r="S38" i="26"/>
  <c r="CA38" i="26"/>
  <c r="CA11" i="26" s="1"/>
  <c r="AE38" i="26"/>
  <c r="AT38" i="26"/>
  <c r="BQ38" i="26"/>
  <c r="V38" i="26"/>
  <c r="D19" i="27"/>
  <c r="D18" i="27"/>
  <c r="CL43" i="26"/>
  <c r="BT11" i="26"/>
  <c r="BZ11" i="26"/>
  <c r="C23" i="10"/>
  <c r="C24" i="10" s="1"/>
  <c r="CF11" i="26"/>
  <c r="BC38" i="26"/>
  <c r="CL42" i="26"/>
  <c r="BW11" i="26"/>
  <c r="H29" i="28"/>
  <c r="J29" i="28"/>
  <c r="M51" i="28" s="1"/>
  <c r="J20" i="28"/>
  <c r="D51" i="28" s="1"/>
  <c r="H20" i="28"/>
  <c r="H39" i="28"/>
  <c r="J39" i="28"/>
  <c r="W51" i="28" s="1"/>
  <c r="J26" i="28"/>
  <c r="J51" i="28" s="1"/>
  <c r="H26" i="28"/>
  <c r="J23" i="28"/>
  <c r="G51" i="28" s="1"/>
  <c r="H23" i="28"/>
  <c r="J32" i="28"/>
  <c r="P51" i="28" s="1"/>
  <c r="H32" i="28"/>
  <c r="H18" i="28"/>
  <c r="E18" i="28"/>
  <c r="D43" i="28"/>
  <c r="J18" i="28"/>
  <c r="J37" i="28"/>
  <c r="U51" i="28" s="1"/>
  <c r="H37" i="28"/>
  <c r="H27" i="28"/>
  <c r="J27" i="28"/>
  <c r="K51" i="28" s="1"/>
  <c r="J35" i="28"/>
  <c r="S51" i="28" s="1"/>
  <c r="H35" i="28"/>
  <c r="H34" i="28"/>
  <c r="J34" i="28"/>
  <c r="R51" i="28" s="1"/>
  <c r="J19" i="28"/>
  <c r="C51" i="28" s="1"/>
  <c r="H19" i="28"/>
  <c r="J40" i="28"/>
  <c r="X51" i="28" s="1"/>
  <c r="H40" i="28"/>
  <c r="J25" i="28"/>
  <c r="I51" i="28" s="1"/>
  <c r="H25" i="28"/>
  <c r="J33" i="28"/>
  <c r="H33" i="28"/>
  <c r="J24" i="28"/>
  <c r="H51" i="28" s="1"/>
  <c r="H24" i="28"/>
  <c r="J21" i="28"/>
  <c r="H21" i="28"/>
  <c r="J41" i="28"/>
  <c r="Y51" i="28" s="1"/>
  <c r="H41" i="28"/>
  <c r="J30" i="28"/>
  <c r="N51" i="28" s="1"/>
  <c r="H30" i="28"/>
  <c r="D33" i="27"/>
  <c r="D42" i="27"/>
  <c r="D27" i="27"/>
  <c r="D30" i="27"/>
  <c r="D34" i="27"/>
  <c r="D38" i="27"/>
  <c r="D20" i="27"/>
  <c r="D24" i="27"/>
  <c r="D28" i="27"/>
  <c r="D31" i="27"/>
  <c r="D35" i="27"/>
  <c r="D39" i="27"/>
  <c r="D21" i="27"/>
  <c r="D25" i="27"/>
  <c r="D40" i="27"/>
  <c r="D32" i="27"/>
  <c r="D36" i="27"/>
  <c r="D41" i="27"/>
  <c r="D22" i="27"/>
  <c r="D26" i="27"/>
  <c r="D29" i="27"/>
  <c r="D37" i="27"/>
  <c r="D23" i="27"/>
  <c r="J22" i="28"/>
  <c r="F51" i="28" s="1"/>
  <c r="H22" i="28"/>
  <c r="J42" i="28"/>
  <c r="Z51" i="28" s="1"/>
  <c r="H42" i="28"/>
  <c r="H31" i="28"/>
  <c r="J31" i="28"/>
  <c r="O51" i="28" s="1"/>
  <c r="J28" i="28"/>
  <c r="L51" i="28" s="1"/>
  <c r="H28" i="28"/>
  <c r="H38" i="28"/>
  <c r="J38" i="28"/>
  <c r="V51" i="28" s="1"/>
  <c r="J36" i="28"/>
  <c r="T51" i="28" s="1"/>
  <c r="H36" i="28"/>
  <c r="CL41" i="26" l="1"/>
  <c r="CC11" i="26"/>
  <c r="BQ11" i="26"/>
  <c r="CI11" i="26"/>
  <c r="J18" i="27"/>
  <c r="B51" i="27" s="1"/>
  <c r="L14" i="26" s="1"/>
  <c r="H18" i="27"/>
  <c r="K39" i="26"/>
  <c r="K38" i="26" s="1"/>
  <c r="K11" i="26" s="1"/>
  <c r="D43" i="27"/>
  <c r="I33" i="28"/>
  <c r="I23" i="28"/>
  <c r="I20" i="28"/>
  <c r="I41" i="28"/>
  <c r="I24" i="28"/>
  <c r="I19" i="28"/>
  <c r="I18" i="28"/>
  <c r="I38" i="28"/>
  <c r="I30" i="28"/>
  <c r="I25" i="28"/>
  <c r="I37" i="28"/>
  <c r="I29" i="28"/>
  <c r="I36" i="28"/>
  <c r="I28" i="28"/>
  <c r="I42" i="28"/>
  <c r="I22" i="28"/>
  <c r="Z52" i="28"/>
  <c r="J29" i="27"/>
  <c r="M51" i="27" s="1"/>
  <c r="H29" i="27"/>
  <c r="H36" i="27"/>
  <c r="J36" i="27"/>
  <c r="H25" i="27"/>
  <c r="J25" i="27"/>
  <c r="I51" i="27" s="1"/>
  <c r="H31" i="27"/>
  <c r="J31" i="27"/>
  <c r="O51" i="27" s="1"/>
  <c r="J38" i="27"/>
  <c r="V51" i="27" s="1"/>
  <c r="H38" i="27"/>
  <c r="J42" i="27"/>
  <c r="Z51" i="27" s="1"/>
  <c r="H42" i="27"/>
  <c r="N52" i="28"/>
  <c r="I21" i="28"/>
  <c r="H52" i="28"/>
  <c r="I40" i="28"/>
  <c r="C52" i="28"/>
  <c r="S52" i="28"/>
  <c r="W52" i="28"/>
  <c r="D52" i="28"/>
  <c r="T52" i="28"/>
  <c r="L52" i="28"/>
  <c r="E18" i="27"/>
  <c r="J32" i="27"/>
  <c r="P51" i="27" s="1"/>
  <c r="H32" i="27"/>
  <c r="J28" i="27"/>
  <c r="L51" i="27" s="1"/>
  <c r="H28" i="27"/>
  <c r="H33" i="27"/>
  <c r="J33" i="27"/>
  <c r="X52" i="28"/>
  <c r="R52" i="28"/>
  <c r="K52" i="28"/>
  <c r="U52" i="28"/>
  <c r="E19" i="28"/>
  <c r="G52" i="28"/>
  <c r="I39" i="28"/>
  <c r="O52" i="28"/>
  <c r="J26" i="27"/>
  <c r="J51" i="27" s="1"/>
  <c r="H26" i="27"/>
  <c r="J21" i="27"/>
  <c r="H21" i="27"/>
  <c r="H34" i="27"/>
  <c r="J34" i="27"/>
  <c r="R51" i="27" s="1"/>
  <c r="K32" i="28"/>
  <c r="E51" i="28"/>
  <c r="V52" i="28"/>
  <c r="F52" i="28"/>
  <c r="H23" i="27"/>
  <c r="J23" i="27"/>
  <c r="G51" i="27" s="1"/>
  <c r="J22" i="27"/>
  <c r="F51" i="27" s="1"/>
  <c r="H22" i="27"/>
  <c r="J40" i="27"/>
  <c r="X51" i="27" s="1"/>
  <c r="H40" i="27"/>
  <c r="J39" i="27"/>
  <c r="W51" i="27" s="1"/>
  <c r="H39" i="27"/>
  <c r="J24" i="27"/>
  <c r="H51" i="27" s="1"/>
  <c r="H24" i="27"/>
  <c r="J30" i="27"/>
  <c r="N51" i="27" s="1"/>
  <c r="H30" i="27"/>
  <c r="I52" i="28"/>
  <c r="I34" i="28"/>
  <c r="I27" i="28"/>
  <c r="I32" i="28"/>
  <c r="I26" i="28"/>
  <c r="I31" i="28"/>
  <c r="J37" i="27"/>
  <c r="U51" i="27" s="1"/>
  <c r="H37" i="27"/>
  <c r="J41" i="27"/>
  <c r="Y51" i="27" s="1"/>
  <c r="H41" i="27"/>
  <c r="H19" i="27"/>
  <c r="J19" i="27"/>
  <c r="C51" i="27" s="1"/>
  <c r="H35" i="27"/>
  <c r="J35" i="27"/>
  <c r="J20" i="27"/>
  <c r="D51" i="27" s="1"/>
  <c r="H20" i="27"/>
  <c r="H27" i="27"/>
  <c r="J27" i="27"/>
  <c r="K51" i="27" s="1"/>
  <c r="Y52" i="28"/>
  <c r="Q51" i="28"/>
  <c r="K36" i="28"/>
  <c r="I35" i="28"/>
  <c r="B51" i="28"/>
  <c r="J43" i="28"/>
  <c r="K20" i="28"/>
  <c r="P52" i="28"/>
  <c r="J52" i="28"/>
  <c r="M52" i="28"/>
  <c r="I18" i="27" l="1"/>
  <c r="Y52" i="27"/>
  <c r="AI14" i="26"/>
  <c r="X52" i="27"/>
  <c r="AH14" i="26"/>
  <c r="P52" i="27"/>
  <c r="Z14" i="26"/>
  <c r="V52" i="27"/>
  <c r="AF14" i="26"/>
  <c r="C52" i="27"/>
  <c r="M14" i="26"/>
  <c r="O52" i="27"/>
  <c r="Y14" i="26"/>
  <c r="D52" i="27"/>
  <c r="N14" i="26"/>
  <c r="N52" i="27"/>
  <c r="X14" i="26"/>
  <c r="F52" i="27"/>
  <c r="P14" i="26"/>
  <c r="Z52" i="27"/>
  <c r="AJ14" i="26"/>
  <c r="N39" i="26"/>
  <c r="N38" i="26" s="1"/>
  <c r="H52" i="27"/>
  <c r="R14" i="26"/>
  <c r="M52" i="27"/>
  <c r="W14" i="26"/>
  <c r="R52" i="27"/>
  <c r="AB14" i="26"/>
  <c r="U52" i="27"/>
  <c r="AE14" i="26"/>
  <c r="W52" i="27"/>
  <c r="AG14" i="26"/>
  <c r="J52" i="27"/>
  <c r="T14" i="26"/>
  <c r="L52" i="27"/>
  <c r="V14" i="26"/>
  <c r="K52" i="27"/>
  <c r="U14" i="26"/>
  <c r="G52" i="27"/>
  <c r="Q14" i="26"/>
  <c r="I52" i="27"/>
  <c r="S14" i="26"/>
  <c r="I25" i="27"/>
  <c r="I30" i="27"/>
  <c r="I39" i="27"/>
  <c r="I36" i="27"/>
  <c r="I24" i="27"/>
  <c r="I22" i="27"/>
  <c r="I38" i="27"/>
  <c r="I34" i="27"/>
  <c r="I33" i="27"/>
  <c r="I19" i="27"/>
  <c r="I27" i="27"/>
  <c r="I35" i="27"/>
  <c r="I37" i="27"/>
  <c r="I40" i="27"/>
  <c r="I23" i="27"/>
  <c r="I26" i="27"/>
  <c r="I32" i="27"/>
  <c r="I31" i="27"/>
  <c r="I43" i="28"/>
  <c r="I44" i="28" s="1"/>
  <c r="I45" i="28" s="1"/>
  <c r="S51" i="27"/>
  <c r="I41" i="27"/>
  <c r="Q51" i="27"/>
  <c r="K36" i="27"/>
  <c r="J43" i="27"/>
  <c r="K20" i="27"/>
  <c r="T51" i="27"/>
  <c r="AA51" i="28"/>
  <c r="AA52" i="28" s="1"/>
  <c r="B52" i="28"/>
  <c r="I20" i="27"/>
  <c r="E51" i="27"/>
  <c r="K32" i="27"/>
  <c r="E52" i="28"/>
  <c r="E19" i="27"/>
  <c r="I42" i="27"/>
  <c r="Q52" i="28"/>
  <c r="I21" i="27"/>
  <c r="E20" i="28"/>
  <c r="I28" i="27"/>
  <c r="I29" i="27"/>
  <c r="T52" i="27" l="1"/>
  <c r="AD14" i="26"/>
  <c r="Q52" i="27"/>
  <c r="AA14" i="26"/>
  <c r="G9" i="41" s="1"/>
  <c r="G36" i="41" s="1"/>
  <c r="Q39" i="26"/>
  <c r="Q38" i="26" s="1"/>
  <c r="T40" i="26"/>
  <c r="E52" i="27"/>
  <c r="O14" i="26"/>
  <c r="S52" i="27"/>
  <c r="AC14" i="26"/>
  <c r="AO12" i="26"/>
  <c r="AM12" i="26"/>
  <c r="AL12" i="26"/>
  <c r="AX12" i="26"/>
  <c r="I43" i="27"/>
  <c r="E20" i="27"/>
  <c r="E21" i="28"/>
  <c r="B53" i="28"/>
  <c r="AA51" i="27"/>
  <c r="AA52" i="27" s="1"/>
  <c r="B52" i="27"/>
  <c r="H11" i="32" l="1"/>
  <c r="H9" i="41"/>
  <c r="H36" i="41" s="1"/>
  <c r="F9" i="41"/>
  <c r="F11" i="32"/>
  <c r="K12" i="40" s="1"/>
  <c r="G11" i="32"/>
  <c r="AN12" i="26"/>
  <c r="AN11" i="26" s="1"/>
  <c r="AR12" i="26"/>
  <c r="I44" i="27"/>
  <c r="I45" i="27" s="1"/>
  <c r="T39" i="26"/>
  <c r="T38" i="26" s="1"/>
  <c r="W40" i="26"/>
  <c r="AU12" i="26"/>
  <c r="F36" i="32"/>
  <c r="AM11" i="26"/>
  <c r="BJ12" i="26"/>
  <c r="BA12" i="26"/>
  <c r="BD12" i="26"/>
  <c r="BM12" i="26"/>
  <c r="BG12" i="26"/>
  <c r="E22" i="28"/>
  <c r="B53" i="27"/>
  <c r="E21" i="27"/>
  <c r="F36" i="41" l="1"/>
  <c r="F37" i="41"/>
  <c r="G37" i="41" s="1"/>
  <c r="H37" i="41" s="1"/>
  <c r="I37" i="41" s="1"/>
  <c r="J37" i="41" s="1"/>
  <c r="K37" i="41" s="1"/>
  <c r="L37" i="41" s="1"/>
  <c r="M11" i="32"/>
  <c r="K37" i="40"/>
  <c r="F35" i="32"/>
  <c r="AY12" i="26"/>
  <c r="AY11" i="26" s="1"/>
  <c r="BF12" i="26"/>
  <c r="BF11" i="26" s="1"/>
  <c r="AK12" i="26"/>
  <c r="AK11" i="26" s="1"/>
  <c r="AT12" i="26"/>
  <c r="AT11" i="26" s="1"/>
  <c r="BB12" i="26"/>
  <c r="BB11" i="26" s="1"/>
  <c r="BI12" i="26"/>
  <c r="BI11" i="26" s="1"/>
  <c r="BH12" i="26"/>
  <c r="BH11" i="26" s="1"/>
  <c r="BL12" i="26"/>
  <c r="BL11" i="26" s="1"/>
  <c r="AV12" i="26"/>
  <c r="AV11" i="26" s="1"/>
  <c r="AZ12" i="26"/>
  <c r="AZ11" i="26" s="1"/>
  <c r="BK12" i="26"/>
  <c r="BK11" i="26" s="1"/>
  <c r="BC12" i="26"/>
  <c r="BC11" i="26" s="1"/>
  <c r="BN12" i="26"/>
  <c r="BN11" i="26" s="1"/>
  <c r="AW12" i="26"/>
  <c r="AW11" i="26" s="1"/>
  <c r="AQ12" i="26"/>
  <c r="AQ11" i="26" s="1"/>
  <c r="W39" i="26"/>
  <c r="W38" i="26" s="1"/>
  <c r="Z40" i="26"/>
  <c r="E22" i="27"/>
  <c r="E23" i="28"/>
  <c r="K36" i="40" l="1"/>
  <c r="AS12" i="26"/>
  <c r="AS11" i="26" s="1"/>
  <c r="BE12" i="26"/>
  <c r="BE11" i="26" s="1"/>
  <c r="AC40" i="26"/>
  <c r="G37" i="32" s="1"/>
  <c r="Z39" i="26"/>
  <c r="Z38" i="26" s="1"/>
  <c r="E23" i="27"/>
  <c r="E24" i="28"/>
  <c r="G36" i="32" l="1"/>
  <c r="G35" i="32" s="1"/>
  <c r="AC39" i="26"/>
  <c r="AC38" i="26" s="1"/>
  <c r="AF40" i="26"/>
  <c r="E24" i="27"/>
  <c r="E25" i="28"/>
  <c r="AP12" i="26" l="1"/>
  <c r="AP11" i="26" s="1"/>
  <c r="AI40" i="26"/>
  <c r="AF39" i="26"/>
  <c r="AF38" i="26" s="1"/>
  <c r="E25" i="27"/>
  <c r="E26" i="28"/>
  <c r="AL40" i="26" l="1"/>
  <c r="H37" i="32" s="1"/>
  <c r="AI39" i="26"/>
  <c r="AI38" i="26" s="1"/>
  <c r="E26" i="27"/>
  <c r="E27" i="28"/>
  <c r="AL39" i="26" l="1"/>
  <c r="AL38" i="26" s="1"/>
  <c r="AL11" i="26" s="1"/>
  <c r="E27" i="27"/>
  <c r="E28" i="28"/>
  <c r="H36" i="32" l="1"/>
  <c r="H35" i="32" s="1"/>
  <c r="AR40" i="26"/>
  <c r="AO39" i="26"/>
  <c r="AO38" i="26" s="1"/>
  <c r="AO11" i="26" s="1"/>
  <c r="E29" i="28"/>
  <c r="E28" i="27"/>
  <c r="AR39" i="26" l="1"/>
  <c r="AR38" i="26" s="1"/>
  <c r="AR11" i="26" s="1"/>
  <c r="AU40" i="26"/>
  <c r="E29" i="27"/>
  <c r="E30" i="28"/>
  <c r="AX40" i="26" l="1"/>
  <c r="AU39" i="26"/>
  <c r="AU38" i="26" s="1"/>
  <c r="AU11" i="26" s="1"/>
  <c r="E30" i="27"/>
  <c r="E31" i="28"/>
  <c r="BA40" i="26" l="1"/>
  <c r="I37" i="32" s="1"/>
  <c r="AX39" i="26"/>
  <c r="AX38" i="26" s="1"/>
  <c r="AX11" i="26" s="1"/>
  <c r="E31" i="27"/>
  <c r="E32" i="28"/>
  <c r="I36" i="32" l="1"/>
  <c r="I35" i="32" s="1"/>
  <c r="BD40" i="26"/>
  <c r="BA39" i="26"/>
  <c r="BA38" i="26" s="1"/>
  <c r="BA11" i="26" s="1"/>
  <c r="E33" i="28"/>
  <c r="E32" i="27"/>
  <c r="I44" i="32" l="1"/>
  <c r="I46" i="32" s="1"/>
  <c r="BG40" i="26"/>
  <c r="BD39" i="26"/>
  <c r="BD38" i="26" s="1"/>
  <c r="BD11" i="26" s="1"/>
  <c r="E33" i="27"/>
  <c r="E34" i="28"/>
  <c r="BJ40" i="26" l="1"/>
  <c r="BG39" i="26"/>
  <c r="BG38" i="26" s="1"/>
  <c r="BG11" i="26" s="1"/>
  <c r="E35" i="28"/>
  <c r="E34" i="27"/>
  <c r="BJ39" i="26" l="1"/>
  <c r="BJ38" i="26" s="1"/>
  <c r="BJ11" i="26" s="1"/>
  <c r="BM40" i="26"/>
  <c r="J37" i="32" s="1"/>
  <c r="E36" i="28"/>
  <c r="E35" i="27"/>
  <c r="J36" i="32" l="1"/>
  <c r="J35" i="32" s="1"/>
  <c r="BM39" i="26"/>
  <c r="BM38" i="26" s="1"/>
  <c r="BM11" i="26" s="1"/>
  <c r="BP40" i="26"/>
  <c r="E36" i="27"/>
  <c r="E37" i="28"/>
  <c r="J44" i="32" l="1"/>
  <c r="J46" i="32" s="1"/>
  <c r="BS40" i="26"/>
  <c r="BP39" i="26"/>
  <c r="BP38" i="26" s="1"/>
  <c r="BP11" i="26" s="1"/>
  <c r="E37" i="27"/>
  <c r="E38" i="28"/>
  <c r="BS39" i="26" l="1"/>
  <c r="BS38" i="26" s="1"/>
  <c r="BS11" i="26" s="1"/>
  <c r="BV40" i="26"/>
  <c r="E39" i="28"/>
  <c r="E38" i="27"/>
  <c r="BV39" i="26" l="1"/>
  <c r="BV38" i="26" s="1"/>
  <c r="BV11" i="26" s="1"/>
  <c r="BY40" i="26"/>
  <c r="K37" i="32" s="1"/>
  <c r="E40" i="28"/>
  <c r="E39" i="27"/>
  <c r="K36" i="32" l="1"/>
  <c r="K35" i="32" s="1"/>
  <c r="K44" i="32" s="1"/>
  <c r="K46" i="32" s="1"/>
  <c r="CB40" i="26"/>
  <c r="BY39" i="26"/>
  <c r="BY38" i="26" s="1"/>
  <c r="BY11" i="26" s="1"/>
  <c r="E41" i="28"/>
  <c r="E42" i="28" s="1"/>
  <c r="E40" i="27"/>
  <c r="CE40" i="26" l="1"/>
  <c r="CB39" i="26"/>
  <c r="CB38" i="26" s="1"/>
  <c r="CB11" i="26" s="1"/>
  <c r="E41" i="27"/>
  <c r="F41" i="28"/>
  <c r="F42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CH40" i="26" l="1"/>
  <c r="CE39" i="26"/>
  <c r="CE38" i="26" s="1"/>
  <c r="CE11" i="26" s="1"/>
  <c r="E42" i="27"/>
  <c r="F18" i="27" s="1"/>
  <c r="CH39" i="26" l="1"/>
  <c r="CH38" i="26" s="1"/>
  <c r="CH11" i="26" s="1"/>
  <c r="CK40" i="26"/>
  <c r="L37" i="32" s="1"/>
  <c r="F42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L36" i="32" l="1"/>
  <c r="CK39" i="26"/>
  <c r="CL40" i="26"/>
  <c r="L35" i="32" l="1"/>
  <c r="CK38" i="26"/>
  <c r="CK11" i="26" s="1"/>
  <c r="CL39" i="26"/>
  <c r="CL38" i="26" s="1"/>
  <c r="L44" i="32" l="1"/>
  <c r="L46" i="32" s="1"/>
  <c r="M35" i="32"/>
  <c r="H41" i="30"/>
  <c r="G27" i="23"/>
  <c r="AA58" i="30"/>
  <c r="H33" i="30" l="1"/>
  <c r="H22" i="30"/>
  <c r="H40" i="30"/>
  <c r="C13" i="26"/>
  <c r="C10" i="32" s="1"/>
  <c r="G26" i="23"/>
  <c r="H24" i="30"/>
  <c r="V55" i="30"/>
  <c r="V56" i="30" s="1"/>
  <c r="D18" i="30"/>
  <c r="J18" i="30" s="1"/>
  <c r="K55" i="30"/>
  <c r="K56" i="30" s="1"/>
  <c r="D55" i="30"/>
  <c r="D56" i="30" s="1"/>
  <c r="S55" i="30"/>
  <c r="S56" i="30" s="1"/>
  <c r="C60" i="30"/>
  <c r="H26" i="30"/>
  <c r="L55" i="30"/>
  <c r="L56" i="30" s="1"/>
  <c r="Z55" i="30"/>
  <c r="Z56" i="30" s="1"/>
  <c r="H37" i="30"/>
  <c r="H29" i="30"/>
  <c r="H36" i="30"/>
  <c r="G55" i="30"/>
  <c r="G56" i="30" s="1"/>
  <c r="H34" i="30"/>
  <c r="O55" i="30"/>
  <c r="O56" i="30" s="1"/>
  <c r="H21" i="30"/>
  <c r="W55" i="30"/>
  <c r="W56" i="30" s="1"/>
  <c r="H25" i="30"/>
  <c r="Y55" i="30"/>
  <c r="Y56" i="30" s="1"/>
  <c r="T55" i="30"/>
  <c r="T56" i="30" s="1"/>
  <c r="P55" i="30"/>
  <c r="P56" i="30" s="1"/>
  <c r="H32" i="30"/>
  <c r="D57" i="30"/>
  <c r="E57" i="30" s="1"/>
  <c r="F57" i="30" s="1"/>
  <c r="G57" i="30" s="1"/>
  <c r="H57" i="30" s="1"/>
  <c r="I57" i="30" s="1"/>
  <c r="J57" i="30" s="1"/>
  <c r="K57" i="30" s="1"/>
  <c r="L57" i="30" s="1"/>
  <c r="M57" i="30" s="1"/>
  <c r="N57" i="30" s="1"/>
  <c r="O57" i="30" s="1"/>
  <c r="P57" i="30" s="1"/>
  <c r="Q57" i="30" s="1"/>
  <c r="R57" i="30" s="1"/>
  <c r="S57" i="30" s="1"/>
  <c r="T57" i="30" s="1"/>
  <c r="U57" i="30" s="1"/>
  <c r="V57" i="30" s="1"/>
  <c r="W57" i="30" s="1"/>
  <c r="X57" i="30" s="1"/>
  <c r="Y57" i="30" s="1"/>
  <c r="Z57" i="30" s="1"/>
  <c r="H30" i="30"/>
  <c r="N55" i="30"/>
  <c r="N56" i="30" s="1"/>
  <c r="H19" i="30"/>
  <c r="C55" i="30"/>
  <c r="C56" i="30" s="1"/>
  <c r="C59" i="30" s="1"/>
  <c r="F55" i="30" l="1"/>
  <c r="F56" i="30" s="1"/>
  <c r="F59" i="30" s="1"/>
  <c r="P18" i="26" s="1"/>
  <c r="P13" i="26" s="1"/>
  <c r="M18" i="26"/>
  <c r="M13" i="26" s="1"/>
  <c r="M12" i="26" s="1"/>
  <c r="M11" i="26" s="1"/>
  <c r="H75" i="33"/>
  <c r="H28" i="30"/>
  <c r="I28" i="30" s="1"/>
  <c r="H20" i="30"/>
  <c r="H55" i="30"/>
  <c r="H56" i="30" s="1"/>
  <c r="H59" i="30" s="1"/>
  <c r="R18" i="26" s="1"/>
  <c r="P12" i="26"/>
  <c r="P11" i="26" s="1"/>
  <c r="E55" i="30"/>
  <c r="E56" i="30" s="1"/>
  <c r="E59" i="30" s="1"/>
  <c r="O18" i="26" s="1"/>
  <c r="O13" i="26" s="1"/>
  <c r="H42" i="30"/>
  <c r="H35" i="30"/>
  <c r="I35" i="30" s="1"/>
  <c r="X55" i="30"/>
  <c r="X56" i="30" s="1"/>
  <c r="X59" i="30" s="1"/>
  <c r="AH18" i="26" s="1"/>
  <c r="AH13" i="26" s="1"/>
  <c r="H38" i="30"/>
  <c r="H23" i="30"/>
  <c r="I23" i="30" s="1"/>
  <c r="R55" i="30"/>
  <c r="R56" i="30" s="1"/>
  <c r="R59" i="30" s="1"/>
  <c r="AB18" i="26" s="1"/>
  <c r="AB13" i="26" s="1"/>
  <c r="U55" i="30"/>
  <c r="U56" i="30" s="1"/>
  <c r="U59" i="30" s="1"/>
  <c r="AE18" i="26" s="1"/>
  <c r="AE13" i="26" s="1"/>
  <c r="H39" i="30"/>
  <c r="I39" i="30" s="1"/>
  <c r="G25" i="23"/>
  <c r="C11" i="26" s="1"/>
  <c r="C12" i="26"/>
  <c r="C9" i="32" s="1"/>
  <c r="C44" i="32" s="1"/>
  <c r="J55" i="30"/>
  <c r="J56" i="30" s="1"/>
  <c r="J59" i="30" s="1"/>
  <c r="T18" i="26" s="1"/>
  <c r="T13" i="26" s="1"/>
  <c r="H31" i="30"/>
  <c r="I31" i="30" s="1"/>
  <c r="H18" i="30"/>
  <c r="M55" i="30"/>
  <c r="M56" i="30" s="1"/>
  <c r="M59" i="30" s="1"/>
  <c r="W18" i="26" s="1"/>
  <c r="W13" i="26" s="1"/>
  <c r="E18" i="30"/>
  <c r="E19" i="30" s="1"/>
  <c r="D43" i="30"/>
  <c r="I55" i="30"/>
  <c r="I56" i="30" s="1"/>
  <c r="I59" i="30" s="1"/>
  <c r="S18" i="26" s="1"/>
  <c r="S13" i="26" s="1"/>
  <c r="H27" i="30"/>
  <c r="I27" i="30" s="1"/>
  <c r="I41" i="30"/>
  <c r="I36" i="30"/>
  <c r="I42" i="30"/>
  <c r="I33" i="30"/>
  <c r="V59" i="30"/>
  <c r="AF18" i="26" s="1"/>
  <c r="AF13" i="26" s="1"/>
  <c r="I3" i="25"/>
  <c r="K59" i="30"/>
  <c r="U18" i="26" s="1"/>
  <c r="U13" i="26" s="1"/>
  <c r="O59" i="30"/>
  <c r="Y18" i="26" s="1"/>
  <c r="Y13" i="26" s="1"/>
  <c r="I38" i="30"/>
  <c r="I22" i="30"/>
  <c r="L59" i="30"/>
  <c r="V18" i="26" s="1"/>
  <c r="V13" i="26" s="1"/>
  <c r="T59" i="30"/>
  <c r="AD18" i="26" s="1"/>
  <c r="P59" i="30"/>
  <c r="Z18" i="26" s="1"/>
  <c r="Z13" i="26" s="1"/>
  <c r="Z59" i="30"/>
  <c r="AJ18" i="26" s="1"/>
  <c r="AJ13" i="26" s="1"/>
  <c r="I20" i="30"/>
  <c r="I30" i="30"/>
  <c r="I21" i="30"/>
  <c r="G59" i="30"/>
  <c r="Q18" i="26" s="1"/>
  <c r="Q13" i="26" s="1"/>
  <c r="I32" i="30"/>
  <c r="K20" i="30"/>
  <c r="B55" i="30"/>
  <c r="Q55" i="30"/>
  <c r="Q56" i="30" s="1"/>
  <c r="Q59" i="30" s="1"/>
  <c r="AA18" i="26" s="1"/>
  <c r="AA13" i="26" s="1"/>
  <c r="I19" i="30"/>
  <c r="D59" i="30"/>
  <c r="N18" i="26" s="1"/>
  <c r="N59" i="30"/>
  <c r="X18" i="26" s="1"/>
  <c r="X13" i="26" s="1"/>
  <c r="AA57" i="30"/>
  <c r="W59" i="30"/>
  <c r="AG18" i="26" s="1"/>
  <c r="AG13" i="26" s="1"/>
  <c r="S59" i="30"/>
  <c r="AC18" i="26" s="1"/>
  <c r="AC13" i="26" s="1"/>
  <c r="Y59" i="30"/>
  <c r="AI18" i="26" s="1"/>
  <c r="AI13" i="26" s="1"/>
  <c r="H78" i="33" l="1"/>
  <c r="N13" i="26"/>
  <c r="H72" i="33"/>
  <c r="H77" i="33"/>
  <c r="H73" i="33"/>
  <c r="H76" i="33"/>
  <c r="H74" i="33"/>
  <c r="G15" i="32"/>
  <c r="G9" i="32" s="1"/>
  <c r="R13" i="26"/>
  <c r="R12" i="26" s="1"/>
  <c r="R11" i="26" s="1"/>
  <c r="H15" i="32"/>
  <c r="H9" i="32" s="1"/>
  <c r="AD13" i="26"/>
  <c r="AD12" i="26" s="1"/>
  <c r="AD11" i="26" s="1"/>
  <c r="I24" i="30"/>
  <c r="AI12" i="26"/>
  <c r="AI11" i="26" s="1"/>
  <c r="X12" i="26"/>
  <c r="X11" i="26" s="1"/>
  <c r="U12" i="26"/>
  <c r="U11" i="26" s="1"/>
  <c r="T12" i="26"/>
  <c r="T11" i="26" s="1"/>
  <c r="AH12" i="26"/>
  <c r="AH11" i="26" s="1"/>
  <c r="AC12" i="26"/>
  <c r="AC11" i="26" s="1"/>
  <c r="N12" i="26"/>
  <c r="N11" i="26" s="1"/>
  <c r="Z12" i="26"/>
  <c r="Z11" i="26" s="1"/>
  <c r="W12" i="26"/>
  <c r="W11" i="26" s="1"/>
  <c r="AB12" i="26"/>
  <c r="AB11" i="26" s="1"/>
  <c r="AG12" i="26"/>
  <c r="AG11" i="26" s="1"/>
  <c r="O12" i="26"/>
  <c r="O11" i="26" s="1"/>
  <c r="Q12" i="26"/>
  <c r="Q11" i="26" s="1"/>
  <c r="AJ12" i="26"/>
  <c r="AJ11" i="26" s="1"/>
  <c r="AF12" i="26"/>
  <c r="AF11" i="26" s="1"/>
  <c r="S12" i="26"/>
  <c r="S11" i="26" s="1"/>
  <c r="AA12" i="26"/>
  <c r="AA11" i="26" s="1"/>
  <c r="AE12" i="26"/>
  <c r="AE11" i="26" s="1"/>
  <c r="V12" i="26"/>
  <c r="V11" i="26" s="1"/>
  <c r="Y12" i="26"/>
  <c r="Y11" i="26" s="1"/>
  <c r="I26" i="30"/>
  <c r="I37" i="30"/>
  <c r="I40" i="30"/>
  <c r="I34" i="30"/>
  <c r="K36" i="30"/>
  <c r="I29" i="30"/>
  <c r="J43" i="30"/>
  <c r="K32" i="30"/>
  <c r="I25" i="30"/>
  <c r="E20" i="30"/>
  <c r="AA55" i="30"/>
  <c r="B56" i="30"/>
  <c r="H79" i="33" l="1"/>
  <c r="G44" i="32"/>
  <c r="G46" i="32" s="1"/>
  <c r="H44" i="32"/>
  <c r="H46" i="32" s="1"/>
  <c r="I43" i="30"/>
  <c r="I44" i="30" s="1"/>
  <c r="I45" i="30" s="1"/>
  <c r="E21" i="30"/>
  <c r="AA56" i="30"/>
  <c r="AA59" i="30"/>
  <c r="L18" i="26" l="1"/>
  <c r="CL18" i="26" s="1"/>
  <c r="CL13" i="26" s="1"/>
  <c r="CL12" i="26" s="1"/>
  <c r="CL11" i="26" s="1"/>
  <c r="E22" i="30"/>
  <c r="F15" i="32" l="1"/>
  <c r="K16" i="40" s="1"/>
  <c r="L13" i="26"/>
  <c r="E23" i="30"/>
  <c r="M15" i="32" l="1"/>
  <c r="L12" i="26"/>
  <c r="L11" i="26" s="1"/>
  <c r="E24" i="30"/>
  <c r="K11" i="40" l="1"/>
  <c r="CM11" i="26"/>
  <c r="E25" i="30"/>
  <c r="F46" i="32" l="1"/>
  <c r="F45" i="32"/>
  <c r="K10" i="40"/>
  <c r="K45" i="40" s="1"/>
  <c r="E26" i="30"/>
  <c r="E27" i="30" l="1"/>
  <c r="G45" i="32"/>
  <c r="H45" i="32" s="1"/>
  <c r="I45" i="32" s="1"/>
  <c r="J45" i="32" s="1"/>
  <c r="K45" i="32" s="1"/>
  <c r="L45" i="32" s="1"/>
  <c r="E28" i="30" l="1"/>
  <c r="E29" i="30" l="1"/>
  <c r="E30" i="30" l="1"/>
  <c r="E31" i="30" l="1"/>
  <c r="E32" i="30" l="1"/>
  <c r="E33" i="30" l="1"/>
  <c r="E34" i="30" l="1"/>
  <c r="E35" i="30" l="1"/>
  <c r="E36" i="30" l="1"/>
  <c r="E37" i="30" l="1"/>
  <c r="F36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7" i="30" l="1"/>
  <c r="E38" i="30"/>
  <c r="E39" i="30" l="1"/>
  <c r="F38" i="30"/>
  <c r="F39" i="30" l="1"/>
  <c r="E40" i="30"/>
  <c r="F40" i="30" l="1"/>
  <c r="E41" i="30"/>
  <c r="F41" i="30" l="1"/>
  <c r="E42" i="30"/>
  <c r="F42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Sosa, Victor Anibal</author>
  </authors>
  <commentList>
    <comment ref="H37" authorId="0" shapeId="0" xr:uid="{8D64056D-D269-4DCF-B28C-BF1E20AA4933}">
      <text>
        <r>
          <rPr>
            <b/>
            <sz val="9"/>
            <color indexed="81"/>
            <rFont val="Tahoma"/>
            <family val="2"/>
          </rPr>
          <t>Sosa, Victor Anibal:</t>
        </r>
        <r>
          <rPr>
            <sz val="9"/>
            <color indexed="81"/>
            <rFont val="Tahoma"/>
            <family val="2"/>
          </rPr>
          <t xml:space="preserve">
La Contratación de la ECATEF no se daría al inicio de la Operación, se debería analizar este tiempo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D5B5B8FB-7433-4071-B710-19DA2DCD2998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CB213AB6-08CC-424C-A0C8-2988F9E809BC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276FD400-5BCB-4465-A554-112CD18469EB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445947D3-D081-4E00-847D-C17763683EA1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6E1E72BE-F08E-4C41-ABD9-7DB2BDE72F2F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sharedStrings.xml><?xml version="1.0" encoding="utf-8"?>
<sst xmlns="http://schemas.openxmlformats.org/spreadsheetml/2006/main" count="1779" uniqueCount="502">
  <si>
    <t>DETALLE</t>
  </si>
  <si>
    <t>TOTAL BID</t>
  </si>
  <si>
    <t>(US$)</t>
  </si>
  <si>
    <t>%</t>
  </si>
  <si>
    <t>Otros Costos</t>
  </si>
  <si>
    <t>Administración del programa</t>
  </si>
  <si>
    <t>TOTAL</t>
  </si>
  <si>
    <t>PEP (Plan de Ejecución del Proyecto)</t>
  </si>
  <si>
    <t>(Expresado en USD.)</t>
  </si>
  <si>
    <t>Período comprendido:  Año 1 a Año 7</t>
  </si>
  <si>
    <t>COSTO</t>
  </si>
  <si>
    <t>RESPONSABLES</t>
  </si>
  <si>
    <t>Año 1</t>
  </si>
  <si>
    <t>Año 2</t>
  </si>
  <si>
    <t>Año 3</t>
  </si>
  <si>
    <t>Año 4</t>
  </si>
  <si>
    <t>Año 5</t>
  </si>
  <si>
    <t>Nombre de la Tarea</t>
  </si>
  <si>
    <t>Plazo de ejecución</t>
  </si>
  <si>
    <t>Proceso Contratación</t>
  </si>
  <si>
    <t>Inicio</t>
  </si>
  <si>
    <t>Fin</t>
  </si>
  <si>
    <t>BID</t>
  </si>
  <si>
    <t>T1</t>
  </si>
  <si>
    <t>T2</t>
  </si>
  <si>
    <t>T3</t>
  </si>
  <si>
    <t>T4</t>
  </si>
  <si>
    <t>A.</t>
  </si>
  <si>
    <t>Etapa de preparación, aprobación y cumplimiento de condiciones previas</t>
  </si>
  <si>
    <t>A.1</t>
  </si>
  <si>
    <t>Etapa de preparación del Proyecto</t>
  </si>
  <si>
    <t>A.1.1</t>
  </si>
  <si>
    <t xml:space="preserve">Aprobación del perfil </t>
  </si>
  <si>
    <t>A.1.2</t>
  </si>
  <si>
    <t>Preparación del POD</t>
  </si>
  <si>
    <t>A.1.3</t>
  </si>
  <si>
    <t xml:space="preserve">Misión de Análisis </t>
  </si>
  <si>
    <t>A.1.4</t>
  </si>
  <si>
    <t>Revisión interna del POD en el BID</t>
  </si>
  <si>
    <t>A.1.5</t>
  </si>
  <si>
    <t>Misión de Negociación</t>
  </si>
  <si>
    <t>A.1.6</t>
  </si>
  <si>
    <t>Aprobación del Directorio del BID</t>
  </si>
  <si>
    <t>Etapa de aprobación del Contrato de Préstamo</t>
  </si>
  <si>
    <t>A.2.1</t>
  </si>
  <si>
    <t xml:space="preserve">Firma de Contrato BID </t>
  </si>
  <si>
    <t>A.2.2</t>
  </si>
  <si>
    <t>Envío del Contrato de Préstamo al Congreso Nacional</t>
  </si>
  <si>
    <t>A.2.3</t>
  </si>
  <si>
    <t>Ratificación Legislativa</t>
  </si>
  <si>
    <t>A.2.4</t>
  </si>
  <si>
    <t>Preparación de cumplimiento de condiciones previas</t>
  </si>
  <si>
    <t>A.2.5</t>
  </si>
  <si>
    <t xml:space="preserve">Cumplimiento de condiciones previas al primer desembolso </t>
  </si>
  <si>
    <t>B.</t>
  </si>
  <si>
    <t>Etapa de ejecución del  Programa</t>
  </si>
  <si>
    <t>T2 - Año 1</t>
  </si>
  <si>
    <t>CUADRO DE COSTO DETALLADO</t>
  </si>
  <si>
    <t>Nombre del Componente/Actividad</t>
  </si>
  <si>
    <t>Nivel</t>
  </si>
  <si>
    <t>Tipo de Contratación</t>
  </si>
  <si>
    <t>Método de Contratación</t>
  </si>
  <si>
    <t>Duración de Contrato</t>
  </si>
  <si>
    <t>Programa de Mejoramiento y conservación de Corredores Viales</t>
  </si>
  <si>
    <t>1.</t>
  </si>
  <si>
    <t>Producto</t>
  </si>
  <si>
    <t>1.1.1</t>
  </si>
  <si>
    <t>Actividad</t>
  </si>
  <si>
    <t>Obra</t>
  </si>
  <si>
    <t>LPI</t>
  </si>
  <si>
    <t>1.1.2</t>
  </si>
  <si>
    <t>1.1.3</t>
  </si>
  <si>
    <t>1.1.4</t>
  </si>
  <si>
    <t>1.2.1</t>
  </si>
  <si>
    <t>48 meses</t>
  </si>
  <si>
    <t>1.2.2</t>
  </si>
  <si>
    <t>1.2.3</t>
  </si>
  <si>
    <t>Administración del Programa</t>
  </si>
  <si>
    <t>2.1.1</t>
  </si>
  <si>
    <t>Otros Costos - Administración</t>
  </si>
  <si>
    <t>Consultoría</t>
  </si>
  <si>
    <t>2.2.1</t>
  </si>
  <si>
    <t>SBCC</t>
  </si>
  <si>
    <t>2.2.2</t>
  </si>
  <si>
    <t>SCC</t>
  </si>
  <si>
    <t>6 meses</t>
  </si>
  <si>
    <t>2.2.3</t>
  </si>
  <si>
    <t>1.1</t>
  </si>
  <si>
    <t>Año 6</t>
  </si>
  <si>
    <t>Año 7</t>
  </si>
  <si>
    <t>74 meses</t>
  </si>
  <si>
    <t>PLAN FINANCIERO MENSUAL DEL PROGRAMA - FONDOS BID</t>
  </si>
  <si>
    <t>Trimestre 1</t>
  </si>
  <si>
    <t>Trimestre 2</t>
  </si>
  <si>
    <t>Trimestre 3</t>
  </si>
  <si>
    <t>Trimestre 4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</si>
  <si>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</si>
  <si>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</si>
  <si>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</si>
  <si>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</si>
  <si>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</si>
  <si>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</si>
  <si>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</si>
  <si>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</si>
  <si>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</si>
  <si>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</si>
  <si>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</si>
  <si>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</si>
  <si>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</si>
  <si>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</si>
  <si>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</si>
  <si>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</si>
  <si>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</si>
  <si>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</si>
  <si>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</si>
  <si>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</si>
  <si>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</si>
  <si>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</si>
  <si>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</si>
  <si>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</si>
  <si>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</si>
  <si>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</si>
  <si>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</si>
  <si>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</si>
  <si>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</si>
  <si>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</si>
  <si>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</si>
  <si>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</si>
  <si>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</si>
  <si>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</si>
  <si>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</si>
  <si>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</si>
  <si>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Mes 37</t>
  </si>
  <si>
    <t>Mes 38</t>
  </si>
  <si>
    <t>Mes 39</t>
  </si>
  <si>
    <t>Mes 40</t>
  </si>
  <si>
    <t>Mes 41</t>
  </si>
  <si>
    <t>Mes 42</t>
  </si>
  <si>
    <t>Mes 43</t>
  </si>
  <si>
    <t>Mes 44</t>
  </si>
  <si>
    <t>Mes 45</t>
  </si>
  <si>
    <t>Mes 46</t>
  </si>
  <si>
    <t>Mes 47</t>
  </si>
  <si>
    <t>Mes 48</t>
  </si>
  <si>
    <t>Mes 49</t>
  </si>
  <si>
    <t>Mes 50</t>
  </si>
  <si>
    <t>Mes 51</t>
  </si>
  <si>
    <t>Mes 52</t>
  </si>
  <si>
    <t>Mes 53</t>
  </si>
  <si>
    <t>Mes 54</t>
  </si>
  <si>
    <t>Mes 55</t>
  </si>
  <si>
    <t>Mes 56</t>
  </si>
  <si>
    <t>Mes 57</t>
  </si>
  <si>
    <t>Mes 58</t>
  </si>
  <si>
    <t>Mes 59</t>
  </si>
  <si>
    <t>Mes 60</t>
  </si>
  <si>
    <t>Caledario Project</t>
  </si>
  <si>
    <t>Mes 61</t>
  </si>
  <si>
    <t>Mes 62</t>
  </si>
  <si>
    <t>Mes 63</t>
  </si>
  <si>
    <t>Mes 64</t>
  </si>
  <si>
    <t>Mes 65</t>
  </si>
  <si>
    <t>Mes 66</t>
  </si>
  <si>
    <t>Mes 67</t>
  </si>
  <si>
    <t>Mes 68</t>
  </si>
  <si>
    <t>Mes 69</t>
  </si>
  <si>
    <t>Mes 70</t>
  </si>
  <si>
    <t>Mes 71</t>
  </si>
  <si>
    <t>Mes 72</t>
  </si>
  <si>
    <t>Mes 73</t>
  </si>
  <si>
    <t>Mes 74</t>
  </si>
  <si>
    <t>Mes 75</t>
  </si>
  <si>
    <t>Mes 76</t>
  </si>
  <si>
    <t>Mes 77</t>
  </si>
  <si>
    <t>Mes 78</t>
  </si>
  <si>
    <t>Mes 79</t>
  </si>
  <si>
    <t>Mes 80</t>
  </si>
  <si>
    <t>Mes 81</t>
  </si>
  <si>
    <t>Mes 82</t>
  </si>
  <si>
    <t>Mes 83</t>
  </si>
  <si>
    <t>Mes 84</t>
  </si>
  <si>
    <t>CRONOGRAMA DE DESEMBOLSO ESTIMADO</t>
  </si>
  <si>
    <t xml:space="preserve">OBRA: </t>
  </si>
  <si>
    <t>LONGITUD:</t>
  </si>
  <si>
    <t>71 Ml</t>
  </si>
  <si>
    <t>CONTRATISTA:</t>
  </si>
  <si>
    <t>FECHA:</t>
  </si>
  <si>
    <t>USD</t>
  </si>
  <si>
    <t>Guaranies (Gs) o Dolares (USD)</t>
  </si>
  <si>
    <t>TASA CAMBIARIA:</t>
  </si>
  <si>
    <t>Gs</t>
  </si>
  <si>
    <t>%  FINANCIACIÓN EXTERNA:</t>
  </si>
  <si>
    <t>(ingresar un valor entre 0 y 100)</t>
  </si>
  <si>
    <t>%  FINANCIACIÓN LOCAL:</t>
  </si>
  <si>
    <t>ANTICIPO %:</t>
  </si>
  <si>
    <t>MES/AÑO:</t>
  </si>
  <si>
    <t>FECHA DEL PRIMER DESEMBOLSO</t>
  </si>
  <si>
    <t>Redondeo:</t>
  </si>
  <si>
    <t>MES</t>
  </si>
  <si>
    <t>PORCENTAJE</t>
  </si>
  <si>
    <t>% AVANCE (Físico)</t>
  </si>
  <si>
    <t xml:space="preserve">MONTO ACUMULADO CON ANTICIPO </t>
  </si>
  <si>
    <t>% AVANCE (Financiero)</t>
  </si>
  <si>
    <t>MES DE DESEMBOLSO</t>
  </si>
  <si>
    <t>IVA DEL MONTO MENSUAL</t>
  </si>
  <si>
    <t>Mes 0</t>
  </si>
  <si>
    <t>Suma:</t>
  </si>
  <si>
    <t>Obs.: Montos de los Desembolsos en Guaranies.</t>
  </si>
  <si>
    <t>Diferencia:</t>
  </si>
  <si>
    <t>Anticipo</t>
  </si>
  <si>
    <t>LOCAL</t>
  </si>
  <si>
    <t>EXTERNO</t>
  </si>
  <si>
    <t xml:space="preserve"> tramo Empalme R6 - Frutika - Empalme corredor de Exportación </t>
  </si>
  <si>
    <t>Grupo 1: Itakyry - Arroyos y Esteros - Altos y Gral Resquin. (80,9 Km)- Fiscaliszación</t>
  </si>
  <si>
    <t>45% Variable</t>
  </si>
  <si>
    <t>total + 45%/18</t>
  </si>
  <si>
    <t>PLAN FINANCIERO ANUAL DEL PROGRAMA</t>
  </si>
  <si>
    <t>TOTAL POR AÑO</t>
  </si>
  <si>
    <t>ACUMULATIVO</t>
  </si>
  <si>
    <t>Componente Unico Obras civiles</t>
  </si>
  <si>
    <t>Gestión Socio Ambiental</t>
  </si>
  <si>
    <t>A</t>
  </si>
  <si>
    <t>Cuadro de costo y financiamiento del Programa - POR COMPONENTE</t>
  </si>
  <si>
    <t>B</t>
  </si>
  <si>
    <t>Cuadro de costo y financiamiento del Programa - POR CATEGORÍA DE INVERSIÓN</t>
  </si>
  <si>
    <t>Fiscalización de obras</t>
  </si>
  <si>
    <t>1.3.1</t>
  </si>
  <si>
    <t>1.3.2</t>
  </si>
  <si>
    <t>1.3.3</t>
  </si>
  <si>
    <t>1.3 - Fiscalización de Obras</t>
  </si>
  <si>
    <t>1.1 - Obras de Mejoramiento</t>
  </si>
  <si>
    <t>Costo BID</t>
  </si>
  <si>
    <t>Otros Costos - Gestión Socio Ambiental</t>
  </si>
  <si>
    <t>N/A</t>
  </si>
  <si>
    <t>Responsable / Observación</t>
  </si>
  <si>
    <t>PLAN DE ADQUISICIONES GLOBAL</t>
  </si>
  <si>
    <t>INFORMACIÓN PARA CARGA INICIAL DEL PLAN DE ADQUISICIONES (EN CURSO Y/O ULTIMO PRESENTADO)</t>
  </si>
  <si>
    <t>OBRAS</t>
  </si>
  <si>
    <t>Unidad Ejecutora:</t>
  </si>
  <si>
    <t>Actividad:</t>
  </si>
  <si>
    <t>Descripción adicional:</t>
  </si>
  <si>
    <t>Método de Selección/Adquisición
(Seleccionar una de las opciones):</t>
  </si>
  <si>
    <t>Cantidad de Lotes :</t>
  </si>
  <si>
    <t>Número de Proceso:</t>
  </si>
  <si>
    <t xml:space="preserve">Monto Estimado </t>
  </si>
  <si>
    <t>Componente Asociado :</t>
  </si>
  <si>
    <t>Método de Revisión (Seleccionar una de las opciones):</t>
  </si>
  <si>
    <t>Fechas</t>
  </si>
  <si>
    <t>Comentarios</t>
  </si>
  <si>
    <t>Ex-Post</t>
  </si>
  <si>
    <t>Monto Estimado, en u$s :</t>
  </si>
  <si>
    <t>Monto Estimado % BID:</t>
  </si>
  <si>
    <t>Monto Estimado % Contraparte:</t>
  </si>
  <si>
    <t>Aviso Especial de Adquisiciones</t>
  </si>
  <si>
    <t>Firma del Contrato</t>
  </si>
  <si>
    <t>Ex-Ante</t>
  </si>
  <si>
    <t>Licitación Pública Internacional </t>
  </si>
  <si>
    <t>Comp. 1</t>
  </si>
  <si>
    <t>Previsto</t>
  </si>
  <si>
    <t>TOTAL OBRAS</t>
  </si>
  <si>
    <t>Declaración de Licitación Desierta</t>
  </si>
  <si>
    <t>Rechazo de Ofertas</t>
  </si>
  <si>
    <t>BIENES</t>
  </si>
  <si>
    <t>Contrato En Ejecución</t>
  </si>
  <si>
    <t>Método de Adquisición
(Seleccionar una de las opciones):</t>
  </si>
  <si>
    <t>Contrato Terminado</t>
  </si>
  <si>
    <t>TOTAL BIENES</t>
  </si>
  <si>
    <t>SERVICIOS DE NO CONSULTORÍA</t>
  </si>
  <si>
    <t>Licitación Pública Internacional con Precalificación</t>
  </si>
  <si>
    <t>Licitación Pública Internacional en 2 etapas </t>
  </si>
  <si>
    <t>Documento de Licitación</t>
  </si>
  <si>
    <t>Licitación Pública Internacional por Lotes </t>
  </si>
  <si>
    <t>TOTAL DE SERVICIOS DE NO CONSULTORIA</t>
  </si>
  <si>
    <t>CONSULTORÍAS FIRMAS</t>
  </si>
  <si>
    <t>Selección Basada en la Calidad </t>
  </si>
  <si>
    <t>Descripción adicional (producto relacionado)</t>
  </si>
  <si>
    <t>Selección Basada en la Calidad y Costo </t>
  </si>
  <si>
    <t>Aviso de Expresiones de Interés</t>
  </si>
  <si>
    <t>Selección basada en las calificaciones de los consultores</t>
  </si>
  <si>
    <t>Ex ante</t>
  </si>
  <si>
    <t>TOTAL CONSULTORIAS FIRMAS</t>
  </si>
  <si>
    <t>CONSULTORÍAS INDIVIDUOS</t>
  </si>
  <si>
    <t>Suma Alzada</t>
  </si>
  <si>
    <t>Bienes </t>
  </si>
  <si>
    <t>Llave en mano</t>
  </si>
  <si>
    <t>Obras </t>
  </si>
  <si>
    <t>No Objeción a los TDRs de la Actividad</t>
  </si>
  <si>
    <t>Firma Contrato</t>
  </si>
  <si>
    <t>Precios Unitarios</t>
  </si>
  <si>
    <t>TOTAL CONSULTORIAS INDIVIDUALES</t>
  </si>
  <si>
    <t>Suma global</t>
  </si>
  <si>
    <t>Servicios de No Consultoría </t>
  </si>
  <si>
    <t>Suma global + Gastos Reembolsables</t>
  </si>
  <si>
    <t>Consultoría - Firmas </t>
  </si>
  <si>
    <t>Tiempo Trabajado</t>
  </si>
  <si>
    <t>Consultoría - Individuos </t>
  </si>
  <si>
    <t>TOTAL CAPACITACIÓN</t>
  </si>
  <si>
    <t>Comparación de Precios para Bienes</t>
  </si>
  <si>
    <t>Especificaciones Técnicas</t>
  </si>
  <si>
    <t>SUBPROYECTOS</t>
  </si>
  <si>
    <t>Suministro e instalación de plantas y equipos</t>
  </si>
  <si>
    <t>Objeto de la Transferencia:</t>
  </si>
  <si>
    <t>Cantidad Estimada de Subproyectos:</t>
  </si>
  <si>
    <t>Suministro e instalación de sist. de información</t>
  </si>
  <si>
    <t>Firma del Contrato / Convenio por Adjudicación de los Subproyectos</t>
  </si>
  <si>
    <t>Fecha de 
Transferencia</t>
  </si>
  <si>
    <t>TOTAL SUBPROYECTOS</t>
  </si>
  <si>
    <t>ECATEF/DV</t>
  </si>
  <si>
    <t xml:space="preserve">Contratación de la ECATEF para apoyo en la ejecución del Programa </t>
  </si>
  <si>
    <t>TOTAL OTROS (PAGOS POR SERVICIOS AMBIENTALES)</t>
  </si>
  <si>
    <t>TOTAL OTROS</t>
  </si>
  <si>
    <t>OTROS (Pagos por Servicios Ambientales)</t>
  </si>
  <si>
    <t xml:space="preserve">POA (Plan Operativo Anual) Cronograma de Actividades.  </t>
  </si>
  <si>
    <t>Código</t>
  </si>
  <si>
    <t>Nombre de la tarea</t>
  </si>
  <si>
    <t>PEP</t>
  </si>
  <si>
    <t>Programación Año 1</t>
  </si>
  <si>
    <t>Ejecución</t>
  </si>
  <si>
    <t>Responsable</t>
  </si>
  <si>
    <t>Costo Planeado</t>
  </si>
  <si>
    <t>Meta del Programa</t>
  </si>
  <si>
    <t xml:space="preserve">Inicio </t>
  </si>
  <si>
    <t>Meta Año 1</t>
  </si>
  <si>
    <t>Medio de Verificación</t>
  </si>
  <si>
    <t>Total</t>
  </si>
  <si>
    <t>Costo Ejecutado</t>
  </si>
  <si>
    <t>% Avance</t>
  </si>
  <si>
    <t>Publicación de llamado</t>
  </si>
  <si>
    <t>Contrato Firmado</t>
  </si>
  <si>
    <t xml:space="preserve">Período comprendido:  Año 1 </t>
  </si>
  <si>
    <t>Inicio de Proceso de Contratación- Inicio de Ejecución</t>
  </si>
  <si>
    <t>Publicación de llamado - firma del Contrato</t>
  </si>
  <si>
    <t>Inicio del proceso de Contratación</t>
  </si>
  <si>
    <t>Componente           (1)</t>
  </si>
  <si>
    <t>Componente              (1)</t>
  </si>
  <si>
    <t>PR-L1164</t>
  </si>
  <si>
    <t>Tramo Cruce Pioneros (Ruta Nacional N° 9) – Cruce Douglas – Región Occidental mejorado</t>
  </si>
  <si>
    <t>Tramo Cruce Pioneros (Ruta Nacional N° 9) – Cruce Douglas – Región Occidental conservado</t>
  </si>
  <si>
    <t>Porcentaje TOTAL Obra</t>
  </si>
  <si>
    <t>Porcentaje Total Fisca en relacion a Obra</t>
  </si>
  <si>
    <t>Redondeo</t>
  </si>
  <si>
    <t>Evaluaciones, estudios y auditorías.</t>
  </si>
  <si>
    <t xml:space="preserve">PROGRAMA DE MEJORAMIENTO Y CONSERVACION DE CORREDORES AGROINDUSTRIALES </t>
  </si>
  <si>
    <t>1.1.5</t>
  </si>
  <si>
    <t>1.1.6</t>
  </si>
  <si>
    <t>Categoría de Inversión</t>
  </si>
  <si>
    <t>36 meses</t>
  </si>
  <si>
    <t>2 años obras</t>
  </si>
  <si>
    <t>Otros Costos - Evaluaciones, estudios y auditorías.</t>
  </si>
  <si>
    <t>Selección competitiva en el marco del PR-L1164</t>
  </si>
  <si>
    <t>PARATODO-DOUGLAS</t>
  </si>
  <si>
    <t>Operación: Programa de Mejoramiento y conservación de corredores agroindustriales</t>
  </si>
  <si>
    <t>Obras básicas de mejoramiento de caminos complementarios tramos Paratodo-Cruce Douglas y Campo Aceval – Avalos Sanchez – Región Occidental realizadas</t>
  </si>
  <si>
    <t>Tramo Villa del Rosario - Volendam - San Pablo - Ruta 11– Región Oriental mejoradas.</t>
  </si>
  <si>
    <t>Tramo Villa del Rosario - Volendam - San Pablo - Ruta 11– Región Oriental conservado</t>
  </si>
  <si>
    <t>Fiscalización de obras de mejoramiento de caminos complementarios tramos Paratodo-Cruce Douglas y Campo Aceval – Avalos Sanchez – Región Occidental</t>
  </si>
  <si>
    <t>TOTAL KIF</t>
  </si>
  <si>
    <t>Plan de Gestión Ambiental y Social (PGAS)</t>
  </si>
  <si>
    <t>Pago por Servicios Ambientales</t>
  </si>
  <si>
    <t>Expropiaciones</t>
  </si>
  <si>
    <t>KIF</t>
  </si>
  <si>
    <t>OCC</t>
  </si>
  <si>
    <t>ORIENT</t>
  </si>
  <si>
    <t>1.3.</t>
  </si>
  <si>
    <t>Costo KIF</t>
  </si>
  <si>
    <t>CAT.</t>
  </si>
  <si>
    <t>Detalle</t>
  </si>
  <si>
    <t>Componente único – obras civiles</t>
  </si>
  <si>
    <t>Obras de pavimentación</t>
  </si>
  <si>
    <t>Obras de mantenimiento</t>
  </si>
  <si>
    <t>Fiscalización técnica y supervisión ambiental y social</t>
  </si>
  <si>
    <t>Obra pavimentación y mantenimiento Cruce Pioneros - Paratodo</t>
  </si>
  <si>
    <t xml:space="preserve">Plan de Gestión Ambiental y Social (PGAS) </t>
  </si>
  <si>
    <t>PGAS obras del Chaco</t>
  </si>
  <si>
    <t>Reposición Forestal</t>
  </si>
  <si>
    <t>Monitoreo de Fauna</t>
  </si>
  <si>
    <t>Plan de Gestión de Comunidades indígenas</t>
  </si>
  <si>
    <t>PGAS otras obras de pavimentación y mantenimiento</t>
  </si>
  <si>
    <t>Plan de reposición forestal</t>
  </si>
  <si>
    <t>Caracterización y monitoreo de fauna</t>
  </si>
  <si>
    <t>Monitoreo de Recursos Hídricos</t>
  </si>
  <si>
    <t>Plan para comunidades indígenas</t>
  </si>
  <si>
    <t>Pago por servicios ambientales</t>
  </si>
  <si>
    <t>Expropiaciones Chaco</t>
  </si>
  <si>
    <t>Expropiaciones Otras obras de pavimentación</t>
  </si>
  <si>
    <t>Contingencias y Escalamientos</t>
  </si>
  <si>
    <t>Otros costos</t>
  </si>
  <si>
    <t>Administración del proyecto</t>
  </si>
  <si>
    <t>Evaluaciones, estudios, auditorias</t>
  </si>
  <si>
    <t>ROR</t>
  </si>
  <si>
    <t>ROCC</t>
  </si>
  <si>
    <t>Auditoría financiera</t>
  </si>
  <si>
    <t>Fortalecimiento de departamentos de conservación vial y gobiernos locales para implementación del plan de mantenimiento</t>
  </si>
  <si>
    <t>1.2.3.</t>
  </si>
  <si>
    <t>1.2.2.</t>
  </si>
  <si>
    <t>1.2.1.</t>
  </si>
  <si>
    <t>1.4.1</t>
  </si>
  <si>
    <t>Plan de Gestión Ambiental y Social - Región Occidental</t>
  </si>
  <si>
    <t>1.4.2</t>
  </si>
  <si>
    <t>Plan de Gestión Ambiental y Social - Región Oriental</t>
  </si>
  <si>
    <t>1.6.1</t>
  </si>
  <si>
    <t>1.6.2</t>
  </si>
  <si>
    <t>Expropiaciones Región Occidental</t>
  </si>
  <si>
    <t>Expropiaciones Región Oriental</t>
  </si>
  <si>
    <t>2.2.4</t>
  </si>
  <si>
    <t>Caminos complementarios tramos Paratodo-Cruce Douglas y Campo Aceval – Avalos Sanchez – Región Occidental conservados</t>
  </si>
  <si>
    <t>Servicios Ambientales</t>
  </si>
  <si>
    <t>TRANSFERENCIA</t>
  </si>
  <si>
    <t>1.5.1</t>
  </si>
  <si>
    <t>Otros Costos - Obras</t>
  </si>
  <si>
    <t>1.3</t>
  </si>
  <si>
    <t>1.4</t>
  </si>
  <si>
    <t>1.5</t>
  </si>
  <si>
    <t>72 meses</t>
  </si>
  <si>
    <t>60 meses</t>
  </si>
  <si>
    <t>Proceso Nacional</t>
  </si>
  <si>
    <t>T1-A1</t>
  </si>
  <si>
    <t>T1-A2</t>
  </si>
  <si>
    <t>T3-A1</t>
  </si>
  <si>
    <t>T4-A7</t>
  </si>
  <si>
    <t>1.2.1.1</t>
  </si>
  <si>
    <t>1.2.1.2</t>
  </si>
  <si>
    <t>1.2.1.3</t>
  </si>
  <si>
    <t>1.2.2.1</t>
  </si>
  <si>
    <t>1.2.2.2</t>
  </si>
  <si>
    <t>1.2.2.3</t>
  </si>
  <si>
    <t>1.2.2.4</t>
  </si>
  <si>
    <t>ECATEF/DCV</t>
  </si>
  <si>
    <t>T1-Año 1</t>
  </si>
  <si>
    <t>T1-Año 2</t>
  </si>
  <si>
    <t>T1-Año 3</t>
  </si>
  <si>
    <t>T3-Año 1</t>
  </si>
  <si>
    <t>T3-Año 2</t>
  </si>
  <si>
    <t>T1-Año 6</t>
  </si>
  <si>
    <t>T4-Año 1</t>
  </si>
  <si>
    <t>T3-Año 6</t>
  </si>
  <si>
    <t>T2-A7</t>
  </si>
  <si>
    <t>T3-A3</t>
  </si>
  <si>
    <t>T4-A6</t>
  </si>
  <si>
    <t>T4-A5</t>
  </si>
  <si>
    <t>T2-A3</t>
  </si>
  <si>
    <t>T2-A2</t>
  </si>
  <si>
    <t>T2-A6</t>
  </si>
  <si>
    <t>T1-A6</t>
  </si>
  <si>
    <t>T4-A3</t>
  </si>
  <si>
    <t>T12A2</t>
  </si>
  <si>
    <t>T1-A7</t>
  </si>
  <si>
    <t>Monto Estimado % KIF:</t>
  </si>
  <si>
    <t>Comp. 2</t>
  </si>
  <si>
    <t>Metodo Nacional</t>
  </si>
  <si>
    <t>T1-Año 4</t>
  </si>
  <si>
    <t>1.2</t>
  </si>
  <si>
    <t>Total General</t>
  </si>
  <si>
    <t>Inicio de proceso de contratación- Inicio ejecución</t>
  </si>
  <si>
    <t>Resolución expropiaciones</t>
  </si>
  <si>
    <t>Contratación firma auditora</t>
  </si>
  <si>
    <t>Obras de pavimentación y mantenimiento del tramo Cruce Pioneros – Paratodo y Accesos (muestra representativa)</t>
  </si>
  <si>
    <t>Otras obras de pavimentación y mantenimiento en la región oriental</t>
  </si>
  <si>
    <t>Obras de pavimentación (Campo Aceval - Cruce Jordán)</t>
  </si>
  <si>
    <t>Obras de pavimentación y/u obras básicas en la región occidental</t>
  </si>
  <si>
    <t xml:space="preserve">Obras de Mejoramiento de tramos críticos – Región Occidental </t>
  </si>
  <si>
    <t>Contratación de Firma Consultora para Fiscalización de obras de   Mejoramiento y Conservación de Tramo Cruce Pioneros (Ruta Nacional N° 9) – Paratodo, y accesos – Región Occidental (109.05 Km)</t>
  </si>
  <si>
    <t>Contratación de Firma Consultora para Fiscalización de las Obras de Mejoramiento y Conservación del tramo Villa del Rosario - Volendam - San Pablo - Ruta 11, y accesos– Región Oriental (80,36 Km)</t>
  </si>
  <si>
    <t>T1-A3</t>
  </si>
  <si>
    <t>Producto 1: 104 km de carreteras mejoradas y conservadas (obra de la muestra representativa)</t>
  </si>
  <si>
    <t xml:space="preserve">Estudios de pre inversión y diseños de ingeniería </t>
  </si>
  <si>
    <t>Producto 2: 115km de otras obras de mejoramiento y conservación en la región oriental y región occidental</t>
  </si>
  <si>
    <t>Producto 3: 51km de otras obras de mejoramiento y conservación en la región occidental</t>
  </si>
  <si>
    <t>2.2.5</t>
  </si>
  <si>
    <t>Levantamiento de Línea de Base</t>
  </si>
  <si>
    <t>Obras de mantenimiento otras obras de pavimentación chaco</t>
  </si>
  <si>
    <t>Otras obras de pavimentación y mantenimiento</t>
  </si>
  <si>
    <t>obras basicas de mejoramiento y mantenimiento en la región occidental</t>
  </si>
  <si>
    <t>Obras básicas de mejoramiento de tramos críticos</t>
  </si>
  <si>
    <t>Evaluación final del programa, incluyendo evaluación de impacto</t>
  </si>
  <si>
    <t>Obras de mantenimiento obras basicas</t>
  </si>
  <si>
    <t>Pavimentación de Tramo Cruce Pioneros (Ruta Nacional N° 9) – Cruce Douglas – Región Occidental</t>
  </si>
  <si>
    <t>Pavimentación de Tramo Villa del Rosario - Volendam - San Pablo - Ruta 11– Región Oriental</t>
  </si>
  <si>
    <t xml:space="preserve">Obras básicas de pavimentación de caminos complementarios tramos Campo Aceval - Cruce Jordan– Región Occidental </t>
  </si>
  <si>
    <t>Obras de Mantenimiento</t>
  </si>
  <si>
    <t>Mantenimiento de Tramo Cruce Pioneros (Ruta Nacional N° 9) – Cruce Douglas – Región Occidental</t>
  </si>
  <si>
    <t>Mantenimiento de Tramo Villa del Rosario - Volendam - San Pablo - Ruta 11– Región Oriental</t>
  </si>
  <si>
    <t>Fiscalización Obra de pavimentación y mantenimiento de Tramo Cruce Pioneros (Ruta Nacional N° 9) – Cruce Douglas – Región Occidental</t>
  </si>
  <si>
    <t>Fiscalización Obra de pavimentación y mantenimiento de Tramo Villa del Rosario - Volendam - San Pablo - Ruta 11– Región Oriental</t>
  </si>
  <si>
    <t>Obras de Pavimentación y Mejoramiento</t>
  </si>
  <si>
    <t>1.2.4.</t>
  </si>
  <si>
    <t xml:space="preserve">Mantenimiento de obras complementarias de pavimentación de tramos Paratodo-Cruce Douglas y Campo Aceval – Avalos Sanchez – Región Occidental </t>
  </si>
  <si>
    <t>Obras de Mantenimiento de Obras Básicas-Región Occidental</t>
  </si>
  <si>
    <t>1.2.4</t>
  </si>
  <si>
    <t>4 meses</t>
  </si>
  <si>
    <t>T1-Año1</t>
  </si>
  <si>
    <t>T2-A1</t>
  </si>
  <si>
    <t>Producto 1: 270,42 Km de carreteras de la red vial de caminos departamentales y nacionales pavimentados y mantenidos por el programa</t>
  </si>
  <si>
    <t>Producto 2: 270.42 km de carretera mantenidos</t>
  </si>
  <si>
    <t>Contratación de Empresa Constructora para la Pavimentación y mantenimiento del Tramo Villa del Rosario - Volendam - San Pablo - Ruta 11, y accesos– Región Oriental (80,36 Km)</t>
  </si>
  <si>
    <t>1.1.7</t>
  </si>
  <si>
    <t xml:space="preserve">Contratación de Empresa Constructora para la Pavimentación y mantenimiento del Tramo Campo Aceval – Cruce Jordán (35 km) </t>
  </si>
  <si>
    <t>Contratación de Empresa Constructora para la Pavimentación  y mantenimiento del Tramo Cruce Pioneros (Ruta Nacional N° 9) – Paratodo, y accesos– Región Occidental (104 Km)</t>
  </si>
  <si>
    <t xml:space="preserve">Contratación de Empresa Constructora para realización de Obras básicas de mejoramiento y mantenimiento de tramos críticos en la Región Occidental (51 km) - (Cruce Jordan – Avalos Sanchez; y  Paratodo – Cruce Douglas.) </t>
  </si>
  <si>
    <t>Contratación de Firma Consultora para Fiscalización de obras de   Mejoramiento y Conservación de Tramo Cruce Pioneros (Ruta Nacional N° 9) – Paratodo, y accesos – Región Occidental (104 Km)</t>
  </si>
  <si>
    <t>Contratación de Firma Consultora para Fiscalización de las Obras básicas de Mejoramiento y Conservación de caminos complementarios tramos Paratodo-Cruce Douglas y Campo Aceval – Avalos Sanchez – Región Occidental (86 Km)</t>
  </si>
  <si>
    <t xml:space="preserve">Producto 4: Mujeres capacitadas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</si>
</sst>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€]\ * #,##0.00_ ;_ [$€]\ * \-#,##0.00_ ;_ [$€]\ * &quot;-&quot;??_ ;_ @_ "/>
    <numFmt numFmtId="165" formatCode="#,#00"/>
    <numFmt numFmtId="166" formatCode="\$#,#00"/>
    <numFmt numFmtId="167" formatCode="\$#,"/>
    <numFmt numFmtId="168" formatCode="#.##000"/>
    <numFmt numFmtId="169" formatCode="#.##0,"/>
    <numFmt numFmtId="170" formatCode="_(* #,##0_);_(* \(#,##0\);_(* &quot;-&quot;??_);_(@_)"/>
    <numFmt numFmtId="171" formatCode="0.0%"/>
    <numFmt numFmtId="172" formatCode="[$USD]\ #,##0.00"/>
    <numFmt numFmtId="173" formatCode="_-* #,##0_-;\-* #,##0_-;_-* &quot;-&quot;_-;_-@_-"/>
    <numFmt numFmtId="174" formatCode="#,##0.0"/>
    <numFmt numFmtId="175" formatCode="_-* #,##0.00_-;\-* #,##0.00_-;_-* &quot;-&quot;??_-;_-@_-"/>
    <numFmt numFmtId="176" formatCode="_-&quot;$&quot;\ * #,##0.00_-;\-&quot;$&quot;\ * #,##0.00_-;_-&quot;$&quot;\ * &quot;-&quot;??_-;_-@_-"/>
    <numFmt numFmtId="177" formatCode="_(&quot;Gs&quot;\ * #,##0.00_);_(&quot;Gs&quot;\ * \(#,##0.00\);_(&quot;Gs&quot;\ * &quot;-&quot;??_);_(@_)"/>
    <numFmt numFmtId="178" formatCode="_(* #,##0.0_);_(* \(#,##0.0\);_(* &quot;-&quot;_);_(@_)"/>
    <numFmt numFmtId="179" formatCode="[$-C0A]mmm\-yy;@"/>
    <numFmt numFmtId="180" formatCode="[$-3C0A]mmmm&quot; de &quot;yyyy;@"/>
    <numFmt numFmtId="181" formatCode="dd/mm/yy;@"/>
    <numFmt numFmtId="182" formatCode="_ * #,##0_ ;_ * \-#,##0_ ;_ * &quot;-&quot;_ ;_ @_ "/>
    <numFmt numFmtId="183" formatCode="_(* #,##0.0_);_(* \(#,##0.0\);_(* &quot;-&quot;??_);_(@_)"/>
    <numFmt numFmtId="184" formatCode="[$USD]\ #,##0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sz val="10"/>
      <name val="Verdana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0"/>
      <name val="Times New Roman"/>
      <family val="1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Times New Roman"/>
      <family val="1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8"/>
      <name val="Arial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theme="3" tint="0.39994506668294322"/>
      </bottom>
      <diagonal/>
    </border>
    <border>
      <left/>
      <right style="medium">
        <color theme="0"/>
      </right>
      <top style="medium">
        <color theme="0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5">
    <xf numFmtId="0" fontId="0" fillId="0" borderId="0"/>
    <xf numFmtId="0" fontId="12" fillId="0" borderId="0">
      <protection locked="0"/>
    </xf>
    <xf numFmtId="0" fontId="12" fillId="0" borderId="0"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2" fillId="0" borderId="0">
      <protection locked="0"/>
    </xf>
    <xf numFmtId="165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protection locked="0"/>
    </xf>
    <xf numFmtId="167" fontId="12" fillId="0" borderId="0">
      <protection locked="0"/>
    </xf>
    <xf numFmtId="0" fontId="10" fillId="0" borderId="0"/>
    <xf numFmtId="9" fontId="10" fillId="0" borderId="0" applyFont="0" applyFill="0" applyBorder="0" applyAlignment="0" applyProtection="0"/>
    <xf numFmtId="168" fontId="12" fillId="0" borderId="0">
      <protection locked="0"/>
    </xf>
    <xf numFmtId="169" fontId="12" fillId="0" borderId="0">
      <protection locked="0"/>
    </xf>
    <xf numFmtId="43" fontId="10" fillId="0" borderId="0" applyFont="0" applyFill="0" applyBorder="0" applyAlignment="0" applyProtection="0"/>
    <xf numFmtId="0" fontId="7" fillId="0" borderId="0"/>
    <xf numFmtId="0" fontId="15" fillId="0" borderId="0"/>
    <xf numFmtId="172" fontId="15" fillId="0" borderId="0"/>
    <xf numFmtId="172" fontId="10" fillId="0" borderId="0"/>
    <xf numFmtId="172" fontId="6" fillId="0" borderId="0"/>
    <xf numFmtId="0" fontId="10" fillId="0" borderId="0"/>
    <xf numFmtId="172" fontId="30" fillId="13" borderId="0" applyNumberFormat="0" applyBorder="0" applyAlignment="0" applyProtection="0"/>
    <xf numFmtId="172" fontId="30" fillId="14" borderId="0" applyNumberFormat="0" applyBorder="0" applyAlignment="0" applyProtection="0"/>
    <xf numFmtId="172" fontId="30" fillId="15" borderId="0" applyNumberFormat="0" applyBorder="0" applyAlignment="0" applyProtection="0"/>
    <xf numFmtId="172" fontId="30" fillId="16" borderId="0" applyNumberFormat="0" applyBorder="0" applyAlignment="0" applyProtection="0"/>
    <xf numFmtId="172" fontId="30" fillId="17" borderId="0" applyNumberFormat="0" applyBorder="0" applyAlignment="0" applyProtection="0"/>
    <xf numFmtId="172" fontId="30" fillId="18" borderId="0" applyNumberFormat="0" applyBorder="0" applyAlignment="0" applyProtection="0"/>
    <xf numFmtId="172" fontId="30" fillId="19" borderId="0" applyNumberFormat="0" applyBorder="0" applyAlignment="0" applyProtection="0"/>
    <xf numFmtId="172" fontId="30" fillId="20" borderId="0" applyNumberFormat="0" applyBorder="0" applyAlignment="0" applyProtection="0"/>
    <xf numFmtId="172" fontId="30" fillId="21" borderId="0" applyNumberFormat="0" applyBorder="0" applyAlignment="0" applyProtection="0"/>
    <xf numFmtId="172" fontId="30" fillId="16" borderId="0" applyNumberFormat="0" applyBorder="0" applyAlignment="0" applyProtection="0"/>
    <xf numFmtId="172" fontId="30" fillId="19" borderId="0" applyNumberFormat="0" applyBorder="0" applyAlignment="0" applyProtection="0"/>
    <xf numFmtId="172" fontId="30" fillId="22" borderId="0" applyNumberFormat="0" applyBorder="0" applyAlignment="0" applyProtection="0"/>
    <xf numFmtId="172" fontId="31" fillId="23" borderId="0" applyNumberFormat="0" applyBorder="0" applyAlignment="0" applyProtection="0"/>
    <xf numFmtId="172" fontId="31" fillId="20" borderId="0" applyNumberFormat="0" applyBorder="0" applyAlignment="0" applyProtection="0"/>
    <xf numFmtId="172" fontId="31" fillId="21" borderId="0" applyNumberFormat="0" applyBorder="0" applyAlignment="0" applyProtection="0"/>
    <xf numFmtId="172" fontId="31" fillId="24" borderId="0" applyNumberFormat="0" applyBorder="0" applyAlignment="0" applyProtection="0"/>
    <xf numFmtId="172" fontId="31" fillId="25" borderId="0" applyNumberFormat="0" applyBorder="0" applyAlignment="0" applyProtection="0"/>
    <xf numFmtId="172" fontId="31" fillId="26" borderId="0" applyNumberFormat="0" applyBorder="0" applyAlignment="0" applyProtection="0"/>
    <xf numFmtId="172" fontId="31" fillId="27" borderId="0" applyNumberFormat="0" applyBorder="0" applyAlignment="0" applyProtection="0"/>
    <xf numFmtId="172" fontId="31" fillId="28" borderId="0" applyNumberFormat="0" applyBorder="0" applyAlignment="0" applyProtection="0"/>
    <xf numFmtId="172" fontId="31" fillId="29" borderId="0" applyNumberFormat="0" applyBorder="0" applyAlignment="0" applyProtection="0"/>
    <xf numFmtId="172" fontId="31" fillId="24" borderId="0" applyNumberFormat="0" applyBorder="0" applyAlignment="0" applyProtection="0"/>
    <xf numFmtId="172" fontId="31" fillId="25" borderId="0" applyNumberFormat="0" applyBorder="0" applyAlignment="0" applyProtection="0"/>
    <xf numFmtId="172" fontId="31" fillId="30" borderId="0" applyNumberFormat="0" applyBorder="0" applyAlignment="0" applyProtection="0"/>
    <xf numFmtId="172" fontId="32" fillId="14" borderId="0" applyNumberFormat="0" applyBorder="0" applyAlignment="0" applyProtection="0"/>
    <xf numFmtId="172" fontId="33" fillId="31" borderId="40" applyNumberFormat="0" applyAlignment="0" applyProtection="0"/>
    <xf numFmtId="172" fontId="34" fillId="32" borderId="41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35" fillId="0" borderId="0" applyNumberFormat="0" applyFill="0" applyBorder="0" applyAlignment="0" applyProtection="0"/>
    <xf numFmtId="172" fontId="36" fillId="15" borderId="0" applyNumberFormat="0" applyBorder="0" applyAlignment="0" applyProtection="0"/>
    <xf numFmtId="172" fontId="37" fillId="0" borderId="42" applyNumberFormat="0" applyFill="0" applyAlignment="0" applyProtection="0"/>
    <xf numFmtId="172" fontId="38" fillId="0" borderId="43" applyNumberFormat="0" applyFill="0" applyAlignment="0" applyProtection="0"/>
    <xf numFmtId="172" fontId="39" fillId="0" borderId="44" applyNumberFormat="0" applyFill="0" applyAlignment="0" applyProtection="0"/>
    <xf numFmtId="172" fontId="39" fillId="0" borderId="0" applyNumberFormat="0" applyFill="0" applyBorder="0" applyAlignment="0" applyProtection="0"/>
    <xf numFmtId="172" fontId="40" fillId="18" borderId="40" applyNumberFormat="0" applyAlignment="0" applyProtection="0"/>
    <xf numFmtId="172" fontId="41" fillId="0" borderId="45" applyNumberFormat="0" applyFill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0" fillId="0" borderId="0" applyFill="0" applyBorder="0" applyAlignment="0" applyProtection="0"/>
    <xf numFmtId="43" fontId="10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6" fontId="10" fillId="0" borderId="0" applyFill="0" applyBorder="0" applyAlignment="0" applyProtection="0"/>
    <xf numFmtId="177" fontId="10" fillId="0" borderId="0" applyFont="0" applyFill="0" applyBorder="0" applyAlignment="0" applyProtection="0"/>
    <xf numFmtId="176" fontId="10" fillId="0" borderId="0" applyFill="0" applyBorder="0" applyAlignment="0" applyProtection="0"/>
    <xf numFmtId="172" fontId="42" fillId="33" borderId="0" applyNumberFormat="0" applyBorder="0" applyAlignment="0" applyProtection="0"/>
    <xf numFmtId="172" fontId="6" fillId="0" borderId="0"/>
    <xf numFmtId="172" fontId="6" fillId="0" borderId="0"/>
    <xf numFmtId="172" fontId="6" fillId="0" borderId="0"/>
    <xf numFmtId="172" fontId="6" fillId="0" borderId="0"/>
    <xf numFmtId="172" fontId="10" fillId="0" borderId="0"/>
    <xf numFmtId="0" fontId="10" fillId="0" borderId="0"/>
    <xf numFmtId="0" fontId="6" fillId="0" borderId="0"/>
    <xf numFmtId="0" fontId="6" fillId="0" borderId="0"/>
    <xf numFmtId="172" fontId="10" fillId="0" borderId="0"/>
    <xf numFmtId="0" fontId="6" fillId="0" borderId="0"/>
    <xf numFmtId="172" fontId="10" fillId="0" borderId="0"/>
    <xf numFmtId="172" fontId="10" fillId="0" borderId="0"/>
    <xf numFmtId="0" fontId="10" fillId="0" borderId="0"/>
    <xf numFmtId="172" fontId="30" fillId="0" borderId="0"/>
    <xf numFmtId="172" fontId="10" fillId="0" borderId="0"/>
    <xf numFmtId="172" fontId="10" fillId="0" borderId="0"/>
    <xf numFmtId="0" fontId="10" fillId="0" borderId="0"/>
    <xf numFmtId="172" fontId="10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0" fillId="0" borderId="0"/>
    <xf numFmtId="172" fontId="15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0" fillId="34" borderId="46" applyNumberFormat="0" applyFont="0" applyAlignment="0" applyProtection="0"/>
    <xf numFmtId="172" fontId="43" fillId="31" borderId="47" applyNumberFormat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44" fillId="0" borderId="0" applyNumberFormat="0" applyFill="0" applyBorder="0" applyAlignment="0" applyProtection="0"/>
    <xf numFmtId="172" fontId="45" fillId="0" borderId="48" applyNumberFormat="0" applyFill="0" applyAlignment="0" applyProtection="0"/>
    <xf numFmtId="172" fontId="46" fillId="0" borderId="0" applyNumberFormat="0" applyFill="0" applyBorder="0" applyAlignment="0" applyProtection="0"/>
    <xf numFmtId="172" fontId="6" fillId="0" borderId="0"/>
    <xf numFmtId="172" fontId="5" fillId="0" borderId="0"/>
    <xf numFmtId="9" fontId="10" fillId="0" borderId="0" applyFont="0" applyFill="0" applyBorder="0" applyAlignment="0" applyProtection="0"/>
    <xf numFmtId="172" fontId="4" fillId="0" borderId="0"/>
    <xf numFmtId="172" fontId="3" fillId="0" borderId="0"/>
    <xf numFmtId="172" fontId="3" fillId="0" borderId="0"/>
    <xf numFmtId="172" fontId="2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</cellStyleXfs>
  <cellXfs count="703">
    <xf numFmtId="0" fontId="0" fillId="0" borderId="0" xfId="0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0" fontId="9" fillId="0" borderId="0" xfId="22" applyNumberFormat="1" applyFont="1" applyBorder="1" applyAlignment="1">
      <alignment vertical="center"/>
    </xf>
    <xf numFmtId="171" fontId="0" fillId="0" borderId="0" xfId="132" applyNumberFormat="1" applyFont="1"/>
    <xf numFmtId="0" fontId="20" fillId="4" borderId="25" xfId="0" applyFont="1" applyFill="1" applyBorder="1" applyAlignment="1">
      <alignment horizontal="right" vertical="center"/>
    </xf>
    <xf numFmtId="0" fontId="20" fillId="4" borderId="25" xfId="0" applyFont="1" applyFill="1" applyBorder="1" applyAlignment="1">
      <alignment vertical="center"/>
    </xf>
    <xf numFmtId="41" fontId="20" fillId="4" borderId="25" xfId="16" applyFont="1" applyFill="1" applyBorder="1" applyAlignment="1">
      <alignment vertical="center"/>
    </xf>
    <xf numFmtId="0" fontId="21" fillId="3" borderId="25" xfId="0" applyFont="1" applyFill="1" applyBorder="1" applyAlignment="1">
      <alignment horizontal="right" vertical="center"/>
    </xf>
    <xf numFmtId="0" fontId="21" fillId="3" borderId="25" xfId="0" applyFont="1" applyFill="1" applyBorder="1" applyAlignment="1">
      <alignment vertical="center"/>
    </xf>
    <xf numFmtId="41" fontId="21" fillId="3" borderId="0" xfId="16" applyFont="1" applyFill="1" applyBorder="1" applyAlignment="1">
      <alignment vertical="center"/>
    </xf>
    <xf numFmtId="0" fontId="11" fillId="0" borderId="0" xfId="0" applyFont="1"/>
    <xf numFmtId="0" fontId="25" fillId="7" borderId="19" xfId="0" applyFont="1" applyFill="1" applyBorder="1" applyAlignment="1">
      <alignment horizontal="right" vertical="center"/>
    </xf>
    <xf numFmtId="0" fontId="20" fillId="7" borderId="19" xfId="0" applyFont="1" applyFill="1" applyBorder="1" applyAlignment="1">
      <alignment vertical="center"/>
    </xf>
    <xf numFmtId="41" fontId="20" fillId="7" borderId="1" xfId="0" applyNumberFormat="1" applyFont="1" applyFill="1" applyBorder="1" applyAlignment="1">
      <alignment horizontal="right" vertical="center"/>
    </xf>
    <xf numFmtId="0" fontId="26" fillId="7" borderId="24" xfId="0" applyFont="1" applyFill="1" applyBorder="1" applyAlignment="1">
      <alignment horizontal="center" vertical="center"/>
    </xf>
    <xf numFmtId="0" fontId="27" fillId="7" borderId="26" xfId="0" applyFont="1" applyFill="1" applyBorder="1" applyAlignment="1">
      <alignment horizontal="center" vertical="center"/>
    </xf>
    <xf numFmtId="171" fontId="26" fillId="7" borderId="27" xfId="132" applyNumberFormat="1" applyFont="1" applyFill="1" applyBorder="1" applyAlignment="1">
      <alignment horizontal="center" vertical="center" wrapText="1"/>
    </xf>
    <xf numFmtId="172" fontId="24" fillId="0" borderId="0" xfId="28" applyFont="1" applyAlignment="1">
      <alignment vertical="center"/>
    </xf>
    <xf numFmtId="172" fontId="24" fillId="0" borderId="0" xfId="28" applyFont="1" applyAlignment="1">
      <alignment horizontal="center" vertical="center"/>
    </xf>
    <xf numFmtId="170" fontId="18" fillId="0" borderId="0" xfId="25" applyNumberFormat="1" applyFont="1" applyAlignment="1">
      <alignment vertical="center"/>
    </xf>
    <xf numFmtId="172" fontId="18" fillId="0" borderId="0" xfId="28" applyFont="1" applyAlignment="1">
      <alignment vertical="center"/>
    </xf>
    <xf numFmtId="172" fontId="19" fillId="0" borderId="0" xfId="28" applyFont="1" applyAlignment="1">
      <alignment vertical="center"/>
    </xf>
    <xf numFmtId="172" fontId="28" fillId="0" borderId="0" xfId="28" applyFont="1" applyAlignment="1">
      <alignment vertical="center" wrapText="1"/>
    </xf>
    <xf numFmtId="3" fontId="28" fillId="0" borderId="0" xfId="25" applyNumberFormat="1" applyFont="1" applyAlignment="1">
      <alignment horizontal="center" vertical="center"/>
    </xf>
    <xf numFmtId="17" fontId="28" fillId="0" borderId="0" xfId="28" applyNumberFormat="1" applyFont="1" applyAlignment="1">
      <alignment horizontal="center" vertical="center"/>
    </xf>
    <xf numFmtId="170" fontId="19" fillId="0" borderId="0" xfId="25" applyNumberFormat="1" applyFont="1" applyAlignment="1">
      <alignment horizontal="center" vertical="center"/>
    </xf>
    <xf numFmtId="172" fontId="17" fillId="0" borderId="0" xfId="29" applyFont="1" applyAlignment="1">
      <alignment horizontal="right"/>
    </xf>
    <xf numFmtId="172" fontId="19" fillId="0" borderId="0" xfId="28" applyFont="1" applyAlignment="1">
      <alignment vertical="center" wrapText="1"/>
    </xf>
    <xf numFmtId="172" fontId="18" fillId="6" borderId="29" xfId="28" applyFont="1" applyFill="1" applyBorder="1" applyAlignment="1">
      <alignment horizontal="right" vertical="center"/>
    </xf>
    <xf numFmtId="3" fontId="22" fillId="6" borderId="29" xfId="28" applyNumberFormat="1" applyFont="1" applyFill="1" applyBorder="1" applyAlignment="1">
      <alignment horizontal="center" vertical="center" wrapText="1"/>
    </xf>
    <xf numFmtId="3" fontId="24" fillId="6" borderId="29" xfId="28" applyNumberFormat="1" applyFont="1" applyFill="1" applyBorder="1" applyAlignment="1">
      <alignment horizontal="center" vertical="center" wrapText="1"/>
    </xf>
    <xf numFmtId="17" fontId="24" fillId="6" borderId="29" xfId="28" applyNumberFormat="1" applyFont="1" applyFill="1" applyBorder="1" applyAlignment="1">
      <alignment horizontal="center" vertical="center" wrapText="1"/>
    </xf>
    <xf numFmtId="170" fontId="22" fillId="6" borderId="29" xfId="25" applyNumberFormat="1" applyFont="1" applyFill="1" applyBorder="1" applyAlignment="1">
      <alignment horizontal="center" vertical="center"/>
    </xf>
    <xf numFmtId="170" fontId="22" fillId="8" borderId="29" xfId="25" applyNumberFormat="1" applyFont="1" applyFill="1" applyBorder="1" applyAlignment="1">
      <alignment horizontal="center" vertical="center" wrapText="1"/>
    </xf>
    <xf numFmtId="3" fontId="22" fillId="6" borderId="30" xfId="28" applyNumberFormat="1" applyFont="1" applyFill="1" applyBorder="1" applyAlignment="1">
      <alignment horizontal="right" vertical="center" wrapText="1"/>
    </xf>
    <xf numFmtId="3" fontId="22" fillId="6" borderId="30" xfId="28" applyNumberFormat="1" applyFont="1" applyFill="1" applyBorder="1" applyAlignment="1">
      <alignment horizontal="left" vertical="center" wrapText="1"/>
    </xf>
    <xf numFmtId="3" fontId="24" fillId="6" borderId="30" xfId="28" applyNumberFormat="1" applyFont="1" applyFill="1" applyBorder="1" applyAlignment="1">
      <alignment horizontal="left" vertical="center" wrapText="1"/>
    </xf>
    <xf numFmtId="3" fontId="24" fillId="6" borderId="30" xfId="25" applyNumberFormat="1" applyFont="1" applyFill="1" applyBorder="1" applyAlignment="1">
      <alignment horizontal="center" vertical="center" wrapText="1"/>
    </xf>
    <xf numFmtId="17" fontId="28" fillId="6" borderId="30" xfId="28" applyNumberFormat="1" applyFont="1" applyFill="1" applyBorder="1" applyAlignment="1">
      <alignment horizontal="center" vertical="center" wrapText="1"/>
    </xf>
    <xf numFmtId="170" fontId="29" fillId="6" borderId="30" xfId="25" applyNumberFormat="1" applyFont="1" applyFill="1" applyBorder="1" applyAlignment="1">
      <alignment horizontal="center" vertical="center" wrapText="1"/>
    </xf>
    <xf numFmtId="3" fontId="18" fillId="0" borderId="30" xfId="28" applyNumberFormat="1" applyFont="1" applyFill="1" applyBorder="1" applyAlignment="1">
      <alignment horizontal="right" vertical="center"/>
    </xf>
    <xf numFmtId="3" fontId="18" fillId="0" borderId="31" xfId="28" applyNumberFormat="1" applyFont="1" applyFill="1" applyBorder="1" applyAlignment="1">
      <alignment horizontal="right" vertical="center"/>
    </xf>
    <xf numFmtId="172" fontId="22" fillId="8" borderId="32" xfId="28" applyFont="1" applyFill="1" applyBorder="1" applyAlignment="1">
      <alignment horizontal="right" vertical="center"/>
    </xf>
    <xf numFmtId="172" fontId="22" fillId="8" borderId="32" xfId="30" applyFont="1" applyFill="1" applyBorder="1" applyAlignment="1">
      <alignment horizontal="left" vertical="center" wrapText="1"/>
    </xf>
    <xf numFmtId="172" fontId="24" fillId="8" borderId="32" xfId="30" applyFont="1" applyFill="1" applyBorder="1" applyAlignment="1">
      <alignment horizontal="left" vertical="center" wrapText="1"/>
    </xf>
    <xf numFmtId="3" fontId="24" fillId="8" borderId="32" xfId="25" applyNumberFormat="1" applyFont="1" applyFill="1" applyBorder="1" applyAlignment="1">
      <alignment horizontal="center" vertical="center" wrapText="1"/>
    </xf>
    <xf numFmtId="17" fontId="28" fillId="8" borderId="32" xfId="28" applyNumberFormat="1" applyFont="1" applyFill="1" applyBorder="1" applyAlignment="1">
      <alignment horizontal="center" vertical="center" wrapText="1"/>
    </xf>
    <xf numFmtId="170" fontId="29" fillId="8" borderId="32" xfId="25" applyNumberFormat="1" applyFont="1" applyFill="1" applyBorder="1" applyAlignment="1">
      <alignment horizontal="center" vertical="center" wrapText="1"/>
    </xf>
    <xf numFmtId="3" fontId="18" fillId="0" borderId="32" xfId="28" applyNumberFormat="1" applyFont="1" applyFill="1" applyBorder="1" applyAlignment="1">
      <alignment horizontal="right" vertical="center"/>
    </xf>
    <xf numFmtId="172" fontId="19" fillId="0" borderId="32" xfId="28" applyFont="1" applyFill="1" applyBorder="1" applyAlignment="1">
      <alignment horizontal="right" vertical="center"/>
    </xf>
    <xf numFmtId="3" fontId="19" fillId="0" borderId="32" xfId="28" applyNumberFormat="1" applyFont="1" applyFill="1" applyBorder="1" applyAlignment="1">
      <alignment horizontal="left" vertical="center" wrapText="1"/>
    </xf>
    <xf numFmtId="3" fontId="28" fillId="0" borderId="32" xfId="28" applyNumberFormat="1" applyFont="1" applyFill="1" applyBorder="1" applyAlignment="1">
      <alignment horizontal="left" vertical="center" wrapText="1"/>
    </xf>
    <xf numFmtId="3" fontId="28" fillId="0" borderId="32" xfId="25" applyNumberFormat="1" applyFont="1" applyFill="1" applyBorder="1" applyAlignment="1">
      <alignment horizontal="center" vertical="center" wrapText="1"/>
    </xf>
    <xf numFmtId="17" fontId="28" fillId="2" borderId="32" xfId="28" applyNumberFormat="1" applyFont="1" applyFill="1" applyBorder="1" applyAlignment="1">
      <alignment horizontal="center" vertical="center" wrapText="1"/>
    </xf>
    <xf numFmtId="170" fontId="19" fillId="2" borderId="32" xfId="25" applyNumberFormat="1" applyFont="1" applyFill="1" applyBorder="1" applyAlignment="1">
      <alignment horizontal="center" vertical="center" wrapText="1"/>
    </xf>
    <xf numFmtId="3" fontId="18" fillId="0" borderId="33" xfId="28" applyNumberFormat="1" applyFont="1" applyFill="1" applyBorder="1" applyAlignment="1">
      <alignment horizontal="right" vertical="center"/>
    </xf>
    <xf numFmtId="3" fontId="18" fillId="0" borderId="34" xfId="28" applyNumberFormat="1" applyFont="1" applyFill="1" applyBorder="1" applyAlignment="1">
      <alignment horizontal="right" vertical="center"/>
    </xf>
    <xf numFmtId="3" fontId="18" fillId="0" borderId="35" xfId="28" applyNumberFormat="1" applyFont="1" applyFill="1" applyBorder="1" applyAlignment="1">
      <alignment horizontal="right" vertical="center"/>
    </xf>
    <xf numFmtId="3" fontId="18" fillId="0" borderId="36" xfId="28" applyNumberFormat="1" applyFont="1" applyFill="1" applyBorder="1" applyAlignment="1">
      <alignment horizontal="right" vertical="center"/>
    </xf>
    <xf numFmtId="3" fontId="18" fillId="0" borderId="37" xfId="28" applyNumberFormat="1" applyFont="1" applyFill="1" applyBorder="1" applyAlignment="1">
      <alignment horizontal="right" vertical="center"/>
    </xf>
    <xf numFmtId="172" fontId="22" fillId="6" borderId="32" xfId="28" applyFont="1" applyFill="1" applyBorder="1" applyAlignment="1">
      <alignment horizontal="right" vertical="center"/>
    </xf>
    <xf numFmtId="172" fontId="22" fillId="6" borderId="32" xfId="28" applyFont="1" applyFill="1" applyBorder="1" applyAlignment="1">
      <alignment horizontal="left" vertical="center" wrapText="1"/>
    </xf>
    <xf numFmtId="172" fontId="24" fillId="6" borderId="32" xfId="28" applyFont="1" applyFill="1" applyBorder="1" applyAlignment="1">
      <alignment horizontal="left" vertical="center" wrapText="1"/>
    </xf>
    <xf numFmtId="172" fontId="24" fillId="6" borderId="32" xfId="28" applyFont="1" applyFill="1" applyBorder="1" applyAlignment="1">
      <alignment horizontal="center" vertical="center" wrapText="1"/>
    </xf>
    <xf numFmtId="170" fontId="22" fillId="6" borderId="32" xfId="25" applyNumberFormat="1" applyFont="1" applyFill="1" applyBorder="1" applyAlignment="1">
      <alignment horizontal="left" vertical="center" wrapText="1"/>
    </xf>
    <xf numFmtId="3" fontId="18" fillId="6" borderId="36" xfId="28" applyNumberFormat="1" applyFont="1" applyFill="1" applyBorder="1" applyAlignment="1">
      <alignment horizontal="right" vertical="center"/>
    </xf>
    <xf numFmtId="3" fontId="18" fillId="6" borderId="37" xfId="28" applyNumberFormat="1" applyFont="1" applyFill="1" applyBorder="1" applyAlignment="1">
      <alignment horizontal="right" vertical="center"/>
    </xf>
    <xf numFmtId="172" fontId="19" fillId="0" borderId="0" xfId="28" applyFont="1" applyFill="1" applyAlignment="1">
      <alignment vertical="center"/>
    </xf>
    <xf numFmtId="3" fontId="22" fillId="6" borderId="38" xfId="28" applyNumberFormat="1" applyFont="1" applyFill="1" applyBorder="1" applyAlignment="1">
      <alignment horizontal="right" vertical="center" wrapText="1"/>
    </xf>
    <xf numFmtId="3" fontId="22" fillId="6" borderId="38" xfId="28" applyNumberFormat="1" applyFont="1" applyFill="1" applyBorder="1" applyAlignment="1">
      <alignment horizontal="left" vertical="center" wrapText="1"/>
    </xf>
    <xf numFmtId="3" fontId="24" fillId="6" borderId="32" xfId="28" applyNumberFormat="1" applyFont="1" applyFill="1" applyBorder="1" applyAlignment="1">
      <alignment horizontal="left" vertical="center" wrapText="1"/>
    </xf>
    <xf numFmtId="3" fontId="24" fillId="6" borderId="32" xfId="28" applyNumberFormat="1" applyFont="1" applyFill="1" applyBorder="1" applyAlignment="1">
      <alignment horizontal="center" vertical="center" wrapText="1"/>
    </xf>
    <xf numFmtId="170" fontId="22" fillId="6" borderId="38" xfId="25" applyNumberFormat="1" applyFont="1" applyFill="1" applyBorder="1" applyAlignment="1">
      <alignment horizontal="left" vertical="center" wrapText="1"/>
    </xf>
    <xf numFmtId="172" fontId="22" fillId="9" borderId="39" xfId="30" applyFont="1" applyFill="1" applyBorder="1" applyAlignment="1">
      <alignment horizontal="right" vertical="center" wrapText="1"/>
    </xf>
    <xf numFmtId="172" fontId="22" fillId="9" borderId="39" xfId="30" applyFont="1" applyFill="1" applyBorder="1" applyAlignment="1">
      <alignment vertical="center" wrapText="1"/>
    </xf>
    <xf numFmtId="14" fontId="22" fillId="9" borderId="39" xfId="30" applyNumberFormat="1" applyFont="1" applyFill="1" applyBorder="1" applyAlignment="1">
      <alignment horizontal="center" vertical="center"/>
    </xf>
    <xf numFmtId="14" fontId="24" fillId="9" borderId="39" xfId="30" applyNumberFormat="1" applyFont="1" applyFill="1" applyBorder="1" applyAlignment="1">
      <alignment horizontal="center" vertical="center"/>
    </xf>
    <xf numFmtId="170" fontId="22" fillId="9" borderId="39" xfId="25" applyNumberFormat="1" applyFont="1" applyFill="1" applyBorder="1" applyAlignment="1">
      <alignment horizontal="center" vertical="center"/>
    </xf>
    <xf numFmtId="3" fontId="18" fillId="5" borderId="39" xfId="28" applyNumberFormat="1" applyFont="1" applyFill="1" applyBorder="1" applyAlignment="1">
      <alignment vertical="center" wrapText="1"/>
    </xf>
    <xf numFmtId="172" fontId="17" fillId="5" borderId="39" xfId="30" applyFont="1" applyFill="1" applyBorder="1" applyAlignment="1">
      <alignment horizontal="center" vertical="center"/>
    </xf>
    <xf numFmtId="172" fontId="24" fillId="5" borderId="39" xfId="30" applyFont="1" applyFill="1" applyBorder="1" applyAlignment="1">
      <alignment horizontal="center" vertical="center"/>
    </xf>
    <xf numFmtId="170" fontId="17" fillId="5" borderId="39" xfId="25" applyNumberFormat="1" applyFont="1" applyFill="1" applyBorder="1" applyAlignment="1">
      <alignment horizontal="center" vertical="center"/>
    </xf>
    <xf numFmtId="0" fontId="23" fillId="2" borderId="39" xfId="31" applyFont="1" applyFill="1" applyBorder="1" applyAlignment="1">
      <alignment horizontal="justify" vertical="center" wrapText="1"/>
    </xf>
    <xf numFmtId="0" fontId="19" fillId="2" borderId="39" xfId="31" applyFont="1" applyFill="1" applyBorder="1" applyAlignment="1">
      <alignment horizontal="center" vertical="center" wrapText="1"/>
    </xf>
    <xf numFmtId="170" fontId="19" fillId="2" borderId="39" xfId="25" applyNumberFormat="1" applyFont="1" applyFill="1" applyBorder="1" applyAlignment="1">
      <alignment horizontal="center" vertical="center" wrapText="1"/>
    </xf>
    <xf numFmtId="170" fontId="19" fillId="10" borderId="39" xfId="25" applyNumberFormat="1" applyFont="1" applyFill="1" applyBorder="1" applyAlignment="1">
      <alignment horizontal="center" vertical="center" wrapText="1"/>
    </xf>
    <xf numFmtId="170" fontId="19" fillId="11" borderId="39" xfId="25" applyNumberFormat="1" applyFont="1" applyFill="1" applyBorder="1" applyAlignment="1">
      <alignment horizontal="center" vertical="center" wrapText="1"/>
    </xf>
    <xf numFmtId="170" fontId="19" fillId="12" borderId="39" xfId="25" applyNumberFormat="1" applyFont="1" applyFill="1" applyBorder="1" applyAlignment="1">
      <alignment horizontal="center" vertical="center" wrapText="1"/>
    </xf>
    <xf numFmtId="0" fontId="23" fillId="2" borderId="39" xfId="31" applyFont="1" applyFill="1" applyBorder="1" applyAlignment="1">
      <alignment vertical="center" wrapText="1"/>
    </xf>
    <xf numFmtId="173" fontId="19" fillId="2" borderId="39" xfId="31" applyNumberFormat="1" applyFont="1" applyFill="1" applyBorder="1" applyAlignment="1">
      <alignment horizontal="center" vertical="center" wrapText="1"/>
    </xf>
    <xf numFmtId="174" fontId="18" fillId="5" borderId="39" xfId="28" applyNumberFormat="1" applyFont="1" applyFill="1" applyBorder="1" applyAlignment="1">
      <alignment horizontal="right" vertical="center" wrapText="1"/>
    </xf>
    <xf numFmtId="172" fontId="18" fillId="5" borderId="39" xfId="30" applyFont="1" applyFill="1" applyBorder="1" applyAlignment="1">
      <alignment horizontal="center" vertical="center" wrapText="1"/>
    </xf>
    <xf numFmtId="172" fontId="24" fillId="5" borderId="39" xfId="30" applyFont="1" applyFill="1" applyBorder="1" applyAlignment="1">
      <alignment horizontal="center" vertical="center" wrapText="1"/>
    </xf>
    <xf numFmtId="170" fontId="18" fillId="5" borderId="39" xfId="25" applyNumberFormat="1" applyFont="1" applyFill="1" applyBorder="1" applyAlignment="1">
      <alignment horizontal="center" vertical="center" wrapText="1"/>
    </xf>
    <xf numFmtId="170" fontId="19" fillId="0" borderId="39" xfId="25" applyNumberFormat="1" applyFont="1" applyFill="1" applyBorder="1" applyAlignment="1">
      <alignment horizontal="center" vertical="center" wrapText="1"/>
    </xf>
    <xf numFmtId="0" fontId="22" fillId="9" borderId="39" xfId="30" applyNumberFormat="1" applyFont="1" applyFill="1" applyBorder="1" applyAlignment="1">
      <alignment horizontal="right" vertical="center" wrapText="1"/>
    </xf>
    <xf numFmtId="3" fontId="19" fillId="2" borderId="38" xfId="28" applyNumberFormat="1" applyFont="1" applyFill="1" applyBorder="1" applyAlignment="1">
      <alignment horizontal="right" vertical="center" wrapText="1"/>
    </xf>
    <xf numFmtId="3" fontId="19" fillId="2" borderId="38" xfId="28" applyNumberFormat="1" applyFont="1" applyFill="1" applyBorder="1" applyAlignment="1">
      <alignment vertical="center" wrapText="1"/>
    </xf>
    <xf numFmtId="172" fontId="19" fillId="2" borderId="38" xfId="30" applyFont="1" applyFill="1" applyBorder="1" applyAlignment="1">
      <alignment horizontal="center" vertical="center"/>
    </xf>
    <xf numFmtId="170" fontId="19" fillId="2" borderId="38" xfId="25" applyNumberFormat="1" applyFont="1" applyFill="1" applyBorder="1" applyAlignment="1">
      <alignment horizontal="center" vertical="center"/>
    </xf>
    <xf numFmtId="172" fontId="23" fillId="2" borderId="38" xfId="30" applyFont="1" applyFill="1" applyBorder="1" applyAlignment="1">
      <alignment horizontal="center" vertical="center"/>
    </xf>
    <xf numFmtId="170" fontId="23" fillId="2" borderId="38" xfId="25" applyNumberFormat="1" applyFont="1" applyFill="1" applyBorder="1" applyAlignment="1">
      <alignment horizontal="center" vertical="center"/>
    </xf>
    <xf numFmtId="170" fontId="23" fillId="10" borderId="38" xfId="25" applyNumberFormat="1" applyFont="1" applyFill="1" applyBorder="1" applyAlignment="1">
      <alignment horizontal="center" vertical="center"/>
    </xf>
    <xf numFmtId="172" fontId="19" fillId="0" borderId="0" xfId="28" applyFont="1" applyFill="1" applyAlignment="1">
      <alignment horizontal="right" vertical="center"/>
    </xf>
    <xf numFmtId="41" fontId="19" fillId="0" borderId="0" xfId="59" applyFont="1" applyAlignment="1">
      <alignment vertical="center"/>
    </xf>
    <xf numFmtId="172" fontId="19" fillId="0" borderId="0" xfId="28" applyFont="1" applyAlignment="1">
      <alignment horizontal="center" vertical="center"/>
    </xf>
    <xf numFmtId="172" fontId="18" fillId="0" borderId="0" xfId="28" applyFont="1" applyAlignment="1">
      <alignment horizontal="center" vertical="center"/>
    </xf>
    <xf numFmtId="172" fontId="19" fillId="0" borderId="0" xfId="28" applyFont="1" applyAlignment="1">
      <alignment horizontal="center" vertical="center" wrapText="1"/>
    </xf>
    <xf numFmtId="41" fontId="19" fillId="0" borderId="0" xfId="59" applyFont="1" applyAlignment="1">
      <alignment horizontal="left" vertical="center" wrapText="1"/>
    </xf>
    <xf numFmtId="41" fontId="18" fillId="2" borderId="39" xfId="59" applyFont="1" applyFill="1" applyBorder="1" applyAlignment="1">
      <alignment horizontal="center" vertical="center" wrapText="1"/>
    </xf>
    <xf numFmtId="3" fontId="19" fillId="2" borderId="38" xfId="28" applyNumberFormat="1" applyFont="1" applyFill="1" applyBorder="1" applyAlignment="1">
      <alignment horizontal="center" vertical="center" wrapText="1"/>
    </xf>
    <xf numFmtId="41" fontId="19" fillId="2" borderId="39" xfId="59" applyFont="1" applyFill="1" applyBorder="1" applyAlignment="1">
      <alignment horizontal="right" vertical="center" wrapText="1"/>
    </xf>
    <xf numFmtId="41" fontId="18" fillId="5" borderId="39" xfId="59" applyFont="1" applyFill="1" applyBorder="1" applyAlignment="1">
      <alignment horizontal="center" vertical="center"/>
    </xf>
    <xf numFmtId="178" fontId="18" fillId="5" borderId="39" xfId="59" applyNumberFormat="1" applyFont="1" applyFill="1" applyBorder="1" applyAlignment="1">
      <alignment horizontal="right" vertical="center" wrapText="1"/>
    </xf>
    <xf numFmtId="41" fontId="23" fillId="2" borderId="38" xfId="59" applyFont="1" applyFill="1" applyBorder="1" applyAlignment="1">
      <alignment horizontal="right" vertical="center"/>
    </xf>
    <xf numFmtId="41" fontId="19" fillId="2" borderId="38" xfId="59" applyFont="1" applyFill="1" applyBorder="1" applyAlignment="1">
      <alignment horizontal="right" vertical="center" wrapText="1"/>
    </xf>
    <xf numFmtId="3" fontId="18" fillId="2" borderId="38" xfId="28" applyNumberFormat="1" applyFont="1" applyFill="1" applyBorder="1" applyAlignment="1">
      <alignment horizontal="center" vertical="center" wrapText="1"/>
    </xf>
    <xf numFmtId="0" fontId="19" fillId="2" borderId="49" xfId="31" applyFont="1" applyFill="1" applyBorder="1" applyAlignment="1">
      <alignment horizontal="center" vertical="center" wrapText="1"/>
    </xf>
    <xf numFmtId="172" fontId="19" fillId="2" borderId="0" xfId="28" applyFont="1" applyFill="1" applyAlignment="1">
      <alignment vertical="center"/>
    </xf>
    <xf numFmtId="41" fontId="19" fillId="2" borderId="0" xfId="59" applyFont="1" applyFill="1" applyBorder="1" applyAlignment="1">
      <alignment horizontal="center" vertical="center" wrapText="1"/>
    </xf>
    <xf numFmtId="41" fontId="22" fillId="9" borderId="39" xfId="59" applyFont="1" applyFill="1" applyBorder="1" applyAlignment="1">
      <alignment horizontal="right" vertical="center" wrapText="1"/>
    </xf>
    <xf numFmtId="41" fontId="18" fillId="2" borderId="39" xfId="59" applyNumberFormat="1" applyFont="1" applyFill="1" applyBorder="1" applyAlignment="1">
      <alignment horizontal="center" vertical="center" wrapText="1"/>
    </xf>
    <xf numFmtId="3" fontId="18" fillId="5" borderId="39" xfId="28" applyNumberFormat="1" applyFont="1" applyFill="1" applyBorder="1" applyAlignment="1">
      <alignment horizontal="center" vertical="center" wrapText="1"/>
    </xf>
    <xf numFmtId="170" fontId="22" fillId="9" borderId="39" xfId="59" applyNumberFormat="1" applyFont="1" applyFill="1" applyBorder="1" applyAlignment="1">
      <alignment horizontal="right" vertical="center" wrapText="1"/>
    </xf>
    <xf numFmtId="41" fontId="22" fillId="6" borderId="38" xfId="59" applyFont="1" applyFill="1" applyBorder="1" applyAlignment="1">
      <alignment horizontal="left" vertical="center" wrapText="1"/>
    </xf>
    <xf numFmtId="3" fontId="22" fillId="6" borderId="38" xfId="28" applyNumberFormat="1" applyFont="1" applyFill="1" applyBorder="1" applyAlignment="1">
      <alignment horizontal="center" vertical="center" wrapText="1"/>
    </xf>
    <xf numFmtId="41" fontId="22" fillId="9" borderId="38" xfId="59" applyFont="1" applyFill="1" applyBorder="1" applyAlignment="1">
      <alignment horizontal="center" vertical="center" wrapText="1"/>
    </xf>
    <xf numFmtId="3" fontId="22" fillId="9" borderId="38" xfId="28" applyNumberFormat="1" applyFont="1" applyFill="1" applyBorder="1" applyAlignment="1">
      <alignment horizontal="center" vertical="center" wrapText="1"/>
    </xf>
    <xf numFmtId="41" fontId="22" fillId="9" borderId="38" xfId="59" applyFont="1" applyFill="1" applyBorder="1" applyAlignment="1">
      <alignment horizontal="left" vertical="center" wrapText="1"/>
    </xf>
    <xf numFmtId="41" fontId="18" fillId="0" borderId="0" xfId="59" applyFont="1" applyAlignment="1">
      <alignment horizontal="left" vertical="center"/>
    </xf>
    <xf numFmtId="172" fontId="22" fillId="9" borderId="39" xfId="130" applyFont="1" applyFill="1" applyBorder="1" applyAlignment="1">
      <alignment vertical="center" wrapText="1"/>
    </xf>
    <xf numFmtId="172" fontId="22" fillId="9" borderId="39" xfId="130" applyFont="1" applyFill="1" applyBorder="1" applyAlignment="1">
      <alignment horizontal="center" vertical="center" wrapText="1"/>
    </xf>
    <xf numFmtId="172" fontId="22" fillId="9" borderId="39" xfId="130" applyFont="1" applyFill="1" applyBorder="1" applyAlignment="1">
      <alignment horizontal="center" vertical="center"/>
    </xf>
    <xf numFmtId="14" fontId="22" fillId="9" borderId="39" xfId="130" applyNumberFormat="1" applyFont="1" applyFill="1" applyBorder="1" applyAlignment="1">
      <alignment horizontal="center" vertical="center"/>
    </xf>
    <xf numFmtId="172" fontId="18" fillId="5" borderId="39" xfId="130" applyFont="1" applyFill="1" applyBorder="1" applyAlignment="1">
      <alignment horizontal="center" vertical="center" wrapText="1"/>
    </xf>
    <xf numFmtId="172" fontId="17" fillId="5" borderId="39" xfId="130" applyFont="1" applyFill="1" applyBorder="1" applyAlignment="1">
      <alignment horizontal="center" vertical="center"/>
    </xf>
    <xf numFmtId="172" fontId="19" fillId="2" borderId="39" xfId="130" applyFont="1" applyFill="1" applyBorder="1" applyAlignment="1">
      <alignment horizontal="center" vertical="center" wrapText="1"/>
    </xf>
    <xf numFmtId="172" fontId="19" fillId="5" borderId="39" xfId="130" applyFont="1" applyFill="1" applyBorder="1" applyAlignment="1">
      <alignment horizontal="center" vertical="center" wrapText="1"/>
    </xf>
    <xf numFmtId="3" fontId="22" fillId="8" borderId="29" xfId="28" applyNumberFormat="1" applyFont="1" applyFill="1" applyBorder="1" applyAlignment="1">
      <alignment horizontal="center" vertical="center"/>
    </xf>
    <xf numFmtId="172" fontId="18" fillId="0" borderId="0" xfId="28" applyFont="1" applyAlignment="1">
      <alignment horizontal="center" vertical="center"/>
    </xf>
    <xf numFmtId="3" fontId="22" fillId="8" borderId="29" xfId="28" applyNumberFormat="1" applyFont="1" applyFill="1" applyBorder="1" applyAlignment="1">
      <alignment horizontal="center" vertical="center"/>
    </xf>
    <xf numFmtId="3" fontId="22" fillId="6" borderId="29" xfId="28" applyNumberFormat="1" applyFont="1" applyFill="1" applyBorder="1" applyAlignment="1">
      <alignment horizontal="center" vertical="center"/>
    </xf>
    <xf numFmtId="172" fontId="17" fillId="0" borderId="0" xfId="87" applyFont="1" applyAlignment="1">
      <alignment horizontal="left"/>
    </xf>
    <xf numFmtId="41" fontId="17" fillId="0" borderId="0" xfId="59" applyFont="1" applyAlignment="1"/>
    <xf numFmtId="172" fontId="19" fillId="0" borderId="0" xfId="87" applyFont="1"/>
    <xf numFmtId="172" fontId="19" fillId="2" borderId="0" xfId="87" applyFont="1" applyFill="1" applyBorder="1"/>
    <xf numFmtId="172" fontId="19" fillId="2" borderId="0" xfId="87" applyFont="1" applyFill="1" applyAlignment="1">
      <alignment vertical="center"/>
    </xf>
    <xf numFmtId="172" fontId="29" fillId="0" borderId="0" xfId="87" applyFont="1"/>
    <xf numFmtId="41" fontId="17" fillId="0" borderId="0" xfId="59" applyFont="1" applyAlignment="1">
      <alignment horizontal="center"/>
    </xf>
    <xf numFmtId="41" fontId="22" fillId="6" borderId="29" xfId="59" applyFont="1" applyFill="1" applyBorder="1" applyAlignment="1">
      <alignment horizontal="center" vertical="center" wrapText="1"/>
    </xf>
    <xf numFmtId="172" fontId="22" fillId="0" borderId="0" xfId="87" applyFont="1"/>
    <xf numFmtId="172" fontId="18" fillId="0" borderId="0" xfId="87" applyFont="1"/>
    <xf numFmtId="41" fontId="22" fillId="35" borderId="29" xfId="59" applyFont="1" applyFill="1" applyBorder="1" applyAlignment="1">
      <alignment horizontal="center" vertical="center" wrapText="1"/>
    </xf>
    <xf numFmtId="179" fontId="22" fillId="35" borderId="29" xfId="28" applyNumberFormat="1" applyFont="1" applyFill="1" applyBorder="1" applyAlignment="1">
      <alignment horizontal="center" vertical="center"/>
    </xf>
    <xf numFmtId="172" fontId="19" fillId="0" borderId="0" xfId="87" applyFont="1" applyAlignment="1">
      <alignment horizontal="center"/>
    </xf>
    <xf numFmtId="172" fontId="22" fillId="9" borderId="39" xfId="131" applyFont="1" applyFill="1" applyBorder="1" applyAlignment="1">
      <alignment horizontal="right" vertical="center" wrapText="1"/>
    </xf>
    <xf numFmtId="172" fontId="22" fillId="9" borderId="39" xfId="131" applyFont="1" applyFill="1" applyBorder="1" applyAlignment="1">
      <alignment vertical="center" wrapText="1"/>
    </xf>
    <xf numFmtId="172" fontId="19" fillId="2" borderId="0" xfId="87" applyFont="1" applyFill="1" applyAlignment="1">
      <alignment horizontal="center"/>
    </xf>
    <xf numFmtId="0" fontId="22" fillId="9" borderId="39" xfId="131" applyNumberFormat="1" applyFont="1" applyFill="1" applyBorder="1" applyAlignment="1">
      <alignment horizontal="right" vertical="center" wrapText="1"/>
    </xf>
    <xf numFmtId="172" fontId="19" fillId="0" borderId="0" xfId="87" applyFont="1" applyAlignment="1">
      <alignment horizontal="right"/>
    </xf>
    <xf numFmtId="172" fontId="19" fillId="0" borderId="0" xfId="87" applyFont="1" applyAlignment="1">
      <alignment horizontal="left"/>
    </xf>
    <xf numFmtId="41" fontId="19" fillId="0" borderId="0" xfId="59" applyFont="1"/>
    <xf numFmtId="41" fontId="23" fillId="2" borderId="39" xfId="31" applyNumberFormat="1" applyFont="1" applyFill="1" applyBorder="1" applyAlignment="1">
      <alignment horizontal="right" vertical="center" wrapText="1"/>
    </xf>
    <xf numFmtId="43" fontId="23" fillId="2" borderId="38" xfId="25" applyNumberFormat="1" applyFont="1" applyFill="1" applyBorder="1" applyAlignment="1">
      <alignment horizontal="center" vertical="center"/>
    </xf>
    <xf numFmtId="0" fontId="47" fillId="0" borderId="0" xfId="95" applyFont="1"/>
    <xf numFmtId="0" fontId="16" fillId="0" borderId="0" xfId="95" applyFont="1" applyAlignment="1">
      <alignment horizontal="center" wrapText="1"/>
    </xf>
    <xf numFmtId="9" fontId="16" fillId="0" borderId="0" xfId="95" applyNumberFormat="1" applyFont="1" applyAlignment="1">
      <alignment horizontal="center" wrapText="1"/>
    </xf>
    <xf numFmtId="3" fontId="16" fillId="0" borderId="0" xfId="95" applyNumberFormat="1" applyFont="1" applyAlignment="1">
      <alignment horizontal="center" wrapText="1"/>
    </xf>
    <xf numFmtId="0" fontId="47" fillId="0" borderId="0" xfId="95" applyFont="1" applyAlignment="1"/>
    <xf numFmtId="0" fontId="47" fillId="0" borderId="0" xfId="95" applyFont="1" applyAlignment="1">
      <alignment horizontal="center"/>
    </xf>
    <xf numFmtId="9" fontId="16" fillId="0" borderId="0" xfId="95" applyNumberFormat="1" applyFont="1" applyAlignment="1">
      <alignment horizontal="center" vertical="top" wrapText="1"/>
    </xf>
    <xf numFmtId="0" fontId="16" fillId="0" borderId="0" xfId="95" applyFont="1" applyAlignment="1">
      <alignment horizontal="left" wrapText="1"/>
    </xf>
    <xf numFmtId="3" fontId="47" fillId="0" borderId="0" xfId="95" applyNumberFormat="1" applyFont="1"/>
    <xf numFmtId="3" fontId="48" fillId="0" borderId="0" xfId="95" applyNumberFormat="1" applyFont="1" applyAlignment="1">
      <alignment horizontal="right" vertical="center"/>
    </xf>
    <xf numFmtId="9" fontId="47" fillId="0" borderId="0" xfId="95" applyNumberFormat="1" applyFont="1"/>
    <xf numFmtId="0" fontId="47" fillId="0" borderId="0" xfId="95" applyFont="1" applyAlignment="1">
      <alignment horizontal="right"/>
    </xf>
    <xf numFmtId="180" fontId="47" fillId="0" borderId="0" xfId="95" applyNumberFormat="1" applyFont="1" applyAlignment="1">
      <alignment horizontal="left"/>
    </xf>
    <xf numFmtId="3" fontId="49" fillId="0" borderId="0" xfId="95" applyNumberFormat="1" applyFont="1" applyAlignment="1">
      <alignment horizontal="right"/>
    </xf>
    <xf numFmtId="3" fontId="49" fillId="0" borderId="0" xfId="95" applyNumberFormat="1" applyFont="1"/>
    <xf numFmtId="3" fontId="49" fillId="0" borderId="0" xfId="95" applyNumberFormat="1" applyFont="1" applyAlignment="1">
      <alignment horizontal="left"/>
    </xf>
    <xf numFmtId="0" fontId="49" fillId="0" borderId="0" xfId="95" applyNumberFormat="1" applyFont="1" applyAlignment="1">
      <alignment horizontal="left"/>
    </xf>
    <xf numFmtId="3" fontId="16" fillId="0" borderId="0" xfId="95" applyNumberFormat="1" applyFont="1" applyAlignment="1">
      <alignment horizontal="right"/>
    </xf>
    <xf numFmtId="3" fontId="16" fillId="0" borderId="0" xfId="95" applyNumberFormat="1" applyFont="1"/>
    <xf numFmtId="3" fontId="16" fillId="0" borderId="0" xfId="95" applyNumberFormat="1" applyFont="1" applyAlignment="1">
      <alignment horizontal="left"/>
    </xf>
    <xf numFmtId="0" fontId="47" fillId="0" borderId="0" xfId="95" applyFont="1" applyAlignment="1">
      <alignment horizontal="left"/>
    </xf>
    <xf numFmtId="3" fontId="47" fillId="0" borderId="0" xfId="95" applyNumberFormat="1" applyFont="1" applyAlignment="1">
      <alignment horizontal="left"/>
    </xf>
    <xf numFmtId="3" fontId="47" fillId="0" borderId="0" xfId="95" applyNumberFormat="1" applyFont="1" applyAlignment="1">
      <alignment horizontal="right"/>
    </xf>
    <xf numFmtId="0" fontId="16" fillId="0" borderId="57" xfId="95" applyFont="1" applyBorder="1" applyAlignment="1">
      <alignment horizontal="center"/>
    </xf>
    <xf numFmtId="0" fontId="47" fillId="0" borderId="9" xfId="95" applyFont="1" applyFill="1" applyBorder="1" applyAlignment="1">
      <alignment horizontal="center" vertical="center"/>
    </xf>
    <xf numFmtId="9" fontId="47" fillId="0" borderId="58" xfId="95" applyNumberFormat="1" applyFont="1" applyFill="1" applyBorder="1" applyAlignment="1">
      <alignment horizontal="center" vertical="center" wrapText="1"/>
    </xf>
    <xf numFmtId="3" fontId="47" fillId="0" borderId="58" xfId="95" applyNumberFormat="1" applyFont="1" applyFill="1" applyBorder="1" applyAlignment="1">
      <alignment horizontal="center" wrapText="1"/>
    </xf>
    <xf numFmtId="0" fontId="47" fillId="0" borderId="59" xfId="95" applyFont="1" applyFill="1" applyBorder="1" applyAlignment="1">
      <alignment horizontal="center" vertical="center" wrapText="1"/>
    </xf>
    <xf numFmtId="9" fontId="47" fillId="0" borderId="59" xfId="95" applyNumberFormat="1" applyFont="1" applyFill="1" applyBorder="1" applyAlignment="1">
      <alignment horizontal="center" vertical="center" wrapText="1"/>
    </xf>
    <xf numFmtId="0" fontId="47" fillId="0" borderId="60" xfId="95" applyFont="1" applyFill="1" applyBorder="1" applyAlignment="1">
      <alignment horizontal="center" vertical="center" wrapText="1"/>
    </xf>
    <xf numFmtId="0" fontId="47" fillId="0" borderId="10" xfId="95" applyFont="1" applyBorder="1" applyAlignment="1">
      <alignment horizontal="center" vertical="center" wrapText="1"/>
    </xf>
    <xf numFmtId="0" fontId="16" fillId="0" borderId="61" xfId="95" applyFont="1" applyBorder="1" applyAlignment="1">
      <alignment horizontal="center" vertical="center" wrapText="1"/>
    </xf>
    <xf numFmtId="0" fontId="47" fillId="0" borderId="8" xfId="95" applyFont="1" applyBorder="1" applyAlignment="1">
      <alignment horizontal="center" wrapText="1"/>
    </xf>
    <xf numFmtId="10" fontId="47" fillId="0" borderId="62" xfId="95" applyNumberFormat="1" applyFont="1" applyBorder="1"/>
    <xf numFmtId="3" fontId="47" fillId="0" borderId="62" xfId="95" applyNumberFormat="1" applyFont="1" applyBorder="1"/>
    <xf numFmtId="3" fontId="47" fillId="0" borderId="16" xfId="95" applyNumberFormat="1" applyFont="1" applyBorder="1"/>
    <xf numFmtId="10" fontId="47" fillId="0" borderId="16" xfId="95" applyNumberFormat="1" applyFont="1" applyBorder="1" applyAlignment="1">
      <alignment horizontal="center"/>
    </xf>
    <xf numFmtId="180" fontId="47" fillId="0" borderId="62" xfId="95" applyNumberFormat="1" applyFont="1" applyBorder="1" applyAlignment="1">
      <alignment horizontal="center"/>
    </xf>
    <xf numFmtId="3" fontId="47" fillId="0" borderId="7" xfId="95" applyNumberFormat="1" applyFont="1" applyBorder="1" applyAlignment="1">
      <alignment horizontal="center"/>
    </xf>
    <xf numFmtId="3" fontId="16" fillId="0" borderId="18" xfId="95" applyNumberFormat="1" applyFont="1" applyBorder="1"/>
    <xf numFmtId="0" fontId="47" fillId="0" borderId="12" xfId="95" applyFont="1" applyBorder="1" applyAlignment="1">
      <alignment horizontal="center"/>
    </xf>
    <xf numFmtId="10" fontId="47" fillId="0" borderId="2" xfId="95" applyNumberFormat="1" applyFont="1" applyBorder="1"/>
    <xf numFmtId="3" fontId="47" fillId="0" borderId="2" xfId="95" applyNumberFormat="1" applyFont="1" applyBorder="1"/>
    <xf numFmtId="3" fontId="47" fillId="0" borderId="3" xfId="95" applyNumberFormat="1" applyFont="1" applyBorder="1"/>
    <xf numFmtId="10" fontId="47" fillId="0" borderId="3" xfId="95" applyNumberFormat="1" applyFont="1" applyBorder="1" applyAlignment="1">
      <alignment horizontal="center"/>
    </xf>
    <xf numFmtId="180" fontId="47" fillId="0" borderId="2" xfId="95" applyNumberFormat="1" applyFont="1" applyBorder="1" applyAlignment="1">
      <alignment horizontal="center"/>
    </xf>
    <xf numFmtId="3" fontId="47" fillId="0" borderId="13" xfId="95" applyNumberFormat="1" applyFont="1" applyBorder="1" applyAlignment="1">
      <alignment horizontal="center"/>
    </xf>
    <xf numFmtId="3" fontId="16" fillId="0" borderId="21" xfId="95" applyNumberFormat="1" applyFont="1" applyBorder="1"/>
    <xf numFmtId="3" fontId="47" fillId="10" borderId="0" xfId="95" applyNumberFormat="1" applyFont="1" applyFill="1"/>
    <xf numFmtId="0" fontId="47" fillId="0" borderId="5" xfId="95" applyFont="1" applyBorder="1"/>
    <xf numFmtId="3" fontId="16" fillId="0" borderId="5" xfId="95" applyNumberFormat="1" applyFont="1" applyBorder="1"/>
    <xf numFmtId="3" fontId="47" fillId="10" borderId="5" xfId="95" applyNumberFormat="1" applyFont="1" applyFill="1" applyBorder="1"/>
    <xf numFmtId="0" fontId="47" fillId="0" borderId="14" xfId="95" applyFont="1" applyBorder="1" applyAlignment="1">
      <alignment horizontal="center"/>
    </xf>
    <xf numFmtId="10" fontId="47" fillId="0" borderId="17" xfId="95" applyNumberFormat="1" applyFont="1" applyBorder="1"/>
    <xf numFmtId="3" fontId="47" fillId="0" borderId="63" xfId="95" applyNumberFormat="1" applyFont="1" applyBorder="1"/>
    <xf numFmtId="10" fontId="47" fillId="0" borderId="63" xfId="95" applyNumberFormat="1" applyFont="1" applyBorder="1" applyAlignment="1">
      <alignment horizontal="center"/>
    </xf>
    <xf numFmtId="180" fontId="47" fillId="0" borderId="17" xfId="95" applyNumberFormat="1" applyFont="1" applyBorder="1" applyAlignment="1">
      <alignment horizontal="center"/>
    </xf>
    <xf numFmtId="3" fontId="47" fillId="0" borderId="15" xfId="95" applyNumberFormat="1" applyFont="1" applyBorder="1" applyAlignment="1">
      <alignment horizontal="center"/>
    </xf>
    <xf numFmtId="3" fontId="16" fillId="0" borderId="22" xfId="95" applyNumberFormat="1" applyFont="1" applyBorder="1"/>
    <xf numFmtId="0" fontId="16" fillId="0" borderId="20" xfId="95" applyFont="1" applyBorder="1" applyAlignment="1">
      <alignment horizontal="center"/>
    </xf>
    <xf numFmtId="10" fontId="16" fillId="0" borderId="64" xfId="95" applyNumberFormat="1" applyFont="1" applyBorder="1"/>
    <xf numFmtId="10" fontId="16" fillId="0" borderId="26" xfId="95" applyNumberFormat="1" applyFont="1" applyBorder="1"/>
    <xf numFmtId="3" fontId="16" fillId="0" borderId="11" xfId="95" applyNumberFormat="1" applyFont="1" applyBorder="1"/>
    <xf numFmtId="3" fontId="16" fillId="0" borderId="61" xfId="95" applyNumberFormat="1" applyFont="1" applyBorder="1"/>
    <xf numFmtId="10" fontId="47" fillId="0" borderId="0" xfId="95" applyNumberFormat="1" applyFont="1"/>
    <xf numFmtId="0" fontId="16" fillId="0" borderId="2" xfId="95" applyFont="1" applyBorder="1" applyAlignment="1">
      <alignment horizontal="center"/>
    </xf>
    <xf numFmtId="180" fontId="16" fillId="0" borderId="2" xfId="95" applyNumberFormat="1" applyFont="1" applyBorder="1" applyAlignment="1">
      <alignment horizontal="center"/>
    </xf>
    <xf numFmtId="0" fontId="16" fillId="0" borderId="0" xfId="95" applyFont="1" applyAlignment="1">
      <alignment horizontal="center"/>
    </xf>
    <xf numFmtId="0" fontId="47" fillId="0" borderId="2" xfId="95" applyFont="1" applyBorder="1" applyAlignment="1">
      <alignment vertical="center" wrapText="1"/>
    </xf>
    <xf numFmtId="170" fontId="16" fillId="10" borderId="0" xfId="25" applyNumberFormat="1" applyFont="1" applyFill="1"/>
    <xf numFmtId="10" fontId="47" fillId="0" borderId="64" xfId="95" applyNumberFormat="1" applyFont="1" applyBorder="1"/>
    <xf numFmtId="172" fontId="47" fillId="0" borderId="0" xfId="87" applyFont="1"/>
    <xf numFmtId="43" fontId="16" fillId="0" borderId="2" xfId="25" applyFont="1" applyBorder="1" applyAlignment="1">
      <alignment horizontal="center"/>
    </xf>
    <xf numFmtId="43" fontId="16" fillId="0" borderId="0" xfId="25" applyFont="1" applyAlignment="1">
      <alignment horizontal="center"/>
    </xf>
    <xf numFmtId="43" fontId="47" fillId="0" borderId="2" xfId="25" applyFont="1" applyBorder="1" applyAlignment="1">
      <alignment vertical="center" wrapText="1"/>
    </xf>
    <xf numFmtId="43" fontId="47" fillId="0" borderId="2" xfId="25" applyFont="1" applyBorder="1"/>
    <xf numFmtId="43" fontId="47" fillId="0" borderId="0" xfId="25" applyFont="1"/>
    <xf numFmtId="170" fontId="47" fillId="0" borderId="0" xfId="25" applyNumberFormat="1" applyFont="1"/>
    <xf numFmtId="0" fontId="47" fillId="37" borderId="0" xfId="95" applyFont="1" applyFill="1"/>
    <xf numFmtId="3" fontId="47" fillId="37" borderId="2" xfId="95" applyNumberFormat="1" applyFont="1" applyFill="1" applyBorder="1"/>
    <xf numFmtId="170" fontId="47" fillId="37" borderId="0" xfId="25" applyNumberFormat="1" applyFont="1" applyFill="1"/>
    <xf numFmtId="172" fontId="51" fillId="0" borderId="0" xfId="87" applyFont="1" applyAlignment="1">
      <alignment horizontal="left"/>
    </xf>
    <xf numFmtId="172" fontId="51" fillId="0" borderId="0" xfId="87" applyFont="1" applyAlignment="1"/>
    <xf numFmtId="170" fontId="51" fillId="0" borderId="0" xfId="17" applyNumberFormat="1" applyFont="1" applyAlignment="1"/>
    <xf numFmtId="170" fontId="19" fillId="0" borderId="0" xfId="17" applyNumberFormat="1" applyFont="1"/>
    <xf numFmtId="172" fontId="51" fillId="0" borderId="0" xfId="87" applyFont="1" applyAlignment="1">
      <alignment horizontal="center"/>
    </xf>
    <xf numFmtId="170" fontId="51" fillId="0" borderId="0" xfId="17" applyNumberFormat="1" applyFont="1" applyAlignment="1">
      <alignment horizontal="center"/>
    </xf>
    <xf numFmtId="170" fontId="22" fillId="6" borderId="67" xfId="17" applyNumberFormat="1" applyFont="1" applyFill="1" applyBorder="1" applyAlignment="1">
      <alignment horizontal="center" vertical="center" wrapText="1"/>
    </xf>
    <xf numFmtId="172" fontId="22" fillId="9" borderId="39" xfId="133" applyFont="1" applyFill="1" applyBorder="1" applyAlignment="1">
      <alignment horizontal="right" vertical="center" wrapText="1"/>
    </xf>
    <xf numFmtId="172" fontId="22" fillId="9" borderId="39" xfId="133" applyFont="1" applyFill="1" applyBorder="1" applyAlignment="1">
      <alignment vertical="center" wrapText="1"/>
    </xf>
    <xf numFmtId="170" fontId="22" fillId="9" borderId="39" xfId="17" applyNumberFormat="1" applyFont="1" applyFill="1" applyBorder="1" applyAlignment="1">
      <alignment horizontal="center" vertical="center"/>
    </xf>
    <xf numFmtId="170" fontId="17" fillId="5" borderId="39" xfId="17" applyNumberFormat="1" applyFont="1" applyFill="1" applyBorder="1" applyAlignment="1">
      <alignment horizontal="center" vertical="center"/>
    </xf>
    <xf numFmtId="170" fontId="18" fillId="5" borderId="39" xfId="17" applyNumberFormat="1" applyFont="1" applyFill="1" applyBorder="1" applyAlignment="1">
      <alignment horizontal="center" vertical="center" wrapText="1"/>
    </xf>
    <xf numFmtId="172" fontId="19" fillId="2" borderId="0" xfId="87" applyFont="1" applyFill="1"/>
    <xf numFmtId="172" fontId="22" fillId="6" borderId="0" xfId="87" applyFont="1" applyFill="1" applyAlignment="1">
      <alignment horizontal="right"/>
    </xf>
    <xf numFmtId="172" fontId="22" fillId="6" borderId="0" xfId="87" applyFont="1" applyFill="1"/>
    <xf numFmtId="170" fontId="22" fillId="38" borderId="38" xfId="17" applyNumberFormat="1" applyFont="1" applyFill="1" applyBorder="1" applyAlignment="1">
      <alignment horizontal="right" vertical="center" wrapText="1"/>
    </xf>
    <xf numFmtId="170" fontId="22" fillId="6" borderId="0" xfId="17" applyNumberFormat="1" applyFont="1" applyFill="1"/>
    <xf numFmtId="170" fontId="23" fillId="0" borderId="39" xfId="17" applyNumberFormat="1" applyFont="1" applyFill="1" applyBorder="1" applyAlignment="1">
      <alignment horizontal="center" vertical="center"/>
    </xf>
    <xf numFmtId="0" fontId="22" fillId="9" borderId="39" xfId="133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vertical="center"/>
    </xf>
    <xf numFmtId="41" fontId="21" fillId="0" borderId="0" xfId="16" applyFont="1" applyFill="1" applyBorder="1" applyAlignment="1">
      <alignment vertical="center"/>
    </xf>
    <xf numFmtId="0" fontId="20" fillId="4" borderId="2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vertical="center"/>
    </xf>
    <xf numFmtId="41" fontId="20" fillId="4" borderId="2" xfId="16" applyFont="1" applyFill="1" applyBorder="1" applyAlignment="1">
      <alignment vertical="center"/>
    </xf>
    <xf numFmtId="0" fontId="21" fillId="3" borderId="2" xfId="0" applyFont="1" applyFill="1" applyBorder="1" applyAlignment="1">
      <alignment horizontal="right" vertical="center"/>
    </xf>
    <xf numFmtId="0" fontId="21" fillId="3" borderId="2" xfId="0" applyFont="1" applyFill="1" applyBorder="1" applyAlignment="1">
      <alignment vertical="center"/>
    </xf>
    <xf numFmtId="41" fontId="21" fillId="3" borderId="2" xfId="16" applyFont="1" applyFill="1" applyBorder="1" applyAlignment="1">
      <alignment vertical="center"/>
    </xf>
    <xf numFmtId="0" fontId="21" fillId="0" borderId="2" xfId="0" applyFont="1" applyFill="1" applyBorder="1" applyAlignment="1">
      <alignment horizontal="right" vertical="center"/>
    </xf>
    <xf numFmtId="41" fontId="21" fillId="0" borderId="2" xfId="16" applyFont="1" applyFill="1" applyBorder="1" applyAlignment="1">
      <alignment vertical="center"/>
    </xf>
    <xf numFmtId="0" fontId="25" fillId="7" borderId="2" xfId="0" applyFont="1" applyFill="1" applyBorder="1" applyAlignment="1">
      <alignment horizontal="right" vertical="center"/>
    </xf>
    <xf numFmtId="0" fontId="20" fillId="7" borderId="2" xfId="0" applyFont="1" applyFill="1" applyBorder="1" applyAlignment="1">
      <alignment vertical="center"/>
    </xf>
    <xf numFmtId="41" fontId="20" fillId="7" borderId="2" xfId="0" applyNumberFormat="1" applyFont="1" applyFill="1" applyBorder="1" applyAlignment="1">
      <alignment horizontal="right" vertical="center"/>
    </xf>
    <xf numFmtId="172" fontId="23" fillId="0" borderId="0" xfId="110" applyFont="1" applyAlignment="1">
      <alignment horizontal="center" vertical="center"/>
    </xf>
    <xf numFmtId="0" fontId="17" fillId="0" borderId="0" xfId="0" applyFont="1" applyAlignment="1"/>
    <xf numFmtId="172" fontId="23" fillId="0" borderId="0" xfId="110" applyFont="1" applyAlignment="1">
      <alignment horizontal="left" vertical="center" wrapText="1"/>
    </xf>
    <xf numFmtId="172" fontId="23" fillId="0" borderId="0" xfId="110" applyFont="1" applyAlignment="1">
      <alignment horizontal="left" vertical="center"/>
    </xf>
    <xf numFmtId="170" fontId="23" fillId="0" borderId="0" xfId="25" applyNumberFormat="1" applyFont="1" applyAlignment="1">
      <alignment horizontal="center" vertical="center"/>
    </xf>
    <xf numFmtId="181" fontId="23" fillId="0" borderId="0" xfId="110" applyNumberFormat="1" applyFont="1" applyAlignment="1">
      <alignment horizontal="center" vertical="center"/>
    </xf>
    <xf numFmtId="172" fontId="23" fillId="2" borderId="0" xfId="11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72" fontId="19" fillId="0" borderId="0" xfId="94" applyFont="1" applyAlignment="1">
      <alignment horizontal="center" vertical="center"/>
    </xf>
    <xf numFmtId="172" fontId="19" fillId="2" borderId="0" xfId="94" applyFont="1" applyFill="1" applyBorder="1" applyAlignment="1">
      <alignment horizontal="center" vertical="center"/>
    </xf>
    <xf numFmtId="172" fontId="19" fillId="2" borderId="0" xfId="98" applyFont="1" applyFill="1" applyBorder="1" applyAlignment="1">
      <alignment horizontal="center" vertical="center"/>
    </xf>
    <xf numFmtId="172" fontId="19" fillId="2" borderId="0" xfId="98" applyFont="1" applyFill="1" applyBorder="1" applyAlignment="1">
      <alignment horizontal="center" vertical="center" wrapText="1"/>
    </xf>
    <xf numFmtId="172" fontId="18" fillId="39" borderId="32" xfId="94" applyFont="1" applyFill="1" applyBorder="1" applyAlignment="1">
      <alignment horizontal="center" vertical="center" wrapText="1"/>
    </xf>
    <xf numFmtId="181" fontId="18" fillId="39" borderId="32" xfId="94" applyNumberFormat="1" applyFont="1" applyFill="1" applyBorder="1" applyAlignment="1">
      <alignment horizontal="center" vertical="center" wrapText="1"/>
    </xf>
    <xf numFmtId="172" fontId="18" fillId="39" borderId="32" xfId="94" applyFont="1" applyFill="1" applyBorder="1" applyAlignment="1">
      <alignment horizontal="left" vertical="center" wrapText="1"/>
    </xf>
    <xf numFmtId="172" fontId="19" fillId="2" borderId="32" xfId="94" applyFont="1" applyFill="1" applyBorder="1" applyAlignment="1">
      <alignment horizontal="center" vertical="center" wrapText="1"/>
    </xf>
    <xf numFmtId="172" fontId="19" fillId="0" borderId="32" xfId="94" applyFont="1" applyFill="1" applyBorder="1" applyAlignment="1">
      <alignment horizontal="left" vertical="center" wrapText="1"/>
    </xf>
    <xf numFmtId="3" fontId="19" fillId="0" borderId="32" xfId="94" applyNumberFormat="1" applyFont="1" applyFill="1" applyBorder="1" applyAlignment="1">
      <alignment horizontal="center" vertical="center" wrapText="1"/>
    </xf>
    <xf numFmtId="172" fontId="19" fillId="0" borderId="32" xfId="94" applyFont="1" applyFill="1" applyBorder="1" applyAlignment="1">
      <alignment horizontal="center" vertical="center" wrapText="1"/>
    </xf>
    <xf numFmtId="170" fontId="19" fillId="0" borderId="32" xfId="25" applyNumberFormat="1" applyFont="1" applyFill="1" applyBorder="1" applyAlignment="1">
      <alignment horizontal="center" vertical="center" wrapText="1"/>
    </xf>
    <xf numFmtId="9" fontId="19" fillId="0" borderId="32" xfId="94" applyNumberFormat="1" applyFont="1" applyFill="1" applyBorder="1" applyAlignment="1">
      <alignment horizontal="center" vertical="center" wrapText="1"/>
    </xf>
    <xf numFmtId="181" fontId="19" fillId="0" borderId="32" xfId="94" applyNumberFormat="1" applyFont="1" applyFill="1" applyBorder="1" applyAlignment="1">
      <alignment horizontal="center" vertical="center" wrapText="1"/>
    </xf>
    <xf numFmtId="172" fontId="19" fillId="0" borderId="32" xfId="94" applyFont="1" applyFill="1" applyBorder="1" applyAlignment="1">
      <alignment vertical="center" wrapText="1"/>
    </xf>
    <xf numFmtId="170" fontId="18" fillId="5" borderId="32" xfId="94" applyNumberFormat="1" applyFont="1" applyFill="1" applyBorder="1" applyAlignment="1">
      <alignment horizontal="center" vertical="center" wrapText="1"/>
    </xf>
    <xf numFmtId="172" fontId="19" fillId="5" borderId="32" xfId="94" applyFont="1" applyFill="1" applyBorder="1" applyAlignment="1">
      <alignment horizontal="center" vertical="center" wrapText="1"/>
    </xf>
    <xf numFmtId="181" fontId="19" fillId="5" borderId="32" xfId="94" applyNumberFormat="1" applyFont="1" applyFill="1" applyBorder="1" applyAlignment="1">
      <alignment horizontal="center" vertical="center" wrapText="1"/>
    </xf>
    <xf numFmtId="172" fontId="19" fillId="5" borderId="32" xfId="94" applyFont="1" applyFill="1" applyBorder="1" applyAlignment="1">
      <alignment horizontal="left" vertical="center" wrapText="1"/>
    </xf>
    <xf numFmtId="181" fontId="18" fillId="39" borderId="33" xfId="94" applyNumberFormat="1" applyFont="1" applyFill="1" applyBorder="1" applyAlignment="1">
      <alignment horizontal="center" vertical="center" wrapText="1"/>
    </xf>
    <xf numFmtId="172" fontId="18" fillId="39" borderId="33" xfId="94" applyFont="1" applyFill="1" applyBorder="1" applyAlignment="1">
      <alignment horizontal="left" vertical="center" wrapText="1"/>
    </xf>
    <xf numFmtId="172" fontId="23" fillId="2" borderId="0" xfId="110" applyFont="1" applyFill="1" applyAlignment="1">
      <alignment horizontal="center" vertical="center"/>
    </xf>
    <xf numFmtId="172" fontId="19" fillId="2" borderId="32" xfId="94" applyFont="1" applyFill="1" applyBorder="1" applyAlignment="1">
      <alignment horizontal="center" vertical="center"/>
    </xf>
    <xf numFmtId="3" fontId="19" fillId="2" borderId="37" xfId="28" applyNumberFormat="1" applyFont="1" applyFill="1" applyBorder="1" applyAlignment="1">
      <alignment horizontal="left" vertical="center" wrapText="1"/>
    </xf>
    <xf numFmtId="172" fontId="19" fillId="2" borderId="32" xfId="94" applyFont="1" applyFill="1" applyBorder="1" applyAlignment="1">
      <alignment horizontal="left" vertical="center" wrapText="1"/>
    </xf>
    <xf numFmtId="172" fontId="19" fillId="2" borderId="32" xfId="94" applyFont="1" applyFill="1" applyBorder="1" applyAlignment="1">
      <alignment vertical="center" wrapText="1"/>
    </xf>
    <xf numFmtId="9" fontId="19" fillId="2" borderId="32" xfId="94" applyNumberFormat="1" applyFont="1" applyFill="1" applyBorder="1" applyAlignment="1">
      <alignment horizontal="center" vertical="center" wrapText="1"/>
    </xf>
    <xf numFmtId="37" fontId="19" fillId="2" borderId="32" xfId="94" applyNumberFormat="1" applyFont="1" applyFill="1" applyBorder="1" applyAlignment="1">
      <alignment horizontal="right" vertical="center" wrapText="1"/>
    </xf>
    <xf numFmtId="172" fontId="19" fillId="0" borderId="36" xfId="94" applyFont="1" applyBorder="1" applyAlignment="1">
      <alignment horizontal="center" vertical="center"/>
    </xf>
    <xf numFmtId="17" fontId="23" fillId="2" borderId="37" xfId="135" applyNumberFormat="1" applyFont="1" applyFill="1" applyBorder="1" applyAlignment="1">
      <alignment horizontal="center" vertical="center"/>
    </xf>
    <xf numFmtId="172" fontId="19" fillId="2" borderId="0" xfId="110" applyFont="1" applyFill="1" applyBorder="1" applyAlignment="1">
      <alignment horizontal="center" vertical="center"/>
    </xf>
    <xf numFmtId="181" fontId="19" fillId="5" borderId="30" xfId="94" applyNumberFormat="1" applyFont="1" applyFill="1" applyBorder="1" applyAlignment="1">
      <alignment horizontal="center" vertical="center" wrapText="1"/>
    </xf>
    <xf numFmtId="172" fontId="19" fillId="5" borderId="30" xfId="94" applyFont="1" applyFill="1" applyBorder="1" applyAlignment="1">
      <alignment horizontal="left" vertical="center" wrapText="1"/>
    </xf>
    <xf numFmtId="172" fontId="19" fillId="5" borderId="30" xfId="94" applyFont="1" applyFill="1" applyBorder="1" applyAlignment="1">
      <alignment horizontal="center" vertical="center" wrapText="1"/>
    </xf>
    <xf numFmtId="172" fontId="18" fillId="39" borderId="33" xfId="94" applyFont="1" applyFill="1" applyBorder="1" applyAlignment="1">
      <alignment horizontal="center" vertical="center" wrapText="1"/>
    </xf>
    <xf numFmtId="172" fontId="19" fillId="0" borderId="71" xfId="94" applyFont="1" applyFill="1" applyBorder="1" applyAlignment="1">
      <alignment horizontal="center" vertical="center" wrapText="1"/>
    </xf>
    <xf numFmtId="3" fontId="19" fillId="2" borderId="32" xfId="28" applyNumberFormat="1" applyFont="1" applyFill="1" applyBorder="1" applyAlignment="1">
      <alignment horizontal="left" vertical="center" wrapText="1"/>
    </xf>
    <xf numFmtId="3" fontId="19" fillId="2" borderId="32" xfId="94" applyNumberFormat="1" applyFont="1" applyFill="1" applyBorder="1" applyAlignment="1">
      <alignment horizontal="left" vertical="center" wrapText="1"/>
    </xf>
    <xf numFmtId="3" fontId="19" fillId="2" borderId="32" xfId="94" applyNumberFormat="1" applyFont="1" applyFill="1" applyBorder="1" applyAlignment="1">
      <alignment horizontal="center" vertical="center" wrapText="1"/>
    </xf>
    <xf numFmtId="170" fontId="19" fillId="2" borderId="32" xfId="25" applyNumberFormat="1" applyFont="1" applyFill="1" applyBorder="1" applyAlignment="1">
      <alignment vertical="center" wrapText="1"/>
    </xf>
    <xf numFmtId="9" fontId="19" fillId="0" borderId="32" xfId="22" applyFont="1" applyBorder="1" applyAlignment="1">
      <alignment horizontal="center" vertical="center"/>
    </xf>
    <xf numFmtId="170" fontId="19" fillId="2" borderId="32" xfId="25" applyNumberFormat="1" applyFont="1" applyFill="1" applyBorder="1" applyAlignment="1">
      <alignment horizontal="center" vertical="center"/>
    </xf>
    <xf numFmtId="181" fontId="19" fillId="0" borderId="32" xfId="94" applyNumberFormat="1" applyFont="1" applyFill="1" applyBorder="1" applyAlignment="1">
      <alignment horizontal="left" vertical="center" wrapText="1"/>
    </xf>
    <xf numFmtId="172" fontId="23" fillId="0" borderId="0" xfId="110" applyFont="1" applyBorder="1" applyAlignment="1">
      <alignment horizontal="center" vertical="center"/>
    </xf>
    <xf numFmtId="170" fontId="18" fillId="5" borderId="30" xfId="94" applyNumberFormat="1" applyFont="1" applyFill="1" applyBorder="1" applyAlignment="1">
      <alignment horizontal="center" vertical="center" wrapText="1"/>
    </xf>
    <xf numFmtId="172" fontId="19" fillId="0" borderId="0" xfId="94" applyFont="1" applyBorder="1" applyAlignment="1">
      <alignment horizontal="center" vertical="center"/>
    </xf>
    <xf numFmtId="172" fontId="19" fillId="0" borderId="5" xfId="94" applyFont="1" applyFill="1" applyBorder="1" applyAlignment="1">
      <alignment horizontal="center" vertical="center" wrapText="1"/>
    </xf>
    <xf numFmtId="172" fontId="19" fillId="0" borderId="0" xfId="94" applyFont="1" applyFill="1" applyBorder="1" applyAlignment="1">
      <alignment horizontal="left" vertical="center" wrapText="1"/>
    </xf>
    <xf numFmtId="172" fontId="19" fillId="0" borderId="0" xfId="94" applyFont="1" applyFill="1" applyBorder="1" applyAlignment="1">
      <alignment horizontal="center" vertical="center" wrapText="1"/>
    </xf>
    <xf numFmtId="170" fontId="19" fillId="0" borderId="0" xfId="25" applyNumberFormat="1" applyFont="1" applyFill="1" applyBorder="1" applyAlignment="1">
      <alignment horizontal="center" vertical="center" wrapText="1"/>
    </xf>
    <xf numFmtId="181" fontId="19" fillId="0" borderId="0" xfId="94" applyNumberFormat="1" applyFont="1" applyFill="1" applyBorder="1" applyAlignment="1">
      <alignment horizontal="center" vertical="center" wrapText="1"/>
    </xf>
    <xf numFmtId="170" fontId="18" fillId="39" borderId="32" xfId="25" applyNumberFormat="1" applyFont="1" applyFill="1" applyBorder="1" applyAlignment="1">
      <alignment horizontal="center" vertical="center" wrapText="1"/>
    </xf>
    <xf numFmtId="181" fontId="18" fillId="39" borderId="36" xfId="94" applyNumberFormat="1" applyFont="1" applyFill="1" applyBorder="1" applyAlignment="1">
      <alignment horizontal="center" vertical="center" wrapText="1"/>
    </xf>
    <xf numFmtId="9" fontId="19" fillId="2" borderId="32" xfId="22" applyFont="1" applyFill="1" applyBorder="1" applyAlignment="1">
      <alignment horizontal="center" vertical="center"/>
    </xf>
    <xf numFmtId="172" fontId="19" fillId="0" borderId="32" xfId="94" applyFont="1" applyBorder="1" applyAlignment="1">
      <alignment horizontal="center" vertical="center"/>
    </xf>
    <xf numFmtId="172" fontId="19" fillId="2" borderId="33" xfId="94" applyFont="1" applyFill="1" applyBorder="1" applyAlignment="1">
      <alignment vertical="center" wrapText="1"/>
    </xf>
    <xf numFmtId="3" fontId="19" fillId="2" borderId="33" xfId="28" applyNumberFormat="1" applyFont="1" applyFill="1" applyBorder="1" applyAlignment="1">
      <alignment vertical="center" wrapText="1"/>
    </xf>
    <xf numFmtId="172" fontId="19" fillId="2" borderId="33" xfId="94" applyFont="1" applyFill="1" applyBorder="1" applyAlignment="1">
      <alignment horizontal="center" vertical="center" wrapText="1"/>
    </xf>
    <xf numFmtId="170" fontId="19" fillId="2" borderId="33" xfId="25" applyNumberFormat="1" applyFont="1" applyFill="1" applyBorder="1" applyAlignment="1">
      <alignment vertical="center" wrapText="1"/>
    </xf>
    <xf numFmtId="17" fontId="23" fillId="2" borderId="80" xfId="135" applyNumberFormat="1" applyFont="1" applyFill="1" applyBorder="1" applyAlignment="1">
      <alignment horizontal="center" vertical="center"/>
    </xf>
    <xf numFmtId="170" fontId="17" fillId="5" borderId="32" xfId="110" applyNumberFormat="1" applyFont="1" applyFill="1" applyBorder="1" applyAlignment="1">
      <alignment horizontal="left" vertical="center"/>
    </xf>
    <xf numFmtId="172" fontId="23" fillId="5" borderId="32" xfId="110" applyFont="1" applyFill="1" applyBorder="1" applyAlignment="1">
      <alignment horizontal="center" vertical="center"/>
    </xf>
    <xf numFmtId="181" fontId="23" fillId="5" borderId="32" xfId="110" applyNumberFormat="1" applyFont="1" applyFill="1" applyBorder="1" applyAlignment="1">
      <alignment horizontal="center" vertical="center"/>
    </xf>
    <xf numFmtId="181" fontId="23" fillId="5" borderId="36" xfId="110" applyNumberFormat="1" applyFont="1" applyFill="1" applyBorder="1" applyAlignment="1">
      <alignment horizontal="center" vertical="center"/>
    </xf>
    <xf numFmtId="3" fontId="19" fillId="0" borderId="0" xfId="28" applyNumberFormat="1" applyFont="1" applyFill="1" applyBorder="1" applyAlignment="1">
      <alignment horizontal="left" vertical="center" wrapText="1"/>
    </xf>
    <xf numFmtId="3" fontId="19" fillId="0" borderId="0" xfId="94" applyNumberFormat="1" applyFont="1" applyFill="1" applyBorder="1" applyAlignment="1">
      <alignment horizontal="left" vertical="center" wrapText="1"/>
    </xf>
    <xf numFmtId="9" fontId="19" fillId="0" borderId="0" xfId="94" applyNumberFormat="1" applyFont="1" applyFill="1" applyBorder="1" applyAlignment="1">
      <alignment horizontal="center" vertical="center" wrapText="1"/>
    </xf>
    <xf numFmtId="14" fontId="19" fillId="0" borderId="0" xfId="94" applyNumberFormat="1" applyFont="1" applyFill="1" applyBorder="1" applyAlignment="1">
      <alignment horizontal="center" vertical="center" wrapText="1"/>
    </xf>
    <xf numFmtId="172" fontId="19" fillId="0" borderId="0" xfId="110" applyFont="1" applyAlignment="1">
      <alignment horizontal="center" vertical="center"/>
    </xf>
    <xf numFmtId="3" fontId="19" fillId="2" borderId="33" xfId="94" applyNumberFormat="1" applyFont="1" applyFill="1" applyBorder="1" applyAlignment="1">
      <alignment horizontal="center" vertical="center" wrapText="1"/>
    </xf>
    <xf numFmtId="9" fontId="19" fillId="2" borderId="33" xfId="94" applyNumberFormat="1" applyFont="1" applyFill="1" applyBorder="1" applyAlignment="1">
      <alignment horizontal="center" vertical="center" wrapText="1"/>
    </xf>
    <xf numFmtId="9" fontId="19" fillId="2" borderId="33" xfId="22" applyFont="1" applyFill="1" applyBorder="1" applyAlignment="1">
      <alignment horizontal="center" vertical="center"/>
    </xf>
    <xf numFmtId="170" fontId="19" fillId="2" borderId="33" xfId="25" applyNumberFormat="1" applyFont="1" applyFill="1" applyBorder="1" applyAlignment="1">
      <alignment horizontal="center" vertical="center"/>
    </xf>
    <xf numFmtId="170" fontId="19" fillId="2" borderId="82" xfId="25" applyNumberFormat="1" applyFont="1" applyFill="1" applyBorder="1" applyAlignment="1">
      <alignment horizontal="center" vertical="center"/>
    </xf>
    <xf numFmtId="17" fontId="23" fillId="2" borderId="83" xfId="135" applyNumberFormat="1" applyFont="1" applyFill="1" applyBorder="1" applyAlignment="1">
      <alignment horizontal="center" vertical="center"/>
    </xf>
    <xf numFmtId="17" fontId="23" fillId="2" borderId="84" xfId="135" applyNumberFormat="1" applyFont="1" applyFill="1" applyBorder="1" applyAlignment="1">
      <alignment horizontal="center" vertical="center"/>
    </xf>
    <xf numFmtId="17" fontId="23" fillId="2" borderId="85" xfId="135" applyNumberFormat="1" applyFont="1" applyFill="1" applyBorder="1" applyAlignment="1">
      <alignment horizontal="center" vertical="center"/>
    </xf>
    <xf numFmtId="172" fontId="23" fillId="0" borderId="2" xfId="110" applyFont="1" applyFill="1" applyBorder="1" applyAlignment="1">
      <alignment horizontal="center" vertical="center"/>
    </xf>
    <xf numFmtId="172" fontId="19" fillId="0" borderId="0" xfId="110" applyFont="1" applyAlignment="1">
      <alignment horizontal="left" vertical="center" wrapText="1"/>
    </xf>
    <xf numFmtId="172" fontId="19" fillId="0" borderId="0" xfId="110" applyFont="1" applyAlignment="1">
      <alignment horizontal="left" vertical="center"/>
    </xf>
    <xf numFmtId="181" fontId="19" fillId="0" borderId="0" xfId="110" applyNumberFormat="1" applyFont="1" applyAlignment="1">
      <alignment horizontal="center" vertical="center"/>
    </xf>
    <xf numFmtId="170" fontId="18" fillId="39" borderId="37" xfId="25" applyNumberFormat="1" applyFont="1" applyFill="1" applyBorder="1" applyAlignment="1">
      <alignment horizontal="center" vertical="center" wrapText="1"/>
    </xf>
    <xf numFmtId="172" fontId="18" fillId="39" borderId="37" xfId="94" applyFont="1" applyFill="1" applyBorder="1" applyAlignment="1">
      <alignment horizontal="center" vertical="center" wrapText="1"/>
    </xf>
    <xf numFmtId="181" fontId="18" fillId="39" borderId="37" xfId="94" applyNumberFormat="1" applyFont="1" applyFill="1" applyBorder="1" applyAlignment="1">
      <alignment horizontal="center" vertical="center" wrapText="1"/>
    </xf>
    <xf numFmtId="172" fontId="19" fillId="2" borderId="71" xfId="94" applyFont="1" applyFill="1" applyBorder="1" applyAlignment="1">
      <alignment horizontal="center" vertical="center" wrapText="1"/>
    </xf>
    <xf numFmtId="3" fontId="19" fillId="2" borderId="37" xfId="94" applyNumberFormat="1" applyFont="1" applyFill="1" applyBorder="1" applyAlignment="1">
      <alignment horizontal="left" vertical="center" wrapText="1"/>
    </xf>
    <xf numFmtId="172" fontId="19" fillId="2" borderId="37" xfId="94" applyFont="1" applyFill="1" applyBorder="1" applyAlignment="1">
      <alignment horizontal="center" vertical="center" wrapText="1"/>
    </xf>
    <xf numFmtId="170" fontId="19" fillId="2" borderId="37" xfId="25" applyNumberFormat="1" applyFont="1" applyFill="1" applyBorder="1" applyAlignment="1">
      <alignment vertical="center" wrapText="1"/>
    </xf>
    <xf numFmtId="9" fontId="19" fillId="2" borderId="37" xfId="94" applyNumberFormat="1" applyFont="1" applyFill="1" applyBorder="1" applyAlignment="1">
      <alignment vertical="center" wrapText="1"/>
    </xf>
    <xf numFmtId="9" fontId="19" fillId="2" borderId="37" xfId="22" applyFont="1" applyFill="1" applyBorder="1" applyAlignment="1">
      <alignment horizontal="center" vertical="center"/>
    </xf>
    <xf numFmtId="17" fontId="23" fillId="0" borderId="37" xfId="135" applyNumberFormat="1" applyFont="1" applyBorder="1" applyAlignment="1">
      <alignment horizontal="center" vertical="center"/>
    </xf>
    <xf numFmtId="172" fontId="19" fillId="5" borderId="3" xfId="94" applyFont="1" applyFill="1" applyBorder="1" applyAlignment="1">
      <alignment horizontal="center" vertical="center" wrapText="1"/>
    </xf>
    <xf numFmtId="170" fontId="17" fillId="5" borderId="37" xfId="110" applyNumberFormat="1" applyFont="1" applyFill="1" applyBorder="1" applyAlignment="1">
      <alignment horizontal="center" vertical="center"/>
    </xf>
    <xf numFmtId="172" fontId="23" fillId="5" borderId="37" xfId="110" applyFont="1" applyFill="1" applyBorder="1" applyAlignment="1">
      <alignment horizontal="center" vertical="center"/>
    </xf>
    <xf numFmtId="181" fontId="23" fillId="5" borderId="37" xfId="110" applyNumberFormat="1" applyFont="1" applyFill="1" applyBorder="1" applyAlignment="1">
      <alignment horizontal="center" vertical="center"/>
    </xf>
    <xf numFmtId="172" fontId="23" fillId="0" borderId="0" xfId="110" applyFont="1" applyFill="1" applyAlignment="1">
      <alignment horizontal="center" vertical="center"/>
    </xf>
    <xf numFmtId="172" fontId="19" fillId="2" borderId="88" xfId="94" applyFont="1" applyFill="1" applyBorder="1" applyAlignment="1">
      <alignment vertical="center" wrapText="1"/>
    </xf>
    <xf numFmtId="3" fontId="19" fillId="2" borderId="73" xfId="94" applyNumberFormat="1" applyFont="1" applyFill="1" applyBorder="1" applyAlignment="1">
      <alignment vertical="center" wrapText="1"/>
    </xf>
    <xf numFmtId="3" fontId="19" fillId="2" borderId="89" xfId="94" applyNumberFormat="1" applyFont="1" applyFill="1" applyBorder="1" applyAlignment="1">
      <alignment vertical="center" wrapText="1"/>
    </xf>
    <xf numFmtId="170" fontId="19" fillId="2" borderId="90" xfId="25" applyNumberFormat="1" applyFont="1" applyFill="1" applyBorder="1" applyAlignment="1">
      <alignment vertical="center" wrapText="1"/>
    </xf>
    <xf numFmtId="9" fontId="19" fillId="2" borderId="90" xfId="94" applyNumberFormat="1" applyFont="1" applyFill="1" applyBorder="1" applyAlignment="1">
      <alignment vertical="center" wrapText="1"/>
    </xf>
    <xf numFmtId="9" fontId="19" fillId="2" borderId="90" xfId="22" applyFont="1" applyFill="1" applyBorder="1" applyAlignment="1">
      <alignment vertical="center"/>
    </xf>
    <xf numFmtId="170" fontId="19" fillId="2" borderId="85" xfId="25" applyNumberFormat="1" applyFont="1" applyFill="1" applyBorder="1" applyAlignment="1">
      <alignment vertical="center"/>
    </xf>
    <xf numFmtId="17" fontId="23" fillId="2" borderId="91" xfId="135" applyNumberFormat="1" applyFont="1" applyFill="1" applyBorder="1" applyAlignment="1">
      <alignment horizontal="center" vertical="center"/>
    </xf>
    <xf numFmtId="172" fontId="19" fillId="2" borderId="86" xfId="94" applyFont="1" applyFill="1" applyBorder="1" applyAlignment="1">
      <alignment vertical="center" wrapText="1"/>
    </xf>
    <xf numFmtId="172" fontId="19" fillId="2" borderId="87" xfId="94" applyFont="1" applyFill="1" applyBorder="1" applyAlignment="1">
      <alignment vertical="center" wrapText="1"/>
    </xf>
    <xf numFmtId="170" fontId="17" fillId="5" borderId="37" xfId="110" applyNumberFormat="1" applyFont="1" applyFill="1" applyBorder="1" applyAlignment="1">
      <alignment horizontal="left" vertical="center"/>
    </xf>
    <xf numFmtId="170" fontId="19" fillId="2" borderId="37" xfId="94" applyNumberFormat="1" applyFont="1" applyFill="1" applyBorder="1" applyAlignment="1">
      <alignment vertical="center" wrapText="1"/>
    </xf>
    <xf numFmtId="170" fontId="17" fillId="2" borderId="37" xfId="25" applyNumberFormat="1" applyFont="1" applyFill="1" applyBorder="1" applyAlignment="1">
      <alignment horizontal="center" vertical="center"/>
    </xf>
    <xf numFmtId="9" fontId="17" fillId="2" borderId="37" xfId="22" applyFont="1" applyFill="1" applyBorder="1" applyAlignment="1">
      <alignment horizontal="center" vertical="center"/>
    </xf>
    <xf numFmtId="41" fontId="17" fillId="0" borderId="0" xfId="0" applyNumberFormat="1" applyFont="1" applyAlignment="1"/>
    <xf numFmtId="172" fontId="19" fillId="2" borderId="39" xfId="130" applyFont="1" applyFill="1" applyBorder="1" applyAlignment="1">
      <alignment horizontal="left" vertical="center" wrapText="1"/>
    </xf>
    <xf numFmtId="181" fontId="18" fillId="39" borderId="32" xfId="94" applyNumberFormat="1" applyFont="1" applyFill="1" applyBorder="1" applyAlignment="1">
      <alignment horizontal="center" vertical="center" wrapText="1"/>
    </xf>
    <xf numFmtId="172" fontId="15" fillId="0" borderId="0" xfId="106" applyFont="1" applyAlignment="1">
      <alignment vertical="center" wrapText="1"/>
    </xf>
    <xf numFmtId="17" fontId="15" fillId="0" borderId="0" xfId="106" applyNumberFormat="1" applyFont="1" applyAlignment="1">
      <alignment horizontal="center" vertical="center" wrapText="1"/>
    </xf>
    <xf numFmtId="41" fontId="15" fillId="0" borderId="0" xfId="59" applyNumberFormat="1" applyFont="1" applyAlignment="1">
      <alignment horizontal="right" vertical="center" wrapText="1"/>
    </xf>
    <xf numFmtId="17" fontId="15" fillId="0" borderId="0" xfId="25" applyNumberFormat="1" applyFont="1" applyAlignment="1">
      <alignment horizontal="center" vertical="center" wrapText="1"/>
    </xf>
    <xf numFmtId="170" fontId="15" fillId="0" borderId="0" xfId="25" applyNumberFormat="1" applyFont="1" applyAlignment="1">
      <alignment horizontal="center" vertical="center" wrapText="1"/>
    </xf>
    <xf numFmtId="170" fontId="15" fillId="0" borderId="0" xfId="25" applyNumberFormat="1" applyFont="1" applyAlignment="1">
      <alignment horizontal="left" vertical="center" wrapText="1"/>
    </xf>
    <xf numFmtId="170" fontId="15" fillId="0" borderId="0" xfId="25" applyNumberFormat="1" applyFont="1" applyAlignment="1">
      <alignment horizontal="right" vertical="center" wrapText="1"/>
    </xf>
    <xf numFmtId="172" fontId="15" fillId="0" borderId="0" xfId="106" applyFont="1" applyAlignment="1">
      <alignment horizontal="center" vertical="center" wrapText="1"/>
    </xf>
    <xf numFmtId="172" fontId="51" fillId="0" borderId="0" xfId="87" applyFont="1" applyAlignment="1">
      <alignment horizontal="right"/>
    </xf>
    <xf numFmtId="172" fontId="19" fillId="0" borderId="0" xfId="106" applyFont="1" applyAlignment="1">
      <alignment vertical="center" wrapText="1"/>
    </xf>
    <xf numFmtId="172" fontId="19" fillId="0" borderId="0" xfId="106" applyFont="1" applyFill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47" fillId="0" borderId="0" xfId="95" applyFont="1" applyAlignment="1">
      <alignment horizontal="left"/>
    </xf>
    <xf numFmtId="3" fontId="47" fillId="0" borderId="0" xfId="95" applyNumberFormat="1" applyFont="1" applyAlignment="1">
      <alignment horizontal="left"/>
    </xf>
    <xf numFmtId="0" fontId="21" fillId="3" borderId="25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4" fontId="9" fillId="0" borderId="0" xfId="0" applyNumberFormat="1" applyFont="1" applyAlignment="1">
      <alignment vertical="center"/>
    </xf>
    <xf numFmtId="4" fontId="0" fillId="0" borderId="0" xfId="0" applyNumberFormat="1"/>
    <xf numFmtId="4" fontId="11" fillId="0" borderId="0" xfId="0" applyNumberFormat="1" applyFont="1"/>
    <xf numFmtId="9" fontId="11" fillId="0" borderId="0" xfId="132" applyFont="1"/>
    <xf numFmtId="4" fontId="11" fillId="0" borderId="0" xfId="0" applyNumberFormat="1" applyFont="1" applyAlignment="1">
      <alignment wrapText="1"/>
    </xf>
    <xf numFmtId="4" fontId="10" fillId="0" borderId="0" xfId="0" applyNumberFormat="1" applyFont="1"/>
    <xf numFmtId="4" fontId="11" fillId="40" borderId="0" xfId="0" applyNumberFormat="1" applyFont="1" applyFill="1"/>
    <xf numFmtId="4" fontId="0" fillId="40" borderId="0" xfId="0" applyNumberFormat="1" applyFill="1"/>
    <xf numFmtId="9" fontId="20" fillId="7" borderId="1" xfId="132" applyFont="1" applyFill="1" applyBorder="1" applyAlignment="1">
      <alignment horizontal="right" vertical="center"/>
    </xf>
    <xf numFmtId="9" fontId="20" fillId="4" borderId="25" xfId="132" applyFont="1" applyFill="1" applyBorder="1" applyAlignment="1">
      <alignment vertical="center"/>
    </xf>
    <xf numFmtId="9" fontId="21" fillId="3" borderId="0" xfId="132" applyFont="1" applyFill="1" applyBorder="1" applyAlignment="1">
      <alignment vertical="center"/>
    </xf>
    <xf numFmtId="9" fontId="21" fillId="0" borderId="27" xfId="132" applyFont="1" applyFill="1" applyBorder="1" applyAlignment="1">
      <alignment vertical="center"/>
    </xf>
    <xf numFmtId="9" fontId="21" fillId="3" borderId="27" xfId="132" applyFont="1" applyFill="1" applyBorder="1" applyAlignment="1">
      <alignment vertical="center"/>
    </xf>
    <xf numFmtId="0" fontId="21" fillId="0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9" fontId="20" fillId="4" borderId="2" xfId="132" applyFont="1" applyFill="1" applyBorder="1" applyAlignment="1">
      <alignment vertical="center"/>
    </xf>
    <xf numFmtId="9" fontId="21" fillId="3" borderId="2" xfId="132" applyFont="1" applyFill="1" applyBorder="1" applyAlignment="1">
      <alignment vertical="center"/>
    </xf>
    <xf numFmtId="9" fontId="21" fillId="0" borderId="2" xfId="132" applyFont="1" applyFill="1" applyBorder="1" applyAlignment="1">
      <alignment vertical="center"/>
    </xf>
    <xf numFmtId="9" fontId="20" fillId="7" borderId="2" xfId="132" applyFont="1" applyFill="1" applyBorder="1" applyAlignment="1">
      <alignment horizontal="right" vertical="center"/>
    </xf>
    <xf numFmtId="2" fontId="28" fillId="0" borderId="0" xfId="132" applyNumberFormat="1" applyFont="1" applyAlignment="1">
      <alignment vertical="center"/>
    </xf>
    <xf numFmtId="2" fontId="19" fillId="0" borderId="0" xfId="132" applyNumberFormat="1" applyFont="1" applyAlignment="1">
      <alignment vertical="center"/>
    </xf>
    <xf numFmtId="2" fontId="28" fillId="0" borderId="0" xfId="132" applyNumberFormat="1" applyFont="1" applyFill="1" applyAlignment="1">
      <alignment vertical="center"/>
    </xf>
    <xf numFmtId="2" fontId="19" fillId="2" borderId="0" xfId="28" applyNumberFormat="1" applyFont="1" applyFill="1" applyAlignment="1">
      <alignment vertical="center"/>
    </xf>
    <xf numFmtId="9" fontId="28" fillId="0" borderId="0" xfId="132" applyFont="1" applyAlignment="1">
      <alignment vertical="center"/>
    </xf>
    <xf numFmtId="172" fontId="19" fillId="40" borderId="0" xfId="28" applyFont="1" applyFill="1" applyAlignment="1">
      <alignment vertical="center"/>
    </xf>
    <xf numFmtId="41" fontId="22" fillId="9" borderId="0" xfId="59" applyFont="1" applyFill="1" applyBorder="1" applyAlignment="1">
      <alignment horizontal="center" vertical="center" wrapText="1"/>
    </xf>
    <xf numFmtId="9" fontId="0" fillId="0" borderId="0" xfId="132" applyFont="1"/>
    <xf numFmtId="9" fontId="49" fillId="0" borderId="0" xfId="132" applyFont="1" applyAlignment="1">
      <alignment horizontal="left"/>
    </xf>
    <xf numFmtId="9" fontId="16" fillId="0" borderId="0" xfId="132" applyFont="1" applyAlignment="1">
      <alignment horizontal="left"/>
    </xf>
    <xf numFmtId="3" fontId="47" fillId="0" borderId="5" xfId="95" applyNumberFormat="1" applyFont="1" applyBorder="1"/>
    <xf numFmtId="10" fontId="0" fillId="0" borderId="0" xfId="132" applyNumberFormat="1" applyFont="1"/>
    <xf numFmtId="10" fontId="10" fillId="0" borderId="0" xfId="132" applyNumberFormat="1" applyFont="1"/>
    <xf numFmtId="171" fontId="19" fillId="2" borderId="37" xfId="22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vertical="center" wrapText="1"/>
    </xf>
    <xf numFmtId="0" fontId="55" fillId="0" borderId="25" xfId="0" applyFont="1" applyFill="1" applyBorder="1" applyAlignment="1">
      <alignment vertical="center"/>
    </xf>
    <xf numFmtId="0" fontId="55" fillId="0" borderId="2" xfId="0" applyFont="1" applyFill="1" applyBorder="1" applyAlignment="1">
      <alignment vertical="center" wrapText="1"/>
    </xf>
    <xf numFmtId="4" fontId="19" fillId="0" borderId="0" xfId="132" applyNumberFormat="1" applyFont="1" applyFill="1" applyAlignment="1">
      <alignment horizontal="left" vertical="center"/>
    </xf>
    <xf numFmtId="17" fontId="19" fillId="2" borderId="32" xfId="134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20" fillId="4" borderId="2" xfId="16" applyNumberFormat="1" applyFont="1" applyFill="1" applyBorder="1" applyAlignment="1">
      <alignment vertical="center"/>
    </xf>
    <xf numFmtId="172" fontId="18" fillId="39" borderId="32" xfId="94" applyFont="1" applyFill="1" applyBorder="1" applyAlignment="1">
      <alignment horizontal="center" vertical="center" wrapText="1"/>
    </xf>
    <xf numFmtId="172" fontId="19" fillId="2" borderId="77" xfId="94" applyFont="1" applyFill="1" applyBorder="1" applyAlignment="1">
      <alignment horizontal="left" vertical="center" wrapText="1"/>
    </xf>
    <xf numFmtId="172" fontId="19" fillId="2" borderId="78" xfId="94" applyFont="1" applyFill="1" applyBorder="1" applyAlignment="1">
      <alignment horizontal="left" vertical="center" wrapText="1"/>
    </xf>
    <xf numFmtId="172" fontId="18" fillId="39" borderId="37" xfId="94" applyFont="1" applyFill="1" applyBorder="1" applyAlignment="1">
      <alignment horizontal="center" vertical="center" wrapText="1"/>
    </xf>
    <xf numFmtId="0" fontId="1" fillId="0" borderId="0" xfId="138"/>
    <xf numFmtId="4" fontId="1" fillId="0" borderId="0" xfId="138" applyNumberFormat="1"/>
    <xf numFmtId="0" fontId="56" fillId="41" borderId="2" xfId="138" applyFont="1" applyFill="1" applyBorder="1" applyAlignment="1">
      <alignment horizontal="center"/>
    </xf>
    <xf numFmtId="4" fontId="1" fillId="0" borderId="2" xfId="138" applyNumberFormat="1" applyBorder="1"/>
    <xf numFmtId="9" fontId="0" fillId="0" borderId="2" xfId="140" applyFont="1" applyBorder="1"/>
    <xf numFmtId="4" fontId="51" fillId="0" borderId="2" xfId="138" applyNumberFormat="1" applyFont="1" applyBorder="1"/>
    <xf numFmtId="0" fontId="1" fillId="0" borderId="0" xfId="138" applyAlignment="1">
      <alignment horizontal="right" vertical="center"/>
    </xf>
    <xf numFmtId="4" fontId="58" fillId="0" borderId="0" xfId="0" applyNumberFormat="1" applyFont="1"/>
    <xf numFmtId="10" fontId="58" fillId="0" borderId="0" xfId="132" applyNumberFormat="1" applyFont="1"/>
    <xf numFmtId="0" fontId="58" fillId="0" borderId="0" xfId="0" applyFont="1"/>
    <xf numFmtId="0" fontId="55" fillId="0" borderId="2" xfId="0" applyFont="1" applyFill="1" applyBorder="1" applyAlignment="1">
      <alignment horizontal="right" vertical="center"/>
    </xf>
    <xf numFmtId="41" fontId="55" fillId="0" borderId="2" xfId="16" applyFont="1" applyFill="1" applyBorder="1" applyAlignment="1">
      <alignment vertical="center"/>
    </xf>
    <xf numFmtId="178" fontId="18" fillId="5" borderId="0" xfId="59" applyNumberFormat="1" applyFont="1" applyFill="1" applyBorder="1" applyAlignment="1">
      <alignment horizontal="right" vertical="center" wrapText="1"/>
    </xf>
    <xf numFmtId="3" fontId="18" fillId="5" borderId="0" xfId="28" applyNumberFormat="1" applyFont="1" applyFill="1" applyBorder="1" applyAlignment="1">
      <alignment vertical="center" wrapText="1"/>
    </xf>
    <xf numFmtId="172" fontId="18" fillId="5" borderId="0" xfId="130" applyFont="1" applyFill="1" applyBorder="1" applyAlignment="1">
      <alignment horizontal="center" vertical="center" wrapText="1"/>
    </xf>
    <xf numFmtId="41" fontId="18" fillId="5" borderId="0" xfId="59" applyFont="1" applyFill="1" applyBorder="1" applyAlignment="1">
      <alignment horizontal="center" vertical="center"/>
    </xf>
    <xf numFmtId="3" fontId="18" fillId="5" borderId="39" xfId="28" quotePrefix="1" applyNumberFormat="1" applyFont="1" applyFill="1" applyBorder="1" applyAlignment="1">
      <alignment horizontal="right" vertical="center" wrapText="1"/>
    </xf>
    <xf numFmtId="0" fontId="17" fillId="43" borderId="39" xfId="31" applyFont="1" applyFill="1" applyBorder="1" applyAlignment="1">
      <alignment horizontal="right" vertical="center" wrapText="1"/>
    </xf>
    <xf numFmtId="0" fontId="17" fillId="43" borderId="39" xfId="31" applyFont="1" applyFill="1" applyBorder="1" applyAlignment="1">
      <alignment horizontal="left" vertical="center" wrapText="1"/>
    </xf>
    <xf numFmtId="41" fontId="23" fillId="2" borderId="39" xfId="31" applyNumberFormat="1" applyFont="1" applyFill="1" applyBorder="1" applyAlignment="1">
      <alignment horizontal="left" vertical="center" wrapText="1"/>
    </xf>
    <xf numFmtId="3" fontId="17" fillId="43" borderId="39" xfId="31" applyNumberFormat="1" applyFont="1" applyFill="1" applyBorder="1" applyAlignment="1">
      <alignment horizontal="left" vertical="center" wrapText="1"/>
    </xf>
    <xf numFmtId="3" fontId="23" fillId="2" borderId="39" xfId="31" applyNumberFormat="1" applyFont="1" applyFill="1" applyBorder="1" applyAlignment="1">
      <alignment horizontal="left" vertical="center" wrapText="1"/>
    </xf>
    <xf numFmtId="173" fontId="18" fillId="43" borderId="39" xfId="31" applyNumberFormat="1" applyFont="1" applyFill="1" applyBorder="1" applyAlignment="1">
      <alignment horizontal="center" vertical="center" wrapText="1"/>
    </xf>
    <xf numFmtId="170" fontId="18" fillId="43" borderId="39" xfId="25" applyNumberFormat="1" applyFont="1" applyFill="1" applyBorder="1" applyAlignment="1">
      <alignment horizontal="center" vertical="center" wrapText="1"/>
    </xf>
    <xf numFmtId="3" fontId="23" fillId="2" borderId="39" xfId="31" applyNumberFormat="1" applyFont="1" applyFill="1" applyBorder="1" applyAlignment="1">
      <alignment horizontal="right" vertical="center" wrapText="1"/>
    </xf>
    <xf numFmtId="3" fontId="17" fillId="43" borderId="39" xfId="31" applyNumberFormat="1" applyFont="1" applyFill="1" applyBorder="1" applyAlignment="1">
      <alignment horizontal="right" vertical="center" wrapText="1"/>
    </xf>
    <xf numFmtId="172" fontId="23" fillId="0" borderId="38" xfId="130" applyFont="1" applyFill="1" applyBorder="1" applyAlignment="1">
      <alignment horizontal="center" vertical="center"/>
    </xf>
    <xf numFmtId="0" fontId="19" fillId="0" borderId="39" xfId="31" applyFont="1" applyFill="1" applyBorder="1" applyAlignment="1">
      <alignment horizontal="center" vertical="center" wrapText="1"/>
    </xf>
    <xf numFmtId="172" fontId="19" fillId="0" borderId="38" xfId="30" applyFont="1" applyFill="1" applyBorder="1" applyAlignment="1">
      <alignment horizontal="center" vertical="center"/>
    </xf>
    <xf numFmtId="170" fontId="23" fillId="0" borderId="38" xfId="25" applyNumberFormat="1" applyFont="1" applyFill="1" applyBorder="1" applyAlignment="1">
      <alignment horizontal="center" vertical="center"/>
    </xf>
    <xf numFmtId="174" fontId="47" fillId="0" borderId="2" xfId="95" applyNumberFormat="1" applyFont="1" applyBorder="1"/>
    <xf numFmtId="183" fontId="16" fillId="10" borderId="0" xfId="25" applyNumberFormat="1" applyFont="1" applyFill="1"/>
    <xf numFmtId="4" fontId="16" fillId="0" borderId="18" xfId="95" applyNumberFormat="1" applyFont="1" applyBorder="1"/>
    <xf numFmtId="172" fontId="22" fillId="6" borderId="2" xfId="106" applyFont="1" applyFill="1" applyBorder="1" applyAlignment="1">
      <alignment horizontal="right" vertical="center" wrapText="1"/>
    </xf>
    <xf numFmtId="172" fontId="22" fillId="6" borderId="2" xfId="106" applyFont="1" applyFill="1" applyBorder="1" applyAlignment="1">
      <alignment vertical="center" wrapText="1"/>
    </xf>
    <xf numFmtId="3" fontId="22" fillId="6" borderId="2" xfId="28" applyNumberFormat="1" applyFont="1" applyFill="1" applyBorder="1" applyAlignment="1">
      <alignment horizontal="left" vertical="center" wrapText="1"/>
    </xf>
    <xf numFmtId="17" fontId="22" fillId="6" borderId="2" xfId="136" applyNumberFormat="1" applyFont="1" applyFill="1" applyBorder="1" applyAlignment="1">
      <alignment horizontal="center" vertical="center" wrapText="1"/>
    </xf>
    <xf numFmtId="41" fontId="22" fillId="6" borderId="2" xfId="59" applyNumberFormat="1" applyFont="1" applyFill="1" applyBorder="1" applyAlignment="1">
      <alignment horizontal="center" vertical="center" wrapText="1"/>
    </xf>
    <xf numFmtId="170" fontId="22" fillId="6" borderId="2" xfId="25" applyNumberFormat="1" applyFont="1" applyFill="1" applyBorder="1" applyAlignment="1">
      <alignment horizontal="center" vertical="center" wrapText="1"/>
    </xf>
    <xf numFmtId="172" fontId="22" fillId="9" borderId="2" xfId="136" applyFont="1" applyFill="1" applyBorder="1" applyAlignment="1">
      <alignment horizontal="right" vertical="center" wrapText="1"/>
    </xf>
    <xf numFmtId="172" fontId="22" fillId="9" borderId="2" xfId="136" applyFont="1" applyFill="1" applyBorder="1" applyAlignment="1">
      <alignment vertical="center" wrapText="1"/>
    </xf>
    <xf numFmtId="172" fontId="22" fillId="9" borderId="2" xfId="136" applyFont="1" applyFill="1" applyBorder="1" applyAlignment="1">
      <alignment horizontal="center" vertical="center" wrapText="1"/>
    </xf>
    <xf numFmtId="170" fontId="22" fillId="9" borderId="2" xfId="25" applyNumberFormat="1" applyFont="1" applyFill="1" applyBorder="1" applyAlignment="1">
      <alignment horizontal="center" vertical="center"/>
    </xf>
    <xf numFmtId="172" fontId="22" fillId="9" borderId="2" xfId="136" applyFont="1" applyFill="1" applyBorder="1" applyAlignment="1">
      <alignment horizontal="left" vertical="center" wrapText="1"/>
    </xf>
    <xf numFmtId="0" fontId="17" fillId="5" borderId="2" xfId="136" applyNumberFormat="1" applyFont="1" applyFill="1" applyBorder="1" applyAlignment="1">
      <alignment horizontal="right" vertical="center" wrapText="1"/>
    </xf>
    <xf numFmtId="3" fontId="18" fillId="5" borderId="2" xfId="28" applyNumberFormat="1" applyFont="1" applyFill="1" applyBorder="1" applyAlignment="1">
      <alignment vertical="center" wrapText="1"/>
    </xf>
    <xf numFmtId="3" fontId="18" fillId="5" borderId="2" xfId="28" applyNumberFormat="1" applyFont="1" applyFill="1" applyBorder="1" applyAlignment="1">
      <alignment horizontal="center" vertical="center" wrapText="1"/>
    </xf>
    <xf numFmtId="170" fontId="17" fillId="5" borderId="2" xfId="25" applyNumberFormat="1" applyFont="1" applyFill="1" applyBorder="1" applyAlignment="1">
      <alignment horizontal="center" vertical="center"/>
    </xf>
    <xf numFmtId="3" fontId="18" fillId="5" borderId="2" xfId="28" applyNumberFormat="1" applyFont="1" applyFill="1" applyBorder="1" applyAlignment="1">
      <alignment horizontal="left" vertical="center" wrapText="1"/>
    </xf>
    <xf numFmtId="172" fontId="23" fillId="0" borderId="2" xfId="136" applyFont="1" applyFill="1" applyBorder="1" applyAlignment="1">
      <alignment horizontal="right" vertical="center" wrapText="1"/>
    </xf>
    <xf numFmtId="0" fontId="23" fillId="2" borderId="2" xfId="31" applyFont="1" applyFill="1" applyBorder="1" applyAlignment="1">
      <alignment horizontal="justify" vertical="center" wrapText="1"/>
    </xf>
    <xf numFmtId="0" fontId="23" fillId="2" borderId="2" xfId="31" applyFont="1" applyFill="1" applyBorder="1" applyAlignment="1">
      <alignment horizontal="center" vertical="center" wrapText="1"/>
    </xf>
    <xf numFmtId="170" fontId="19" fillId="2" borderId="2" xfId="25" applyNumberFormat="1" applyFont="1" applyFill="1" applyBorder="1" applyAlignment="1">
      <alignment horizontal="center" vertical="center" wrapText="1"/>
    </xf>
    <xf numFmtId="0" fontId="23" fillId="2" borderId="2" xfId="31" applyFont="1" applyFill="1" applyBorder="1" applyAlignment="1">
      <alignment horizontal="left" vertical="center" wrapText="1"/>
    </xf>
    <xf numFmtId="170" fontId="19" fillId="10" borderId="2" xfId="25" applyNumberFormat="1" applyFont="1" applyFill="1" applyBorder="1" applyAlignment="1">
      <alignment horizontal="center" vertical="center" wrapText="1"/>
    </xf>
    <xf numFmtId="170" fontId="19" fillId="11" borderId="2" xfId="25" applyNumberFormat="1" applyFont="1" applyFill="1" applyBorder="1" applyAlignment="1">
      <alignment horizontal="center" vertical="center" wrapText="1"/>
    </xf>
    <xf numFmtId="170" fontId="19" fillId="12" borderId="2" xfId="25" applyNumberFormat="1" applyFont="1" applyFill="1" applyBorder="1" applyAlignment="1">
      <alignment horizontal="center" vertical="center" wrapText="1"/>
    </xf>
    <xf numFmtId="170" fontId="19" fillId="0" borderId="2" xfId="25" applyNumberFormat="1" applyFont="1" applyFill="1" applyBorder="1" applyAlignment="1">
      <alignment horizontal="center" vertical="center" wrapText="1"/>
    </xf>
    <xf numFmtId="170" fontId="22" fillId="2" borderId="2" xfId="25" applyNumberFormat="1" applyFont="1" applyFill="1" applyBorder="1" applyAlignment="1">
      <alignment horizontal="center" vertical="center"/>
    </xf>
    <xf numFmtId="170" fontId="23" fillId="2" borderId="2" xfId="25" applyNumberFormat="1" applyFont="1" applyFill="1" applyBorder="1" applyAlignment="1">
      <alignment horizontal="center" vertical="center"/>
    </xf>
    <xf numFmtId="17" fontId="15" fillId="0" borderId="2" xfId="106" applyNumberFormat="1" applyFont="1" applyBorder="1" applyAlignment="1">
      <alignment horizontal="center" vertical="center" wrapText="1"/>
    </xf>
    <xf numFmtId="41" fontId="15" fillId="0" borderId="2" xfId="59" applyNumberFormat="1" applyFont="1" applyBorder="1" applyAlignment="1">
      <alignment horizontal="right" vertical="center" wrapText="1"/>
    </xf>
    <xf numFmtId="17" fontId="15" fillId="0" borderId="2" xfId="25" applyNumberFormat="1" applyFont="1" applyBorder="1" applyAlignment="1">
      <alignment horizontal="center" vertical="center" wrapText="1"/>
    </xf>
    <xf numFmtId="170" fontId="15" fillId="0" borderId="2" xfId="25" applyNumberFormat="1" applyFont="1" applyBorder="1" applyAlignment="1">
      <alignment horizontal="center" vertical="center" wrapText="1"/>
    </xf>
    <xf numFmtId="170" fontId="15" fillId="0" borderId="2" xfId="25" applyNumberFormat="1" applyFont="1" applyBorder="1" applyAlignment="1">
      <alignment horizontal="left" vertical="center" wrapText="1"/>
    </xf>
    <xf numFmtId="170" fontId="15" fillId="0" borderId="2" xfId="25" applyNumberFormat="1" applyFont="1" applyBorder="1" applyAlignment="1">
      <alignment horizontal="right" vertical="center" wrapText="1"/>
    </xf>
    <xf numFmtId="172" fontId="15" fillId="0" borderId="2" xfId="106" applyFont="1" applyBorder="1" applyAlignment="1">
      <alignment vertical="center" wrapText="1"/>
    </xf>
    <xf numFmtId="172" fontId="22" fillId="6" borderId="2" xfId="136" applyFont="1" applyFill="1" applyBorder="1" applyAlignment="1">
      <alignment horizontal="right" vertical="center" wrapText="1"/>
    </xf>
    <xf numFmtId="0" fontId="22" fillId="6" borderId="2" xfId="31" applyFont="1" applyFill="1" applyBorder="1" applyAlignment="1">
      <alignment horizontal="justify" vertical="center" wrapText="1"/>
    </xf>
    <xf numFmtId="17" fontId="59" fillId="6" borderId="2" xfId="106" applyNumberFormat="1" applyFont="1" applyFill="1" applyBorder="1" applyAlignment="1">
      <alignment horizontal="center" vertical="center" wrapText="1"/>
    </xf>
    <xf numFmtId="41" fontId="59" fillId="6" borderId="2" xfId="59" applyNumberFormat="1" applyFont="1" applyFill="1" applyBorder="1" applyAlignment="1">
      <alignment horizontal="right" vertical="center" wrapText="1"/>
    </xf>
    <xf numFmtId="17" fontId="59" fillId="6" borderId="2" xfId="25" applyNumberFormat="1" applyFont="1" applyFill="1" applyBorder="1" applyAlignment="1">
      <alignment horizontal="center" vertical="center" wrapText="1"/>
    </xf>
    <xf numFmtId="170" fontId="59" fillId="6" borderId="2" xfId="25" applyNumberFormat="1" applyFont="1" applyFill="1" applyBorder="1" applyAlignment="1">
      <alignment horizontal="center" vertical="center" wrapText="1"/>
    </xf>
    <xf numFmtId="170" fontId="59" fillId="6" borderId="2" xfId="25" applyNumberFormat="1" applyFont="1" applyFill="1" applyBorder="1" applyAlignment="1">
      <alignment horizontal="left" vertical="center" wrapText="1"/>
    </xf>
    <xf numFmtId="170" fontId="59" fillId="6" borderId="2" xfId="25" applyNumberFormat="1" applyFont="1" applyFill="1" applyBorder="1" applyAlignment="1">
      <alignment horizontal="right" vertical="center" wrapText="1"/>
    </xf>
    <xf numFmtId="172" fontId="59" fillId="6" borderId="2" xfId="106" applyFont="1" applyFill="1" applyBorder="1" applyAlignment="1">
      <alignment horizontal="center" vertical="center" wrapText="1"/>
    </xf>
    <xf numFmtId="172" fontId="59" fillId="6" borderId="2" xfId="106" applyFont="1" applyFill="1" applyBorder="1" applyAlignment="1">
      <alignment vertical="center" wrapText="1"/>
    </xf>
    <xf numFmtId="0" fontId="23" fillId="0" borderId="2" xfId="31" applyFont="1" applyFill="1" applyBorder="1" applyAlignment="1">
      <alignment horizontal="justify" vertical="center" wrapText="1"/>
    </xf>
    <xf numFmtId="0" fontId="23" fillId="0" borderId="2" xfId="31" applyFont="1" applyFill="1" applyBorder="1" applyAlignment="1">
      <alignment horizontal="center" vertical="center" wrapText="1"/>
    </xf>
    <xf numFmtId="0" fontId="23" fillId="0" borderId="2" xfId="31" applyFont="1" applyFill="1" applyBorder="1" applyAlignment="1">
      <alignment horizontal="left" vertical="center" wrapText="1"/>
    </xf>
    <xf numFmtId="170" fontId="22" fillId="0" borderId="2" xfId="25" applyNumberFormat="1" applyFont="1" applyFill="1" applyBorder="1" applyAlignment="1">
      <alignment horizontal="center" vertical="center"/>
    </xf>
    <xf numFmtId="3" fontId="18" fillId="0" borderId="2" xfId="28" applyNumberFormat="1" applyFont="1" applyFill="1" applyBorder="1" applyAlignment="1">
      <alignment horizontal="left" vertical="center" wrapText="1"/>
    </xf>
    <xf numFmtId="3" fontId="18" fillId="0" borderId="2" xfId="28" applyNumberFormat="1" applyFont="1" applyFill="1" applyBorder="1" applyAlignment="1">
      <alignment horizontal="center" vertical="center" wrapText="1"/>
    </xf>
    <xf numFmtId="170" fontId="18" fillId="0" borderId="2" xfId="25" applyNumberFormat="1" applyFont="1" applyFill="1" applyBorder="1" applyAlignment="1">
      <alignment horizontal="center" vertical="center" wrapText="1"/>
    </xf>
    <xf numFmtId="0" fontId="19" fillId="0" borderId="2" xfId="31" applyFont="1" applyFill="1" applyBorder="1" applyAlignment="1">
      <alignment horizontal="center" vertical="center" wrapText="1"/>
    </xf>
    <xf numFmtId="170" fontId="23" fillId="0" borderId="2" xfId="25" applyNumberFormat="1" applyFont="1" applyFill="1" applyBorder="1" applyAlignment="1">
      <alignment horizontal="center" vertical="center"/>
    </xf>
    <xf numFmtId="0" fontId="56" fillId="6" borderId="2" xfId="138" applyFont="1" applyFill="1" applyBorder="1" applyAlignment="1">
      <alignment horizontal="center" vertical="center" wrapText="1"/>
    </xf>
    <xf numFmtId="39" fontId="19" fillId="0" borderId="0" xfId="142" applyNumberFormat="1" applyFont="1"/>
    <xf numFmtId="39" fontId="17" fillId="5" borderId="39" xfId="142" applyNumberFormat="1" applyFont="1" applyFill="1" applyBorder="1" applyAlignment="1">
      <alignment horizontal="center" vertical="center"/>
    </xf>
    <xf numFmtId="39" fontId="19" fillId="2" borderId="0" xfId="142" applyNumberFormat="1" applyFont="1" applyFill="1"/>
    <xf numFmtId="3" fontId="22" fillId="6" borderId="2" xfId="28" applyNumberFormat="1" applyFont="1" applyFill="1" applyBorder="1" applyAlignment="1">
      <alignment horizontal="center" vertical="center"/>
    </xf>
    <xf numFmtId="170" fontId="56" fillId="6" borderId="2" xfId="143" applyNumberFormat="1" applyFont="1" applyFill="1" applyBorder="1" applyAlignment="1">
      <alignment horizontal="center" vertical="center" wrapText="1"/>
    </xf>
    <xf numFmtId="0" fontId="51" fillId="42" borderId="2" xfId="0" applyFont="1" applyFill="1" applyBorder="1" applyAlignment="1">
      <alignment horizontal="left" vertical="center" wrapText="1"/>
    </xf>
    <xf numFmtId="4" fontId="51" fillId="42" borderId="2" xfId="0" applyNumberFormat="1" applyFont="1" applyFill="1" applyBorder="1" applyAlignment="1">
      <alignment horizontal="right" vertical="center" wrapText="1"/>
    </xf>
    <xf numFmtId="171" fontId="51" fillId="42" borderId="2" xfId="132" applyNumberFormat="1" applyFont="1" applyFill="1" applyBorder="1" applyAlignment="1">
      <alignment horizontal="right" vertical="center" wrapText="1"/>
    </xf>
    <xf numFmtId="0" fontId="57" fillId="5" borderId="2" xfId="0" applyFont="1" applyFill="1" applyBorder="1" applyAlignment="1">
      <alignment horizontal="left" vertical="center" wrapText="1"/>
    </xf>
    <xf numFmtId="4" fontId="57" fillId="5" borderId="2" xfId="143" applyNumberFormat="1" applyFont="1" applyFill="1" applyBorder="1" applyAlignment="1">
      <alignment horizontal="right" vertical="center" wrapText="1"/>
    </xf>
    <xf numFmtId="171" fontId="57" fillId="5" borderId="2" xfId="132" applyNumberFormat="1" applyFont="1" applyFill="1" applyBorder="1" applyAlignment="1">
      <alignment horizontal="right" vertical="center" wrapText="1"/>
    </xf>
    <xf numFmtId="0" fontId="57" fillId="0" borderId="2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left" vertical="center" wrapText="1" indent="2"/>
    </xf>
    <xf numFmtId="4" fontId="57" fillId="0" borderId="2" xfId="0" applyNumberFormat="1" applyFont="1" applyBorder="1" applyAlignment="1">
      <alignment horizontal="right" vertical="center" wrapText="1"/>
    </xf>
    <xf numFmtId="171" fontId="57" fillId="0" borderId="2" xfId="132" applyNumberFormat="1" applyFont="1" applyBorder="1" applyAlignment="1">
      <alignment horizontal="right" vertical="center" wrapText="1"/>
    </xf>
    <xf numFmtId="4" fontId="57" fillId="0" borderId="2" xfId="144" applyNumberFormat="1" applyFont="1" applyBorder="1" applyAlignment="1">
      <alignment horizontal="right" vertical="center" wrapText="1"/>
    </xf>
    <xf numFmtId="0" fontId="57" fillId="43" borderId="2" xfId="0" applyFont="1" applyFill="1" applyBorder="1" applyAlignment="1">
      <alignment horizontal="left" vertical="center" wrapText="1"/>
    </xf>
    <xf numFmtId="0" fontId="57" fillId="43" borderId="2" xfId="0" applyFont="1" applyFill="1" applyBorder="1" applyAlignment="1">
      <alignment horizontal="left" vertical="center" wrapText="1" indent="2"/>
    </xf>
    <xf numFmtId="4" fontId="57" fillId="43" borderId="2" xfId="0" applyNumberFormat="1" applyFont="1" applyFill="1" applyBorder="1" applyAlignment="1">
      <alignment horizontal="right" vertical="center" wrapText="1"/>
    </xf>
    <xf numFmtId="171" fontId="57" fillId="43" borderId="2" xfId="132" applyNumberFormat="1" applyFont="1" applyFill="1" applyBorder="1" applyAlignment="1">
      <alignment horizontal="right" vertical="center" wrapText="1"/>
    </xf>
    <xf numFmtId="0" fontId="57" fillId="0" borderId="2" xfId="0" applyFont="1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4"/>
    </xf>
    <xf numFmtId="4" fontId="57" fillId="5" borderId="2" xfId="0" applyNumberFormat="1" applyFont="1" applyFill="1" applyBorder="1" applyAlignment="1">
      <alignment horizontal="right" vertical="center" wrapText="1"/>
    </xf>
    <xf numFmtId="4" fontId="57" fillId="0" borderId="2" xfId="143" applyNumberFormat="1" applyFont="1" applyBorder="1" applyAlignment="1">
      <alignment horizontal="right" vertical="center" wrapText="1"/>
    </xf>
    <xf numFmtId="4" fontId="51" fillId="42" borderId="2" xfId="143" applyNumberFormat="1" applyFont="1" applyFill="1" applyBorder="1" applyAlignment="1">
      <alignment horizontal="right" vertical="center" wrapText="1"/>
    </xf>
    <xf numFmtId="0" fontId="56" fillId="6" borderId="2" xfId="0" applyFont="1" applyFill="1" applyBorder="1" applyAlignment="1">
      <alignment horizontal="left" vertical="center" wrapText="1"/>
    </xf>
    <xf numFmtId="4" fontId="56" fillId="6" borderId="2" xfId="143" applyNumberFormat="1" applyFont="1" applyFill="1" applyBorder="1" applyAlignment="1">
      <alignment horizontal="right" vertical="center" wrapText="1"/>
    </xf>
    <xf numFmtId="171" fontId="56" fillId="6" borderId="2" xfId="132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170" fontId="0" fillId="0" borderId="0" xfId="0" applyNumberFormat="1"/>
    <xf numFmtId="4" fontId="47" fillId="37" borderId="2" xfId="95" applyNumberFormat="1" applyFont="1" applyFill="1" applyBorder="1"/>
    <xf numFmtId="43" fontId="19" fillId="0" borderId="39" xfId="25" applyNumberFormat="1" applyFont="1" applyFill="1" applyBorder="1" applyAlignment="1">
      <alignment horizontal="center" vertical="center" wrapText="1"/>
    </xf>
    <xf numFmtId="4" fontId="57" fillId="0" borderId="2" xfId="0" applyNumberFormat="1" applyFont="1" applyFill="1" applyBorder="1" applyAlignment="1">
      <alignment horizontal="right" vertical="center" wrapText="1"/>
    </xf>
    <xf numFmtId="172" fontId="15" fillId="0" borderId="0" xfId="106" applyFont="1" applyFill="1" applyBorder="1" applyAlignment="1">
      <alignment vertical="center" wrapText="1"/>
    </xf>
    <xf numFmtId="172" fontId="19" fillId="0" borderId="0" xfId="106" applyFont="1" applyFill="1" applyBorder="1" applyAlignment="1">
      <alignment vertical="center" wrapText="1"/>
    </xf>
    <xf numFmtId="0" fontId="17" fillId="0" borderId="0" xfId="136" applyNumberFormat="1" applyFont="1" applyFill="1" applyBorder="1" applyAlignment="1">
      <alignment horizontal="right" vertical="center" wrapText="1"/>
    </xf>
    <xf numFmtId="3" fontId="18" fillId="0" borderId="0" xfId="28" applyNumberFormat="1" applyFont="1" applyFill="1" applyBorder="1" applyAlignment="1">
      <alignment vertical="center" wrapText="1"/>
    </xf>
    <xf numFmtId="3" fontId="18" fillId="0" borderId="0" xfId="28" applyNumberFormat="1" applyFont="1" applyFill="1" applyBorder="1" applyAlignment="1">
      <alignment horizontal="center" vertical="center" wrapText="1"/>
    </xf>
    <xf numFmtId="170" fontId="17" fillId="0" borderId="0" xfId="25" applyNumberFormat="1" applyFont="1" applyFill="1" applyBorder="1" applyAlignment="1">
      <alignment horizontal="center" vertical="center"/>
    </xf>
    <xf numFmtId="3" fontId="18" fillId="0" borderId="0" xfId="28" applyNumberFormat="1" applyFont="1" applyFill="1" applyBorder="1" applyAlignment="1">
      <alignment horizontal="left" vertical="center" wrapText="1"/>
    </xf>
    <xf numFmtId="172" fontId="59" fillId="0" borderId="0" xfId="106" applyFont="1" applyFill="1" applyBorder="1" applyAlignment="1">
      <alignment vertical="center" wrapText="1"/>
    </xf>
    <xf numFmtId="184" fontId="22" fillId="9" borderId="39" xfId="133" applyNumberFormat="1" applyFont="1" applyFill="1" applyBorder="1" applyAlignment="1">
      <alignment vertical="center" wrapText="1"/>
    </xf>
    <xf numFmtId="174" fontId="18" fillId="5" borderId="39" xfId="28" applyNumberFormat="1" applyFont="1" applyFill="1" applyBorder="1" applyAlignment="1">
      <alignment horizontal="left" vertical="center" wrapText="1"/>
    </xf>
    <xf numFmtId="172" fontId="18" fillId="0" borderId="0" xfId="130" applyFont="1" applyFill="1" applyBorder="1" applyAlignment="1">
      <alignment horizontal="center" vertical="center" wrapText="1"/>
    </xf>
    <xf numFmtId="0" fontId="19" fillId="0" borderId="49" xfId="31" applyFont="1" applyFill="1" applyBorder="1" applyAlignment="1">
      <alignment horizontal="center" vertical="center" wrapText="1"/>
    </xf>
    <xf numFmtId="3" fontId="18" fillId="0" borderId="38" xfId="28" applyNumberFormat="1" applyFont="1" applyFill="1" applyBorder="1" applyAlignment="1">
      <alignment horizontal="center" vertical="center" wrapText="1"/>
    </xf>
    <xf numFmtId="3" fontId="19" fillId="0" borderId="38" xfId="28" applyNumberFormat="1" applyFont="1" applyFill="1" applyBorder="1" applyAlignment="1">
      <alignment horizontal="center" vertical="center" wrapText="1"/>
    </xf>
    <xf numFmtId="0" fontId="60" fillId="44" borderId="61" xfId="0" applyFont="1" applyFill="1" applyBorder="1" applyAlignment="1">
      <alignment horizontal="right" vertical="center" wrapText="1"/>
    </xf>
    <xf numFmtId="0" fontId="61" fillId="44" borderId="92" xfId="0" applyFont="1" applyFill="1" applyBorder="1" applyAlignment="1">
      <alignment horizontal="right" vertical="center" wrapText="1"/>
    </xf>
    <xf numFmtId="0" fontId="62" fillId="0" borderId="11" xfId="0" applyFont="1" applyBorder="1" applyAlignment="1">
      <alignment horizontal="right" vertical="center" wrapText="1"/>
    </xf>
    <xf numFmtId="0" fontId="62" fillId="0" borderId="93" xfId="0" applyFont="1" applyBorder="1" applyAlignment="1">
      <alignment horizontal="right" vertical="center" wrapText="1"/>
    </xf>
    <xf numFmtId="0" fontId="61" fillId="44" borderId="11" xfId="0" applyFont="1" applyFill="1" applyBorder="1" applyAlignment="1">
      <alignment horizontal="right" vertical="center" wrapText="1"/>
    </xf>
    <xf numFmtId="0" fontId="61" fillId="44" borderId="93" xfId="0" applyFont="1" applyFill="1" applyBorder="1" applyAlignment="1">
      <alignment horizontal="right" vertical="center" wrapText="1"/>
    </xf>
    <xf numFmtId="0" fontId="47" fillId="0" borderId="0" xfId="95" applyFont="1" applyAlignment="1">
      <alignment horizontal="left"/>
    </xf>
    <xf numFmtId="3" fontId="47" fillId="0" borderId="0" xfId="95" applyNumberFormat="1" applyFont="1" applyAlignment="1">
      <alignment horizontal="left"/>
    </xf>
    <xf numFmtId="0" fontId="57" fillId="0" borderId="2" xfId="0" applyFont="1" applyFill="1" applyBorder="1" applyAlignment="1">
      <alignment horizontal="left" vertical="center" wrapText="1"/>
    </xf>
    <xf numFmtId="0" fontId="57" fillId="0" borderId="2" xfId="0" applyFont="1" applyFill="1" applyBorder="1" applyAlignment="1">
      <alignment horizontal="left" vertical="center" wrapText="1" indent="2"/>
    </xf>
    <xf numFmtId="4" fontId="0" fillId="0" borderId="2" xfId="0" applyNumberFormat="1" applyFill="1" applyBorder="1" applyAlignment="1">
      <alignment horizontal="right" vertical="center"/>
    </xf>
    <xf numFmtId="171" fontId="0" fillId="0" borderId="2" xfId="132" applyNumberFormat="1" applyFont="1" applyFill="1" applyBorder="1" applyAlignment="1">
      <alignment horizontal="right" vertical="center"/>
    </xf>
    <xf numFmtId="171" fontId="57" fillId="0" borderId="2" xfId="132" applyNumberFormat="1" applyFont="1" applyFill="1" applyBorder="1" applyAlignment="1">
      <alignment horizontal="right" vertical="center" wrapText="1"/>
    </xf>
    <xf numFmtId="4" fontId="57" fillId="0" borderId="26" xfId="0" applyNumberFormat="1" applyFont="1" applyFill="1" applyBorder="1" applyAlignment="1">
      <alignment horizontal="right" vertical="center" wrapText="1"/>
    </xf>
    <xf numFmtId="170" fontId="19" fillId="40" borderId="39" xfId="25" applyNumberFormat="1" applyFont="1" applyFill="1" applyBorder="1" applyAlignment="1">
      <alignment horizontal="center" vertical="center" wrapText="1"/>
    </xf>
    <xf numFmtId="10" fontId="18" fillId="0" borderId="0" xfId="132" applyNumberFormat="1" applyFont="1" applyAlignment="1">
      <alignment horizontal="center"/>
    </xf>
    <xf numFmtId="41" fontId="18" fillId="40" borderId="39" xfId="59" applyFont="1" applyFill="1" applyBorder="1" applyAlignment="1">
      <alignment horizontal="center" vertical="center" wrapText="1"/>
    </xf>
    <xf numFmtId="41" fontId="18" fillId="39" borderId="39" xfId="59" applyFont="1" applyFill="1" applyBorder="1" applyAlignment="1">
      <alignment horizontal="center" vertical="center" wrapText="1"/>
    </xf>
    <xf numFmtId="4" fontId="47" fillId="0" borderId="0" xfId="95" applyNumberFormat="1" applyFont="1"/>
    <xf numFmtId="3" fontId="19" fillId="2" borderId="0" xfId="28" applyNumberFormat="1" applyFont="1" applyFill="1" applyBorder="1" applyAlignment="1">
      <alignment horizontal="right" vertical="center" wrapText="1"/>
    </xf>
    <xf numFmtId="170" fontId="23" fillId="40" borderId="39" xfId="17" applyNumberFormat="1" applyFont="1" applyFill="1" applyBorder="1" applyAlignment="1">
      <alignment horizontal="center" vertical="center"/>
    </xf>
    <xf numFmtId="0" fontId="56" fillId="6" borderId="2" xfId="0" applyFont="1" applyFill="1" applyBorder="1" applyAlignment="1">
      <alignment horizontal="center" vertical="center" wrapText="1"/>
    </xf>
    <xf numFmtId="170" fontId="56" fillId="6" borderId="2" xfId="143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3" fontId="22" fillId="8" borderId="29" xfId="28" applyNumberFormat="1" applyFont="1" applyFill="1" applyBorder="1" applyAlignment="1">
      <alignment horizontal="center" vertical="center"/>
    </xf>
    <xf numFmtId="3" fontId="22" fillId="6" borderId="29" xfId="28" applyNumberFormat="1" applyFont="1" applyFill="1" applyBorder="1" applyAlignment="1">
      <alignment horizontal="center" vertical="center"/>
    </xf>
    <xf numFmtId="3" fontId="22" fillId="8" borderId="29" xfId="28" applyNumberFormat="1" applyFont="1" applyFill="1" applyBorder="1" applyAlignment="1">
      <alignment horizontal="right" vertical="center" wrapText="1"/>
    </xf>
    <xf numFmtId="3" fontId="22" fillId="8" borderId="29" xfId="28" applyNumberFormat="1" applyFont="1" applyFill="1" applyBorder="1" applyAlignment="1">
      <alignment horizontal="center" vertical="center" wrapText="1"/>
    </xf>
    <xf numFmtId="17" fontId="22" fillId="8" borderId="29" xfId="28" applyNumberFormat="1" applyFont="1" applyFill="1" applyBorder="1" applyAlignment="1">
      <alignment horizontal="center" vertical="center" wrapText="1"/>
    </xf>
    <xf numFmtId="172" fontId="18" fillId="0" borderId="0" xfId="28" applyFont="1" applyAlignment="1">
      <alignment horizontal="center" vertical="center"/>
    </xf>
    <xf numFmtId="172" fontId="17" fillId="0" borderId="0" xfId="29" applyFont="1" applyAlignment="1">
      <alignment horizontal="center"/>
    </xf>
    <xf numFmtId="172" fontId="17" fillId="0" borderId="28" xfId="29" applyFont="1" applyBorder="1" applyAlignment="1">
      <alignment horizontal="center"/>
    </xf>
    <xf numFmtId="3" fontId="22" fillId="6" borderId="54" xfId="28" applyNumberFormat="1" applyFont="1" applyFill="1" applyBorder="1" applyAlignment="1">
      <alignment horizontal="center" vertical="center"/>
    </xf>
    <xf numFmtId="3" fontId="22" fillId="6" borderId="55" xfId="28" applyNumberFormat="1" applyFont="1" applyFill="1" applyBorder="1" applyAlignment="1">
      <alignment horizontal="center" vertical="center"/>
    </xf>
    <xf numFmtId="3" fontId="22" fillId="6" borderId="56" xfId="28" applyNumberFormat="1" applyFont="1" applyFill="1" applyBorder="1" applyAlignment="1">
      <alignment horizontal="center" vertical="center"/>
    </xf>
    <xf numFmtId="172" fontId="17" fillId="0" borderId="0" xfId="87" applyFont="1" applyAlignment="1">
      <alignment horizontal="center"/>
    </xf>
    <xf numFmtId="172" fontId="22" fillId="6" borderId="50" xfId="87" applyFont="1" applyFill="1" applyBorder="1" applyAlignment="1">
      <alignment horizontal="center" vertical="center" wrapText="1"/>
    </xf>
    <xf numFmtId="172" fontId="22" fillId="6" borderId="51" xfId="87" applyFont="1" applyFill="1" applyBorder="1" applyAlignment="1">
      <alignment horizontal="center" vertical="center" wrapText="1"/>
    </xf>
    <xf numFmtId="172" fontId="22" fillId="6" borderId="52" xfId="87" applyFont="1" applyFill="1" applyBorder="1" applyAlignment="1">
      <alignment horizontal="center" vertical="center" wrapText="1"/>
    </xf>
    <xf numFmtId="172" fontId="22" fillId="6" borderId="53" xfId="87" applyFont="1" applyFill="1" applyBorder="1" applyAlignment="1">
      <alignment horizontal="center" vertical="center" wrapText="1"/>
    </xf>
    <xf numFmtId="172" fontId="22" fillId="6" borderId="65" xfId="87" applyFont="1" applyFill="1" applyBorder="1" applyAlignment="1">
      <alignment horizontal="center" vertical="center" wrapText="1"/>
    </xf>
    <xf numFmtId="172" fontId="22" fillId="6" borderId="66" xfId="87" applyFont="1" applyFill="1" applyBorder="1" applyAlignment="1">
      <alignment horizontal="center" vertical="center" wrapText="1"/>
    </xf>
    <xf numFmtId="3" fontId="22" fillId="6" borderId="2" xfId="28" applyNumberFormat="1" applyFont="1" applyFill="1" applyBorder="1" applyAlignment="1">
      <alignment horizontal="center" vertical="center"/>
    </xf>
    <xf numFmtId="172" fontId="22" fillId="6" borderId="2" xfId="106" applyFont="1" applyFill="1" applyBorder="1" applyAlignment="1">
      <alignment horizontal="center" vertical="center" wrapText="1"/>
    </xf>
    <xf numFmtId="172" fontId="18" fillId="2" borderId="37" xfId="94" applyFont="1" applyFill="1" applyBorder="1" applyAlignment="1">
      <alignment horizontal="left" vertical="center" wrapText="1"/>
    </xf>
    <xf numFmtId="172" fontId="19" fillId="2" borderId="37" xfId="94" applyFont="1" applyFill="1" applyBorder="1" applyAlignment="1">
      <alignment horizontal="left" vertical="center" wrapText="1"/>
    </xf>
    <xf numFmtId="181" fontId="18" fillId="39" borderId="37" xfId="94" applyNumberFormat="1" applyFont="1" applyFill="1" applyBorder="1" applyAlignment="1">
      <alignment horizontal="center" vertical="center" wrapText="1"/>
    </xf>
    <xf numFmtId="172" fontId="17" fillId="5" borderId="37" xfId="110" applyFont="1" applyFill="1" applyBorder="1" applyAlignment="1">
      <alignment horizontal="right" vertical="center"/>
    </xf>
    <xf numFmtId="181" fontId="23" fillId="5" borderId="37" xfId="110" applyNumberFormat="1" applyFont="1" applyFill="1" applyBorder="1" applyAlignment="1">
      <alignment horizontal="center" vertical="center"/>
    </xf>
    <xf numFmtId="172" fontId="18" fillId="39" borderId="37" xfId="94" applyFont="1" applyFill="1" applyBorder="1" applyAlignment="1">
      <alignment horizontal="center" vertical="center" wrapText="1"/>
    </xf>
    <xf numFmtId="172" fontId="19" fillId="2" borderId="86" xfId="94" applyFont="1" applyFill="1" applyBorder="1" applyAlignment="1">
      <alignment horizontal="center" vertical="center" wrapText="1"/>
    </xf>
    <xf numFmtId="172" fontId="19" fillId="2" borderId="87" xfId="94" applyFont="1" applyFill="1" applyBorder="1" applyAlignment="1">
      <alignment horizontal="center" vertical="center" wrapText="1"/>
    </xf>
    <xf numFmtId="172" fontId="19" fillId="5" borderId="37" xfId="110" applyFont="1" applyFill="1" applyBorder="1" applyAlignment="1">
      <alignment horizontal="center" vertical="center"/>
    </xf>
    <xf numFmtId="172" fontId="18" fillId="39" borderId="37" xfId="94" applyFont="1" applyFill="1" applyBorder="1" applyAlignment="1">
      <alignment horizontal="left" vertical="center" wrapText="1"/>
    </xf>
    <xf numFmtId="172" fontId="18" fillId="39" borderId="73" xfId="94" applyFont="1" applyFill="1" applyBorder="1" applyAlignment="1">
      <alignment horizontal="center" vertical="center"/>
    </xf>
    <xf numFmtId="172" fontId="18" fillId="39" borderId="88" xfId="94" applyFont="1" applyFill="1" applyBorder="1" applyAlignment="1">
      <alignment horizontal="center" vertical="center"/>
    </xf>
    <xf numFmtId="172" fontId="18" fillId="39" borderId="74" xfId="94" applyFont="1" applyFill="1" applyBorder="1" applyAlignment="1">
      <alignment horizontal="center" vertical="center"/>
    </xf>
    <xf numFmtId="172" fontId="17" fillId="5" borderId="32" xfId="110" applyFont="1" applyFill="1" applyBorder="1" applyAlignment="1">
      <alignment horizontal="right" vertical="center"/>
    </xf>
    <xf numFmtId="172" fontId="18" fillId="39" borderId="32" xfId="94" applyFont="1" applyFill="1" applyBorder="1" applyAlignment="1">
      <alignment horizontal="center" vertical="center" wrapText="1"/>
    </xf>
    <xf numFmtId="172" fontId="18" fillId="39" borderId="32" xfId="94" applyFont="1" applyFill="1" applyBorder="1" applyAlignment="1">
      <alignment horizontal="left" vertical="center" wrapText="1"/>
    </xf>
    <xf numFmtId="172" fontId="18" fillId="39" borderId="32" xfId="94" applyFont="1" applyFill="1" applyBorder="1" applyAlignment="1">
      <alignment horizontal="center" vertical="center"/>
    </xf>
    <xf numFmtId="172" fontId="18" fillId="39" borderId="37" xfId="94" applyFont="1" applyFill="1" applyBorder="1" applyAlignment="1">
      <alignment horizontal="center" vertical="center"/>
    </xf>
    <xf numFmtId="172" fontId="18" fillId="39" borderId="37" xfId="94" applyFont="1" applyFill="1" applyBorder="1" applyAlignment="1">
      <alignment vertical="center"/>
    </xf>
    <xf numFmtId="181" fontId="23" fillId="5" borderId="36" xfId="110" applyNumberFormat="1" applyFont="1" applyFill="1" applyBorder="1" applyAlignment="1">
      <alignment horizontal="center" vertical="center"/>
    </xf>
    <xf numFmtId="181" fontId="23" fillId="5" borderId="81" xfId="110" applyNumberFormat="1" applyFont="1" applyFill="1" applyBorder="1" applyAlignment="1">
      <alignment horizontal="center" vertical="center"/>
    </xf>
    <xf numFmtId="172" fontId="18" fillId="39" borderId="32" xfId="94" applyFont="1" applyFill="1" applyBorder="1" applyAlignment="1">
      <alignment vertical="center"/>
    </xf>
    <xf numFmtId="172" fontId="18" fillId="39" borderId="36" xfId="94" applyFont="1" applyFill="1" applyBorder="1" applyAlignment="1">
      <alignment vertical="center"/>
    </xf>
    <xf numFmtId="172" fontId="18" fillId="39" borderId="73" xfId="94" applyFont="1" applyFill="1" applyBorder="1" applyAlignment="1">
      <alignment horizontal="center" vertical="center" wrapText="1"/>
    </xf>
    <xf numFmtId="172" fontId="18" fillId="39" borderId="74" xfId="94" applyFont="1" applyFill="1" applyBorder="1" applyAlignment="1">
      <alignment horizontal="center" vertical="center" wrapText="1"/>
    </xf>
    <xf numFmtId="172" fontId="18" fillId="39" borderId="75" xfId="94" applyFont="1" applyFill="1" applyBorder="1" applyAlignment="1">
      <alignment horizontal="center" vertical="center" wrapText="1"/>
    </xf>
    <xf numFmtId="172" fontId="18" fillId="39" borderId="76" xfId="94" applyFont="1" applyFill="1" applyBorder="1" applyAlignment="1">
      <alignment horizontal="center" vertical="center" wrapText="1"/>
    </xf>
    <xf numFmtId="181" fontId="18" fillId="39" borderId="32" xfId="94" applyNumberFormat="1" applyFont="1" applyFill="1" applyBorder="1" applyAlignment="1">
      <alignment horizontal="center" vertical="center" wrapText="1"/>
    </xf>
    <xf numFmtId="172" fontId="18" fillId="39" borderId="36" xfId="94" applyFont="1" applyFill="1" applyBorder="1" applyAlignment="1">
      <alignment horizontal="center" vertical="center"/>
    </xf>
    <xf numFmtId="172" fontId="18" fillId="39" borderId="81" xfId="94" applyFont="1" applyFill="1" applyBorder="1" applyAlignment="1">
      <alignment horizontal="center" vertical="center"/>
    </xf>
    <xf numFmtId="172" fontId="18" fillId="39" borderId="79" xfId="94" applyFont="1" applyFill="1" applyBorder="1" applyAlignment="1">
      <alignment horizontal="center" vertical="center"/>
    </xf>
    <xf numFmtId="172" fontId="18" fillId="5" borderId="30" xfId="94" applyFont="1" applyFill="1" applyBorder="1" applyAlignment="1">
      <alignment horizontal="right" vertical="center" wrapText="1"/>
    </xf>
    <xf numFmtId="172" fontId="18" fillId="39" borderId="72" xfId="94" applyFont="1" applyFill="1" applyBorder="1" applyAlignment="1">
      <alignment horizontal="center" vertical="center" wrapText="1"/>
    </xf>
    <xf numFmtId="172" fontId="18" fillId="39" borderId="0" xfId="94" applyFont="1" applyFill="1" applyBorder="1" applyAlignment="1">
      <alignment horizontal="center" vertical="center" wrapText="1"/>
    </xf>
    <xf numFmtId="172" fontId="18" fillId="39" borderId="33" xfId="94" applyFont="1" applyFill="1" applyBorder="1" applyAlignment="1">
      <alignment horizontal="center" vertical="center" wrapText="1"/>
    </xf>
    <xf numFmtId="172" fontId="18" fillId="39" borderId="30" xfId="94" applyFont="1" applyFill="1" applyBorder="1" applyAlignment="1">
      <alignment horizontal="center" vertical="center" wrapText="1"/>
    </xf>
    <xf numFmtId="172" fontId="18" fillId="5" borderId="32" xfId="94" applyFont="1" applyFill="1" applyBorder="1" applyAlignment="1">
      <alignment horizontal="right" vertical="center" wrapText="1"/>
    </xf>
    <xf numFmtId="172" fontId="18" fillId="39" borderId="33" xfId="94" applyFont="1" applyFill="1" applyBorder="1" applyAlignment="1">
      <alignment horizontal="left" vertical="center" wrapText="1"/>
    </xf>
    <xf numFmtId="172" fontId="18" fillId="39" borderId="33" xfId="94" applyFont="1" applyFill="1" applyBorder="1" applyAlignment="1">
      <alignment horizontal="center" vertical="center"/>
    </xf>
    <xf numFmtId="170" fontId="18" fillId="39" borderId="32" xfId="25" applyNumberFormat="1" applyFont="1" applyFill="1" applyBorder="1" applyAlignment="1">
      <alignment horizontal="center" vertical="center" wrapText="1"/>
    </xf>
    <xf numFmtId="172" fontId="18" fillId="39" borderId="33" xfId="94" applyFont="1" applyFill="1" applyBorder="1" applyAlignment="1">
      <alignment vertical="center"/>
    </xf>
    <xf numFmtId="172" fontId="22" fillId="38" borderId="68" xfId="94" applyFont="1" applyFill="1" applyBorder="1" applyAlignment="1">
      <alignment horizontal="center" vertical="center" wrapText="1"/>
    </xf>
    <xf numFmtId="172" fontId="29" fillId="38" borderId="69" xfId="94" applyFont="1" applyFill="1" applyBorder="1" applyAlignment="1">
      <alignment vertical="center"/>
    </xf>
    <xf numFmtId="172" fontId="29" fillId="38" borderId="70" xfId="94" applyFont="1" applyFill="1" applyBorder="1" applyAlignment="1">
      <alignment vertical="center"/>
    </xf>
    <xf numFmtId="172" fontId="18" fillId="39" borderId="30" xfId="94" applyFont="1" applyFill="1" applyBorder="1" applyAlignment="1">
      <alignment vertical="center"/>
    </xf>
    <xf numFmtId="3" fontId="16" fillId="36" borderId="16" xfId="95" applyNumberFormat="1" applyFont="1" applyFill="1" applyBorder="1" applyAlignment="1">
      <alignment horizontal="center"/>
    </xf>
    <xf numFmtId="3" fontId="16" fillId="36" borderId="6" xfId="95" applyNumberFormat="1" applyFont="1" applyFill="1" applyBorder="1" applyAlignment="1">
      <alignment horizontal="center"/>
    </xf>
    <xf numFmtId="0" fontId="47" fillId="0" borderId="0" xfId="95" applyFont="1" applyAlignment="1">
      <alignment horizontal="center" wrapText="1"/>
    </xf>
    <xf numFmtId="9" fontId="16" fillId="0" borderId="0" xfId="95" applyNumberFormat="1" applyFont="1" applyAlignment="1">
      <alignment horizontal="center" vertical="center" wrapText="1"/>
    </xf>
    <xf numFmtId="0" fontId="47" fillId="0" borderId="0" xfId="95" applyFont="1" applyAlignment="1">
      <alignment horizontal="left"/>
    </xf>
    <xf numFmtId="3" fontId="47" fillId="0" borderId="0" xfId="95" applyNumberFormat="1" applyFont="1" applyAlignment="1">
      <alignment horizontal="left"/>
    </xf>
    <xf numFmtId="180" fontId="49" fillId="0" borderId="0" xfId="95" applyNumberFormat="1" applyFont="1" applyAlignment="1">
      <alignment horizontal="center"/>
    </xf>
  </cellXfs>
  <cellStyles count="145">
    <cellStyle name="20% - Accent1 2" xfId="32" xr:uid="{00000000-0005-0000-0000-000000000000}"/>
    <cellStyle name="20% - Accent2 2" xfId="33" xr:uid="{00000000-0005-0000-0000-000001000000}"/>
    <cellStyle name="20% - Accent3 2" xfId="34" xr:uid="{00000000-0005-0000-0000-000002000000}"/>
    <cellStyle name="20% - Accent4 2" xfId="35" xr:uid="{00000000-0005-0000-0000-000003000000}"/>
    <cellStyle name="20% - Accent5 2" xfId="36" xr:uid="{00000000-0005-0000-0000-000004000000}"/>
    <cellStyle name="20% - Accent6 2" xfId="37" xr:uid="{00000000-0005-0000-0000-000005000000}"/>
    <cellStyle name="40% - Accent1 2" xfId="38" xr:uid="{00000000-0005-0000-0000-000006000000}"/>
    <cellStyle name="40% - Accent2 2" xfId="39" xr:uid="{00000000-0005-0000-0000-000007000000}"/>
    <cellStyle name="40% - Accent3 2" xfId="40" xr:uid="{00000000-0005-0000-0000-000008000000}"/>
    <cellStyle name="40% - Accent4 2" xfId="41" xr:uid="{00000000-0005-0000-0000-000009000000}"/>
    <cellStyle name="40% - Accent5 2" xfId="42" xr:uid="{00000000-0005-0000-0000-00000A000000}"/>
    <cellStyle name="40% - Accent6 2" xfId="43" xr:uid="{00000000-0005-0000-0000-00000B000000}"/>
    <cellStyle name="60% - Accent1 2" xfId="44" xr:uid="{00000000-0005-0000-0000-00000C000000}"/>
    <cellStyle name="60% - Accent2 2" xfId="45" xr:uid="{00000000-0005-0000-0000-00000D000000}"/>
    <cellStyle name="60% - Accent3 2" xfId="46" xr:uid="{00000000-0005-0000-0000-00000E000000}"/>
    <cellStyle name="60% - Accent4 2" xfId="47" xr:uid="{00000000-0005-0000-0000-00000F000000}"/>
    <cellStyle name="60% - Accent5 2" xfId="48" xr:uid="{00000000-0005-0000-0000-000010000000}"/>
    <cellStyle name="60% - Accent6 2" xfId="49" xr:uid="{00000000-0005-0000-0000-000011000000}"/>
    <cellStyle name="Accent1 2" xfId="50" xr:uid="{00000000-0005-0000-0000-000012000000}"/>
    <cellStyle name="Accent2 2" xfId="51" xr:uid="{00000000-0005-0000-0000-000013000000}"/>
    <cellStyle name="Accent3 2" xfId="52" xr:uid="{00000000-0005-0000-0000-000014000000}"/>
    <cellStyle name="Accent4 2" xfId="53" xr:uid="{00000000-0005-0000-0000-000015000000}"/>
    <cellStyle name="Accent5 2" xfId="54" xr:uid="{00000000-0005-0000-0000-000016000000}"/>
    <cellStyle name="Accent6 2" xfId="55" xr:uid="{00000000-0005-0000-0000-000017000000}"/>
    <cellStyle name="Bad 2" xfId="56" xr:uid="{00000000-0005-0000-0000-000018000000}"/>
    <cellStyle name="Cabecera 1" xfId="1" xr:uid="{00000000-0005-0000-0000-000019000000}"/>
    <cellStyle name="Cabecera 2" xfId="2" xr:uid="{00000000-0005-0000-0000-00001A000000}"/>
    <cellStyle name="Calculation 2" xfId="57" xr:uid="{00000000-0005-0000-0000-00001B000000}"/>
    <cellStyle name="Check Cell 2" xfId="58" xr:uid="{00000000-0005-0000-0000-00001C000000}"/>
    <cellStyle name="Comma" xfId="143" builtinId="3"/>
    <cellStyle name="Comma [0]" xfId="144" builtinId="6"/>
    <cellStyle name="Comma [0] 2" xfId="59" xr:uid="{00000000-0005-0000-0000-00001E000000}"/>
    <cellStyle name="Comma [0] 3" xfId="141" xr:uid="{4892313C-6558-49C8-9943-141F8A01EC5A}"/>
    <cellStyle name="Comma 2" xfId="25" xr:uid="{00000000-0005-0000-0000-00001F000000}"/>
    <cellStyle name="Comma 3" xfId="60" xr:uid="{00000000-0005-0000-0000-000020000000}"/>
    <cellStyle name="Comma 4" xfId="61" xr:uid="{00000000-0005-0000-0000-000021000000}"/>
    <cellStyle name="Comma 5" xfId="139" xr:uid="{DF92C4FC-84B3-4A5B-BA5D-EE7CD16A3AD9}"/>
    <cellStyle name="Currency" xfId="142" builtinId="4"/>
    <cellStyle name="Euro" xfId="3" xr:uid="{00000000-0005-0000-0000-000022000000}"/>
    <cellStyle name="Euro 2" xfId="4" xr:uid="{00000000-0005-0000-0000-000023000000}"/>
    <cellStyle name="Explanatory Text 2" xfId="62" xr:uid="{00000000-0005-0000-0000-000024000000}"/>
    <cellStyle name="F2" xfId="5" xr:uid="{00000000-0005-0000-0000-000025000000}"/>
    <cellStyle name="F3" xfId="6" xr:uid="{00000000-0005-0000-0000-000026000000}"/>
    <cellStyle name="F4" xfId="7" xr:uid="{00000000-0005-0000-0000-000027000000}"/>
    <cellStyle name="F5" xfId="8" xr:uid="{00000000-0005-0000-0000-000028000000}"/>
    <cellStyle name="F6" xfId="9" xr:uid="{00000000-0005-0000-0000-000029000000}"/>
    <cellStyle name="F7" xfId="10" xr:uid="{00000000-0005-0000-0000-00002A000000}"/>
    <cellStyle name="F8" xfId="11" xr:uid="{00000000-0005-0000-0000-00002B000000}"/>
    <cellStyle name="Fecha" xfId="12" xr:uid="{00000000-0005-0000-0000-00002C000000}"/>
    <cellStyle name="Fijo" xfId="13" xr:uid="{00000000-0005-0000-0000-00002D000000}"/>
    <cellStyle name="Good 2" xfId="63" xr:uid="{00000000-0005-0000-0000-00002E000000}"/>
    <cellStyle name="Heading 1 2" xfId="64" xr:uid="{00000000-0005-0000-0000-00002F000000}"/>
    <cellStyle name="Heading 2 2" xfId="65" xr:uid="{00000000-0005-0000-0000-000030000000}"/>
    <cellStyle name="Heading 3 2" xfId="66" xr:uid="{00000000-0005-0000-0000-000031000000}"/>
    <cellStyle name="Heading 4 2" xfId="67" xr:uid="{00000000-0005-0000-0000-000032000000}"/>
    <cellStyle name="Heading1" xfId="14" xr:uid="{00000000-0005-0000-0000-000033000000}"/>
    <cellStyle name="Heading2" xfId="15" xr:uid="{00000000-0005-0000-0000-000034000000}"/>
    <cellStyle name="Input 2" xfId="68" xr:uid="{00000000-0005-0000-0000-000035000000}"/>
    <cellStyle name="Linked Cell 2" xfId="69" xr:uid="{00000000-0005-0000-0000-000036000000}"/>
    <cellStyle name="Millares [0] 2" xfId="16" xr:uid="{00000000-0005-0000-0000-000037000000}"/>
    <cellStyle name="Millares [0] 2 2" xfId="70" xr:uid="{00000000-0005-0000-0000-000038000000}"/>
    <cellStyle name="Millares [0] 3" xfId="71" xr:uid="{00000000-0005-0000-0000-000039000000}"/>
    <cellStyle name="Millares 2" xfId="17" xr:uid="{00000000-0005-0000-0000-00003A000000}"/>
    <cellStyle name="Millares 3" xfId="18" xr:uid="{00000000-0005-0000-0000-00003B000000}"/>
    <cellStyle name="Millares 3 2" xfId="72" xr:uid="{00000000-0005-0000-0000-00003C000000}"/>
    <cellStyle name="Millares 4" xfId="73" xr:uid="{00000000-0005-0000-0000-00003D000000}"/>
    <cellStyle name="Millares 4 2" xfId="74" xr:uid="{00000000-0005-0000-0000-00003E000000}"/>
    <cellStyle name="Millares 5" xfId="75" xr:uid="{00000000-0005-0000-0000-00003F000000}"/>
    <cellStyle name="Millares 5 2" xfId="76" xr:uid="{00000000-0005-0000-0000-000040000000}"/>
    <cellStyle name="Millares 5 3" xfId="77" xr:uid="{00000000-0005-0000-0000-000041000000}"/>
    <cellStyle name="Millares 6" xfId="78" xr:uid="{00000000-0005-0000-0000-000042000000}"/>
    <cellStyle name="Moneda 2" xfId="79" xr:uid="{00000000-0005-0000-0000-000043000000}"/>
    <cellStyle name="Moneda 2 2" xfId="80" xr:uid="{00000000-0005-0000-0000-000044000000}"/>
    <cellStyle name="Moneda 2 3" xfId="81" xr:uid="{00000000-0005-0000-0000-000045000000}"/>
    <cellStyle name="Monetario" xfId="19" xr:uid="{00000000-0005-0000-0000-000046000000}"/>
    <cellStyle name="Monetario0" xfId="20" xr:uid="{00000000-0005-0000-0000-000047000000}"/>
    <cellStyle name="Neutral 2" xfId="82" xr:uid="{00000000-0005-0000-0000-000048000000}"/>
    <cellStyle name="Normal" xfId="0" builtinId="0"/>
    <cellStyle name="Normal 10" xfId="83" xr:uid="{00000000-0005-0000-0000-00004A000000}"/>
    <cellStyle name="Normal 10 2" xfId="84" xr:uid="{00000000-0005-0000-0000-00004B000000}"/>
    <cellStyle name="Normal 10 2 2" xfId="85" xr:uid="{00000000-0005-0000-0000-00004C000000}"/>
    <cellStyle name="Normal 10 3" xfId="86" xr:uid="{00000000-0005-0000-0000-00004D000000}"/>
    <cellStyle name="Normal 11" xfId="87" xr:uid="{00000000-0005-0000-0000-00004E000000}"/>
    <cellStyle name="Normal 12" xfId="88" xr:uid="{00000000-0005-0000-0000-00004F000000}"/>
    <cellStyle name="Normal 13" xfId="31" xr:uid="{00000000-0005-0000-0000-000050000000}"/>
    <cellStyle name="Normal 14" xfId="89" xr:uid="{00000000-0005-0000-0000-000051000000}"/>
    <cellStyle name="Normal 14 2" xfId="90" xr:uid="{00000000-0005-0000-0000-000052000000}"/>
    <cellStyle name="Normal 15" xfId="91" xr:uid="{00000000-0005-0000-0000-000053000000}"/>
    <cellStyle name="Normal 16" xfId="92" xr:uid="{00000000-0005-0000-0000-000054000000}"/>
    <cellStyle name="Normal 17" xfId="138" xr:uid="{70FF44A1-F44B-4788-959B-A2ACE338EA54}"/>
    <cellStyle name="Normal 2" xfId="21" xr:uid="{00000000-0005-0000-0000-000055000000}"/>
    <cellStyle name="Normal 2 2" xfId="93" xr:uid="{00000000-0005-0000-0000-000056000000}"/>
    <cellStyle name="Normal 2 2 2" xfId="94" xr:uid="{00000000-0005-0000-0000-000057000000}"/>
    <cellStyle name="Normal 2 3" xfId="95" xr:uid="{00000000-0005-0000-0000-000058000000}"/>
    <cellStyle name="Normal 2_POA 18 meses" xfId="96" xr:uid="{00000000-0005-0000-0000-000059000000}"/>
    <cellStyle name="Normal 3" xfId="26" xr:uid="{00000000-0005-0000-0000-00005A000000}"/>
    <cellStyle name="Normal 3 2" xfId="97" xr:uid="{00000000-0005-0000-0000-00005B000000}"/>
    <cellStyle name="Normal 3 2 2" xfId="98" xr:uid="{00000000-0005-0000-0000-00005C000000}"/>
    <cellStyle name="Normal 4" xfId="29" xr:uid="{00000000-0005-0000-0000-00005D000000}"/>
    <cellStyle name="Normal 4 2" xfId="99" xr:uid="{00000000-0005-0000-0000-00005E000000}"/>
    <cellStyle name="Normal 4 3" xfId="100" xr:uid="{00000000-0005-0000-0000-00005F000000}"/>
    <cellStyle name="Normal 5" xfId="101" xr:uid="{00000000-0005-0000-0000-000060000000}"/>
    <cellStyle name="Normal 5 2" xfId="102" xr:uid="{00000000-0005-0000-0000-000061000000}"/>
    <cellStyle name="Normal 5 2 2" xfId="103" xr:uid="{00000000-0005-0000-0000-000062000000}"/>
    <cellStyle name="Normal 5 3" xfId="104" xr:uid="{00000000-0005-0000-0000-000063000000}"/>
    <cellStyle name="Normal 6" xfId="105" xr:uid="{00000000-0005-0000-0000-000064000000}"/>
    <cellStyle name="Normal 7" xfId="27" xr:uid="{00000000-0005-0000-0000-000065000000}"/>
    <cellStyle name="Normal 7 2" xfId="28" xr:uid="{00000000-0005-0000-0000-000066000000}"/>
    <cellStyle name="Normal 7 3" xfId="106" xr:uid="{00000000-0005-0000-0000-000067000000}"/>
    <cellStyle name="Normal 8" xfId="107" xr:uid="{00000000-0005-0000-0000-000068000000}"/>
    <cellStyle name="Normal 8 2" xfId="108" xr:uid="{00000000-0005-0000-0000-000069000000}"/>
    <cellStyle name="Normal 9" xfId="109" xr:uid="{00000000-0005-0000-0000-00006A000000}"/>
    <cellStyle name="Normal 9 2" xfId="110" xr:uid="{00000000-0005-0000-0000-00006B000000}"/>
    <cellStyle name="Normal 9 2 2" xfId="111" xr:uid="{00000000-0005-0000-0000-00006C000000}"/>
    <cellStyle name="Normal 9 3" xfId="112" xr:uid="{00000000-0005-0000-0000-00006D000000}"/>
    <cellStyle name="Normal_9. PA" xfId="135" xr:uid="{00000000-0005-0000-0000-00006E000000}"/>
    <cellStyle name="Normal_PA_1" xfId="134" xr:uid="{00000000-0005-0000-0000-00006F000000}"/>
    <cellStyle name="Normal_PEP" xfId="30" xr:uid="{00000000-0005-0000-0000-000070000000}"/>
    <cellStyle name="Normal_PEP 2" xfId="130" xr:uid="{00000000-0005-0000-0000-000071000000}"/>
    <cellStyle name="Normal_PEP 3" xfId="131" xr:uid="{00000000-0005-0000-0000-000072000000}"/>
    <cellStyle name="Normal_PEP 3 2" xfId="136" xr:uid="{00000000-0005-0000-0000-000073000000}"/>
    <cellStyle name="Normal_PEP 4" xfId="133" xr:uid="{00000000-0005-0000-0000-000074000000}"/>
    <cellStyle name="Note 2" xfId="113" xr:uid="{00000000-0005-0000-0000-000075000000}"/>
    <cellStyle name="Output 2" xfId="114" xr:uid="{00000000-0005-0000-0000-000076000000}"/>
    <cellStyle name="Percent" xfId="132" builtinId="5"/>
    <cellStyle name="Percent 2" xfId="140" xr:uid="{64CD0FAB-668C-4E8D-B322-5CD04F823EE9}"/>
    <cellStyle name="Porcentaje" xfId="137" xr:uid="{00000000-0005-0000-0000-000078000000}"/>
    <cellStyle name="Porcentaje 2" xfId="22" xr:uid="{00000000-0005-0000-0000-000079000000}"/>
    <cellStyle name="Porcentaje 2 2" xfId="115" xr:uid="{00000000-0005-0000-0000-00007A000000}"/>
    <cellStyle name="Porcentaje 3" xfId="116" xr:uid="{00000000-0005-0000-0000-00007B000000}"/>
    <cellStyle name="Porcentual 2" xfId="117" xr:uid="{00000000-0005-0000-0000-00007C000000}"/>
    <cellStyle name="Porcentual 2 2" xfId="118" xr:uid="{00000000-0005-0000-0000-00007D000000}"/>
    <cellStyle name="Porcentual 2 3" xfId="119" xr:uid="{00000000-0005-0000-0000-00007E000000}"/>
    <cellStyle name="Porcentual 3" xfId="120" xr:uid="{00000000-0005-0000-0000-00007F000000}"/>
    <cellStyle name="Porcentual 4" xfId="121" xr:uid="{00000000-0005-0000-0000-000080000000}"/>
    <cellStyle name="Porcentual 5" xfId="122" xr:uid="{00000000-0005-0000-0000-000081000000}"/>
    <cellStyle name="Porcentual 6" xfId="123" xr:uid="{00000000-0005-0000-0000-000082000000}"/>
    <cellStyle name="Porcentual 6 2" xfId="124" xr:uid="{00000000-0005-0000-0000-000083000000}"/>
    <cellStyle name="Porcentual 7" xfId="125" xr:uid="{00000000-0005-0000-0000-000084000000}"/>
    <cellStyle name="Porcentual 7 2" xfId="126" xr:uid="{00000000-0005-0000-0000-000085000000}"/>
    <cellStyle name="Punto" xfId="23" xr:uid="{00000000-0005-0000-0000-000086000000}"/>
    <cellStyle name="Punto0" xfId="24" xr:uid="{00000000-0005-0000-0000-000087000000}"/>
    <cellStyle name="Title 2" xfId="127" xr:uid="{00000000-0005-0000-0000-000088000000}"/>
    <cellStyle name="Total 2" xfId="128" xr:uid="{00000000-0005-0000-0000-000089000000}"/>
    <cellStyle name="Warning Text 2" xfId="129" xr:uid="{00000000-0005-0000-0000-00008A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ustomXml" Target="../customXml/item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32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3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5985025424074626"/>
          <c:h val="0.73421052631578965"/>
        </c:manualLayout>
      </c:layout>
      <c:scatterChart>
        <c:scatterStyle val="smoothMarker"/>
        <c:varyColors val="0"/>
        <c:ser>
          <c:idx val="0"/>
          <c:order val="0"/>
          <c:tx>
            <c:v>Avance Fisico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'Paratodo-Douglas'!$A$18:$A$36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'Paratodo-Douglas'!$C$18:$C$36</c:f>
              <c:numCache>
                <c:formatCode>0.00%</c:formatCode>
                <c:ptCount val="19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E4-41B5-B046-8025154BA3B6}"/>
            </c:ext>
          </c:extLst>
        </c:ser>
        <c:ser>
          <c:idx val="1"/>
          <c:order val="1"/>
          <c:tx>
            <c:v>Avance Financiero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'Paratodo-Douglas'!$A$18:$A$36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'Paratodo-Douglas'!$F$18:$F$36</c:f>
              <c:numCache>
                <c:formatCode>0.00%</c:formatCode>
                <c:ptCount val="19"/>
                <c:pt idx="0">
                  <c:v>0.2</c:v>
                </c:pt>
                <c:pt idx="1">
                  <c:v>0.21999999687123456</c:v>
                </c:pt>
                <c:pt idx="2">
                  <c:v>0.24399999520255966</c:v>
                </c:pt>
                <c:pt idx="3">
                  <c:v>0.27199999499397531</c:v>
                </c:pt>
                <c:pt idx="4">
                  <c:v>0.29999999478539097</c:v>
                </c:pt>
                <c:pt idx="5">
                  <c:v>0.33199999603689712</c:v>
                </c:pt>
                <c:pt idx="6">
                  <c:v>0.36799999874849382</c:v>
                </c:pt>
                <c:pt idx="7">
                  <c:v>0.40400000146009052</c:v>
                </c:pt>
                <c:pt idx="8">
                  <c:v>0.44400000563177777</c:v>
                </c:pt>
                <c:pt idx="9">
                  <c:v>0.48800000083433748</c:v>
                </c:pt>
                <c:pt idx="10">
                  <c:v>0.53199999603689707</c:v>
                </c:pt>
                <c:pt idx="11">
                  <c:v>0.57599999123945678</c:v>
                </c:pt>
                <c:pt idx="12">
                  <c:v>0.62399998790210698</c:v>
                </c:pt>
                <c:pt idx="13">
                  <c:v>0.67999998748493828</c:v>
                </c:pt>
                <c:pt idx="14">
                  <c:v>0.73599998706776948</c:v>
                </c:pt>
                <c:pt idx="15">
                  <c:v>0.78799998519051029</c:v>
                </c:pt>
                <c:pt idx="16">
                  <c:v>0.83999998331325099</c:v>
                </c:pt>
                <c:pt idx="17">
                  <c:v>0.87999998748493824</c:v>
                </c:pt>
                <c:pt idx="18">
                  <c:v>0.91999999165662549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E4-41B5-B046-8025154BA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87392"/>
        <c:axId val="225001856"/>
      </c:scatterChart>
      <c:valAx>
        <c:axId val="212187392"/>
        <c:scaling>
          <c:orientation val="minMax"/>
          <c:max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01856"/>
        <c:crosses val="autoZero"/>
        <c:crossBetween val="midCat"/>
        <c:majorUnit val="1"/>
      </c:valAx>
      <c:valAx>
        <c:axId val="2250018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87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5985025424074626"/>
          <c:h val="0.73421052631578965"/>
        </c:manualLayout>
      </c:layout>
      <c:scatterChart>
        <c:scatterStyle val="smoothMarker"/>
        <c:varyColors val="0"/>
        <c:ser>
          <c:idx val="0"/>
          <c:order val="0"/>
          <c:tx>
            <c:v>Avance Fisico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Oriental1!$A$18:$A$36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Oriental1!$C$18:$C$36</c:f>
              <c:numCache>
                <c:formatCode>0.00%</c:formatCode>
                <c:ptCount val="19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3-4F95-9EF7-6F0BD713523E}"/>
            </c:ext>
          </c:extLst>
        </c:ser>
        <c:ser>
          <c:idx val="1"/>
          <c:order val="1"/>
          <c:tx>
            <c:v>Avance Financiero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Oriental1!$A$18:$A$36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Oriental1!$F$18:$F$36</c:f>
              <c:numCache>
                <c:formatCode>0.00%</c:formatCode>
                <c:ptCount val="19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3-4F95-9EF7-6F0BD713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87392"/>
        <c:axId val="225001856"/>
      </c:scatterChart>
      <c:valAx>
        <c:axId val="212187392"/>
        <c:scaling>
          <c:orientation val="minMax"/>
          <c:max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01856"/>
        <c:crosses val="autoZero"/>
        <c:crossBetween val="midCat"/>
        <c:majorUnit val="1"/>
      </c:valAx>
      <c:valAx>
        <c:axId val="2250018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87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5985025424074626"/>
          <c:h val="0.73421052631578965"/>
        </c:manualLayout>
      </c:layout>
      <c:scatterChart>
        <c:scatterStyle val="smoothMarker"/>
        <c:varyColors val="0"/>
        <c:ser>
          <c:idx val="0"/>
          <c:order val="0"/>
          <c:tx>
            <c:v>Avance Fisico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'Obras Complementarias'!$A$18:$A$36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'Obras Complementarias'!$C$18:$C$36</c:f>
              <c:numCache>
                <c:formatCode>0.00%</c:formatCode>
                <c:ptCount val="19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88-4BF1-A154-4E8AADB5FD1A}"/>
            </c:ext>
          </c:extLst>
        </c:ser>
        <c:ser>
          <c:idx val="1"/>
          <c:order val="1"/>
          <c:tx>
            <c:v>Avance Financiero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'Obras Complementarias'!$A$18:$A$36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'Obras Complementarias'!$F$18:$F$36</c:f>
              <c:numCache>
                <c:formatCode>0.00%</c:formatCode>
                <c:ptCount val="19"/>
                <c:pt idx="0">
                  <c:v>0.19999999999999998</c:v>
                </c:pt>
                <c:pt idx="1">
                  <c:v>0.21999999999999997</c:v>
                </c:pt>
                <c:pt idx="2">
                  <c:v>0.24399999999999997</c:v>
                </c:pt>
                <c:pt idx="3">
                  <c:v>0.27199999999999996</c:v>
                </c:pt>
                <c:pt idx="4">
                  <c:v>0.3</c:v>
                </c:pt>
                <c:pt idx="5">
                  <c:v>0.33199999999999996</c:v>
                </c:pt>
                <c:pt idx="6">
                  <c:v>0.36799999999999994</c:v>
                </c:pt>
                <c:pt idx="7">
                  <c:v>0.40399999999999991</c:v>
                </c:pt>
                <c:pt idx="8">
                  <c:v>0.44399999999999989</c:v>
                </c:pt>
                <c:pt idx="9">
                  <c:v>0.48799999999999993</c:v>
                </c:pt>
                <c:pt idx="10">
                  <c:v>0.53199999999999992</c:v>
                </c:pt>
                <c:pt idx="11">
                  <c:v>0.57599999999999996</c:v>
                </c:pt>
                <c:pt idx="12">
                  <c:v>0.62399999999999989</c:v>
                </c:pt>
                <c:pt idx="13">
                  <c:v>0.67999999999999994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0.87999999999999989</c:v>
                </c:pt>
                <c:pt idx="18">
                  <c:v>0.91999999999999982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88-4BF1-A154-4E8AADB5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87392"/>
        <c:axId val="225001856"/>
      </c:scatterChart>
      <c:valAx>
        <c:axId val="212187392"/>
        <c:scaling>
          <c:orientation val="minMax"/>
          <c:max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01856"/>
        <c:crosses val="autoZero"/>
        <c:crossBetween val="midCat"/>
        <c:majorUnit val="1"/>
      </c:valAx>
      <c:valAx>
        <c:axId val="2250018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87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5985025424074626"/>
          <c:h val="0.73421052631578965"/>
        </c:manualLayout>
      </c:layout>
      <c:scatterChart>
        <c:scatterStyle val="smoothMarker"/>
        <c:varyColors val="0"/>
        <c:ser>
          <c:idx val="0"/>
          <c:order val="0"/>
          <c:tx>
            <c:v>Avance Fisico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'tramos criticos'!$A$18:$A$36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'tramos criticos'!$C$18:$C$36</c:f>
              <c:numCache>
                <c:formatCode>0.00%</c:formatCode>
                <c:ptCount val="19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2B-4024-8239-87F8AA7BADE7}"/>
            </c:ext>
          </c:extLst>
        </c:ser>
        <c:ser>
          <c:idx val="1"/>
          <c:order val="1"/>
          <c:tx>
            <c:v>Avance Financiero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'tramos criticos'!$A$18:$A$36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'tramos criticos'!$F$18:$F$36</c:f>
              <c:numCache>
                <c:formatCode>0.00%</c:formatCode>
                <c:ptCount val="19"/>
                <c:pt idx="0">
                  <c:v>0.2</c:v>
                </c:pt>
                <c:pt idx="1">
                  <c:v>0.22</c:v>
                </c:pt>
                <c:pt idx="2">
                  <c:v>0.24400000000000002</c:v>
                </c:pt>
                <c:pt idx="3">
                  <c:v>0.27200000000000002</c:v>
                </c:pt>
                <c:pt idx="4">
                  <c:v>0.30000000000000004</c:v>
                </c:pt>
                <c:pt idx="5">
                  <c:v>0.33200000000000007</c:v>
                </c:pt>
                <c:pt idx="6">
                  <c:v>0.36800000000000005</c:v>
                </c:pt>
                <c:pt idx="7">
                  <c:v>0.40400000000000008</c:v>
                </c:pt>
                <c:pt idx="8">
                  <c:v>0.44400000000000006</c:v>
                </c:pt>
                <c:pt idx="9">
                  <c:v>0.4880000000000001</c:v>
                </c:pt>
                <c:pt idx="10">
                  <c:v>0.53200000000000014</c:v>
                </c:pt>
                <c:pt idx="11">
                  <c:v>0.57600000000000007</c:v>
                </c:pt>
                <c:pt idx="12">
                  <c:v>0.62400000000000011</c:v>
                </c:pt>
                <c:pt idx="13">
                  <c:v>0.68000000000000016</c:v>
                </c:pt>
                <c:pt idx="14">
                  <c:v>0.73600000000000021</c:v>
                </c:pt>
                <c:pt idx="15">
                  <c:v>0.78800000000000026</c:v>
                </c:pt>
                <c:pt idx="16">
                  <c:v>0.84000000000000019</c:v>
                </c:pt>
                <c:pt idx="17">
                  <c:v>0.88000000000000023</c:v>
                </c:pt>
                <c:pt idx="18">
                  <c:v>0.92000000000000015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2B-4024-8239-87F8AA7BA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87392"/>
        <c:axId val="225001856"/>
      </c:scatterChart>
      <c:valAx>
        <c:axId val="212187392"/>
        <c:scaling>
          <c:orientation val="minMax"/>
          <c:max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01856"/>
        <c:crosses val="autoZero"/>
        <c:crossBetween val="midCat"/>
        <c:majorUnit val="1"/>
      </c:valAx>
      <c:valAx>
        <c:axId val="2250018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87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5985025424074626"/>
          <c:h val="0.73421052631578965"/>
        </c:manualLayout>
      </c:layout>
      <c:scatterChart>
        <c:scatterStyle val="smoothMarker"/>
        <c:varyColors val="0"/>
        <c:ser>
          <c:idx val="0"/>
          <c:order val="0"/>
          <c:tx>
            <c:v>Avance Fisico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'ER6-frt-ECE'!$A$18:$A$36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'ER6-frt-ECE'!$C$18:$C$36</c:f>
              <c:numCache>
                <c:formatCode>0.00%</c:formatCode>
                <c:ptCount val="19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85-485B-891F-D1C6B8FFD621}"/>
            </c:ext>
          </c:extLst>
        </c:ser>
        <c:ser>
          <c:idx val="1"/>
          <c:order val="1"/>
          <c:tx>
            <c:v>Avance Financiero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'ER6-frt-ECE'!$A$18:$A$36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'ER6-frt-ECE'!$F$18:$F$36</c:f>
              <c:numCache>
                <c:formatCode>0.00%</c:formatCode>
                <c:ptCount val="19"/>
                <c:pt idx="0">
                  <c:v>0.2</c:v>
                </c:pt>
                <c:pt idx="1">
                  <c:v>0.2199999936802477</c:v>
                </c:pt>
                <c:pt idx="2">
                  <c:v>0.24399999030971314</c:v>
                </c:pt>
                <c:pt idx="3">
                  <c:v>0.27199998988839635</c:v>
                </c:pt>
                <c:pt idx="4">
                  <c:v>0.29999998946707951</c:v>
                </c:pt>
                <c:pt idx="5">
                  <c:v>0.33199999199498043</c:v>
                </c:pt>
                <c:pt idx="6">
                  <c:v>0.36799999747209911</c:v>
                </c:pt>
                <c:pt idx="7">
                  <c:v>0.40400000294921773</c:v>
                </c:pt>
                <c:pt idx="8">
                  <c:v>0.44400001137555412</c:v>
                </c:pt>
                <c:pt idx="9">
                  <c:v>0.4880000016852673</c:v>
                </c:pt>
                <c:pt idx="10">
                  <c:v>0.53199999199498038</c:v>
                </c:pt>
                <c:pt idx="11">
                  <c:v>0.57599998230469363</c:v>
                </c:pt>
                <c:pt idx="12">
                  <c:v>0.62399997556362452</c:v>
                </c:pt>
                <c:pt idx="13">
                  <c:v>0.67999997472099083</c:v>
                </c:pt>
                <c:pt idx="14">
                  <c:v>0.73599997387835725</c:v>
                </c:pt>
                <c:pt idx="15">
                  <c:v>0.7879999700865058</c:v>
                </c:pt>
                <c:pt idx="16">
                  <c:v>0.83999996629465445</c:v>
                </c:pt>
                <c:pt idx="17">
                  <c:v>0.87999997472099079</c:v>
                </c:pt>
                <c:pt idx="18">
                  <c:v>0.91999998314732723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85-485B-891F-D1C6B8FFD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061184"/>
        <c:axId val="230063104"/>
      </c:scatterChart>
      <c:valAx>
        <c:axId val="230061184"/>
        <c:scaling>
          <c:orientation val="minMax"/>
          <c:max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063104"/>
        <c:crosses val="autoZero"/>
        <c:crossBetween val="midCat"/>
        <c:majorUnit val="1"/>
      </c:valAx>
      <c:valAx>
        <c:axId val="2300631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0611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24</xdr:col>
      <xdr:colOff>190501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24</xdr:col>
      <xdr:colOff>190501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970B-4C35-4061-94AB-A81B47AD2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24</xdr:col>
      <xdr:colOff>190501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C4AC90-1E93-4DFF-ACD0-F74BC21CA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24</xdr:col>
      <xdr:colOff>190501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42086D-D352-4F17-9809-5B4EABBE8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24</xdr:col>
      <xdr:colOff>190501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ODORON/Local%20Settings/Temporary%20Internet%20Files/Content.Outlook/K2JWR7MW/GRP%20EMP%202120OC-CO%20-%20SEP%20201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sa/AppData/Local/Microsoft/Windows/Temporary%20Internet%20Files/Content.Outlook/AL0H3DBL/1092/-v4-EER%231_Plan_de_Ejecuci&#243;n_Plurianual_(PE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sosa/Documents/PR-L1164/POD/POD%20Actualizado/IDBDOCS-%2339818965-v4-EER%232_Plan_Operativo_Anual_(PO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F"/>
      <sheetName val="MER"/>
      <sheetName val="MMR"/>
      <sheetName val="Settings"/>
    </sheetNames>
    <sheetDataSet>
      <sheetData sheetId="0">
        <row r="8">
          <cell r="C8" t="str">
            <v>I</v>
          </cell>
          <cell r="D8" t="str">
            <v>Desarrollo</v>
          </cell>
          <cell r="E8" t="str">
            <v xml:space="preserve">Que la entidad se vea sometida a procesos judiciales y/o administrativos </v>
          </cell>
        </row>
        <row r="12">
          <cell r="C12" t="str">
            <v>I y II</v>
          </cell>
          <cell r="D12" t="str">
            <v>Desarrollo</v>
          </cell>
          <cell r="E12" t="str">
            <v>Sobrecostos de las obras</v>
          </cell>
        </row>
        <row r="19">
          <cell r="C19" t="str">
            <v>II</v>
          </cell>
          <cell r="D19" t="str">
            <v>Desarrollo</v>
          </cell>
          <cell r="E19" t="str">
            <v>Retrasos/ paro de ejecución del interceptor</v>
          </cell>
        </row>
        <row r="26">
          <cell r="C26" t="str">
            <v>I y II</v>
          </cell>
          <cell r="D26" t="str">
            <v>Fiduciarios</v>
          </cell>
          <cell r="E26" t="str">
            <v>Retrasos en las contrataciones /adquisiciones</v>
          </cell>
        </row>
        <row r="31">
          <cell r="C31" t="str">
            <v>I y II</v>
          </cell>
          <cell r="D31" t="str">
            <v>Ambientales y Sociales</v>
          </cell>
          <cell r="E31" t="str">
            <v>No se logren los objetivos de calidad del proyecto</v>
          </cell>
        </row>
        <row r="35">
          <cell r="C35" t="str">
            <v>I y II</v>
          </cell>
          <cell r="D35" t="str">
            <v>Ambientales y Sociales</v>
          </cell>
          <cell r="E35" t="str">
            <v>Impacto en el medio ambiente por problemas en el proceso de construcción</v>
          </cell>
        </row>
        <row r="40">
          <cell r="C40" t="str">
            <v>III</v>
          </cell>
          <cell r="D40" t="str">
            <v>Gobernabilidad</v>
          </cell>
          <cell r="E40" t="str">
            <v>Retraso en la implementación de la NIIF</v>
          </cell>
        </row>
        <row r="44">
          <cell r="C44" t="str">
            <v>I</v>
          </cell>
          <cell r="D44" t="str">
            <v>Desarrollo</v>
          </cell>
          <cell r="E44" t="str">
            <v>Retrasos/ paro de ejecución de la PTAR</v>
          </cell>
        </row>
      </sheetData>
      <sheetData sheetId="1">
        <row r="15">
          <cell r="I15">
            <v>2</v>
          </cell>
          <cell r="J15" t="str">
            <v>Medio</v>
          </cell>
        </row>
        <row r="16">
          <cell r="I16">
            <v>1</v>
          </cell>
          <cell r="J16" t="str">
            <v>Bajo</v>
          </cell>
        </row>
        <row r="17">
          <cell r="I17">
            <v>2</v>
          </cell>
          <cell r="J17" t="str">
            <v>Medio</v>
          </cell>
        </row>
        <row r="18">
          <cell r="I18">
            <v>2</v>
          </cell>
          <cell r="J18" t="str">
            <v>Medio</v>
          </cell>
        </row>
        <row r="21">
          <cell r="I21">
            <v>2</v>
          </cell>
          <cell r="J21" t="str">
            <v>Medio</v>
          </cell>
        </row>
        <row r="22">
          <cell r="I22">
            <v>2</v>
          </cell>
          <cell r="J22" t="str">
            <v>Medio</v>
          </cell>
        </row>
        <row r="23">
          <cell r="I23">
            <v>1</v>
          </cell>
          <cell r="J23" t="str">
            <v>Bajo</v>
          </cell>
        </row>
        <row r="25">
          <cell r="I25">
            <v>2</v>
          </cell>
          <cell r="J25" t="str">
            <v>Medio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EDT"/>
      <sheetName val="2.MdR"/>
      <sheetName val="3. PEP"/>
      <sheetName val="4. CC D"/>
      <sheetName val="5. CC R-1"/>
      <sheetName val="6. PF M BID"/>
      <sheetName val="7. PF A BID"/>
      <sheetName val="8. Ejecucion por producto"/>
      <sheetName val="9. PD A"/>
      <sheetName val="10. PA"/>
      <sheetName val="11. PAI"/>
      <sheetName val="12. POA año 1"/>
      <sheetName val="caledario"/>
      <sheetName val="12.1 CAMINOS"/>
      <sheetName val="12.2 PUENTES"/>
      <sheetName val="Caminos G1"/>
      <sheetName val="Fisc CG1"/>
      <sheetName val="Camino G2"/>
      <sheetName val="Fisc CG2"/>
      <sheetName val="Puentes G1"/>
      <sheetName val="Fisca PG1"/>
      <sheetName val="Puentes G2"/>
      <sheetName val="12.8 Mantenimiento"/>
      <sheetName val="Fisc PG2"/>
      <sheetName val="MANT. 504,90 km"/>
      <sheetName val="CRONOG FISICO-FINANCIERO"/>
      <sheetName val="12.3Mitig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>
            <v>0</v>
          </cell>
          <cell r="G8">
            <v>0</v>
          </cell>
        </row>
        <row r="9">
          <cell r="G9">
            <v>0</v>
          </cell>
        </row>
        <row r="33">
          <cell r="G33" t="str">
            <v>ECATEF/DCV</v>
          </cell>
        </row>
        <row r="35">
          <cell r="G35" t="str">
            <v>ECATEF/DCV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EDT"/>
      <sheetName val="2.MdR"/>
      <sheetName val="3. PEP"/>
      <sheetName val="4. CC D"/>
      <sheetName val="5. CC R-1"/>
      <sheetName val="6. PF M BID"/>
      <sheetName val="7. PF A BID"/>
      <sheetName val="8. Ejecucion por producto"/>
      <sheetName val="9. PD A"/>
      <sheetName val="10. PA"/>
      <sheetName val="11. PAI"/>
      <sheetName val="12. POA año 1"/>
      <sheetName val="caledario"/>
      <sheetName val="12.1 CAMINOS"/>
      <sheetName val="12.2 PUENTES"/>
      <sheetName val="Caminos G1"/>
      <sheetName val="Fisc CG1"/>
      <sheetName val="Camino G2"/>
      <sheetName val="Fisc CG2"/>
      <sheetName val="Puentes G1"/>
      <sheetName val="Fisca PG1"/>
      <sheetName val="Puentes G2"/>
      <sheetName val="12.8 Mantenimiento"/>
      <sheetName val="Fisc PG2"/>
      <sheetName val="MANT. 504,90 km"/>
      <sheetName val="CRONOG FISICO-FINANCIERO"/>
      <sheetName val="12.3Mitigación"/>
    </sheetNames>
    <sheetDataSet>
      <sheetData sheetId="0" refreshError="1"/>
      <sheetData sheetId="1" refreshError="1"/>
      <sheetData sheetId="2" refreshError="1"/>
      <sheetData sheetId="3" refreshError="1">
        <row r="26">
          <cell r="G26">
            <v>58220000</v>
          </cell>
        </row>
        <row r="27">
          <cell r="G27">
            <v>42340000</v>
          </cell>
        </row>
        <row r="28">
          <cell r="D28" t="str">
            <v>T2 - Año 1</v>
          </cell>
          <cell r="F28" t="str">
            <v>T3 - Año 3</v>
          </cell>
          <cell r="G28">
            <v>13200000</v>
          </cell>
        </row>
        <row r="29">
          <cell r="D29" t="str">
            <v>T2 - Año 2</v>
          </cell>
          <cell r="F29" t="str">
            <v>T3 - Año 4</v>
          </cell>
          <cell r="G29">
            <v>24800000</v>
          </cell>
        </row>
        <row r="30">
          <cell r="D30" t="str">
            <v>T2 - Año 1</v>
          </cell>
          <cell r="F30" t="str">
            <v>T3 - Año 3</v>
          </cell>
          <cell r="G30">
            <v>875000</v>
          </cell>
        </row>
        <row r="32">
          <cell r="D32" t="str">
            <v>T2 - Año 1</v>
          </cell>
          <cell r="F32" t="str">
            <v>T3 - Año 2</v>
          </cell>
          <cell r="G32">
            <v>1820000</v>
          </cell>
        </row>
        <row r="33">
          <cell r="G33">
            <v>4000000</v>
          </cell>
        </row>
        <row r="34">
          <cell r="D34" t="str">
            <v>T1 - Año 1</v>
          </cell>
          <cell r="F34" t="str">
            <v>T4 - Año 5</v>
          </cell>
          <cell r="G34">
            <v>764080</v>
          </cell>
        </row>
        <row r="40">
          <cell r="G40">
            <v>11660000</v>
          </cell>
        </row>
        <row r="41">
          <cell r="D41" t="str">
            <v>T2 - Año 1</v>
          </cell>
          <cell r="F41" t="str">
            <v>T1 - Año 3</v>
          </cell>
          <cell r="G41">
            <v>6885000</v>
          </cell>
        </row>
        <row r="42">
          <cell r="D42" t="str">
            <v>T3 - Año 2</v>
          </cell>
          <cell r="F42" t="str">
            <v>T4 - Año 4</v>
          </cell>
          <cell r="G42">
            <v>3315000</v>
          </cell>
        </row>
        <row r="43">
          <cell r="D43" t="str">
            <v>T1 - Año 1</v>
          </cell>
          <cell r="F43" t="str">
            <v>T1 - Año 3</v>
          </cell>
          <cell r="G43">
            <v>460000</v>
          </cell>
        </row>
        <row r="44">
          <cell r="D44" t="str">
            <v>T2 - Año 2</v>
          </cell>
          <cell r="F44" t="str">
            <v>T1 - Año 5</v>
          </cell>
          <cell r="G44">
            <v>220000</v>
          </cell>
        </row>
        <row r="45">
          <cell r="D45" t="str">
            <v>T3 - Año 1</v>
          </cell>
          <cell r="F45" t="str">
            <v>T4 - Año 2</v>
          </cell>
          <cell r="G45">
            <v>780000</v>
          </cell>
        </row>
        <row r="46">
          <cell r="G46">
            <v>220000</v>
          </cell>
        </row>
        <row r="47">
          <cell r="D47" t="str">
            <v>T2 - Año 1</v>
          </cell>
          <cell r="F47" t="str">
            <v>T2 - Año 4</v>
          </cell>
          <cell r="G47">
            <v>90000</v>
          </cell>
        </row>
        <row r="57">
          <cell r="D57" t="str">
            <v>T1 - Año 2</v>
          </cell>
          <cell r="F57" t="str">
            <v>T3 - Año 4</v>
          </cell>
          <cell r="G57">
            <v>65000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DAEAF-C1CC-4FEC-AE6C-E54384822872}">
  <sheetPr>
    <pageSetUpPr fitToPage="1"/>
  </sheetPr>
  <dimension ref="A1:N42"/>
  <sheetViews>
    <sheetView zoomScale="90" zoomScaleNormal="90" workbookViewId="0">
      <selection activeCell="E11" sqref="E11"/>
    </sheetView>
  </sheetViews>
  <sheetFormatPr defaultColWidth="9.140625" defaultRowHeight="15" x14ac:dyDescent="0.25"/>
  <cols>
    <col min="1" max="1" width="5" style="465" bestFit="1" customWidth="1"/>
    <col min="2" max="2" width="81.42578125" style="465" bestFit="1" customWidth="1"/>
    <col min="3" max="4" width="15.42578125" style="471" customWidth="1"/>
    <col min="5" max="5" width="16.85546875" style="471" customWidth="1"/>
    <col min="6" max="6" width="8.5703125" style="465" bestFit="1" customWidth="1"/>
    <col min="7" max="7" width="9.140625" style="465"/>
    <col min="8" max="8" width="10.140625" style="465" hidden="1" customWidth="1"/>
    <col min="9" max="9" width="0" style="465" hidden="1" customWidth="1"/>
    <col min="10" max="10" width="14.85546875" style="465" hidden="1" customWidth="1"/>
    <col min="11" max="11" width="9.42578125" style="466" customWidth="1"/>
    <col min="12" max="12" width="13.5703125" style="465" bestFit="1" customWidth="1"/>
    <col min="13" max="13" width="14.5703125" style="465" customWidth="1"/>
    <col min="14" max="14" width="17.7109375" style="465" customWidth="1"/>
    <col min="15" max="16384" width="9.140625" style="465"/>
  </cols>
  <sheetData>
    <row r="1" spans="1:14" x14ac:dyDescent="0.25">
      <c r="A1" s="620" t="s">
        <v>365</v>
      </c>
      <c r="B1" s="620" t="s">
        <v>366</v>
      </c>
      <c r="C1" s="551" t="s">
        <v>22</v>
      </c>
      <c r="D1" s="551" t="s">
        <v>360</v>
      </c>
      <c r="E1" s="621" t="s">
        <v>6</v>
      </c>
      <c r="F1" s="621"/>
    </row>
    <row r="2" spans="1:14" x14ac:dyDescent="0.25">
      <c r="A2" s="620"/>
      <c r="B2" s="620"/>
      <c r="C2" s="551" t="s">
        <v>2</v>
      </c>
      <c r="D2" s="551" t="s">
        <v>2</v>
      </c>
      <c r="E2" s="556" t="s">
        <v>2</v>
      </c>
      <c r="F2" s="556" t="s">
        <v>3</v>
      </c>
      <c r="I2" s="467" t="s">
        <v>22</v>
      </c>
      <c r="J2" s="468">
        <f>135000000+50000000</f>
        <v>185000000</v>
      </c>
      <c r="K2" s="469">
        <f>+J2/J4</f>
        <v>0.78723404255319152</v>
      </c>
    </row>
    <row r="3" spans="1:14" x14ac:dyDescent="0.25">
      <c r="A3" s="557">
        <v>1</v>
      </c>
      <c r="B3" s="557" t="s">
        <v>367</v>
      </c>
      <c r="C3" s="558">
        <f>C4+C7+C12+C15+C19+C29+C30+C33</f>
        <v>180670212.76595747</v>
      </c>
      <c r="D3" s="558">
        <f>D4+D7+D12+D15+D19+D29+D30+D33</f>
        <v>48829787.23404254</v>
      </c>
      <c r="E3" s="558">
        <f>E4+E7+E12+E15+E19+E29+E30+E33</f>
        <v>229500000</v>
      </c>
      <c r="F3" s="559">
        <f>F4+F7+F12+F15+F19+F29+F30</f>
        <v>0.92249198297872337</v>
      </c>
      <c r="I3" s="467" t="s">
        <v>360</v>
      </c>
      <c r="J3" s="468">
        <v>50000000</v>
      </c>
      <c r="K3" s="469">
        <f>+J3/J4</f>
        <v>0.21276595744680851</v>
      </c>
    </row>
    <row r="4" spans="1:14" ht="30" x14ac:dyDescent="0.25">
      <c r="A4" s="560">
        <v>1.1000000000000001</v>
      </c>
      <c r="B4" s="560" t="s">
        <v>456</v>
      </c>
      <c r="C4" s="561">
        <f>SUM(C5:C6)</f>
        <v>78058951.170212761</v>
      </c>
      <c r="D4" s="561">
        <f t="shared" ref="D4:E4" si="0">SUM(D5:D6)</f>
        <v>21097013.829787236</v>
      </c>
      <c r="E4" s="561">
        <f t="shared" si="0"/>
        <v>99155965</v>
      </c>
      <c r="F4" s="562">
        <f t="shared" ref="F4:F42" si="1">+E4/$E$42</f>
        <v>0.42194027659574468</v>
      </c>
      <c r="I4"/>
      <c r="J4" s="470">
        <f>SUM(J2:J3)</f>
        <v>235000000</v>
      </c>
      <c r="K4"/>
    </row>
    <row r="5" spans="1:14" x14ac:dyDescent="0.25">
      <c r="A5" s="563"/>
      <c r="B5" s="564" t="s">
        <v>368</v>
      </c>
      <c r="C5" s="565">
        <f>+E5*$K$2</f>
        <v>75483515</v>
      </c>
      <c r="D5" s="565">
        <f>+E5*$K$3</f>
        <v>20400950</v>
      </c>
      <c r="E5" s="565">
        <v>95884465</v>
      </c>
      <c r="F5" s="566">
        <f t="shared" si="1"/>
        <v>0.40801900000000002</v>
      </c>
      <c r="K5" s="465"/>
    </row>
    <row r="6" spans="1:14" x14ac:dyDescent="0.25">
      <c r="A6" s="563"/>
      <c r="B6" s="564" t="s">
        <v>369</v>
      </c>
      <c r="C6" s="565">
        <f>+E6*$K$2</f>
        <v>2575436.1702127662</v>
      </c>
      <c r="D6" s="565">
        <f>+E6*$K$3</f>
        <v>696063.82978723408</v>
      </c>
      <c r="E6" s="565">
        <v>3271500</v>
      </c>
      <c r="F6" s="566">
        <f t="shared" si="1"/>
        <v>1.3921276595744681E-2</v>
      </c>
    </row>
    <row r="7" spans="1:14" x14ac:dyDescent="0.25">
      <c r="A7" s="560">
        <v>1.2</v>
      </c>
      <c r="B7" s="560" t="s">
        <v>471</v>
      </c>
      <c r="C7" s="561">
        <f>SUM(C8:C11)</f>
        <v>66390723.276595749</v>
      </c>
      <c r="D7" s="561">
        <f t="shared" ref="D7:E7" si="2">SUM(D8:D11)</f>
        <v>17943438.723404255</v>
      </c>
      <c r="E7" s="561">
        <f t="shared" si="2"/>
        <v>84334162</v>
      </c>
      <c r="F7" s="562">
        <f t="shared" si="1"/>
        <v>0.35886877446808513</v>
      </c>
      <c r="L7" s="466">
        <f>+C7+C10+C11</f>
        <v>85311233.787234038</v>
      </c>
      <c r="M7" s="466">
        <f>+D7+D10+D11</f>
        <v>23057090.212765958</v>
      </c>
      <c r="N7" s="466">
        <f>+L7+M7</f>
        <v>108368324</v>
      </c>
    </row>
    <row r="8" spans="1:14" x14ac:dyDescent="0.25">
      <c r="A8" s="563"/>
      <c r="B8" s="608" t="s">
        <v>368</v>
      </c>
      <c r="C8" s="584">
        <f t="shared" ref="C8:C18" si="3">+E8*$K$2</f>
        <v>45572585.106382981</v>
      </c>
      <c r="D8" s="584">
        <f t="shared" ref="D8:D9" si="4">+E8*$K$3</f>
        <v>12316914.893617021</v>
      </c>
      <c r="E8" s="584">
        <v>57889500</v>
      </c>
      <c r="F8" s="611">
        <f t="shared" si="1"/>
        <v>0.24633829787234043</v>
      </c>
      <c r="L8" s="466">
        <f>+C13+C14</f>
        <v>11769352.042553192</v>
      </c>
      <c r="M8" s="466">
        <f>+D13+D14</f>
        <v>3180905.9574468085</v>
      </c>
      <c r="N8" s="466">
        <f>+L8+M8</f>
        <v>14950258</v>
      </c>
    </row>
    <row r="9" spans="1:14" x14ac:dyDescent="0.25">
      <c r="A9" s="563"/>
      <c r="B9" s="608" t="s">
        <v>369</v>
      </c>
      <c r="C9" s="584">
        <f t="shared" si="3"/>
        <v>1897627.6595744682</v>
      </c>
      <c r="D9" s="584">
        <f t="shared" si="4"/>
        <v>512872.3404255319</v>
      </c>
      <c r="E9" s="584">
        <v>2410500</v>
      </c>
      <c r="F9" s="611">
        <f t="shared" si="1"/>
        <v>1.0257446808510639E-2</v>
      </c>
    </row>
    <row r="10" spans="1:14" x14ac:dyDescent="0.25">
      <c r="A10" s="563"/>
      <c r="B10" s="608" t="s">
        <v>458</v>
      </c>
      <c r="C10" s="584">
        <f>+E10*$K$2</f>
        <v>18214361.574468087</v>
      </c>
      <c r="D10" s="584">
        <f>+E10*$K$3</f>
        <v>4922800.4255319154</v>
      </c>
      <c r="E10" s="612">
        <v>23137162</v>
      </c>
      <c r="F10" s="611">
        <f t="shared" si="1"/>
        <v>9.8456008510638293E-2</v>
      </c>
    </row>
    <row r="11" spans="1:14" x14ac:dyDescent="0.25">
      <c r="A11" s="563"/>
      <c r="B11" s="608" t="s">
        <v>470</v>
      </c>
      <c r="C11" s="584">
        <f>+E11*$K$2</f>
        <v>706148.93617021281</v>
      </c>
      <c r="D11" s="584">
        <f>+E11*$K$3</f>
        <v>190851.06382978725</v>
      </c>
      <c r="E11" s="584">
        <v>897000</v>
      </c>
      <c r="F11" s="611">
        <f t="shared" si="1"/>
        <v>3.8170212765957449E-3</v>
      </c>
    </row>
    <row r="12" spans="1:14" x14ac:dyDescent="0.25">
      <c r="A12" s="560">
        <v>1.3</v>
      </c>
      <c r="B12" s="560" t="s">
        <v>472</v>
      </c>
      <c r="C12" s="561">
        <f>+C13+C14</f>
        <v>11769352.042553192</v>
      </c>
      <c r="D12" s="561">
        <f t="shared" ref="D12:E12" si="5">+D13+D14</f>
        <v>3180905.9574468085</v>
      </c>
      <c r="E12" s="561">
        <f t="shared" si="5"/>
        <v>14950258</v>
      </c>
      <c r="F12" s="562">
        <f t="shared" si="1"/>
        <v>6.361811914893617E-2</v>
      </c>
      <c r="L12" s="466">
        <f>SUM(L7:L9)</f>
        <v>97080585.829787225</v>
      </c>
      <c r="M12" s="466">
        <f>SUM(M7:M9)</f>
        <v>26237996.170212768</v>
      </c>
      <c r="N12" s="466">
        <f>+E7+E12</f>
        <v>99284420</v>
      </c>
    </row>
    <row r="13" spans="1:14" x14ac:dyDescent="0.25">
      <c r="A13" s="563"/>
      <c r="B13" s="564" t="s">
        <v>473</v>
      </c>
      <c r="C13" s="565">
        <f t="shared" si="3"/>
        <v>11226172.361702127</v>
      </c>
      <c r="D13" s="565">
        <f t="shared" ref="D13:D18" si="6">+E13*$K$3</f>
        <v>3034100.6382978722</v>
      </c>
      <c r="E13" s="584">
        <v>14260273</v>
      </c>
      <c r="F13" s="566">
        <f t="shared" si="1"/>
        <v>6.0682012765957444E-2</v>
      </c>
    </row>
    <row r="14" spans="1:14" x14ac:dyDescent="0.25">
      <c r="A14" s="563"/>
      <c r="B14" s="564" t="s">
        <v>475</v>
      </c>
      <c r="C14" s="565">
        <f t="shared" si="3"/>
        <v>543179.68085106381</v>
      </c>
      <c r="D14" s="565">
        <f t="shared" si="6"/>
        <v>146805.31914893616</v>
      </c>
      <c r="E14" s="584">
        <v>689985</v>
      </c>
      <c r="F14" s="566">
        <f t="shared" si="1"/>
        <v>2.9361063829787233E-3</v>
      </c>
    </row>
    <row r="15" spans="1:14" x14ac:dyDescent="0.25">
      <c r="A15" s="560">
        <v>1.4</v>
      </c>
      <c r="B15" s="560" t="s">
        <v>370</v>
      </c>
      <c r="C15" s="561">
        <f>SUM(C16:C18)</f>
        <v>10935332.011702131</v>
      </c>
      <c r="D15" s="561">
        <f t="shared" ref="D15" si="7">SUM(D16:D18)</f>
        <v>2955495.1382978726</v>
      </c>
      <c r="E15" s="561">
        <f>SUM(E16:E18)</f>
        <v>13890827.150000002</v>
      </c>
      <c r="F15" s="562">
        <f t="shared" si="1"/>
        <v>5.9109902765957456E-2</v>
      </c>
    </row>
    <row r="16" spans="1:14" x14ac:dyDescent="0.25">
      <c r="A16" s="563"/>
      <c r="B16" s="564" t="s">
        <v>371</v>
      </c>
      <c r="C16" s="565">
        <f t="shared" si="3"/>
        <v>5464126.7393617034</v>
      </c>
      <c r="D16" s="565">
        <f t="shared" si="6"/>
        <v>1476791.010638298</v>
      </c>
      <c r="E16" s="567">
        <f>+(E4*0.07)+0.2</f>
        <v>6940917.7500000009</v>
      </c>
      <c r="F16" s="566">
        <f t="shared" si="1"/>
        <v>2.9535820212765962E-2</v>
      </c>
    </row>
    <row r="17" spans="1:6" x14ac:dyDescent="0.25">
      <c r="A17" s="563"/>
      <c r="B17" s="564" t="s">
        <v>457</v>
      </c>
      <c r="C17" s="565">
        <f t="shared" si="3"/>
        <v>4647350.6293617031</v>
      </c>
      <c r="D17" s="565">
        <f t="shared" si="6"/>
        <v>1256040.710638298</v>
      </c>
      <c r="E17" s="567">
        <f>+E7*0.07</f>
        <v>5903391.3400000008</v>
      </c>
      <c r="F17" s="566">
        <f t="shared" si="1"/>
        <v>2.5120814212765959E-2</v>
      </c>
    </row>
    <row r="18" spans="1:6" x14ac:dyDescent="0.25">
      <c r="A18" s="563"/>
      <c r="B18" s="564" t="s">
        <v>459</v>
      </c>
      <c r="C18" s="565">
        <f t="shared" si="3"/>
        <v>823854.64297872351</v>
      </c>
      <c r="D18" s="565">
        <f t="shared" si="6"/>
        <v>222663.4170212766</v>
      </c>
      <c r="E18" s="567">
        <f>+E12*0.07</f>
        <v>1046518.06</v>
      </c>
      <c r="F18" s="566">
        <f t="shared" si="1"/>
        <v>4.4532683404255322E-3</v>
      </c>
    </row>
    <row r="19" spans="1:6" x14ac:dyDescent="0.25">
      <c r="A19" s="560">
        <v>1.5</v>
      </c>
      <c r="B19" s="560" t="s">
        <v>372</v>
      </c>
      <c r="C19" s="561">
        <f>SUM(C24,C20)</f>
        <v>1102127.6595744682</v>
      </c>
      <c r="D19" s="561">
        <f>SUM(D24,D20)</f>
        <v>297872.3404255319</v>
      </c>
      <c r="E19" s="561">
        <f>SUM(E24,E20)</f>
        <v>1400000</v>
      </c>
      <c r="F19" s="562">
        <f t="shared" si="1"/>
        <v>5.9574468085106386E-3</v>
      </c>
    </row>
    <row r="20" spans="1:6" x14ac:dyDescent="0.25">
      <c r="A20" s="568"/>
      <c r="B20" s="569" t="s">
        <v>373</v>
      </c>
      <c r="C20" s="570">
        <f>SUM(C21:C23)</f>
        <v>515638.29787234048</v>
      </c>
      <c r="D20" s="570">
        <f>SUM(D21:D23)</f>
        <v>139361.70212765958</v>
      </c>
      <c r="E20" s="570">
        <f>SUM(E21:E23)</f>
        <v>655000</v>
      </c>
      <c r="F20" s="571">
        <f t="shared" si="1"/>
        <v>2.7872340425531914E-3</v>
      </c>
    </row>
    <row r="21" spans="1:6" x14ac:dyDescent="0.25">
      <c r="A21" s="563"/>
      <c r="B21" s="572" t="s">
        <v>374</v>
      </c>
      <c r="C21" s="565">
        <f t="shared" ref="C21:C23" si="8">+E21*$K$2</f>
        <v>332212.76595744683</v>
      </c>
      <c r="D21" s="565">
        <f t="shared" ref="D21:D23" si="9">+E21*$K$3</f>
        <v>89787.234042553187</v>
      </c>
      <c r="E21" s="565">
        <v>422000</v>
      </c>
      <c r="F21" s="566">
        <f t="shared" si="1"/>
        <v>1.7957446808510638E-3</v>
      </c>
    </row>
    <row r="22" spans="1:6" x14ac:dyDescent="0.25">
      <c r="A22" s="563"/>
      <c r="B22" s="572" t="s">
        <v>375</v>
      </c>
      <c r="C22" s="565">
        <f t="shared" si="8"/>
        <v>73212.765957446813</v>
      </c>
      <c r="D22" s="565">
        <f t="shared" si="9"/>
        <v>19787.234042553191</v>
      </c>
      <c r="E22" s="565">
        <v>93000</v>
      </c>
      <c r="F22" s="566">
        <f t="shared" si="1"/>
        <v>3.9574468085106385E-4</v>
      </c>
    </row>
    <row r="23" spans="1:6" x14ac:dyDescent="0.25">
      <c r="A23" s="563"/>
      <c r="B23" s="572" t="s">
        <v>376</v>
      </c>
      <c r="C23" s="565">
        <f t="shared" si="8"/>
        <v>110212.76595744681</v>
      </c>
      <c r="D23" s="565">
        <f t="shared" si="9"/>
        <v>29787.234042553191</v>
      </c>
      <c r="E23" s="565">
        <v>140000</v>
      </c>
      <c r="F23" s="566">
        <f t="shared" si="1"/>
        <v>5.9574468085106384E-4</v>
      </c>
    </row>
    <row r="24" spans="1:6" x14ac:dyDescent="0.25">
      <c r="A24" s="568"/>
      <c r="B24" s="569" t="s">
        <v>377</v>
      </c>
      <c r="C24" s="570">
        <f>SUM(C25:C28)</f>
        <v>586489.36170212761</v>
      </c>
      <c r="D24" s="570">
        <f t="shared" ref="D24" si="10">SUM(D25:D28)</f>
        <v>158510.63829787233</v>
      </c>
      <c r="E24" s="570">
        <f>SUM(E25:E28)</f>
        <v>745000</v>
      </c>
      <c r="F24" s="571">
        <f t="shared" si="1"/>
        <v>3.1702127659574467E-3</v>
      </c>
    </row>
    <row r="25" spans="1:6" x14ac:dyDescent="0.25">
      <c r="A25" s="563"/>
      <c r="B25" s="572" t="s">
        <v>378</v>
      </c>
      <c r="C25" s="565">
        <f t="shared" ref="C25:C28" si="11">+E25*$K$2</f>
        <v>157446.80851063831</v>
      </c>
      <c r="D25" s="565">
        <f t="shared" ref="D25:D28" si="12">+E25*$K$3</f>
        <v>42553.191489361699</v>
      </c>
      <c r="E25" s="565">
        <v>200000</v>
      </c>
      <c r="F25" s="566">
        <f t="shared" si="1"/>
        <v>8.5106382978723403E-4</v>
      </c>
    </row>
    <row r="26" spans="1:6" x14ac:dyDescent="0.25">
      <c r="A26" s="563"/>
      <c r="B26" s="573" t="s">
        <v>379</v>
      </c>
      <c r="C26" s="565">
        <f t="shared" si="11"/>
        <v>70851.063829787236</v>
      </c>
      <c r="D26" s="565">
        <f t="shared" si="12"/>
        <v>19148.936170212764</v>
      </c>
      <c r="E26" s="565">
        <v>90000</v>
      </c>
      <c r="F26" s="566">
        <f t="shared" si="1"/>
        <v>3.829787234042553E-4</v>
      </c>
    </row>
    <row r="27" spans="1:6" x14ac:dyDescent="0.25">
      <c r="A27" s="563"/>
      <c r="B27" s="572" t="s">
        <v>380</v>
      </c>
      <c r="C27" s="565">
        <f t="shared" si="11"/>
        <v>55106.382978723406</v>
      </c>
      <c r="D27" s="565">
        <f t="shared" si="12"/>
        <v>14893.617021276596</v>
      </c>
      <c r="E27" s="565">
        <v>70000</v>
      </c>
      <c r="F27" s="566">
        <f t="shared" si="1"/>
        <v>2.9787234042553192E-4</v>
      </c>
    </row>
    <row r="28" spans="1:6" x14ac:dyDescent="0.25">
      <c r="A28" s="563"/>
      <c r="B28" s="572" t="s">
        <v>381</v>
      </c>
      <c r="C28" s="565">
        <f t="shared" si="11"/>
        <v>303085.10638297873</v>
      </c>
      <c r="D28" s="565">
        <f t="shared" si="12"/>
        <v>81914.893617021284</v>
      </c>
      <c r="E28" s="565">
        <v>385000</v>
      </c>
      <c r="F28" s="566">
        <f t="shared" si="1"/>
        <v>1.6382978723404255E-3</v>
      </c>
    </row>
    <row r="29" spans="1:6" x14ac:dyDescent="0.25">
      <c r="A29" s="560">
        <v>1.6</v>
      </c>
      <c r="B29" s="560" t="s">
        <v>382</v>
      </c>
      <c r="C29" s="574">
        <f>+E29*$K$2</f>
        <v>1562190.2648936172</v>
      </c>
      <c r="D29" s="574">
        <f>+E29*$K$3</f>
        <v>422213.58510638302</v>
      </c>
      <c r="E29" s="561">
        <f>+SUM(E4,E7,E12)*0.01</f>
        <v>1984403.85</v>
      </c>
      <c r="F29" s="562">
        <f t="shared" si="1"/>
        <v>8.4442717021276596E-3</v>
      </c>
    </row>
    <row r="30" spans="1:6" x14ac:dyDescent="0.25">
      <c r="A30" s="560">
        <v>1.7</v>
      </c>
      <c r="B30" s="560" t="s">
        <v>359</v>
      </c>
      <c r="C30" s="561">
        <f>SUM(C31:C32)</f>
        <v>842340.42553191492</v>
      </c>
      <c r="D30" s="561">
        <f>SUM(D31:D32)</f>
        <v>227659.57446808511</v>
      </c>
      <c r="E30" s="561">
        <f>SUM(E31:E32)</f>
        <v>1070000</v>
      </c>
      <c r="F30" s="562">
        <f t="shared" si="1"/>
        <v>4.553191489361702E-3</v>
      </c>
    </row>
    <row r="31" spans="1:6" x14ac:dyDescent="0.25">
      <c r="A31" s="563"/>
      <c r="B31" s="564" t="s">
        <v>383</v>
      </c>
      <c r="C31" s="565">
        <f t="shared" ref="C31:C33" si="13">+E31*$K$2</f>
        <v>448723.40425531915</v>
      </c>
      <c r="D31" s="565">
        <f t="shared" ref="D31:D33" si="14">+E31*$K$3</f>
        <v>121276.59574468085</v>
      </c>
      <c r="E31" s="575">
        <v>570000</v>
      </c>
      <c r="F31" s="566">
        <f t="shared" si="1"/>
        <v>2.4255319148936169E-3</v>
      </c>
    </row>
    <row r="32" spans="1:6" x14ac:dyDescent="0.25">
      <c r="A32" s="563"/>
      <c r="B32" s="564" t="s">
        <v>384</v>
      </c>
      <c r="C32" s="565">
        <f t="shared" si="13"/>
        <v>393617.02127659577</v>
      </c>
      <c r="D32" s="565">
        <f t="shared" si="14"/>
        <v>106382.97872340426</v>
      </c>
      <c r="E32" s="575">
        <v>500000</v>
      </c>
      <c r="F32" s="566">
        <f t="shared" si="1"/>
        <v>2.1276595744680851E-3</v>
      </c>
    </row>
    <row r="33" spans="1:9" x14ac:dyDescent="0.25">
      <c r="A33" s="560">
        <v>1.8</v>
      </c>
      <c r="B33" s="560" t="s">
        <v>385</v>
      </c>
      <c r="C33" s="574">
        <f t="shared" si="13"/>
        <v>10009195.914893618</v>
      </c>
      <c r="D33" s="574">
        <f t="shared" si="14"/>
        <v>2705188.0851063831</v>
      </c>
      <c r="E33" s="561">
        <v>12714384</v>
      </c>
      <c r="F33" s="562">
        <f t="shared" si="1"/>
        <v>5.4103761702127662E-2</v>
      </c>
    </row>
    <row r="34" spans="1:9" x14ac:dyDescent="0.25">
      <c r="A34" s="557">
        <v>2</v>
      </c>
      <c r="B34" s="557" t="s">
        <v>386</v>
      </c>
      <c r="C34" s="576">
        <f>+C35+C36</f>
        <v>4329787.2340425532</v>
      </c>
      <c r="D34" s="576">
        <f t="shared" ref="D34" si="15">+D35+D36</f>
        <v>1170212.7659574468</v>
      </c>
      <c r="E34" s="576">
        <f>+E35+E36</f>
        <v>5500000</v>
      </c>
      <c r="F34" s="559">
        <f t="shared" si="1"/>
        <v>2.3404255319148935E-2</v>
      </c>
    </row>
    <row r="35" spans="1:9" x14ac:dyDescent="0.25">
      <c r="A35" s="560">
        <v>2.1</v>
      </c>
      <c r="B35" s="560" t="s">
        <v>387</v>
      </c>
      <c r="C35" s="574">
        <f t="shared" ref="C35" si="16">+E35*$K$2</f>
        <v>3542553.1914893617</v>
      </c>
      <c r="D35" s="574">
        <f t="shared" ref="D35" si="17">+E35*$K$3</f>
        <v>957446.80851063831</v>
      </c>
      <c r="E35" s="561">
        <v>4500000</v>
      </c>
      <c r="F35" s="562">
        <f t="shared" si="1"/>
        <v>1.9148936170212766E-2</v>
      </c>
    </row>
    <row r="36" spans="1:9" x14ac:dyDescent="0.25">
      <c r="A36" s="560">
        <v>2.2000000000000002</v>
      </c>
      <c r="B36" s="560" t="s">
        <v>388</v>
      </c>
      <c r="C36" s="561">
        <f>SUM(C37:C41)</f>
        <v>787234.04255319154</v>
      </c>
      <c r="D36" s="561">
        <f>SUM(D37:D41)</f>
        <v>212765.95744680849</v>
      </c>
      <c r="E36" s="561">
        <f>SUM(E37:E41)</f>
        <v>1000000</v>
      </c>
      <c r="F36" s="562">
        <f t="shared" si="1"/>
        <v>4.2553191489361703E-3</v>
      </c>
      <c r="H36" s="580" t="s">
        <v>389</v>
      </c>
      <c r="I36" s="580" t="s">
        <v>390</v>
      </c>
    </row>
    <row r="37" spans="1:9" x14ac:dyDescent="0.25">
      <c r="A37" s="607"/>
      <c r="B37" s="608" t="s">
        <v>391</v>
      </c>
      <c r="C37" s="584">
        <f t="shared" ref="C37:C41" si="18">+E37*$K$2</f>
        <v>275531.91489361704</v>
      </c>
      <c r="D37" s="584">
        <f t="shared" ref="D37:D41" si="19">+E37*$K$3</f>
        <v>74468.085106382976</v>
      </c>
      <c r="E37" s="609">
        <v>350000</v>
      </c>
      <c r="F37" s="610">
        <f t="shared" si="1"/>
        <v>1.4893617021276596E-3</v>
      </c>
      <c r="H37" s="581">
        <f>+E37-I37</f>
        <v>140000</v>
      </c>
      <c r="I37" s="581">
        <f>0.6*E37</f>
        <v>210000</v>
      </c>
    </row>
    <row r="38" spans="1:9" x14ac:dyDescent="0.25">
      <c r="A38" s="607"/>
      <c r="B38" s="608" t="s">
        <v>465</v>
      </c>
      <c r="C38" s="584">
        <f t="shared" si="18"/>
        <v>236170.21276595746</v>
      </c>
      <c r="D38" s="584">
        <f t="shared" si="19"/>
        <v>63829.787234042553</v>
      </c>
      <c r="E38" s="609">
        <v>300000</v>
      </c>
      <c r="F38" s="610">
        <f t="shared" si="1"/>
        <v>1.276595744680851E-3</v>
      </c>
      <c r="H38" s="581">
        <f>+E38-I38</f>
        <v>120000</v>
      </c>
      <c r="I38" s="581">
        <f>0.6*E38</f>
        <v>180000</v>
      </c>
    </row>
    <row r="39" spans="1:9" x14ac:dyDescent="0.25">
      <c r="A39" s="607"/>
      <c r="B39" s="608" t="s">
        <v>469</v>
      </c>
      <c r="C39" s="584">
        <f t="shared" si="18"/>
        <v>39361.702127659577</v>
      </c>
      <c r="D39" s="584">
        <f t="shared" si="19"/>
        <v>10638.297872340425</v>
      </c>
      <c r="E39" s="609">
        <v>50000</v>
      </c>
      <c r="F39" s="610">
        <f t="shared" si="1"/>
        <v>2.1276595744680851E-4</v>
      </c>
      <c r="H39" s="581"/>
      <c r="I39" s="581"/>
    </row>
    <row r="40" spans="1:9" ht="30" x14ac:dyDescent="0.25">
      <c r="A40" s="607"/>
      <c r="B40" s="608" t="s">
        <v>392</v>
      </c>
      <c r="C40" s="584">
        <f t="shared" si="18"/>
        <v>118085.10638297873</v>
      </c>
      <c r="D40" s="584">
        <f t="shared" si="19"/>
        <v>31914.893617021276</v>
      </c>
      <c r="E40" s="609">
        <v>150000</v>
      </c>
      <c r="F40" s="610">
        <f t="shared" si="1"/>
        <v>6.382978723404255E-4</v>
      </c>
      <c r="H40" s="581">
        <f>+E40-I40</f>
        <v>60000</v>
      </c>
      <c r="I40" s="581">
        <f>0.6*E40</f>
        <v>90000</v>
      </c>
    </row>
    <row r="41" spans="1:9" x14ac:dyDescent="0.25">
      <c r="A41" s="607"/>
      <c r="B41" s="608" t="s">
        <v>474</v>
      </c>
      <c r="C41" s="584">
        <f t="shared" si="18"/>
        <v>118085.10638297873</v>
      </c>
      <c r="D41" s="584">
        <f t="shared" si="19"/>
        <v>31914.893617021276</v>
      </c>
      <c r="E41" s="609">
        <v>150000</v>
      </c>
      <c r="F41" s="610">
        <f t="shared" si="1"/>
        <v>6.382978723404255E-4</v>
      </c>
      <c r="H41" s="581">
        <f>+E41-I41</f>
        <v>60000</v>
      </c>
      <c r="I41" s="581">
        <f>0.6*E41</f>
        <v>90000</v>
      </c>
    </row>
    <row r="42" spans="1:9" x14ac:dyDescent="0.25">
      <c r="A42" s="577"/>
      <c r="B42" s="577" t="s">
        <v>324</v>
      </c>
      <c r="C42" s="578">
        <f>+C34+C3</f>
        <v>185000000.00000003</v>
      </c>
      <c r="D42" s="578">
        <f>+D34+D3</f>
        <v>49999999.999999985</v>
      </c>
      <c r="E42" s="578">
        <f>+E34+E3</f>
        <v>235000000</v>
      </c>
      <c r="F42" s="579">
        <f t="shared" si="1"/>
        <v>1</v>
      </c>
    </row>
  </sheetData>
  <mergeCells count="3">
    <mergeCell ref="A1:A2"/>
    <mergeCell ref="B1:B2"/>
    <mergeCell ref="E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AF6E8-C35C-4C5F-A4C0-B32EE1651545}">
  <dimension ref="A1:U38"/>
  <sheetViews>
    <sheetView topLeftCell="A22" workbookViewId="0">
      <selection activeCell="C35" sqref="C35"/>
    </sheetView>
  </sheetViews>
  <sheetFormatPr defaultColWidth="9.140625" defaultRowHeight="12.75" x14ac:dyDescent="0.2"/>
  <cols>
    <col min="1" max="1" width="8.85546875" style="163" customWidth="1"/>
    <col min="2" max="2" width="49.85546875" style="148" customWidth="1"/>
    <col min="3" max="4" width="19.5703125" style="252" customWidth="1"/>
    <col min="5" max="5" width="18.7109375" style="252" bestFit="1" customWidth="1"/>
    <col min="6" max="10" width="15.42578125" style="252" customWidth="1"/>
    <col min="11" max="11" width="18" style="252" bestFit="1" customWidth="1"/>
    <col min="12" max="12" width="15" style="148" bestFit="1" customWidth="1"/>
    <col min="13" max="13" width="18.7109375" style="148" bestFit="1" customWidth="1"/>
    <col min="14" max="14" width="9.140625" style="148"/>
    <col min="15" max="15" width="17.42578125" style="148" customWidth="1"/>
    <col min="16" max="17" width="17.42578125" style="148" bestFit="1" customWidth="1"/>
    <col min="18" max="19" width="16.42578125" style="148" bestFit="1" customWidth="1"/>
    <col min="20" max="21" width="14.85546875" style="148" bestFit="1" customWidth="1"/>
    <col min="22" max="22" width="18.7109375" style="148" bestFit="1" customWidth="1"/>
    <col min="23" max="24" width="8.7109375" style="148" bestFit="1" customWidth="1"/>
    <col min="25" max="16384" width="9.140625" style="148"/>
  </cols>
  <sheetData>
    <row r="1" spans="1:12" ht="15" x14ac:dyDescent="0.25">
      <c r="A1" s="249" t="s">
        <v>216</v>
      </c>
      <c r="B1" s="250"/>
      <c r="C1" s="251"/>
      <c r="D1" s="251"/>
      <c r="E1" s="251"/>
      <c r="F1" s="251"/>
    </row>
    <row r="2" spans="1:12" ht="15" x14ac:dyDescent="0.25">
      <c r="A2" s="249" t="s">
        <v>8</v>
      </c>
      <c r="B2" s="250"/>
      <c r="C2" s="251"/>
      <c r="D2" s="251"/>
      <c r="E2" s="251"/>
      <c r="F2" s="251"/>
    </row>
    <row r="3" spans="1:12" ht="15" x14ac:dyDescent="0.25">
      <c r="A3" s="249"/>
      <c r="B3" s="253"/>
      <c r="C3" s="254"/>
      <c r="D3" s="254"/>
      <c r="E3" s="254"/>
      <c r="F3" s="254"/>
    </row>
    <row r="4" spans="1:12" ht="15" x14ac:dyDescent="0.25">
      <c r="A4" s="249" t="str">
        <f>+'6. PEP Mensual'!A4:B4</f>
        <v>Operación: Programa de Mejoramiento y conservación de corredores agroindustriales</v>
      </c>
      <c r="B4" s="250"/>
      <c r="C4" s="251"/>
      <c r="D4" s="251"/>
      <c r="E4" s="251"/>
      <c r="F4" s="251"/>
    </row>
    <row r="5" spans="1:12" ht="15" x14ac:dyDescent="0.25">
      <c r="A5" s="249"/>
      <c r="B5" s="253"/>
      <c r="C5" s="254"/>
      <c r="D5" s="254"/>
      <c r="E5" s="254"/>
      <c r="F5" s="254"/>
    </row>
    <row r="6" spans="1:12" ht="15" x14ac:dyDescent="0.25">
      <c r="A6" s="249" t="s">
        <v>9</v>
      </c>
      <c r="B6" s="250"/>
      <c r="C6" s="251"/>
      <c r="D6" s="251"/>
      <c r="E6" s="251"/>
      <c r="F6" s="251"/>
    </row>
    <row r="7" spans="1:12" ht="13.5" thickBot="1" x14ac:dyDescent="0.25">
      <c r="L7" s="252"/>
    </row>
    <row r="8" spans="1:12" s="158" customFormat="1" x14ac:dyDescent="0.2">
      <c r="A8" s="647" t="s">
        <v>333</v>
      </c>
      <c r="B8" s="648"/>
      <c r="C8" s="255" t="s">
        <v>22</v>
      </c>
      <c r="D8" s="255" t="s">
        <v>360</v>
      </c>
      <c r="E8" s="255" t="s">
        <v>6</v>
      </c>
      <c r="F8" s="255" t="s">
        <v>12</v>
      </c>
      <c r="G8" s="255" t="s">
        <v>13</v>
      </c>
      <c r="H8" s="255" t="s">
        <v>14</v>
      </c>
      <c r="I8" s="255" t="s">
        <v>15</v>
      </c>
      <c r="J8" s="255" t="s">
        <v>16</v>
      </c>
      <c r="K8" s="255" t="s">
        <v>88</v>
      </c>
      <c r="L8" s="255" t="s">
        <v>89</v>
      </c>
    </row>
    <row r="9" spans="1:12" x14ac:dyDescent="0.2">
      <c r="A9" s="256" t="str">
        <f>+'6. PEP Mensual'!A12</f>
        <v>1.</v>
      </c>
      <c r="B9" s="257" t="str">
        <f>+'6. PEP Mensual'!B12</f>
        <v>Componente Unico Obras civiles</v>
      </c>
      <c r="C9" s="593">
        <f t="shared" ref="C9:L9" si="0">+C10+C15+C20+C24+C25+C26</f>
        <v>180670212.76595744</v>
      </c>
      <c r="D9" s="593">
        <f t="shared" si="0"/>
        <v>48829787.234042555</v>
      </c>
      <c r="E9" s="593">
        <f t="shared" si="0"/>
        <v>229500000</v>
      </c>
      <c r="F9" s="593">
        <f t="shared" si="0"/>
        <v>54740012.102786675</v>
      </c>
      <c r="G9" s="593">
        <f t="shared" si="0"/>
        <v>93343583.176409155</v>
      </c>
      <c r="H9" s="593">
        <f t="shared" si="0"/>
        <v>43795608.30977226</v>
      </c>
      <c r="I9" s="593">
        <f t="shared" si="0"/>
        <v>20738388.820723403</v>
      </c>
      <c r="J9" s="593">
        <f t="shared" si="0"/>
        <v>6183613.6336519755</v>
      </c>
      <c r="K9" s="593">
        <f t="shared" si="0"/>
        <v>5849942.6930091185</v>
      </c>
      <c r="L9" s="593">
        <f t="shared" si="0"/>
        <v>4848851.2036474161</v>
      </c>
    </row>
    <row r="10" spans="1:12" ht="25.5" x14ac:dyDescent="0.2">
      <c r="A10" s="94">
        <f>+'6. PEP Mensual'!A13</f>
        <v>1.1000000000000001</v>
      </c>
      <c r="B10" s="82" t="s">
        <v>464</v>
      </c>
      <c r="C10" s="259">
        <f>+C11+C12+C13+C14</f>
        <v>84487439.611702114</v>
      </c>
      <c r="D10" s="259">
        <f t="shared" ref="D10:L10" si="1">+D11+D12+D13+D14</f>
        <v>22834443.138297871</v>
      </c>
      <c r="E10" s="259">
        <f t="shared" si="1"/>
        <v>107321882.75</v>
      </c>
      <c r="F10" s="259">
        <f t="shared" si="1"/>
        <v>33810483.957000002</v>
      </c>
      <c r="G10" s="259">
        <f t="shared" si="1"/>
        <v>56299625.640187502</v>
      </c>
      <c r="H10" s="259">
        <f t="shared" si="1"/>
        <v>13522994.42940825</v>
      </c>
      <c r="I10" s="259">
        <f t="shared" si="1"/>
        <v>1053851.0638297871</v>
      </c>
      <c r="J10" s="259">
        <f t="shared" si="1"/>
        <v>1053851.0638297871</v>
      </c>
      <c r="K10" s="259">
        <f t="shared" si="1"/>
        <v>1035251.0638297871</v>
      </c>
      <c r="L10" s="259">
        <f t="shared" si="1"/>
        <v>545825.53191489354</v>
      </c>
    </row>
    <row r="11" spans="1:12" ht="51" x14ac:dyDescent="0.2">
      <c r="A11" s="100"/>
      <c r="B11" s="101" t="str">
        <f>+'6. PEP Mensual'!B14</f>
        <v>Contratación de Empresa Constructora para la Pavimentación  y mantenimiento del Tramo Cruce Pioneros (Ruta Nacional N° 9) – Paratodo, y accesos– Región Occidental (104 Km)</v>
      </c>
      <c r="C11" s="266">
        <f>+'6. PEP Mensual'!C14</f>
        <v>78058951.170212761</v>
      </c>
      <c r="D11" s="266">
        <f>+'6. PEP Mensual'!D14</f>
        <v>21097013.829787236</v>
      </c>
      <c r="E11" s="266">
        <f>+'6. PEP Mensual'!E14</f>
        <v>99155965</v>
      </c>
      <c r="F11" s="266">
        <f>+'7. PEP Anual'!F11</f>
        <v>31833642</v>
      </c>
      <c r="G11" s="619">
        <f>+'7. PEP Anual'!G11</f>
        <v>52544686</v>
      </c>
      <c r="H11" s="266">
        <f>+'7. PEP Anual'!H11</f>
        <v>11854168.914893622</v>
      </c>
      <c r="I11" s="266">
        <f>+'7. PEP Anual'!I11</f>
        <v>835276.59574468073</v>
      </c>
      <c r="J11" s="266">
        <f>+'7. PEP Anual'!J11</f>
        <v>835276.59574468073</v>
      </c>
      <c r="K11" s="266">
        <f>+'7. PEP Anual'!K11</f>
        <v>835276.59574468073</v>
      </c>
      <c r="L11" s="266">
        <f>+'7. PEP Anual'!L11</f>
        <v>417638.29787234036</v>
      </c>
    </row>
    <row r="12" spans="1:12" ht="51" x14ac:dyDescent="0.2">
      <c r="A12" s="100"/>
      <c r="B12" s="101" t="s">
        <v>461</v>
      </c>
      <c r="C12" s="266">
        <v>5464126.7393617034</v>
      </c>
      <c r="D12" s="266">
        <v>1476791.010638298</v>
      </c>
      <c r="E12" s="266">
        <v>6940917.7500000019</v>
      </c>
      <c r="F12" s="266">
        <f>+'7. PEP Anual'!F15</f>
        <v>1768241.9570000004</v>
      </c>
      <c r="G12" s="619">
        <f>+'7. PEP Anual'!G15</f>
        <v>3518339.640187501</v>
      </c>
      <c r="H12" s="266">
        <f>+'7. PEP Anual'!H15</f>
        <v>1347825.5145146283</v>
      </c>
      <c r="I12" s="266">
        <f>+'7. PEP Anual'!I15</f>
        <v>87574.46808510636</v>
      </c>
      <c r="J12" s="266">
        <f>+'7. PEP Anual'!J15</f>
        <v>87574.46808510636</v>
      </c>
      <c r="K12" s="266">
        <f>+'7. PEP Anual'!K15</f>
        <v>87574.46808510636</v>
      </c>
      <c r="L12" s="266">
        <f>+'7. PEP Anual'!L15</f>
        <v>43787.234042553187</v>
      </c>
    </row>
    <row r="13" spans="1:12" x14ac:dyDescent="0.2">
      <c r="A13" s="100"/>
      <c r="B13" s="101" t="s">
        <v>397</v>
      </c>
      <c r="C13" s="266">
        <v>515638.29787234048</v>
      </c>
      <c r="D13" s="266">
        <v>139361.70212765958</v>
      </c>
      <c r="E13" s="266">
        <v>655000</v>
      </c>
      <c r="F13" s="266">
        <f>+'7. PEP Anual'!F19</f>
        <v>18600</v>
      </c>
      <c r="G13" s="619">
        <f>+'7. PEP Anual'!G19</f>
        <v>46600</v>
      </c>
      <c r="H13" s="266">
        <f>+'7. PEP Anual'!H19</f>
        <v>131000</v>
      </c>
      <c r="I13" s="266">
        <f>+'7. PEP Anual'!I19</f>
        <v>131000</v>
      </c>
      <c r="J13" s="266">
        <f>+'7. PEP Anual'!J19</f>
        <v>131000</v>
      </c>
      <c r="K13" s="266">
        <f>+'7. PEP Anual'!K19</f>
        <v>112400</v>
      </c>
      <c r="L13" s="266">
        <f>+'7. PEP Anual'!L19</f>
        <v>84400</v>
      </c>
    </row>
    <row r="14" spans="1:12" x14ac:dyDescent="0.2">
      <c r="A14" s="100"/>
      <c r="B14" s="101" t="str">
        <f>+'6. PEP Mensual'!B34</f>
        <v>Expropiaciones Región Occidental</v>
      </c>
      <c r="C14" s="266">
        <f>+'6. PEP Mensual'!C34</f>
        <v>448723.40425531915</v>
      </c>
      <c r="D14" s="266">
        <f>+'6. PEP Mensual'!D34</f>
        <v>121276.59574468085</v>
      </c>
      <c r="E14" s="266">
        <f>+'6. PEP Mensual'!E34</f>
        <v>570000</v>
      </c>
      <c r="F14" s="266">
        <f>+'7. PEP Anual'!F31</f>
        <v>190000.00000000003</v>
      </c>
      <c r="G14" s="619">
        <f>+'7. PEP Anual'!G31</f>
        <v>190000.00000000003</v>
      </c>
      <c r="H14" s="266">
        <f>+'7. PEP Anual'!H31</f>
        <v>190000.00000000003</v>
      </c>
      <c r="I14" s="266">
        <f>+'7. PEP Anual'!I31</f>
        <v>0</v>
      </c>
      <c r="J14" s="266">
        <f>+'7. PEP Anual'!J31</f>
        <v>0</v>
      </c>
      <c r="K14" s="266">
        <f>+'7. PEP Anual'!K31</f>
        <v>0</v>
      </c>
      <c r="L14" s="266">
        <f>+'7. PEP Anual'!L31</f>
        <v>0</v>
      </c>
    </row>
    <row r="15" spans="1:12" ht="25.5" x14ac:dyDescent="0.2">
      <c r="A15" s="94">
        <v>1.2</v>
      </c>
      <c r="B15" s="82" t="s">
        <v>466</v>
      </c>
      <c r="C15" s="259">
        <f>+C16+C17+C18+C19</f>
        <v>53097669.778297879</v>
      </c>
      <c r="D15" s="259">
        <f t="shared" ref="D15:L15" si="2">+D16+D17+D18+D19</f>
        <v>14350721.561702128</v>
      </c>
      <c r="E15" s="259">
        <f t="shared" si="2"/>
        <v>67448391.340000004</v>
      </c>
      <c r="F15" s="259">
        <f t="shared" si="2"/>
        <v>20929528.145786669</v>
      </c>
      <c r="G15" s="259">
        <f t="shared" si="2"/>
        <v>35034553.686221667</v>
      </c>
      <c r="H15" s="259">
        <f t="shared" si="2"/>
        <v>8672647.8058640063</v>
      </c>
      <c r="I15" s="259">
        <f t="shared" si="2"/>
        <v>818331.91489361704</v>
      </c>
      <c r="J15" s="259">
        <f t="shared" si="2"/>
        <v>832331.91489361704</v>
      </c>
      <c r="K15" s="259">
        <f t="shared" si="2"/>
        <v>786331.91489361704</v>
      </c>
      <c r="L15" s="259">
        <f t="shared" si="2"/>
        <v>374665.95744680852</v>
      </c>
    </row>
    <row r="16" spans="1:12" ht="51" x14ac:dyDescent="0.2">
      <c r="A16" s="100"/>
      <c r="B16" s="101" t="str">
        <f>+'6. PEP Mensual'!B15</f>
        <v>Contratación de Empresa Constructora para la Pavimentación y mantenimiento del Tramo Villa del Rosario - Volendam - San Pablo - Ruta 11, y accesos– Región Oriental (80,36 Km)</v>
      </c>
      <c r="C16" s="266">
        <f>+'6. PEP Mensual'!C15</f>
        <v>47470212.765957452</v>
      </c>
      <c r="D16" s="266">
        <f>+'6. PEP Mensual'!D15</f>
        <v>12829787.234042553</v>
      </c>
      <c r="E16" s="266">
        <f>+'6. PEP Mensual'!E15</f>
        <v>60300000.000000007</v>
      </c>
      <c r="F16" s="266">
        <f>+'7. PEP Anual'!F12</f>
        <v>19219314</v>
      </c>
      <c r="G16" s="619">
        <f>+'7. PEP Anual'!G12</f>
        <v>31723446</v>
      </c>
      <c r="H16" s="266">
        <f>+'7. PEP Anual'!H12</f>
        <v>7203176.1702127662</v>
      </c>
      <c r="I16" s="266">
        <f>+'7. PEP Anual'!I12</f>
        <v>615446.80851063831</v>
      </c>
      <c r="J16" s="266">
        <f>+'7. PEP Anual'!J12</f>
        <v>615446.80851063831</v>
      </c>
      <c r="K16" s="266">
        <f>+'7. PEP Anual'!K12</f>
        <v>615446.80851063831</v>
      </c>
      <c r="L16" s="266">
        <f>+'7. PEP Anual'!L12</f>
        <v>307723.40425531915</v>
      </c>
    </row>
    <row r="17" spans="1:21" ht="51" x14ac:dyDescent="0.2">
      <c r="A17" s="100"/>
      <c r="B17" s="101" t="str">
        <f>+'6. PEP Mensual'!B19</f>
        <v>Contratación de Firma Consultora para Fiscalización de las Obras de Mejoramiento y Conservación del tramo Villa del Rosario - Volendam - San Pablo - Ruta 11, y accesos– Región Oriental (80,36 Km)</v>
      </c>
      <c r="C17" s="266">
        <f>+'6. PEP Mensual'!C19</f>
        <v>4647350.6293617031</v>
      </c>
      <c r="D17" s="266">
        <f>+'6. PEP Mensual'!D19</f>
        <v>1256040.710638298</v>
      </c>
      <c r="E17" s="266">
        <f>+'6. PEP Mensual'!E19</f>
        <v>5903391.3400000008</v>
      </c>
      <c r="F17" s="266">
        <f>+'7. PEP Anual'!F16</f>
        <v>1525547.47912</v>
      </c>
      <c r="G17" s="619">
        <f>+'7. PEP Anual'!G16</f>
        <v>3035441.0195550006</v>
      </c>
      <c r="H17" s="266">
        <f>+'7. PEP Anual'!H16</f>
        <v>1153804.9689845745</v>
      </c>
      <c r="I17" s="266">
        <f>+'7. PEP Anual'!I16</f>
        <v>53885.106382978724</v>
      </c>
      <c r="J17" s="266">
        <f>+'7. PEP Anual'!J16</f>
        <v>53885.106382978724</v>
      </c>
      <c r="K17" s="266">
        <f>+'7. PEP Anual'!K16</f>
        <v>53885.106382978724</v>
      </c>
      <c r="L17" s="266">
        <f>+'7. PEP Anual'!L16</f>
        <v>26942.553191489362</v>
      </c>
    </row>
    <row r="18" spans="1:21" x14ac:dyDescent="0.2">
      <c r="A18" s="100"/>
      <c r="B18" s="101" t="s">
        <v>399</v>
      </c>
      <c r="C18" s="266">
        <v>586489.36170212761</v>
      </c>
      <c r="D18" s="266">
        <v>158510.63829787233</v>
      </c>
      <c r="E18" s="266">
        <v>745000</v>
      </c>
      <c r="F18" s="266">
        <f>+'7. PEP Anual'!F23</f>
        <v>18000</v>
      </c>
      <c r="G18" s="619">
        <f>+'7. PEP Anual'!G23</f>
        <v>109000</v>
      </c>
      <c r="H18" s="266">
        <f>+'7. PEP Anual'!H23</f>
        <v>149000</v>
      </c>
      <c r="I18" s="266">
        <f>+'7. PEP Anual'!I23</f>
        <v>149000</v>
      </c>
      <c r="J18" s="266">
        <f>+'7. PEP Anual'!J23</f>
        <v>163000</v>
      </c>
      <c r="K18" s="266">
        <f>+'7. PEP Anual'!K23</f>
        <v>117000</v>
      </c>
      <c r="L18" s="266">
        <f>+'7. PEP Anual'!L23</f>
        <v>40000</v>
      </c>
    </row>
    <row r="19" spans="1:21" x14ac:dyDescent="0.2">
      <c r="A19" s="100"/>
      <c r="B19" s="101" t="s">
        <v>403</v>
      </c>
      <c r="C19" s="266">
        <v>393617.02127659577</v>
      </c>
      <c r="D19" s="266">
        <v>106382.97872340426</v>
      </c>
      <c r="E19" s="266">
        <v>500000</v>
      </c>
      <c r="F19" s="266">
        <f>+'7. PEP Anual'!F32</f>
        <v>166666.66666666663</v>
      </c>
      <c r="G19" s="619">
        <f>+'7. PEP Anual'!G32</f>
        <v>166666.66666666663</v>
      </c>
      <c r="H19" s="266">
        <f>+'7. PEP Anual'!H32</f>
        <v>166666.66666666663</v>
      </c>
      <c r="I19" s="266">
        <f>+'7. PEP Anual'!I32</f>
        <v>0</v>
      </c>
      <c r="J19" s="266">
        <f>+'7. PEP Anual'!J32</f>
        <v>0</v>
      </c>
      <c r="K19" s="266">
        <f>+'7. PEP Anual'!K32</f>
        <v>0</v>
      </c>
      <c r="L19" s="266">
        <f>+'7. PEP Anual'!L32</f>
        <v>0</v>
      </c>
    </row>
    <row r="20" spans="1:21" ht="25.5" x14ac:dyDescent="0.2">
      <c r="A20" s="94">
        <v>1.3</v>
      </c>
      <c r="B20" s="82" t="s">
        <v>467</v>
      </c>
      <c r="C20" s="259">
        <f>+C21+C22+C23</f>
        <v>31513717.196170218</v>
      </c>
      <c r="D20" s="259">
        <f t="shared" ref="D20:L20" si="3">+D21+D22+D23</f>
        <v>8517220.8638297878</v>
      </c>
      <c r="E20" s="259">
        <f t="shared" si="3"/>
        <v>40030938.060000002</v>
      </c>
      <c r="F20" s="259">
        <f t="shared" si="3"/>
        <v>0</v>
      </c>
      <c r="G20" s="259">
        <f t="shared" si="3"/>
        <v>0</v>
      </c>
      <c r="H20" s="259">
        <f t="shared" si="3"/>
        <v>21574966.074500002</v>
      </c>
      <c r="I20" s="259">
        <f t="shared" si="3"/>
        <v>15662609.842</v>
      </c>
      <c r="J20" s="259">
        <f t="shared" si="3"/>
        <v>1093834.6549285713</v>
      </c>
      <c r="K20" s="259">
        <f t="shared" si="3"/>
        <v>849763.71428571432</v>
      </c>
      <c r="L20" s="259">
        <f t="shared" si="3"/>
        <v>849763.71428571432</v>
      </c>
    </row>
    <row r="21" spans="1:21" ht="63.75" x14ac:dyDescent="0.2">
      <c r="A21" s="100"/>
      <c r="B21" s="101" t="str">
        <f>+'6. PEP Mensual'!B16</f>
        <v xml:space="preserve">Contratación de Empresa Constructora para la Pavimentación y mantenimiento del Tramo Campo Aceval – Cruce Jordán (35 km) </v>
      </c>
      <c r="C21" s="266">
        <f>+'6. PEP Mensual'!C16</f>
        <v>18920510.5106383</v>
      </c>
      <c r="D21" s="266">
        <f>+'6. PEP Mensual'!D16</f>
        <v>5113651.4893617025</v>
      </c>
      <c r="E21" s="266">
        <f>+'6. PEP Mensual'!E16</f>
        <v>24034162.000000004</v>
      </c>
      <c r="F21" s="266">
        <f>+'7. PEP Anual'!F13</f>
        <v>0</v>
      </c>
      <c r="G21" s="266">
        <f>+'7. PEP Anual'!G13</f>
        <v>0</v>
      </c>
      <c r="H21" s="266">
        <f>+'7. PEP Anual'!H13</f>
        <v>12929573.952000001</v>
      </c>
      <c r="I21" s="266">
        <f>+'7. PEP Anual'!I13</f>
        <v>9338025.6319999993</v>
      </c>
      <c r="J21" s="266">
        <f>+'7. PEP Anual'!J13</f>
        <v>678344.13028571417</v>
      </c>
      <c r="K21" s="266">
        <f>+'7. PEP Anual'!K13</f>
        <v>544109.14285714284</v>
      </c>
      <c r="L21" s="266">
        <f>+'7. PEP Anual'!L13</f>
        <v>544109.14285714284</v>
      </c>
    </row>
    <row r="22" spans="1:21" ht="51" x14ac:dyDescent="0.2">
      <c r="A22" s="100"/>
      <c r="B22" s="101" t="str">
        <f>+'6. PEP Mensual'!B20</f>
        <v>Contratación de Firma Consultora para Fiscalización de las Obras básicas de Mejoramiento y Conservación de caminos complementarios tramos Paratodo-Cruce Douglas y Campo Aceval – Avalos Sanchez – Región Occidental (86 Km)</v>
      </c>
      <c r="C22" s="266">
        <f>+'6. PEP Mensual'!C20</f>
        <v>823854.64297872351</v>
      </c>
      <c r="D22" s="266">
        <f>+'6. PEP Mensual'!D20</f>
        <v>222663.4170212766</v>
      </c>
      <c r="E22" s="266">
        <f>+'6. PEP Mensual'!E20</f>
        <v>1046518.06</v>
      </c>
      <c r="F22" s="266">
        <f>+'7. PEP Anual'!F17</f>
        <v>0</v>
      </c>
      <c r="G22" s="266">
        <f>+'7. PEP Anual'!G17</f>
        <v>0</v>
      </c>
      <c r="H22" s="266">
        <f>+'7. PEP Anual'!H17</f>
        <v>491095.19449999998</v>
      </c>
      <c r="I22" s="266">
        <f>+'7. PEP Anual'!I17</f>
        <v>435369.76199999999</v>
      </c>
      <c r="J22" s="266">
        <f>+'7. PEP Anual'!J17</f>
        <v>52853.0435</v>
      </c>
      <c r="K22" s="266">
        <f>+'7. PEP Anual'!K17</f>
        <v>33600</v>
      </c>
      <c r="L22" s="266">
        <f>+'7. PEP Anual'!L17</f>
        <v>33600</v>
      </c>
    </row>
    <row r="23" spans="1:21" ht="66" customHeight="1" x14ac:dyDescent="0.2">
      <c r="A23" s="618"/>
      <c r="B23" s="101" t="str">
        <f>+'6. PEP Mensual'!B17</f>
        <v xml:space="preserve">Contratación de Empresa Constructora para realización de Obras básicas de mejoramiento y mantenimiento de tramos críticos en la Región Occidental (51 km) - (Cruce Jordan – Avalos Sanchez; y  Paratodo – Cruce Douglas.) </v>
      </c>
      <c r="C23" s="266">
        <f>+'6. PEP Mensual'!C17</f>
        <v>11769352.042553192</v>
      </c>
      <c r="D23" s="266">
        <f>+'6. PEP Mensual'!D17</f>
        <v>3180905.9574468085</v>
      </c>
      <c r="E23" s="266">
        <f>+'6. PEP Mensual'!E17</f>
        <v>14950258</v>
      </c>
      <c r="F23" s="266">
        <f>+'7. PEP Anual'!F14</f>
        <v>0</v>
      </c>
      <c r="G23" s="266">
        <f>+'7. PEP Anual'!G14</f>
        <v>0</v>
      </c>
      <c r="H23" s="266">
        <f>+'7. PEP Anual'!H14</f>
        <v>8154296.9280000012</v>
      </c>
      <c r="I23" s="266">
        <f>+'7. PEP Anual'!I14</f>
        <v>5889214.4479999999</v>
      </c>
      <c r="J23" s="266">
        <f>+'7. PEP Anual'!J14</f>
        <v>362637.48114285705</v>
      </c>
      <c r="K23" s="266">
        <f>+'7. PEP Anual'!K14</f>
        <v>272054.57142857142</v>
      </c>
      <c r="L23" s="266">
        <f>+'7. PEP Anual'!L14</f>
        <v>272054.57142857142</v>
      </c>
    </row>
    <row r="24" spans="1:21" x14ac:dyDescent="0.2">
      <c r="A24" s="94">
        <v>1.4</v>
      </c>
      <c r="B24" s="82" t="s">
        <v>501</v>
      </c>
      <c r="C24" s="259">
        <f>0.787234042553192*100000</f>
        <v>78723.404255319198</v>
      </c>
      <c r="D24" s="259">
        <f>+E24-C24</f>
        <v>21276.595744680802</v>
      </c>
      <c r="E24" s="259">
        <v>100000</v>
      </c>
      <c r="F24" s="259">
        <v>0</v>
      </c>
      <c r="G24" s="259">
        <v>25000</v>
      </c>
      <c r="H24" s="259">
        <v>25000</v>
      </c>
      <c r="I24" s="259">
        <v>25000</v>
      </c>
      <c r="J24" s="259">
        <v>25000</v>
      </c>
      <c r="K24" s="259">
        <v>0</v>
      </c>
      <c r="L24" s="259">
        <v>0</v>
      </c>
    </row>
    <row r="25" spans="1:21" x14ac:dyDescent="0.2">
      <c r="A25" s="94">
        <v>1.5</v>
      </c>
      <c r="B25" s="594" t="str">
        <f>+'6. PEP Mensual'!B32</f>
        <v>Servicios Ambientales</v>
      </c>
      <c r="C25" s="259">
        <f>+'6. PEP Mensual'!C32</f>
        <v>1562190.2648936172</v>
      </c>
      <c r="D25" s="259">
        <f>+'6. PEP Mensual'!D32</f>
        <v>422213.58510638302</v>
      </c>
      <c r="E25" s="259">
        <f>+'6. PEP Mensual'!E32</f>
        <v>1984403.8500000003</v>
      </c>
      <c r="F25" s="259">
        <f>SUM('6. PEP Mensual'!F32:Q32)</f>
        <v>0</v>
      </c>
      <c r="G25" s="259">
        <f>SUM('6. PEP Mensual'!R32:AC32)</f>
        <v>1984403.8500000003</v>
      </c>
      <c r="H25" s="259">
        <f>SUM('6. PEP Mensual'!AD32:AO32)</f>
        <v>0</v>
      </c>
      <c r="I25" s="259">
        <f>SUM('6. PEP Mensual'!AP32:BA32)</f>
        <v>0</v>
      </c>
      <c r="J25" s="259">
        <f>SUM('6. PEP Mensual'!BB32:BM32)</f>
        <v>0</v>
      </c>
      <c r="K25" s="259">
        <f>SUM('6. PEP Mensual'!BN32:BY32)</f>
        <v>0</v>
      </c>
      <c r="L25" s="259">
        <f>SUM('6. PEP Mensual'!BZ32:CK32)</f>
        <v>0</v>
      </c>
    </row>
    <row r="26" spans="1:21" x14ac:dyDescent="0.2">
      <c r="A26" s="94">
        <v>1.6</v>
      </c>
      <c r="B26" s="594" t="str">
        <f>+'6. PEP Mensual'!B37</f>
        <v>Contingencias y Escalamientos</v>
      </c>
      <c r="C26" s="259">
        <f>0.787234042553192*E26</f>
        <v>9930472.5106383041</v>
      </c>
      <c r="D26" s="259">
        <f>+E26-C26</f>
        <v>2683911.4893616959</v>
      </c>
      <c r="E26" s="259">
        <v>12614384</v>
      </c>
      <c r="F26" s="259">
        <f>SUM('6. PEP Mensual'!F37:Q37)</f>
        <v>0</v>
      </c>
      <c r="G26" s="259">
        <f>SUM('6. PEP Mensual'!R37:AC37)</f>
        <v>0</v>
      </c>
      <c r="H26" s="259">
        <f>SUM('6. PEP Mensual'!AD37:AO37)</f>
        <v>0</v>
      </c>
      <c r="I26" s="259">
        <f>SUM('6. PEP Mensual'!AP37:BA37)</f>
        <v>3178596</v>
      </c>
      <c r="J26" s="259">
        <f>SUM('6. PEP Mensual'!BB37:BM37)</f>
        <v>3178596</v>
      </c>
      <c r="K26" s="259">
        <f>SUM('6. PEP Mensual'!BN37:BY37)</f>
        <v>3178596</v>
      </c>
      <c r="L26" s="259">
        <v>3078596</v>
      </c>
      <c r="O26" s="554"/>
      <c r="P26" s="554"/>
      <c r="Q26" s="554"/>
      <c r="R26" s="554"/>
      <c r="S26" s="554"/>
      <c r="T26" s="554"/>
      <c r="U26" s="554"/>
    </row>
    <row r="27" spans="1:21" s="261" customFormat="1" ht="26.25" customHeight="1" x14ac:dyDescent="0.2">
      <c r="A27" s="267">
        <v>2</v>
      </c>
      <c r="B27" s="257" t="str">
        <f>+'6. PEP Mensual'!B38</f>
        <v>Otros Costos</v>
      </c>
      <c r="C27" s="258">
        <f>+'6. PEP Mensual'!C38</f>
        <v>4329787.2340425532</v>
      </c>
      <c r="D27" s="258">
        <f>+'6. PEP Mensual'!D38</f>
        <v>1170212.7659574468</v>
      </c>
      <c r="E27" s="258">
        <f>+'6. PEP Mensual'!E38</f>
        <v>5500000</v>
      </c>
      <c r="F27" s="258">
        <f>+F28+F30</f>
        <v>200000</v>
      </c>
      <c r="G27" s="258">
        <f t="shared" ref="G27:L27" si="4">+G28+G30</f>
        <v>275000</v>
      </c>
      <c r="H27" s="258">
        <f t="shared" si="4"/>
        <v>1175000</v>
      </c>
      <c r="I27" s="258">
        <f t="shared" si="4"/>
        <v>1050000</v>
      </c>
      <c r="J27" s="258">
        <f t="shared" si="4"/>
        <v>1050000</v>
      </c>
      <c r="K27" s="258">
        <f t="shared" si="4"/>
        <v>1200000</v>
      </c>
      <c r="L27" s="258">
        <f t="shared" si="4"/>
        <v>550000</v>
      </c>
    </row>
    <row r="28" spans="1:21" s="261" customFormat="1" x14ac:dyDescent="0.2">
      <c r="A28" s="94">
        <f>+'6. PEP Mensual'!A39</f>
        <v>2.1</v>
      </c>
      <c r="B28" s="82" t="str">
        <f>+'6. PEP Mensual'!B39</f>
        <v>Administración del Programa</v>
      </c>
      <c r="C28" s="259">
        <f>+'6. PEP Mensual'!C39</f>
        <v>3542553.1914893617</v>
      </c>
      <c r="D28" s="259">
        <f>+'6. PEP Mensual'!D39</f>
        <v>957446.80851063831</v>
      </c>
      <c r="E28" s="259">
        <f>+'6. PEP Mensual'!E39</f>
        <v>4500000</v>
      </c>
      <c r="F28" s="260">
        <f t="shared" ref="F28:L28" si="5">+F29</f>
        <v>0</v>
      </c>
      <c r="G28" s="260">
        <f t="shared" si="5"/>
        <v>0</v>
      </c>
      <c r="H28" s="260">
        <f t="shared" si="5"/>
        <v>1000000</v>
      </c>
      <c r="I28" s="260">
        <f t="shared" si="5"/>
        <v>1000000</v>
      </c>
      <c r="J28" s="260">
        <f t="shared" si="5"/>
        <v>1000000</v>
      </c>
      <c r="K28" s="260">
        <f t="shared" si="5"/>
        <v>1000000</v>
      </c>
      <c r="L28" s="260">
        <f t="shared" si="5"/>
        <v>500000</v>
      </c>
    </row>
    <row r="29" spans="1:21" s="261" customFormat="1" ht="25.5" x14ac:dyDescent="0.2">
      <c r="A29" s="100" t="str">
        <f>+'6. PEP Mensual'!A40</f>
        <v>2.1.1</v>
      </c>
      <c r="B29" s="101" t="str">
        <f>+'6. PEP Mensual'!B40</f>
        <v xml:space="preserve">Contratación de la ECATEF para apoyo en la ejecución del Programa </v>
      </c>
      <c r="C29" s="266">
        <f>+'6. PEP Mensual'!C40</f>
        <v>3542553.1914893617</v>
      </c>
      <c r="D29" s="266">
        <f>+'6. PEP Mensual'!D40</f>
        <v>957446.80851063831</v>
      </c>
      <c r="E29" s="266">
        <f>+'6. PEP Mensual'!E40</f>
        <v>4500000</v>
      </c>
      <c r="F29" s="266">
        <f>SUM('6. PEP Mensual'!F40:Q40)</f>
        <v>0</v>
      </c>
      <c r="G29" s="266">
        <f>SUM('6. PEP Mensual'!R40:AC40)</f>
        <v>0</v>
      </c>
      <c r="H29" s="266">
        <f>SUM('6. PEP Mensual'!AD40:AO40)</f>
        <v>1000000</v>
      </c>
      <c r="I29" s="266">
        <f>SUM('6. PEP Mensual'!AP40:BA40)</f>
        <v>1000000</v>
      </c>
      <c r="J29" s="266">
        <f>SUM('6. PEP Mensual'!BB40:BM40)</f>
        <v>1000000</v>
      </c>
      <c r="K29" s="266">
        <f>SUM('6. PEP Mensual'!BN40:BY40)</f>
        <v>1000000</v>
      </c>
      <c r="L29" s="266">
        <f>SUM('6. PEP Mensual'!BZ40:CK40)</f>
        <v>500000</v>
      </c>
    </row>
    <row r="30" spans="1:21" s="261" customFormat="1" x14ac:dyDescent="0.2">
      <c r="A30" s="94">
        <f>+'6. PEP Mensual'!A41</f>
        <v>2.2000000000000002</v>
      </c>
      <c r="B30" s="82" t="str">
        <f>+'6. PEP Mensual'!B41</f>
        <v>Evaluaciones, estudios y auditorías.</v>
      </c>
      <c r="C30" s="259">
        <f>+'6. PEP Mensual'!C41</f>
        <v>787234.04255319154</v>
      </c>
      <c r="D30" s="259">
        <f>+'6. PEP Mensual'!D41</f>
        <v>212765.95744680849</v>
      </c>
      <c r="E30" s="259">
        <f>+'6. PEP Mensual'!E41</f>
        <v>1000000</v>
      </c>
      <c r="F30" s="260">
        <f>+F31+F32+F33+F34+F35</f>
        <v>200000</v>
      </c>
      <c r="G30" s="260">
        <f t="shared" ref="G30:L30" si="6">+G31+G32+G33+G34+G35</f>
        <v>275000</v>
      </c>
      <c r="H30" s="260">
        <f t="shared" si="6"/>
        <v>175000</v>
      </c>
      <c r="I30" s="260">
        <f t="shared" si="6"/>
        <v>50000</v>
      </c>
      <c r="J30" s="260">
        <f t="shared" si="6"/>
        <v>50000</v>
      </c>
      <c r="K30" s="260">
        <f t="shared" si="6"/>
        <v>200000</v>
      </c>
      <c r="L30" s="260">
        <f t="shared" si="6"/>
        <v>50000</v>
      </c>
    </row>
    <row r="31" spans="1:21" s="261" customFormat="1" x14ac:dyDescent="0.2">
      <c r="A31" s="100" t="str">
        <f>+'6. PEP Mensual'!A42</f>
        <v>2.2.1</v>
      </c>
      <c r="B31" s="101" t="str">
        <f>+'6. PEP Mensual'!B42</f>
        <v>Auditoría financiera</v>
      </c>
      <c r="C31" s="266">
        <f>+'6. PEP Mensual'!C42</f>
        <v>275531.91489361704</v>
      </c>
      <c r="D31" s="266">
        <f>+'6. PEP Mensual'!D42</f>
        <v>74468.085106382976</v>
      </c>
      <c r="E31" s="266">
        <f>+'6. PEP Mensual'!E42</f>
        <v>350000</v>
      </c>
      <c r="F31" s="266">
        <f>SUM('6. PEP Mensual'!F42:Q42)</f>
        <v>50000</v>
      </c>
      <c r="G31" s="266">
        <f>SUM('6. PEP Mensual'!R42:AC42)</f>
        <v>50000</v>
      </c>
      <c r="H31" s="266">
        <f>SUM('6. PEP Mensual'!AD42:AO42)</f>
        <v>50000</v>
      </c>
      <c r="I31" s="266">
        <f>SUM('6. PEP Mensual'!AP42:BA42)</f>
        <v>50000</v>
      </c>
      <c r="J31" s="266">
        <f>SUM('6. PEP Mensual'!BB42:BM42)</f>
        <v>50000</v>
      </c>
      <c r="K31" s="266">
        <f>SUM('6. PEP Mensual'!BN42:BY42)</f>
        <v>50000</v>
      </c>
      <c r="L31" s="266">
        <f>SUM('6. PEP Mensual'!BZ42:CK42)</f>
        <v>50000</v>
      </c>
    </row>
    <row r="32" spans="1:21" s="261" customFormat="1" x14ac:dyDescent="0.2">
      <c r="A32" s="100" t="str">
        <f>+'6. PEP Mensual'!A43</f>
        <v>2.2.2</v>
      </c>
      <c r="B32" s="101" t="str">
        <f>+'6. PEP Mensual'!B43</f>
        <v xml:space="preserve">Estudios de pre inversión y diseños de ingeniería </v>
      </c>
      <c r="C32" s="266">
        <f>+'6. PEP Mensual'!C43</f>
        <v>236170.21276595746</v>
      </c>
      <c r="D32" s="266">
        <f>+'6. PEP Mensual'!D43</f>
        <v>63829.787234042553</v>
      </c>
      <c r="E32" s="266">
        <f>+'6. PEP Mensual'!E43</f>
        <v>300000</v>
      </c>
      <c r="F32" s="266">
        <f>SUM('6. PEP Mensual'!F43:Q43)</f>
        <v>100000</v>
      </c>
      <c r="G32" s="266">
        <f>SUM('6. PEP Mensual'!R43:AC43)</f>
        <v>200000</v>
      </c>
      <c r="H32" s="266">
        <f>SUM('6. PEP Mensual'!AD43:AO43)</f>
        <v>0</v>
      </c>
      <c r="I32" s="266">
        <f>SUM('6. PEP Mensual'!AP43:BA43)</f>
        <v>0</v>
      </c>
      <c r="J32" s="266">
        <f>SUM('6. PEP Mensual'!BB43:BM43)</f>
        <v>0</v>
      </c>
      <c r="K32" s="266">
        <f>SUM('6. PEP Mensual'!BN43:BY43)</f>
        <v>0</v>
      </c>
      <c r="L32" s="266">
        <f>SUM('6. PEP Mensual'!BZ43:CK43)</f>
        <v>0</v>
      </c>
    </row>
    <row r="33" spans="1:12" s="261" customFormat="1" ht="38.25" x14ac:dyDescent="0.2">
      <c r="A33" s="100" t="str">
        <f>+'6. PEP Mensual'!A44</f>
        <v>2.2.3</v>
      </c>
      <c r="B33" s="101" t="str">
        <f>+'6. PEP Mensual'!B44</f>
        <v>Fortalecimiento de departamentos de conservación vial y gobiernos locales para implementación del plan de mantenimiento</v>
      </c>
      <c r="C33" s="266">
        <f>+'6. PEP Mensual'!C44</f>
        <v>118085.10638297873</v>
      </c>
      <c r="D33" s="266">
        <f>+'6. PEP Mensual'!D44</f>
        <v>31914.893617021276</v>
      </c>
      <c r="E33" s="266">
        <f>+'6. PEP Mensual'!E44</f>
        <v>150000</v>
      </c>
      <c r="F33" s="266">
        <f>SUM('6. PEP Mensual'!F44:Q44)</f>
        <v>0</v>
      </c>
      <c r="G33" s="266">
        <f>SUM('6. PEP Mensual'!R44:AC44)</f>
        <v>25000</v>
      </c>
      <c r="H33" s="266">
        <f>SUM('6. PEP Mensual'!AD44:AO44)</f>
        <v>125000</v>
      </c>
      <c r="I33" s="266">
        <f>SUM('6. PEP Mensual'!AP44:BA44)</f>
        <v>0</v>
      </c>
      <c r="J33" s="266">
        <f>SUM('6. PEP Mensual'!BB44:BM44)</f>
        <v>0</v>
      </c>
      <c r="K33" s="266">
        <f>SUM('6. PEP Mensual'!BN44:BY44)</f>
        <v>0</v>
      </c>
      <c r="L33" s="266">
        <f>SUM('6. PEP Mensual'!BZ44:CK44)</f>
        <v>0</v>
      </c>
    </row>
    <row r="34" spans="1:12" s="261" customFormat="1" ht="25.5" x14ac:dyDescent="0.2">
      <c r="A34" s="100" t="str">
        <f>+'6. PEP Mensual'!A45</f>
        <v>2.2.4</v>
      </c>
      <c r="B34" s="101" t="str">
        <f>+'6. PEP Mensual'!B45</f>
        <v>Evaluación final del programa, incluyendo evaluación de impacto</v>
      </c>
      <c r="C34" s="266">
        <f>+'6. PEP Mensual'!C45</f>
        <v>118085.10638297873</v>
      </c>
      <c r="D34" s="266">
        <f>+'6. PEP Mensual'!D45</f>
        <v>31914.893617021276</v>
      </c>
      <c r="E34" s="266">
        <f>+'6. PEP Mensual'!E45</f>
        <v>150000</v>
      </c>
      <c r="F34" s="266">
        <f>SUM('6. PEP Mensual'!F45:Q45)</f>
        <v>0</v>
      </c>
      <c r="G34" s="266">
        <f>SUM('6. PEP Mensual'!R45:AC45)</f>
        <v>0</v>
      </c>
      <c r="H34" s="266">
        <f>SUM('6. PEP Mensual'!AD45:AO45)</f>
        <v>0</v>
      </c>
      <c r="I34" s="266">
        <f>SUM('6. PEP Mensual'!AP45:BA45)</f>
        <v>0</v>
      </c>
      <c r="J34" s="266">
        <f>SUM('6. PEP Mensual'!BB45:BM45)</f>
        <v>0</v>
      </c>
      <c r="K34" s="266">
        <f>SUM('6. PEP Mensual'!BN45:BY45)</f>
        <v>150000</v>
      </c>
      <c r="L34" s="266">
        <f>SUM('6. PEP Mensual'!BZ45:CK45)</f>
        <v>0</v>
      </c>
    </row>
    <row r="35" spans="1:12" s="261" customFormat="1" x14ac:dyDescent="0.2">
      <c r="A35" s="100" t="str">
        <f>+'6. PEP Mensual'!A46</f>
        <v>2.2.5</v>
      </c>
      <c r="B35" s="101" t="str">
        <f>+'6. PEP Mensual'!B46</f>
        <v>Levantamiento de Línea de Base</v>
      </c>
      <c r="C35" s="266">
        <f>+'6. PEP Mensual'!C46</f>
        <v>39361.702127659577</v>
      </c>
      <c r="D35" s="266">
        <f>+'6. PEP Mensual'!D46</f>
        <v>10638.297872340425</v>
      </c>
      <c r="E35" s="266">
        <f>+'6. PEP Mensual'!E46</f>
        <v>50000</v>
      </c>
      <c r="F35" s="266">
        <f>SUM('6. PEP Mensual'!F46:Q46)</f>
        <v>50000</v>
      </c>
      <c r="G35" s="266">
        <f>SUM('6. PEP Mensual'!R46:AC46)</f>
        <v>0</v>
      </c>
      <c r="H35" s="266">
        <f>SUM('6. PEP Mensual'!AD46:AO46)</f>
        <v>0</v>
      </c>
      <c r="I35" s="266">
        <f>SUM('6. PEP Mensual'!AP46:BA46)</f>
        <v>0</v>
      </c>
      <c r="J35" s="266">
        <f>SUM('6. PEP Mensual'!BB46:BM46)</f>
        <v>0</v>
      </c>
      <c r="K35" s="266">
        <f>SUM('6. PEP Mensual'!BN46:BY46)</f>
        <v>0</v>
      </c>
      <c r="L35" s="266">
        <f>SUM('6. PEP Mensual'!BZ46:CK46)</f>
        <v>0</v>
      </c>
    </row>
    <row r="36" spans="1:12" s="154" customFormat="1" x14ac:dyDescent="0.2">
      <c r="A36" s="262"/>
      <c r="B36" s="263" t="s">
        <v>217</v>
      </c>
      <c r="C36" s="264">
        <f t="shared" ref="C36:L36" si="7">+C27+C9</f>
        <v>185000000</v>
      </c>
      <c r="D36" s="264">
        <f t="shared" si="7"/>
        <v>50000000</v>
      </c>
      <c r="E36" s="264">
        <f t="shared" si="7"/>
        <v>235000000</v>
      </c>
      <c r="F36" s="264">
        <f>+F27+F9</f>
        <v>54940012.102786675</v>
      </c>
      <c r="G36" s="264">
        <f t="shared" si="7"/>
        <v>93618583.176409155</v>
      </c>
      <c r="H36" s="264">
        <f t="shared" si="7"/>
        <v>44970608.30977226</v>
      </c>
      <c r="I36" s="264">
        <f t="shared" si="7"/>
        <v>21788388.820723403</v>
      </c>
      <c r="J36" s="264">
        <f t="shared" si="7"/>
        <v>7233613.6336519755</v>
      </c>
      <c r="K36" s="264">
        <f t="shared" si="7"/>
        <v>7049942.6930091185</v>
      </c>
      <c r="L36" s="264">
        <f t="shared" si="7"/>
        <v>5398851.2036474161</v>
      </c>
    </row>
    <row r="37" spans="1:12" s="154" customFormat="1" x14ac:dyDescent="0.2">
      <c r="A37" s="262"/>
      <c r="B37" s="263" t="s">
        <v>218</v>
      </c>
      <c r="C37" s="265"/>
      <c r="D37" s="265"/>
      <c r="E37" s="265"/>
      <c r="F37" s="265">
        <f>F36</f>
        <v>54940012.102786675</v>
      </c>
      <c r="G37" s="265">
        <f>F37+G36</f>
        <v>148558595.27919585</v>
      </c>
      <c r="H37" s="265">
        <f t="shared" ref="H37:K37" si="8">G37+H36</f>
        <v>193529203.5889681</v>
      </c>
      <c r="I37" s="265">
        <f t="shared" si="8"/>
        <v>215317592.40969151</v>
      </c>
      <c r="J37" s="265">
        <f t="shared" si="8"/>
        <v>222551206.04334348</v>
      </c>
      <c r="K37" s="265">
        <f t="shared" si="8"/>
        <v>229601148.73635259</v>
      </c>
      <c r="L37" s="265">
        <f>K37+L36</f>
        <v>234999999.94</v>
      </c>
    </row>
    <row r="38" spans="1:12" x14ac:dyDescent="0.2">
      <c r="F38" s="614">
        <f>F36/$E$36</f>
        <v>0.23378728554377309</v>
      </c>
      <c r="G38" s="614">
        <f t="shared" ref="G38:L38" si="9">G36/$E$36</f>
        <v>0.39837694968684745</v>
      </c>
      <c r="H38" s="614">
        <f t="shared" si="9"/>
        <v>0.19136429067988195</v>
      </c>
      <c r="I38" s="614">
        <f t="shared" si="9"/>
        <v>9.2716548173291072E-2</v>
      </c>
      <c r="J38" s="614">
        <f t="shared" si="9"/>
        <v>3.0781334611285002E-2</v>
      </c>
      <c r="K38" s="614">
        <f t="shared" si="9"/>
        <v>2.9999756140464334E-2</v>
      </c>
      <c r="L38" s="614">
        <f t="shared" si="9"/>
        <v>2.2973834909137941E-2</v>
      </c>
    </row>
  </sheetData>
  <mergeCells count="1">
    <mergeCell ref="A8:B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BE16-95B0-44F6-A506-AC27BE370A6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3"/>
  <sheetViews>
    <sheetView showGridLines="0" zoomScale="70" zoomScaleNormal="70" workbookViewId="0">
      <selection activeCell="D8" sqref="D8"/>
    </sheetView>
  </sheetViews>
  <sheetFormatPr defaultColWidth="9.140625" defaultRowHeight="12" x14ac:dyDescent="0.2"/>
  <cols>
    <col min="1" max="1" width="8.42578125" style="168" customWidth="1"/>
    <col min="2" max="2" width="14.42578125" style="178" customWidth="1"/>
    <col min="3" max="3" width="15.42578125" style="176" customWidth="1"/>
    <col min="4" max="4" width="16.42578125" style="176" customWidth="1"/>
    <col min="5" max="5" width="16.140625" style="176" customWidth="1"/>
    <col min="6" max="6" width="13.7109375" style="168" customWidth="1"/>
    <col min="7" max="7" width="18.85546875" style="168" customWidth="1"/>
    <col min="8" max="8" width="15.7109375" style="173" customWidth="1"/>
    <col min="9" max="9" width="18" style="168" customWidth="1"/>
    <col min="10" max="10" width="22.7109375" style="168" customWidth="1"/>
    <col min="11" max="11" width="13.140625" style="168" bestFit="1" customWidth="1"/>
    <col min="12" max="12" width="13.42578125" style="168" customWidth="1"/>
    <col min="13" max="13" width="14.7109375" style="168" customWidth="1"/>
    <col min="14" max="14" width="14.7109375" style="168" bestFit="1" customWidth="1"/>
    <col min="15" max="19" width="14.42578125" style="168" customWidth="1"/>
    <col min="20" max="20" width="14.85546875" style="168" bestFit="1" customWidth="1"/>
    <col min="21" max="21" width="10.85546875" style="168" bestFit="1" customWidth="1"/>
    <col min="22" max="22" width="9.140625" style="168"/>
    <col min="23" max="23" width="10.28515625" style="168" bestFit="1" customWidth="1"/>
    <col min="24" max="26" width="9.140625" style="168"/>
    <col min="27" max="27" width="10" style="168" bestFit="1" customWidth="1"/>
    <col min="28" max="256" width="9.140625" style="168"/>
    <col min="257" max="257" width="8.42578125" style="168" customWidth="1"/>
    <col min="258" max="258" width="14.42578125" style="168" customWidth="1"/>
    <col min="259" max="259" width="15.42578125" style="168" customWidth="1"/>
    <col min="260" max="260" width="16.42578125" style="168" customWidth="1"/>
    <col min="261" max="261" width="16.140625" style="168" customWidth="1"/>
    <col min="262" max="262" width="13.7109375" style="168" customWidth="1"/>
    <col min="263" max="263" width="18.85546875" style="168" customWidth="1"/>
    <col min="264" max="264" width="15.7109375" style="168" customWidth="1"/>
    <col min="265" max="266" width="16.5703125" style="168" customWidth="1"/>
    <col min="267" max="267" width="13.140625" style="168" bestFit="1" customWidth="1"/>
    <col min="268" max="268" width="13.42578125" style="168" customWidth="1"/>
    <col min="269" max="269" width="14.7109375" style="168" customWidth="1"/>
    <col min="270" max="270" width="14.7109375" style="168" bestFit="1" customWidth="1"/>
    <col min="271" max="275" width="14.42578125" style="168" customWidth="1"/>
    <col min="276" max="276" width="14.85546875" style="168" bestFit="1" customWidth="1"/>
    <col min="277" max="277" width="10.85546875" style="168" bestFit="1" customWidth="1"/>
    <col min="278" max="512" width="9.140625" style="168"/>
    <col min="513" max="513" width="8.42578125" style="168" customWidth="1"/>
    <col min="514" max="514" width="14.42578125" style="168" customWidth="1"/>
    <col min="515" max="515" width="15.42578125" style="168" customWidth="1"/>
    <col min="516" max="516" width="16.42578125" style="168" customWidth="1"/>
    <col min="517" max="517" width="16.140625" style="168" customWidth="1"/>
    <col min="518" max="518" width="13.7109375" style="168" customWidth="1"/>
    <col min="519" max="519" width="18.85546875" style="168" customWidth="1"/>
    <col min="520" max="520" width="15.7109375" style="168" customWidth="1"/>
    <col min="521" max="522" width="16.5703125" style="168" customWidth="1"/>
    <col min="523" max="523" width="13.140625" style="168" bestFit="1" customWidth="1"/>
    <col min="524" max="524" width="13.42578125" style="168" customWidth="1"/>
    <col min="525" max="525" width="14.7109375" style="168" customWidth="1"/>
    <col min="526" max="526" width="14.7109375" style="168" bestFit="1" customWidth="1"/>
    <col min="527" max="531" width="14.42578125" style="168" customWidth="1"/>
    <col min="532" max="532" width="14.85546875" style="168" bestFit="1" customWidth="1"/>
    <col min="533" max="533" width="10.85546875" style="168" bestFit="1" customWidth="1"/>
    <col min="534" max="768" width="9.140625" style="168"/>
    <col min="769" max="769" width="8.42578125" style="168" customWidth="1"/>
    <col min="770" max="770" width="14.42578125" style="168" customWidth="1"/>
    <col min="771" max="771" width="15.42578125" style="168" customWidth="1"/>
    <col min="772" max="772" width="16.42578125" style="168" customWidth="1"/>
    <col min="773" max="773" width="16.140625" style="168" customWidth="1"/>
    <col min="774" max="774" width="13.7109375" style="168" customWidth="1"/>
    <col min="775" max="775" width="18.85546875" style="168" customWidth="1"/>
    <col min="776" max="776" width="15.7109375" style="168" customWidth="1"/>
    <col min="777" max="778" width="16.5703125" style="168" customWidth="1"/>
    <col min="779" max="779" width="13.140625" style="168" bestFit="1" customWidth="1"/>
    <col min="780" max="780" width="13.42578125" style="168" customWidth="1"/>
    <col min="781" max="781" width="14.7109375" style="168" customWidth="1"/>
    <col min="782" max="782" width="14.7109375" style="168" bestFit="1" customWidth="1"/>
    <col min="783" max="787" width="14.42578125" style="168" customWidth="1"/>
    <col min="788" max="788" width="14.85546875" style="168" bestFit="1" customWidth="1"/>
    <col min="789" max="789" width="10.85546875" style="168" bestFit="1" customWidth="1"/>
    <col min="790" max="1024" width="9.140625" style="168"/>
    <col min="1025" max="1025" width="8.42578125" style="168" customWidth="1"/>
    <col min="1026" max="1026" width="14.42578125" style="168" customWidth="1"/>
    <col min="1027" max="1027" width="15.42578125" style="168" customWidth="1"/>
    <col min="1028" max="1028" width="16.42578125" style="168" customWidth="1"/>
    <col min="1029" max="1029" width="16.140625" style="168" customWidth="1"/>
    <col min="1030" max="1030" width="13.7109375" style="168" customWidth="1"/>
    <col min="1031" max="1031" width="18.85546875" style="168" customWidth="1"/>
    <col min="1032" max="1032" width="15.7109375" style="168" customWidth="1"/>
    <col min="1033" max="1034" width="16.5703125" style="168" customWidth="1"/>
    <col min="1035" max="1035" width="13.140625" style="168" bestFit="1" customWidth="1"/>
    <col min="1036" max="1036" width="13.42578125" style="168" customWidth="1"/>
    <col min="1037" max="1037" width="14.7109375" style="168" customWidth="1"/>
    <col min="1038" max="1038" width="14.7109375" style="168" bestFit="1" customWidth="1"/>
    <col min="1039" max="1043" width="14.42578125" style="168" customWidth="1"/>
    <col min="1044" max="1044" width="14.85546875" style="168" bestFit="1" customWidth="1"/>
    <col min="1045" max="1045" width="10.85546875" style="168" bestFit="1" customWidth="1"/>
    <col min="1046" max="1280" width="9.140625" style="168"/>
    <col min="1281" max="1281" width="8.42578125" style="168" customWidth="1"/>
    <col min="1282" max="1282" width="14.42578125" style="168" customWidth="1"/>
    <col min="1283" max="1283" width="15.42578125" style="168" customWidth="1"/>
    <col min="1284" max="1284" width="16.42578125" style="168" customWidth="1"/>
    <col min="1285" max="1285" width="16.140625" style="168" customWidth="1"/>
    <col min="1286" max="1286" width="13.7109375" style="168" customWidth="1"/>
    <col min="1287" max="1287" width="18.85546875" style="168" customWidth="1"/>
    <col min="1288" max="1288" width="15.7109375" style="168" customWidth="1"/>
    <col min="1289" max="1290" width="16.5703125" style="168" customWidth="1"/>
    <col min="1291" max="1291" width="13.140625" style="168" bestFit="1" customWidth="1"/>
    <col min="1292" max="1292" width="13.42578125" style="168" customWidth="1"/>
    <col min="1293" max="1293" width="14.7109375" style="168" customWidth="1"/>
    <col min="1294" max="1294" width="14.7109375" style="168" bestFit="1" customWidth="1"/>
    <col min="1295" max="1299" width="14.42578125" style="168" customWidth="1"/>
    <col min="1300" max="1300" width="14.85546875" style="168" bestFit="1" customWidth="1"/>
    <col min="1301" max="1301" width="10.85546875" style="168" bestFit="1" customWidth="1"/>
    <col min="1302" max="1536" width="9.140625" style="168"/>
    <col min="1537" max="1537" width="8.42578125" style="168" customWidth="1"/>
    <col min="1538" max="1538" width="14.42578125" style="168" customWidth="1"/>
    <col min="1539" max="1539" width="15.42578125" style="168" customWidth="1"/>
    <col min="1540" max="1540" width="16.42578125" style="168" customWidth="1"/>
    <col min="1541" max="1541" width="16.140625" style="168" customWidth="1"/>
    <col min="1542" max="1542" width="13.7109375" style="168" customWidth="1"/>
    <col min="1543" max="1543" width="18.85546875" style="168" customWidth="1"/>
    <col min="1544" max="1544" width="15.7109375" style="168" customWidth="1"/>
    <col min="1545" max="1546" width="16.5703125" style="168" customWidth="1"/>
    <col min="1547" max="1547" width="13.140625" style="168" bestFit="1" customWidth="1"/>
    <col min="1548" max="1548" width="13.42578125" style="168" customWidth="1"/>
    <col min="1549" max="1549" width="14.7109375" style="168" customWidth="1"/>
    <col min="1550" max="1550" width="14.7109375" style="168" bestFit="1" customWidth="1"/>
    <col min="1551" max="1555" width="14.42578125" style="168" customWidth="1"/>
    <col min="1556" max="1556" width="14.85546875" style="168" bestFit="1" customWidth="1"/>
    <col min="1557" max="1557" width="10.85546875" style="168" bestFit="1" customWidth="1"/>
    <col min="1558" max="1792" width="9.140625" style="168"/>
    <col min="1793" max="1793" width="8.42578125" style="168" customWidth="1"/>
    <col min="1794" max="1794" width="14.42578125" style="168" customWidth="1"/>
    <col min="1795" max="1795" width="15.42578125" style="168" customWidth="1"/>
    <col min="1796" max="1796" width="16.42578125" style="168" customWidth="1"/>
    <col min="1797" max="1797" width="16.140625" style="168" customWidth="1"/>
    <col min="1798" max="1798" width="13.7109375" style="168" customWidth="1"/>
    <col min="1799" max="1799" width="18.85546875" style="168" customWidth="1"/>
    <col min="1800" max="1800" width="15.7109375" style="168" customWidth="1"/>
    <col min="1801" max="1802" width="16.5703125" style="168" customWidth="1"/>
    <col min="1803" max="1803" width="13.140625" style="168" bestFit="1" customWidth="1"/>
    <col min="1804" max="1804" width="13.42578125" style="168" customWidth="1"/>
    <col min="1805" max="1805" width="14.7109375" style="168" customWidth="1"/>
    <col min="1806" max="1806" width="14.7109375" style="168" bestFit="1" customWidth="1"/>
    <col min="1807" max="1811" width="14.42578125" style="168" customWidth="1"/>
    <col min="1812" max="1812" width="14.85546875" style="168" bestFit="1" customWidth="1"/>
    <col min="1813" max="1813" width="10.85546875" style="168" bestFit="1" customWidth="1"/>
    <col min="1814" max="2048" width="9.140625" style="168"/>
    <col min="2049" max="2049" width="8.42578125" style="168" customWidth="1"/>
    <col min="2050" max="2050" width="14.42578125" style="168" customWidth="1"/>
    <col min="2051" max="2051" width="15.42578125" style="168" customWidth="1"/>
    <col min="2052" max="2052" width="16.42578125" style="168" customWidth="1"/>
    <col min="2053" max="2053" width="16.140625" style="168" customWidth="1"/>
    <col min="2054" max="2054" width="13.7109375" style="168" customWidth="1"/>
    <col min="2055" max="2055" width="18.85546875" style="168" customWidth="1"/>
    <col min="2056" max="2056" width="15.7109375" style="168" customWidth="1"/>
    <col min="2057" max="2058" width="16.5703125" style="168" customWidth="1"/>
    <col min="2059" max="2059" width="13.140625" style="168" bestFit="1" customWidth="1"/>
    <col min="2060" max="2060" width="13.42578125" style="168" customWidth="1"/>
    <col min="2061" max="2061" width="14.7109375" style="168" customWidth="1"/>
    <col min="2062" max="2062" width="14.7109375" style="168" bestFit="1" customWidth="1"/>
    <col min="2063" max="2067" width="14.42578125" style="168" customWidth="1"/>
    <col min="2068" max="2068" width="14.85546875" style="168" bestFit="1" customWidth="1"/>
    <col min="2069" max="2069" width="10.85546875" style="168" bestFit="1" customWidth="1"/>
    <col min="2070" max="2304" width="9.140625" style="168"/>
    <col min="2305" max="2305" width="8.42578125" style="168" customWidth="1"/>
    <col min="2306" max="2306" width="14.42578125" style="168" customWidth="1"/>
    <col min="2307" max="2307" width="15.42578125" style="168" customWidth="1"/>
    <col min="2308" max="2308" width="16.42578125" style="168" customWidth="1"/>
    <col min="2309" max="2309" width="16.140625" style="168" customWidth="1"/>
    <col min="2310" max="2310" width="13.7109375" style="168" customWidth="1"/>
    <col min="2311" max="2311" width="18.85546875" style="168" customWidth="1"/>
    <col min="2312" max="2312" width="15.7109375" style="168" customWidth="1"/>
    <col min="2313" max="2314" width="16.5703125" style="168" customWidth="1"/>
    <col min="2315" max="2315" width="13.140625" style="168" bestFit="1" customWidth="1"/>
    <col min="2316" max="2316" width="13.42578125" style="168" customWidth="1"/>
    <col min="2317" max="2317" width="14.7109375" style="168" customWidth="1"/>
    <col min="2318" max="2318" width="14.7109375" style="168" bestFit="1" customWidth="1"/>
    <col min="2319" max="2323" width="14.42578125" style="168" customWidth="1"/>
    <col min="2324" max="2324" width="14.85546875" style="168" bestFit="1" customWidth="1"/>
    <col min="2325" max="2325" width="10.85546875" style="168" bestFit="1" customWidth="1"/>
    <col min="2326" max="2560" width="9.140625" style="168"/>
    <col min="2561" max="2561" width="8.42578125" style="168" customWidth="1"/>
    <col min="2562" max="2562" width="14.42578125" style="168" customWidth="1"/>
    <col min="2563" max="2563" width="15.42578125" style="168" customWidth="1"/>
    <col min="2564" max="2564" width="16.42578125" style="168" customWidth="1"/>
    <col min="2565" max="2565" width="16.140625" style="168" customWidth="1"/>
    <col min="2566" max="2566" width="13.7109375" style="168" customWidth="1"/>
    <col min="2567" max="2567" width="18.85546875" style="168" customWidth="1"/>
    <col min="2568" max="2568" width="15.7109375" style="168" customWidth="1"/>
    <col min="2569" max="2570" width="16.5703125" style="168" customWidth="1"/>
    <col min="2571" max="2571" width="13.140625" style="168" bestFit="1" customWidth="1"/>
    <col min="2572" max="2572" width="13.42578125" style="168" customWidth="1"/>
    <col min="2573" max="2573" width="14.7109375" style="168" customWidth="1"/>
    <col min="2574" max="2574" width="14.7109375" style="168" bestFit="1" customWidth="1"/>
    <col min="2575" max="2579" width="14.42578125" style="168" customWidth="1"/>
    <col min="2580" max="2580" width="14.85546875" style="168" bestFit="1" customWidth="1"/>
    <col min="2581" max="2581" width="10.85546875" style="168" bestFit="1" customWidth="1"/>
    <col min="2582" max="2816" width="9.140625" style="168"/>
    <col min="2817" max="2817" width="8.42578125" style="168" customWidth="1"/>
    <col min="2818" max="2818" width="14.42578125" style="168" customWidth="1"/>
    <col min="2819" max="2819" width="15.42578125" style="168" customWidth="1"/>
    <col min="2820" max="2820" width="16.42578125" style="168" customWidth="1"/>
    <col min="2821" max="2821" width="16.140625" style="168" customWidth="1"/>
    <col min="2822" max="2822" width="13.7109375" style="168" customWidth="1"/>
    <col min="2823" max="2823" width="18.85546875" style="168" customWidth="1"/>
    <col min="2824" max="2824" width="15.7109375" style="168" customWidth="1"/>
    <col min="2825" max="2826" width="16.5703125" style="168" customWidth="1"/>
    <col min="2827" max="2827" width="13.140625" style="168" bestFit="1" customWidth="1"/>
    <col min="2828" max="2828" width="13.42578125" style="168" customWidth="1"/>
    <col min="2829" max="2829" width="14.7109375" style="168" customWidth="1"/>
    <col min="2830" max="2830" width="14.7109375" style="168" bestFit="1" customWidth="1"/>
    <col min="2831" max="2835" width="14.42578125" style="168" customWidth="1"/>
    <col min="2836" max="2836" width="14.85546875" style="168" bestFit="1" customWidth="1"/>
    <col min="2837" max="2837" width="10.85546875" style="168" bestFit="1" customWidth="1"/>
    <col min="2838" max="3072" width="9.140625" style="168"/>
    <col min="3073" max="3073" width="8.42578125" style="168" customWidth="1"/>
    <col min="3074" max="3074" width="14.42578125" style="168" customWidth="1"/>
    <col min="3075" max="3075" width="15.42578125" style="168" customWidth="1"/>
    <col min="3076" max="3076" width="16.42578125" style="168" customWidth="1"/>
    <col min="3077" max="3077" width="16.140625" style="168" customWidth="1"/>
    <col min="3078" max="3078" width="13.7109375" style="168" customWidth="1"/>
    <col min="3079" max="3079" width="18.85546875" style="168" customWidth="1"/>
    <col min="3080" max="3080" width="15.7109375" style="168" customWidth="1"/>
    <col min="3081" max="3082" width="16.5703125" style="168" customWidth="1"/>
    <col min="3083" max="3083" width="13.140625" style="168" bestFit="1" customWidth="1"/>
    <col min="3084" max="3084" width="13.42578125" style="168" customWidth="1"/>
    <col min="3085" max="3085" width="14.7109375" style="168" customWidth="1"/>
    <col min="3086" max="3086" width="14.7109375" style="168" bestFit="1" customWidth="1"/>
    <col min="3087" max="3091" width="14.42578125" style="168" customWidth="1"/>
    <col min="3092" max="3092" width="14.85546875" style="168" bestFit="1" customWidth="1"/>
    <col min="3093" max="3093" width="10.85546875" style="168" bestFit="1" customWidth="1"/>
    <col min="3094" max="3328" width="9.140625" style="168"/>
    <col min="3329" max="3329" width="8.42578125" style="168" customWidth="1"/>
    <col min="3330" max="3330" width="14.42578125" style="168" customWidth="1"/>
    <col min="3331" max="3331" width="15.42578125" style="168" customWidth="1"/>
    <col min="3332" max="3332" width="16.42578125" style="168" customWidth="1"/>
    <col min="3333" max="3333" width="16.140625" style="168" customWidth="1"/>
    <col min="3334" max="3334" width="13.7109375" style="168" customWidth="1"/>
    <col min="3335" max="3335" width="18.85546875" style="168" customWidth="1"/>
    <col min="3336" max="3336" width="15.7109375" style="168" customWidth="1"/>
    <col min="3337" max="3338" width="16.5703125" style="168" customWidth="1"/>
    <col min="3339" max="3339" width="13.140625" style="168" bestFit="1" customWidth="1"/>
    <col min="3340" max="3340" width="13.42578125" style="168" customWidth="1"/>
    <col min="3341" max="3341" width="14.7109375" style="168" customWidth="1"/>
    <col min="3342" max="3342" width="14.7109375" style="168" bestFit="1" customWidth="1"/>
    <col min="3343" max="3347" width="14.42578125" style="168" customWidth="1"/>
    <col min="3348" max="3348" width="14.85546875" style="168" bestFit="1" customWidth="1"/>
    <col min="3349" max="3349" width="10.85546875" style="168" bestFit="1" customWidth="1"/>
    <col min="3350" max="3584" width="9.140625" style="168"/>
    <col min="3585" max="3585" width="8.42578125" style="168" customWidth="1"/>
    <col min="3586" max="3586" width="14.42578125" style="168" customWidth="1"/>
    <col min="3587" max="3587" width="15.42578125" style="168" customWidth="1"/>
    <col min="3588" max="3588" width="16.42578125" style="168" customWidth="1"/>
    <col min="3589" max="3589" width="16.140625" style="168" customWidth="1"/>
    <col min="3590" max="3590" width="13.7109375" style="168" customWidth="1"/>
    <col min="3591" max="3591" width="18.85546875" style="168" customWidth="1"/>
    <col min="3592" max="3592" width="15.7109375" style="168" customWidth="1"/>
    <col min="3593" max="3594" width="16.5703125" style="168" customWidth="1"/>
    <col min="3595" max="3595" width="13.140625" style="168" bestFit="1" customWidth="1"/>
    <col min="3596" max="3596" width="13.42578125" style="168" customWidth="1"/>
    <col min="3597" max="3597" width="14.7109375" style="168" customWidth="1"/>
    <col min="3598" max="3598" width="14.7109375" style="168" bestFit="1" customWidth="1"/>
    <col min="3599" max="3603" width="14.42578125" style="168" customWidth="1"/>
    <col min="3604" max="3604" width="14.85546875" style="168" bestFit="1" customWidth="1"/>
    <col min="3605" max="3605" width="10.85546875" style="168" bestFit="1" customWidth="1"/>
    <col min="3606" max="3840" width="9.140625" style="168"/>
    <col min="3841" max="3841" width="8.42578125" style="168" customWidth="1"/>
    <col min="3842" max="3842" width="14.42578125" style="168" customWidth="1"/>
    <col min="3843" max="3843" width="15.42578125" style="168" customWidth="1"/>
    <col min="3844" max="3844" width="16.42578125" style="168" customWidth="1"/>
    <col min="3845" max="3845" width="16.140625" style="168" customWidth="1"/>
    <col min="3846" max="3846" width="13.7109375" style="168" customWidth="1"/>
    <col min="3847" max="3847" width="18.85546875" style="168" customWidth="1"/>
    <col min="3848" max="3848" width="15.7109375" style="168" customWidth="1"/>
    <col min="3849" max="3850" width="16.5703125" style="168" customWidth="1"/>
    <col min="3851" max="3851" width="13.140625" style="168" bestFit="1" customWidth="1"/>
    <col min="3852" max="3852" width="13.42578125" style="168" customWidth="1"/>
    <col min="3853" max="3853" width="14.7109375" style="168" customWidth="1"/>
    <col min="3854" max="3854" width="14.7109375" style="168" bestFit="1" customWidth="1"/>
    <col min="3855" max="3859" width="14.42578125" style="168" customWidth="1"/>
    <col min="3860" max="3860" width="14.85546875" style="168" bestFit="1" customWidth="1"/>
    <col min="3861" max="3861" width="10.85546875" style="168" bestFit="1" customWidth="1"/>
    <col min="3862" max="4096" width="9.140625" style="168"/>
    <col min="4097" max="4097" width="8.42578125" style="168" customWidth="1"/>
    <col min="4098" max="4098" width="14.42578125" style="168" customWidth="1"/>
    <col min="4099" max="4099" width="15.42578125" style="168" customWidth="1"/>
    <col min="4100" max="4100" width="16.42578125" style="168" customWidth="1"/>
    <col min="4101" max="4101" width="16.140625" style="168" customWidth="1"/>
    <col min="4102" max="4102" width="13.7109375" style="168" customWidth="1"/>
    <col min="4103" max="4103" width="18.85546875" style="168" customWidth="1"/>
    <col min="4104" max="4104" width="15.7109375" style="168" customWidth="1"/>
    <col min="4105" max="4106" width="16.5703125" style="168" customWidth="1"/>
    <col min="4107" max="4107" width="13.140625" style="168" bestFit="1" customWidth="1"/>
    <col min="4108" max="4108" width="13.42578125" style="168" customWidth="1"/>
    <col min="4109" max="4109" width="14.7109375" style="168" customWidth="1"/>
    <col min="4110" max="4110" width="14.7109375" style="168" bestFit="1" customWidth="1"/>
    <col min="4111" max="4115" width="14.42578125" style="168" customWidth="1"/>
    <col min="4116" max="4116" width="14.85546875" style="168" bestFit="1" customWidth="1"/>
    <col min="4117" max="4117" width="10.85546875" style="168" bestFit="1" customWidth="1"/>
    <col min="4118" max="4352" width="9.140625" style="168"/>
    <col min="4353" max="4353" width="8.42578125" style="168" customWidth="1"/>
    <col min="4354" max="4354" width="14.42578125" style="168" customWidth="1"/>
    <col min="4355" max="4355" width="15.42578125" style="168" customWidth="1"/>
    <col min="4356" max="4356" width="16.42578125" style="168" customWidth="1"/>
    <col min="4357" max="4357" width="16.140625" style="168" customWidth="1"/>
    <col min="4358" max="4358" width="13.7109375" style="168" customWidth="1"/>
    <col min="4359" max="4359" width="18.85546875" style="168" customWidth="1"/>
    <col min="4360" max="4360" width="15.7109375" style="168" customWidth="1"/>
    <col min="4361" max="4362" width="16.5703125" style="168" customWidth="1"/>
    <col min="4363" max="4363" width="13.140625" style="168" bestFit="1" customWidth="1"/>
    <col min="4364" max="4364" width="13.42578125" style="168" customWidth="1"/>
    <col min="4365" max="4365" width="14.7109375" style="168" customWidth="1"/>
    <col min="4366" max="4366" width="14.7109375" style="168" bestFit="1" customWidth="1"/>
    <col min="4367" max="4371" width="14.42578125" style="168" customWidth="1"/>
    <col min="4372" max="4372" width="14.85546875" style="168" bestFit="1" customWidth="1"/>
    <col min="4373" max="4373" width="10.85546875" style="168" bestFit="1" customWidth="1"/>
    <col min="4374" max="4608" width="9.140625" style="168"/>
    <col min="4609" max="4609" width="8.42578125" style="168" customWidth="1"/>
    <col min="4610" max="4610" width="14.42578125" style="168" customWidth="1"/>
    <col min="4611" max="4611" width="15.42578125" style="168" customWidth="1"/>
    <col min="4612" max="4612" width="16.42578125" style="168" customWidth="1"/>
    <col min="4613" max="4613" width="16.140625" style="168" customWidth="1"/>
    <col min="4614" max="4614" width="13.7109375" style="168" customWidth="1"/>
    <col min="4615" max="4615" width="18.85546875" style="168" customWidth="1"/>
    <col min="4616" max="4616" width="15.7109375" style="168" customWidth="1"/>
    <col min="4617" max="4618" width="16.5703125" style="168" customWidth="1"/>
    <col min="4619" max="4619" width="13.140625" style="168" bestFit="1" customWidth="1"/>
    <col min="4620" max="4620" width="13.42578125" style="168" customWidth="1"/>
    <col min="4621" max="4621" width="14.7109375" style="168" customWidth="1"/>
    <col min="4622" max="4622" width="14.7109375" style="168" bestFit="1" customWidth="1"/>
    <col min="4623" max="4627" width="14.42578125" style="168" customWidth="1"/>
    <col min="4628" max="4628" width="14.85546875" style="168" bestFit="1" customWidth="1"/>
    <col min="4629" max="4629" width="10.85546875" style="168" bestFit="1" customWidth="1"/>
    <col min="4630" max="4864" width="9.140625" style="168"/>
    <col min="4865" max="4865" width="8.42578125" style="168" customWidth="1"/>
    <col min="4866" max="4866" width="14.42578125" style="168" customWidth="1"/>
    <col min="4867" max="4867" width="15.42578125" style="168" customWidth="1"/>
    <col min="4868" max="4868" width="16.42578125" style="168" customWidth="1"/>
    <col min="4869" max="4869" width="16.140625" style="168" customWidth="1"/>
    <col min="4870" max="4870" width="13.7109375" style="168" customWidth="1"/>
    <col min="4871" max="4871" width="18.85546875" style="168" customWidth="1"/>
    <col min="4872" max="4872" width="15.7109375" style="168" customWidth="1"/>
    <col min="4873" max="4874" width="16.5703125" style="168" customWidth="1"/>
    <col min="4875" max="4875" width="13.140625" style="168" bestFit="1" customWidth="1"/>
    <col min="4876" max="4876" width="13.42578125" style="168" customWidth="1"/>
    <col min="4877" max="4877" width="14.7109375" style="168" customWidth="1"/>
    <col min="4878" max="4878" width="14.7109375" style="168" bestFit="1" customWidth="1"/>
    <col min="4879" max="4883" width="14.42578125" style="168" customWidth="1"/>
    <col min="4884" max="4884" width="14.85546875" style="168" bestFit="1" customWidth="1"/>
    <col min="4885" max="4885" width="10.85546875" style="168" bestFit="1" customWidth="1"/>
    <col min="4886" max="5120" width="9.140625" style="168"/>
    <col min="5121" max="5121" width="8.42578125" style="168" customWidth="1"/>
    <col min="5122" max="5122" width="14.42578125" style="168" customWidth="1"/>
    <col min="5123" max="5123" width="15.42578125" style="168" customWidth="1"/>
    <col min="5124" max="5124" width="16.42578125" style="168" customWidth="1"/>
    <col min="5125" max="5125" width="16.140625" style="168" customWidth="1"/>
    <col min="5126" max="5126" width="13.7109375" style="168" customWidth="1"/>
    <col min="5127" max="5127" width="18.85546875" style="168" customWidth="1"/>
    <col min="5128" max="5128" width="15.7109375" style="168" customWidth="1"/>
    <col min="5129" max="5130" width="16.5703125" style="168" customWidth="1"/>
    <col min="5131" max="5131" width="13.140625" style="168" bestFit="1" customWidth="1"/>
    <col min="5132" max="5132" width="13.42578125" style="168" customWidth="1"/>
    <col min="5133" max="5133" width="14.7109375" style="168" customWidth="1"/>
    <col min="5134" max="5134" width="14.7109375" style="168" bestFit="1" customWidth="1"/>
    <col min="5135" max="5139" width="14.42578125" style="168" customWidth="1"/>
    <col min="5140" max="5140" width="14.85546875" style="168" bestFit="1" customWidth="1"/>
    <col min="5141" max="5141" width="10.85546875" style="168" bestFit="1" customWidth="1"/>
    <col min="5142" max="5376" width="9.140625" style="168"/>
    <col min="5377" max="5377" width="8.42578125" style="168" customWidth="1"/>
    <col min="5378" max="5378" width="14.42578125" style="168" customWidth="1"/>
    <col min="5379" max="5379" width="15.42578125" style="168" customWidth="1"/>
    <col min="5380" max="5380" width="16.42578125" style="168" customWidth="1"/>
    <col min="5381" max="5381" width="16.140625" style="168" customWidth="1"/>
    <col min="5382" max="5382" width="13.7109375" style="168" customWidth="1"/>
    <col min="5383" max="5383" width="18.85546875" style="168" customWidth="1"/>
    <col min="5384" max="5384" width="15.7109375" style="168" customWidth="1"/>
    <col min="5385" max="5386" width="16.5703125" style="168" customWidth="1"/>
    <col min="5387" max="5387" width="13.140625" style="168" bestFit="1" customWidth="1"/>
    <col min="5388" max="5388" width="13.42578125" style="168" customWidth="1"/>
    <col min="5389" max="5389" width="14.7109375" style="168" customWidth="1"/>
    <col min="5390" max="5390" width="14.7109375" style="168" bestFit="1" customWidth="1"/>
    <col min="5391" max="5395" width="14.42578125" style="168" customWidth="1"/>
    <col min="5396" max="5396" width="14.85546875" style="168" bestFit="1" customWidth="1"/>
    <col min="5397" max="5397" width="10.85546875" style="168" bestFit="1" customWidth="1"/>
    <col min="5398" max="5632" width="9.140625" style="168"/>
    <col min="5633" max="5633" width="8.42578125" style="168" customWidth="1"/>
    <col min="5634" max="5634" width="14.42578125" style="168" customWidth="1"/>
    <col min="5635" max="5635" width="15.42578125" style="168" customWidth="1"/>
    <col min="5636" max="5636" width="16.42578125" style="168" customWidth="1"/>
    <col min="5637" max="5637" width="16.140625" style="168" customWidth="1"/>
    <col min="5638" max="5638" width="13.7109375" style="168" customWidth="1"/>
    <col min="5639" max="5639" width="18.85546875" style="168" customWidth="1"/>
    <col min="5640" max="5640" width="15.7109375" style="168" customWidth="1"/>
    <col min="5641" max="5642" width="16.5703125" style="168" customWidth="1"/>
    <col min="5643" max="5643" width="13.140625" style="168" bestFit="1" customWidth="1"/>
    <col min="5644" max="5644" width="13.42578125" style="168" customWidth="1"/>
    <col min="5645" max="5645" width="14.7109375" style="168" customWidth="1"/>
    <col min="5646" max="5646" width="14.7109375" style="168" bestFit="1" customWidth="1"/>
    <col min="5647" max="5651" width="14.42578125" style="168" customWidth="1"/>
    <col min="5652" max="5652" width="14.85546875" style="168" bestFit="1" customWidth="1"/>
    <col min="5653" max="5653" width="10.85546875" style="168" bestFit="1" customWidth="1"/>
    <col min="5654" max="5888" width="9.140625" style="168"/>
    <col min="5889" max="5889" width="8.42578125" style="168" customWidth="1"/>
    <col min="5890" max="5890" width="14.42578125" style="168" customWidth="1"/>
    <col min="5891" max="5891" width="15.42578125" style="168" customWidth="1"/>
    <col min="5892" max="5892" width="16.42578125" style="168" customWidth="1"/>
    <col min="5893" max="5893" width="16.140625" style="168" customWidth="1"/>
    <col min="5894" max="5894" width="13.7109375" style="168" customWidth="1"/>
    <col min="5895" max="5895" width="18.85546875" style="168" customWidth="1"/>
    <col min="5896" max="5896" width="15.7109375" style="168" customWidth="1"/>
    <col min="5897" max="5898" width="16.5703125" style="168" customWidth="1"/>
    <col min="5899" max="5899" width="13.140625" style="168" bestFit="1" customWidth="1"/>
    <col min="5900" max="5900" width="13.42578125" style="168" customWidth="1"/>
    <col min="5901" max="5901" width="14.7109375" style="168" customWidth="1"/>
    <col min="5902" max="5902" width="14.7109375" style="168" bestFit="1" customWidth="1"/>
    <col min="5903" max="5907" width="14.42578125" style="168" customWidth="1"/>
    <col min="5908" max="5908" width="14.85546875" style="168" bestFit="1" customWidth="1"/>
    <col min="5909" max="5909" width="10.85546875" style="168" bestFit="1" customWidth="1"/>
    <col min="5910" max="6144" width="9.140625" style="168"/>
    <col min="6145" max="6145" width="8.42578125" style="168" customWidth="1"/>
    <col min="6146" max="6146" width="14.42578125" style="168" customWidth="1"/>
    <col min="6147" max="6147" width="15.42578125" style="168" customWidth="1"/>
    <col min="6148" max="6148" width="16.42578125" style="168" customWidth="1"/>
    <col min="6149" max="6149" width="16.140625" style="168" customWidth="1"/>
    <col min="6150" max="6150" width="13.7109375" style="168" customWidth="1"/>
    <col min="6151" max="6151" width="18.85546875" style="168" customWidth="1"/>
    <col min="6152" max="6152" width="15.7109375" style="168" customWidth="1"/>
    <col min="6153" max="6154" width="16.5703125" style="168" customWidth="1"/>
    <col min="6155" max="6155" width="13.140625" style="168" bestFit="1" customWidth="1"/>
    <col min="6156" max="6156" width="13.42578125" style="168" customWidth="1"/>
    <col min="6157" max="6157" width="14.7109375" style="168" customWidth="1"/>
    <col min="6158" max="6158" width="14.7109375" style="168" bestFit="1" customWidth="1"/>
    <col min="6159" max="6163" width="14.42578125" style="168" customWidth="1"/>
    <col min="6164" max="6164" width="14.85546875" style="168" bestFit="1" customWidth="1"/>
    <col min="6165" max="6165" width="10.85546875" style="168" bestFit="1" customWidth="1"/>
    <col min="6166" max="6400" width="9.140625" style="168"/>
    <col min="6401" max="6401" width="8.42578125" style="168" customWidth="1"/>
    <col min="6402" max="6402" width="14.42578125" style="168" customWidth="1"/>
    <col min="6403" max="6403" width="15.42578125" style="168" customWidth="1"/>
    <col min="6404" max="6404" width="16.42578125" style="168" customWidth="1"/>
    <col min="6405" max="6405" width="16.140625" style="168" customWidth="1"/>
    <col min="6406" max="6406" width="13.7109375" style="168" customWidth="1"/>
    <col min="6407" max="6407" width="18.85546875" style="168" customWidth="1"/>
    <col min="6408" max="6408" width="15.7109375" style="168" customWidth="1"/>
    <col min="6409" max="6410" width="16.5703125" style="168" customWidth="1"/>
    <col min="6411" max="6411" width="13.140625" style="168" bestFit="1" customWidth="1"/>
    <col min="6412" max="6412" width="13.42578125" style="168" customWidth="1"/>
    <col min="6413" max="6413" width="14.7109375" style="168" customWidth="1"/>
    <col min="6414" max="6414" width="14.7109375" style="168" bestFit="1" customWidth="1"/>
    <col min="6415" max="6419" width="14.42578125" style="168" customWidth="1"/>
    <col min="6420" max="6420" width="14.85546875" style="168" bestFit="1" customWidth="1"/>
    <col min="6421" max="6421" width="10.85546875" style="168" bestFit="1" customWidth="1"/>
    <col min="6422" max="6656" width="9.140625" style="168"/>
    <col min="6657" max="6657" width="8.42578125" style="168" customWidth="1"/>
    <col min="6658" max="6658" width="14.42578125" style="168" customWidth="1"/>
    <col min="6659" max="6659" width="15.42578125" style="168" customWidth="1"/>
    <col min="6660" max="6660" width="16.42578125" style="168" customWidth="1"/>
    <col min="6661" max="6661" width="16.140625" style="168" customWidth="1"/>
    <col min="6662" max="6662" width="13.7109375" style="168" customWidth="1"/>
    <col min="6663" max="6663" width="18.85546875" style="168" customWidth="1"/>
    <col min="6664" max="6664" width="15.7109375" style="168" customWidth="1"/>
    <col min="6665" max="6666" width="16.5703125" style="168" customWidth="1"/>
    <col min="6667" max="6667" width="13.140625" style="168" bestFit="1" customWidth="1"/>
    <col min="6668" max="6668" width="13.42578125" style="168" customWidth="1"/>
    <col min="6669" max="6669" width="14.7109375" style="168" customWidth="1"/>
    <col min="6670" max="6670" width="14.7109375" style="168" bestFit="1" customWidth="1"/>
    <col min="6671" max="6675" width="14.42578125" style="168" customWidth="1"/>
    <col min="6676" max="6676" width="14.85546875" style="168" bestFit="1" customWidth="1"/>
    <col min="6677" max="6677" width="10.85546875" style="168" bestFit="1" customWidth="1"/>
    <col min="6678" max="6912" width="9.140625" style="168"/>
    <col min="6913" max="6913" width="8.42578125" style="168" customWidth="1"/>
    <col min="6914" max="6914" width="14.42578125" style="168" customWidth="1"/>
    <col min="6915" max="6915" width="15.42578125" style="168" customWidth="1"/>
    <col min="6916" max="6916" width="16.42578125" style="168" customWidth="1"/>
    <col min="6917" max="6917" width="16.140625" style="168" customWidth="1"/>
    <col min="6918" max="6918" width="13.7109375" style="168" customWidth="1"/>
    <col min="6919" max="6919" width="18.85546875" style="168" customWidth="1"/>
    <col min="6920" max="6920" width="15.7109375" style="168" customWidth="1"/>
    <col min="6921" max="6922" width="16.5703125" style="168" customWidth="1"/>
    <col min="6923" max="6923" width="13.140625" style="168" bestFit="1" customWidth="1"/>
    <col min="6924" max="6924" width="13.42578125" style="168" customWidth="1"/>
    <col min="6925" max="6925" width="14.7109375" style="168" customWidth="1"/>
    <col min="6926" max="6926" width="14.7109375" style="168" bestFit="1" customWidth="1"/>
    <col min="6927" max="6931" width="14.42578125" style="168" customWidth="1"/>
    <col min="6932" max="6932" width="14.85546875" style="168" bestFit="1" customWidth="1"/>
    <col min="6933" max="6933" width="10.85546875" style="168" bestFit="1" customWidth="1"/>
    <col min="6934" max="7168" width="9.140625" style="168"/>
    <col min="7169" max="7169" width="8.42578125" style="168" customWidth="1"/>
    <col min="7170" max="7170" width="14.42578125" style="168" customWidth="1"/>
    <col min="7171" max="7171" width="15.42578125" style="168" customWidth="1"/>
    <col min="7172" max="7172" width="16.42578125" style="168" customWidth="1"/>
    <col min="7173" max="7173" width="16.140625" style="168" customWidth="1"/>
    <col min="7174" max="7174" width="13.7109375" style="168" customWidth="1"/>
    <col min="7175" max="7175" width="18.85546875" style="168" customWidth="1"/>
    <col min="7176" max="7176" width="15.7109375" style="168" customWidth="1"/>
    <col min="7177" max="7178" width="16.5703125" style="168" customWidth="1"/>
    <col min="7179" max="7179" width="13.140625" style="168" bestFit="1" customWidth="1"/>
    <col min="7180" max="7180" width="13.42578125" style="168" customWidth="1"/>
    <col min="7181" max="7181" width="14.7109375" style="168" customWidth="1"/>
    <col min="7182" max="7182" width="14.7109375" style="168" bestFit="1" customWidth="1"/>
    <col min="7183" max="7187" width="14.42578125" style="168" customWidth="1"/>
    <col min="7188" max="7188" width="14.85546875" style="168" bestFit="1" customWidth="1"/>
    <col min="7189" max="7189" width="10.85546875" style="168" bestFit="1" customWidth="1"/>
    <col min="7190" max="7424" width="9.140625" style="168"/>
    <col min="7425" max="7425" width="8.42578125" style="168" customWidth="1"/>
    <col min="7426" max="7426" width="14.42578125" style="168" customWidth="1"/>
    <col min="7427" max="7427" width="15.42578125" style="168" customWidth="1"/>
    <col min="7428" max="7428" width="16.42578125" style="168" customWidth="1"/>
    <col min="7429" max="7429" width="16.140625" style="168" customWidth="1"/>
    <col min="7430" max="7430" width="13.7109375" style="168" customWidth="1"/>
    <col min="7431" max="7431" width="18.85546875" style="168" customWidth="1"/>
    <col min="7432" max="7432" width="15.7109375" style="168" customWidth="1"/>
    <col min="7433" max="7434" width="16.5703125" style="168" customWidth="1"/>
    <col min="7435" max="7435" width="13.140625" style="168" bestFit="1" customWidth="1"/>
    <col min="7436" max="7436" width="13.42578125" style="168" customWidth="1"/>
    <col min="7437" max="7437" width="14.7109375" style="168" customWidth="1"/>
    <col min="7438" max="7438" width="14.7109375" style="168" bestFit="1" customWidth="1"/>
    <col min="7439" max="7443" width="14.42578125" style="168" customWidth="1"/>
    <col min="7444" max="7444" width="14.85546875" style="168" bestFit="1" customWidth="1"/>
    <col min="7445" max="7445" width="10.85546875" style="168" bestFit="1" customWidth="1"/>
    <col min="7446" max="7680" width="9.140625" style="168"/>
    <col min="7681" max="7681" width="8.42578125" style="168" customWidth="1"/>
    <col min="7682" max="7682" width="14.42578125" style="168" customWidth="1"/>
    <col min="7683" max="7683" width="15.42578125" style="168" customWidth="1"/>
    <col min="7684" max="7684" width="16.42578125" style="168" customWidth="1"/>
    <col min="7685" max="7685" width="16.140625" style="168" customWidth="1"/>
    <col min="7686" max="7686" width="13.7109375" style="168" customWidth="1"/>
    <col min="7687" max="7687" width="18.85546875" style="168" customWidth="1"/>
    <col min="7688" max="7688" width="15.7109375" style="168" customWidth="1"/>
    <col min="7689" max="7690" width="16.5703125" style="168" customWidth="1"/>
    <col min="7691" max="7691" width="13.140625" style="168" bestFit="1" customWidth="1"/>
    <col min="7692" max="7692" width="13.42578125" style="168" customWidth="1"/>
    <col min="7693" max="7693" width="14.7109375" style="168" customWidth="1"/>
    <col min="7694" max="7694" width="14.7109375" style="168" bestFit="1" customWidth="1"/>
    <col min="7695" max="7699" width="14.42578125" style="168" customWidth="1"/>
    <col min="7700" max="7700" width="14.85546875" style="168" bestFit="1" customWidth="1"/>
    <col min="7701" max="7701" width="10.85546875" style="168" bestFit="1" customWidth="1"/>
    <col min="7702" max="7936" width="9.140625" style="168"/>
    <col min="7937" max="7937" width="8.42578125" style="168" customWidth="1"/>
    <col min="7938" max="7938" width="14.42578125" style="168" customWidth="1"/>
    <col min="7939" max="7939" width="15.42578125" style="168" customWidth="1"/>
    <col min="7940" max="7940" width="16.42578125" style="168" customWidth="1"/>
    <col min="7941" max="7941" width="16.140625" style="168" customWidth="1"/>
    <col min="7942" max="7942" width="13.7109375" style="168" customWidth="1"/>
    <col min="7943" max="7943" width="18.85546875" style="168" customWidth="1"/>
    <col min="7944" max="7944" width="15.7109375" style="168" customWidth="1"/>
    <col min="7945" max="7946" width="16.5703125" style="168" customWidth="1"/>
    <col min="7947" max="7947" width="13.140625" style="168" bestFit="1" customWidth="1"/>
    <col min="7948" max="7948" width="13.42578125" style="168" customWidth="1"/>
    <col min="7949" max="7949" width="14.7109375" style="168" customWidth="1"/>
    <col min="7950" max="7950" width="14.7109375" style="168" bestFit="1" customWidth="1"/>
    <col min="7951" max="7955" width="14.42578125" style="168" customWidth="1"/>
    <col min="7956" max="7956" width="14.85546875" style="168" bestFit="1" customWidth="1"/>
    <col min="7957" max="7957" width="10.85546875" style="168" bestFit="1" customWidth="1"/>
    <col min="7958" max="8192" width="9.140625" style="168"/>
    <col min="8193" max="8193" width="8.42578125" style="168" customWidth="1"/>
    <col min="8194" max="8194" width="14.42578125" style="168" customWidth="1"/>
    <col min="8195" max="8195" width="15.42578125" style="168" customWidth="1"/>
    <col min="8196" max="8196" width="16.42578125" style="168" customWidth="1"/>
    <col min="8197" max="8197" width="16.140625" style="168" customWidth="1"/>
    <col min="8198" max="8198" width="13.7109375" style="168" customWidth="1"/>
    <col min="8199" max="8199" width="18.85546875" style="168" customWidth="1"/>
    <col min="8200" max="8200" width="15.7109375" style="168" customWidth="1"/>
    <col min="8201" max="8202" width="16.5703125" style="168" customWidth="1"/>
    <col min="8203" max="8203" width="13.140625" style="168" bestFit="1" customWidth="1"/>
    <col min="8204" max="8204" width="13.42578125" style="168" customWidth="1"/>
    <col min="8205" max="8205" width="14.7109375" style="168" customWidth="1"/>
    <col min="8206" max="8206" width="14.7109375" style="168" bestFit="1" customWidth="1"/>
    <col min="8207" max="8211" width="14.42578125" style="168" customWidth="1"/>
    <col min="8212" max="8212" width="14.85546875" style="168" bestFit="1" customWidth="1"/>
    <col min="8213" max="8213" width="10.85546875" style="168" bestFit="1" customWidth="1"/>
    <col min="8214" max="8448" width="9.140625" style="168"/>
    <col min="8449" max="8449" width="8.42578125" style="168" customWidth="1"/>
    <col min="8450" max="8450" width="14.42578125" style="168" customWidth="1"/>
    <col min="8451" max="8451" width="15.42578125" style="168" customWidth="1"/>
    <col min="8452" max="8452" width="16.42578125" style="168" customWidth="1"/>
    <col min="8453" max="8453" width="16.140625" style="168" customWidth="1"/>
    <col min="8454" max="8454" width="13.7109375" style="168" customWidth="1"/>
    <col min="8455" max="8455" width="18.85546875" style="168" customWidth="1"/>
    <col min="8456" max="8456" width="15.7109375" style="168" customWidth="1"/>
    <col min="8457" max="8458" width="16.5703125" style="168" customWidth="1"/>
    <col min="8459" max="8459" width="13.140625" style="168" bestFit="1" customWidth="1"/>
    <col min="8460" max="8460" width="13.42578125" style="168" customWidth="1"/>
    <col min="8461" max="8461" width="14.7109375" style="168" customWidth="1"/>
    <col min="8462" max="8462" width="14.7109375" style="168" bestFit="1" customWidth="1"/>
    <col min="8463" max="8467" width="14.42578125" style="168" customWidth="1"/>
    <col min="8468" max="8468" width="14.85546875" style="168" bestFit="1" customWidth="1"/>
    <col min="8469" max="8469" width="10.85546875" style="168" bestFit="1" customWidth="1"/>
    <col min="8470" max="8704" width="9.140625" style="168"/>
    <col min="8705" max="8705" width="8.42578125" style="168" customWidth="1"/>
    <col min="8706" max="8706" width="14.42578125" style="168" customWidth="1"/>
    <col min="8707" max="8707" width="15.42578125" style="168" customWidth="1"/>
    <col min="8708" max="8708" width="16.42578125" style="168" customWidth="1"/>
    <col min="8709" max="8709" width="16.140625" style="168" customWidth="1"/>
    <col min="8710" max="8710" width="13.7109375" style="168" customWidth="1"/>
    <col min="8711" max="8711" width="18.85546875" style="168" customWidth="1"/>
    <col min="8712" max="8712" width="15.7109375" style="168" customWidth="1"/>
    <col min="8713" max="8714" width="16.5703125" style="168" customWidth="1"/>
    <col min="8715" max="8715" width="13.140625" style="168" bestFit="1" customWidth="1"/>
    <col min="8716" max="8716" width="13.42578125" style="168" customWidth="1"/>
    <col min="8717" max="8717" width="14.7109375" style="168" customWidth="1"/>
    <col min="8718" max="8718" width="14.7109375" style="168" bestFit="1" customWidth="1"/>
    <col min="8719" max="8723" width="14.42578125" style="168" customWidth="1"/>
    <col min="8724" max="8724" width="14.85546875" style="168" bestFit="1" customWidth="1"/>
    <col min="8725" max="8725" width="10.85546875" style="168" bestFit="1" customWidth="1"/>
    <col min="8726" max="8960" width="9.140625" style="168"/>
    <col min="8961" max="8961" width="8.42578125" style="168" customWidth="1"/>
    <col min="8962" max="8962" width="14.42578125" style="168" customWidth="1"/>
    <col min="8963" max="8963" width="15.42578125" style="168" customWidth="1"/>
    <col min="8964" max="8964" width="16.42578125" style="168" customWidth="1"/>
    <col min="8965" max="8965" width="16.140625" style="168" customWidth="1"/>
    <col min="8966" max="8966" width="13.7109375" style="168" customWidth="1"/>
    <col min="8967" max="8967" width="18.85546875" style="168" customWidth="1"/>
    <col min="8968" max="8968" width="15.7109375" style="168" customWidth="1"/>
    <col min="8969" max="8970" width="16.5703125" style="168" customWidth="1"/>
    <col min="8971" max="8971" width="13.140625" style="168" bestFit="1" customWidth="1"/>
    <col min="8972" max="8972" width="13.42578125" style="168" customWidth="1"/>
    <col min="8973" max="8973" width="14.7109375" style="168" customWidth="1"/>
    <col min="8974" max="8974" width="14.7109375" style="168" bestFit="1" customWidth="1"/>
    <col min="8975" max="8979" width="14.42578125" style="168" customWidth="1"/>
    <col min="8980" max="8980" width="14.85546875" style="168" bestFit="1" customWidth="1"/>
    <col min="8981" max="8981" width="10.85546875" style="168" bestFit="1" customWidth="1"/>
    <col min="8982" max="9216" width="9.140625" style="168"/>
    <col min="9217" max="9217" width="8.42578125" style="168" customWidth="1"/>
    <col min="9218" max="9218" width="14.42578125" style="168" customWidth="1"/>
    <col min="9219" max="9219" width="15.42578125" style="168" customWidth="1"/>
    <col min="9220" max="9220" width="16.42578125" style="168" customWidth="1"/>
    <col min="9221" max="9221" width="16.140625" style="168" customWidth="1"/>
    <col min="9222" max="9222" width="13.7109375" style="168" customWidth="1"/>
    <col min="9223" max="9223" width="18.85546875" style="168" customWidth="1"/>
    <col min="9224" max="9224" width="15.7109375" style="168" customWidth="1"/>
    <col min="9225" max="9226" width="16.5703125" style="168" customWidth="1"/>
    <col min="9227" max="9227" width="13.140625" style="168" bestFit="1" customWidth="1"/>
    <col min="9228" max="9228" width="13.42578125" style="168" customWidth="1"/>
    <col min="9229" max="9229" width="14.7109375" style="168" customWidth="1"/>
    <col min="9230" max="9230" width="14.7109375" style="168" bestFit="1" customWidth="1"/>
    <col min="9231" max="9235" width="14.42578125" style="168" customWidth="1"/>
    <col min="9236" max="9236" width="14.85546875" style="168" bestFit="1" customWidth="1"/>
    <col min="9237" max="9237" width="10.85546875" style="168" bestFit="1" customWidth="1"/>
    <col min="9238" max="9472" width="9.140625" style="168"/>
    <col min="9473" max="9473" width="8.42578125" style="168" customWidth="1"/>
    <col min="9474" max="9474" width="14.42578125" style="168" customWidth="1"/>
    <col min="9475" max="9475" width="15.42578125" style="168" customWidth="1"/>
    <col min="9476" max="9476" width="16.42578125" style="168" customWidth="1"/>
    <col min="9477" max="9477" width="16.140625" style="168" customWidth="1"/>
    <col min="9478" max="9478" width="13.7109375" style="168" customWidth="1"/>
    <col min="9479" max="9479" width="18.85546875" style="168" customWidth="1"/>
    <col min="9480" max="9480" width="15.7109375" style="168" customWidth="1"/>
    <col min="9481" max="9482" width="16.5703125" style="168" customWidth="1"/>
    <col min="9483" max="9483" width="13.140625" style="168" bestFit="1" customWidth="1"/>
    <col min="9484" max="9484" width="13.42578125" style="168" customWidth="1"/>
    <col min="9485" max="9485" width="14.7109375" style="168" customWidth="1"/>
    <col min="9486" max="9486" width="14.7109375" style="168" bestFit="1" customWidth="1"/>
    <col min="9487" max="9491" width="14.42578125" style="168" customWidth="1"/>
    <col min="9492" max="9492" width="14.85546875" style="168" bestFit="1" customWidth="1"/>
    <col min="9493" max="9493" width="10.85546875" style="168" bestFit="1" customWidth="1"/>
    <col min="9494" max="9728" width="9.140625" style="168"/>
    <col min="9729" max="9729" width="8.42578125" style="168" customWidth="1"/>
    <col min="9730" max="9730" width="14.42578125" style="168" customWidth="1"/>
    <col min="9731" max="9731" width="15.42578125" style="168" customWidth="1"/>
    <col min="9732" max="9732" width="16.42578125" style="168" customWidth="1"/>
    <col min="9733" max="9733" width="16.140625" style="168" customWidth="1"/>
    <col min="9734" max="9734" width="13.7109375" style="168" customWidth="1"/>
    <col min="9735" max="9735" width="18.85546875" style="168" customWidth="1"/>
    <col min="9736" max="9736" width="15.7109375" style="168" customWidth="1"/>
    <col min="9737" max="9738" width="16.5703125" style="168" customWidth="1"/>
    <col min="9739" max="9739" width="13.140625" style="168" bestFit="1" customWidth="1"/>
    <col min="9740" max="9740" width="13.42578125" style="168" customWidth="1"/>
    <col min="9741" max="9741" width="14.7109375" style="168" customWidth="1"/>
    <col min="9742" max="9742" width="14.7109375" style="168" bestFit="1" customWidth="1"/>
    <col min="9743" max="9747" width="14.42578125" style="168" customWidth="1"/>
    <col min="9748" max="9748" width="14.85546875" style="168" bestFit="1" customWidth="1"/>
    <col min="9749" max="9749" width="10.85546875" style="168" bestFit="1" customWidth="1"/>
    <col min="9750" max="9984" width="9.140625" style="168"/>
    <col min="9985" max="9985" width="8.42578125" style="168" customWidth="1"/>
    <col min="9986" max="9986" width="14.42578125" style="168" customWidth="1"/>
    <col min="9987" max="9987" width="15.42578125" style="168" customWidth="1"/>
    <col min="9988" max="9988" width="16.42578125" style="168" customWidth="1"/>
    <col min="9989" max="9989" width="16.140625" style="168" customWidth="1"/>
    <col min="9990" max="9990" width="13.7109375" style="168" customWidth="1"/>
    <col min="9991" max="9991" width="18.85546875" style="168" customWidth="1"/>
    <col min="9992" max="9992" width="15.7109375" style="168" customWidth="1"/>
    <col min="9993" max="9994" width="16.5703125" style="168" customWidth="1"/>
    <col min="9995" max="9995" width="13.140625" style="168" bestFit="1" customWidth="1"/>
    <col min="9996" max="9996" width="13.42578125" style="168" customWidth="1"/>
    <col min="9997" max="9997" width="14.7109375" style="168" customWidth="1"/>
    <col min="9998" max="9998" width="14.7109375" style="168" bestFit="1" customWidth="1"/>
    <col min="9999" max="10003" width="14.42578125" style="168" customWidth="1"/>
    <col min="10004" max="10004" width="14.85546875" style="168" bestFit="1" customWidth="1"/>
    <col min="10005" max="10005" width="10.85546875" style="168" bestFit="1" customWidth="1"/>
    <col min="10006" max="10240" width="9.140625" style="168"/>
    <col min="10241" max="10241" width="8.42578125" style="168" customWidth="1"/>
    <col min="10242" max="10242" width="14.42578125" style="168" customWidth="1"/>
    <col min="10243" max="10243" width="15.42578125" style="168" customWidth="1"/>
    <col min="10244" max="10244" width="16.42578125" style="168" customWidth="1"/>
    <col min="10245" max="10245" width="16.140625" style="168" customWidth="1"/>
    <col min="10246" max="10246" width="13.7109375" style="168" customWidth="1"/>
    <col min="10247" max="10247" width="18.85546875" style="168" customWidth="1"/>
    <col min="10248" max="10248" width="15.7109375" style="168" customWidth="1"/>
    <col min="10249" max="10250" width="16.5703125" style="168" customWidth="1"/>
    <col min="10251" max="10251" width="13.140625" style="168" bestFit="1" customWidth="1"/>
    <col min="10252" max="10252" width="13.42578125" style="168" customWidth="1"/>
    <col min="10253" max="10253" width="14.7109375" style="168" customWidth="1"/>
    <col min="10254" max="10254" width="14.7109375" style="168" bestFit="1" customWidth="1"/>
    <col min="10255" max="10259" width="14.42578125" style="168" customWidth="1"/>
    <col min="10260" max="10260" width="14.85546875" style="168" bestFit="1" customWidth="1"/>
    <col min="10261" max="10261" width="10.85546875" style="168" bestFit="1" customWidth="1"/>
    <col min="10262" max="10496" width="9.140625" style="168"/>
    <col min="10497" max="10497" width="8.42578125" style="168" customWidth="1"/>
    <col min="10498" max="10498" width="14.42578125" style="168" customWidth="1"/>
    <col min="10499" max="10499" width="15.42578125" style="168" customWidth="1"/>
    <col min="10500" max="10500" width="16.42578125" style="168" customWidth="1"/>
    <col min="10501" max="10501" width="16.140625" style="168" customWidth="1"/>
    <col min="10502" max="10502" width="13.7109375" style="168" customWidth="1"/>
    <col min="10503" max="10503" width="18.85546875" style="168" customWidth="1"/>
    <col min="10504" max="10504" width="15.7109375" style="168" customWidth="1"/>
    <col min="10505" max="10506" width="16.5703125" style="168" customWidth="1"/>
    <col min="10507" max="10507" width="13.140625" style="168" bestFit="1" customWidth="1"/>
    <col min="10508" max="10508" width="13.42578125" style="168" customWidth="1"/>
    <col min="10509" max="10509" width="14.7109375" style="168" customWidth="1"/>
    <col min="10510" max="10510" width="14.7109375" style="168" bestFit="1" customWidth="1"/>
    <col min="10511" max="10515" width="14.42578125" style="168" customWidth="1"/>
    <col min="10516" max="10516" width="14.85546875" style="168" bestFit="1" customWidth="1"/>
    <col min="10517" max="10517" width="10.85546875" style="168" bestFit="1" customWidth="1"/>
    <col min="10518" max="10752" width="9.140625" style="168"/>
    <col min="10753" max="10753" width="8.42578125" style="168" customWidth="1"/>
    <col min="10754" max="10754" width="14.42578125" style="168" customWidth="1"/>
    <col min="10755" max="10755" width="15.42578125" style="168" customWidth="1"/>
    <col min="10756" max="10756" width="16.42578125" style="168" customWidth="1"/>
    <col min="10757" max="10757" width="16.140625" style="168" customWidth="1"/>
    <col min="10758" max="10758" width="13.7109375" style="168" customWidth="1"/>
    <col min="10759" max="10759" width="18.85546875" style="168" customWidth="1"/>
    <col min="10760" max="10760" width="15.7109375" style="168" customWidth="1"/>
    <col min="10761" max="10762" width="16.5703125" style="168" customWidth="1"/>
    <col min="10763" max="10763" width="13.140625" style="168" bestFit="1" customWidth="1"/>
    <col min="10764" max="10764" width="13.42578125" style="168" customWidth="1"/>
    <col min="10765" max="10765" width="14.7109375" style="168" customWidth="1"/>
    <col min="10766" max="10766" width="14.7109375" style="168" bestFit="1" customWidth="1"/>
    <col min="10767" max="10771" width="14.42578125" style="168" customWidth="1"/>
    <col min="10772" max="10772" width="14.85546875" style="168" bestFit="1" customWidth="1"/>
    <col min="10773" max="10773" width="10.85546875" style="168" bestFit="1" customWidth="1"/>
    <col min="10774" max="11008" width="9.140625" style="168"/>
    <col min="11009" max="11009" width="8.42578125" style="168" customWidth="1"/>
    <col min="11010" max="11010" width="14.42578125" style="168" customWidth="1"/>
    <col min="11011" max="11011" width="15.42578125" style="168" customWidth="1"/>
    <col min="11012" max="11012" width="16.42578125" style="168" customWidth="1"/>
    <col min="11013" max="11013" width="16.140625" style="168" customWidth="1"/>
    <col min="11014" max="11014" width="13.7109375" style="168" customWidth="1"/>
    <col min="11015" max="11015" width="18.85546875" style="168" customWidth="1"/>
    <col min="11016" max="11016" width="15.7109375" style="168" customWidth="1"/>
    <col min="11017" max="11018" width="16.5703125" style="168" customWidth="1"/>
    <col min="11019" max="11019" width="13.140625" style="168" bestFit="1" customWidth="1"/>
    <col min="11020" max="11020" width="13.42578125" style="168" customWidth="1"/>
    <col min="11021" max="11021" width="14.7109375" style="168" customWidth="1"/>
    <col min="11022" max="11022" width="14.7109375" style="168" bestFit="1" customWidth="1"/>
    <col min="11023" max="11027" width="14.42578125" style="168" customWidth="1"/>
    <col min="11028" max="11028" width="14.85546875" style="168" bestFit="1" customWidth="1"/>
    <col min="11029" max="11029" width="10.85546875" style="168" bestFit="1" customWidth="1"/>
    <col min="11030" max="11264" width="9.140625" style="168"/>
    <col min="11265" max="11265" width="8.42578125" style="168" customWidth="1"/>
    <col min="11266" max="11266" width="14.42578125" style="168" customWidth="1"/>
    <col min="11267" max="11267" width="15.42578125" style="168" customWidth="1"/>
    <col min="11268" max="11268" width="16.42578125" style="168" customWidth="1"/>
    <col min="11269" max="11269" width="16.140625" style="168" customWidth="1"/>
    <col min="11270" max="11270" width="13.7109375" style="168" customWidth="1"/>
    <col min="11271" max="11271" width="18.85546875" style="168" customWidth="1"/>
    <col min="11272" max="11272" width="15.7109375" style="168" customWidth="1"/>
    <col min="11273" max="11274" width="16.5703125" style="168" customWidth="1"/>
    <col min="11275" max="11275" width="13.140625" style="168" bestFit="1" customWidth="1"/>
    <col min="11276" max="11276" width="13.42578125" style="168" customWidth="1"/>
    <col min="11277" max="11277" width="14.7109375" style="168" customWidth="1"/>
    <col min="11278" max="11278" width="14.7109375" style="168" bestFit="1" customWidth="1"/>
    <col min="11279" max="11283" width="14.42578125" style="168" customWidth="1"/>
    <col min="11284" max="11284" width="14.85546875" style="168" bestFit="1" customWidth="1"/>
    <col min="11285" max="11285" width="10.85546875" style="168" bestFit="1" customWidth="1"/>
    <col min="11286" max="11520" width="9.140625" style="168"/>
    <col min="11521" max="11521" width="8.42578125" style="168" customWidth="1"/>
    <col min="11522" max="11522" width="14.42578125" style="168" customWidth="1"/>
    <col min="11523" max="11523" width="15.42578125" style="168" customWidth="1"/>
    <col min="11524" max="11524" width="16.42578125" style="168" customWidth="1"/>
    <col min="11525" max="11525" width="16.140625" style="168" customWidth="1"/>
    <col min="11526" max="11526" width="13.7109375" style="168" customWidth="1"/>
    <col min="11527" max="11527" width="18.85546875" style="168" customWidth="1"/>
    <col min="11528" max="11528" width="15.7109375" style="168" customWidth="1"/>
    <col min="11529" max="11530" width="16.5703125" style="168" customWidth="1"/>
    <col min="11531" max="11531" width="13.140625" style="168" bestFit="1" customWidth="1"/>
    <col min="11532" max="11532" width="13.42578125" style="168" customWidth="1"/>
    <col min="11533" max="11533" width="14.7109375" style="168" customWidth="1"/>
    <col min="11534" max="11534" width="14.7109375" style="168" bestFit="1" customWidth="1"/>
    <col min="11535" max="11539" width="14.42578125" style="168" customWidth="1"/>
    <col min="11540" max="11540" width="14.85546875" style="168" bestFit="1" customWidth="1"/>
    <col min="11541" max="11541" width="10.85546875" style="168" bestFit="1" customWidth="1"/>
    <col min="11542" max="11776" width="9.140625" style="168"/>
    <col min="11777" max="11777" width="8.42578125" style="168" customWidth="1"/>
    <col min="11778" max="11778" width="14.42578125" style="168" customWidth="1"/>
    <col min="11779" max="11779" width="15.42578125" style="168" customWidth="1"/>
    <col min="11780" max="11780" width="16.42578125" style="168" customWidth="1"/>
    <col min="11781" max="11781" width="16.140625" style="168" customWidth="1"/>
    <col min="11782" max="11782" width="13.7109375" style="168" customWidth="1"/>
    <col min="11783" max="11783" width="18.85546875" style="168" customWidth="1"/>
    <col min="11784" max="11784" width="15.7109375" style="168" customWidth="1"/>
    <col min="11785" max="11786" width="16.5703125" style="168" customWidth="1"/>
    <col min="11787" max="11787" width="13.140625" style="168" bestFit="1" customWidth="1"/>
    <col min="11788" max="11788" width="13.42578125" style="168" customWidth="1"/>
    <col min="11789" max="11789" width="14.7109375" style="168" customWidth="1"/>
    <col min="11790" max="11790" width="14.7109375" style="168" bestFit="1" customWidth="1"/>
    <col min="11791" max="11795" width="14.42578125" style="168" customWidth="1"/>
    <col min="11796" max="11796" width="14.85546875" style="168" bestFit="1" customWidth="1"/>
    <col min="11797" max="11797" width="10.85546875" style="168" bestFit="1" customWidth="1"/>
    <col min="11798" max="12032" width="9.140625" style="168"/>
    <col min="12033" max="12033" width="8.42578125" style="168" customWidth="1"/>
    <col min="12034" max="12034" width="14.42578125" style="168" customWidth="1"/>
    <col min="12035" max="12035" width="15.42578125" style="168" customWidth="1"/>
    <col min="12036" max="12036" width="16.42578125" style="168" customWidth="1"/>
    <col min="12037" max="12037" width="16.140625" style="168" customWidth="1"/>
    <col min="12038" max="12038" width="13.7109375" style="168" customWidth="1"/>
    <col min="12039" max="12039" width="18.85546875" style="168" customWidth="1"/>
    <col min="12040" max="12040" width="15.7109375" style="168" customWidth="1"/>
    <col min="12041" max="12042" width="16.5703125" style="168" customWidth="1"/>
    <col min="12043" max="12043" width="13.140625" style="168" bestFit="1" customWidth="1"/>
    <col min="12044" max="12044" width="13.42578125" style="168" customWidth="1"/>
    <col min="12045" max="12045" width="14.7109375" style="168" customWidth="1"/>
    <col min="12046" max="12046" width="14.7109375" style="168" bestFit="1" customWidth="1"/>
    <col min="12047" max="12051" width="14.42578125" style="168" customWidth="1"/>
    <col min="12052" max="12052" width="14.85546875" style="168" bestFit="1" customWidth="1"/>
    <col min="12053" max="12053" width="10.85546875" style="168" bestFit="1" customWidth="1"/>
    <col min="12054" max="12288" width="9.140625" style="168"/>
    <col min="12289" max="12289" width="8.42578125" style="168" customWidth="1"/>
    <col min="12290" max="12290" width="14.42578125" style="168" customWidth="1"/>
    <col min="12291" max="12291" width="15.42578125" style="168" customWidth="1"/>
    <col min="12292" max="12292" width="16.42578125" style="168" customWidth="1"/>
    <col min="12293" max="12293" width="16.140625" style="168" customWidth="1"/>
    <col min="12294" max="12294" width="13.7109375" style="168" customWidth="1"/>
    <col min="12295" max="12295" width="18.85546875" style="168" customWidth="1"/>
    <col min="12296" max="12296" width="15.7109375" style="168" customWidth="1"/>
    <col min="12297" max="12298" width="16.5703125" style="168" customWidth="1"/>
    <col min="12299" max="12299" width="13.140625" style="168" bestFit="1" customWidth="1"/>
    <col min="12300" max="12300" width="13.42578125" style="168" customWidth="1"/>
    <col min="12301" max="12301" width="14.7109375" style="168" customWidth="1"/>
    <col min="12302" max="12302" width="14.7109375" style="168" bestFit="1" customWidth="1"/>
    <col min="12303" max="12307" width="14.42578125" style="168" customWidth="1"/>
    <col min="12308" max="12308" width="14.85546875" style="168" bestFit="1" customWidth="1"/>
    <col min="12309" max="12309" width="10.85546875" style="168" bestFit="1" customWidth="1"/>
    <col min="12310" max="12544" width="9.140625" style="168"/>
    <col min="12545" max="12545" width="8.42578125" style="168" customWidth="1"/>
    <col min="12546" max="12546" width="14.42578125" style="168" customWidth="1"/>
    <col min="12547" max="12547" width="15.42578125" style="168" customWidth="1"/>
    <col min="12548" max="12548" width="16.42578125" style="168" customWidth="1"/>
    <col min="12549" max="12549" width="16.140625" style="168" customWidth="1"/>
    <col min="12550" max="12550" width="13.7109375" style="168" customWidth="1"/>
    <col min="12551" max="12551" width="18.85546875" style="168" customWidth="1"/>
    <col min="12552" max="12552" width="15.7109375" style="168" customWidth="1"/>
    <col min="12553" max="12554" width="16.5703125" style="168" customWidth="1"/>
    <col min="12555" max="12555" width="13.140625" style="168" bestFit="1" customWidth="1"/>
    <col min="12556" max="12556" width="13.42578125" style="168" customWidth="1"/>
    <col min="12557" max="12557" width="14.7109375" style="168" customWidth="1"/>
    <col min="12558" max="12558" width="14.7109375" style="168" bestFit="1" customWidth="1"/>
    <col min="12559" max="12563" width="14.42578125" style="168" customWidth="1"/>
    <col min="12564" max="12564" width="14.85546875" style="168" bestFit="1" customWidth="1"/>
    <col min="12565" max="12565" width="10.85546875" style="168" bestFit="1" customWidth="1"/>
    <col min="12566" max="12800" width="9.140625" style="168"/>
    <col min="12801" max="12801" width="8.42578125" style="168" customWidth="1"/>
    <col min="12802" max="12802" width="14.42578125" style="168" customWidth="1"/>
    <col min="12803" max="12803" width="15.42578125" style="168" customWidth="1"/>
    <col min="12804" max="12804" width="16.42578125" style="168" customWidth="1"/>
    <col min="12805" max="12805" width="16.140625" style="168" customWidth="1"/>
    <col min="12806" max="12806" width="13.7109375" style="168" customWidth="1"/>
    <col min="12807" max="12807" width="18.85546875" style="168" customWidth="1"/>
    <col min="12808" max="12808" width="15.7109375" style="168" customWidth="1"/>
    <col min="12809" max="12810" width="16.5703125" style="168" customWidth="1"/>
    <col min="12811" max="12811" width="13.140625" style="168" bestFit="1" customWidth="1"/>
    <col min="12812" max="12812" width="13.42578125" style="168" customWidth="1"/>
    <col min="12813" max="12813" width="14.7109375" style="168" customWidth="1"/>
    <col min="12814" max="12814" width="14.7109375" style="168" bestFit="1" customWidth="1"/>
    <col min="12815" max="12819" width="14.42578125" style="168" customWidth="1"/>
    <col min="12820" max="12820" width="14.85546875" style="168" bestFit="1" customWidth="1"/>
    <col min="12821" max="12821" width="10.85546875" style="168" bestFit="1" customWidth="1"/>
    <col min="12822" max="13056" width="9.140625" style="168"/>
    <col min="13057" max="13057" width="8.42578125" style="168" customWidth="1"/>
    <col min="13058" max="13058" width="14.42578125" style="168" customWidth="1"/>
    <col min="13059" max="13059" width="15.42578125" style="168" customWidth="1"/>
    <col min="13060" max="13060" width="16.42578125" style="168" customWidth="1"/>
    <col min="13061" max="13061" width="16.140625" style="168" customWidth="1"/>
    <col min="13062" max="13062" width="13.7109375" style="168" customWidth="1"/>
    <col min="13063" max="13063" width="18.85546875" style="168" customWidth="1"/>
    <col min="13064" max="13064" width="15.7109375" style="168" customWidth="1"/>
    <col min="13065" max="13066" width="16.5703125" style="168" customWidth="1"/>
    <col min="13067" max="13067" width="13.140625" style="168" bestFit="1" customWidth="1"/>
    <col min="13068" max="13068" width="13.42578125" style="168" customWidth="1"/>
    <col min="13069" max="13069" width="14.7109375" style="168" customWidth="1"/>
    <col min="13070" max="13070" width="14.7109375" style="168" bestFit="1" customWidth="1"/>
    <col min="13071" max="13075" width="14.42578125" style="168" customWidth="1"/>
    <col min="13076" max="13076" width="14.85546875" style="168" bestFit="1" customWidth="1"/>
    <col min="13077" max="13077" width="10.85546875" style="168" bestFit="1" customWidth="1"/>
    <col min="13078" max="13312" width="9.140625" style="168"/>
    <col min="13313" max="13313" width="8.42578125" style="168" customWidth="1"/>
    <col min="13314" max="13314" width="14.42578125" style="168" customWidth="1"/>
    <col min="13315" max="13315" width="15.42578125" style="168" customWidth="1"/>
    <col min="13316" max="13316" width="16.42578125" style="168" customWidth="1"/>
    <col min="13317" max="13317" width="16.140625" style="168" customWidth="1"/>
    <col min="13318" max="13318" width="13.7109375" style="168" customWidth="1"/>
    <col min="13319" max="13319" width="18.85546875" style="168" customWidth="1"/>
    <col min="13320" max="13320" width="15.7109375" style="168" customWidth="1"/>
    <col min="13321" max="13322" width="16.5703125" style="168" customWidth="1"/>
    <col min="13323" max="13323" width="13.140625" style="168" bestFit="1" customWidth="1"/>
    <col min="13324" max="13324" width="13.42578125" style="168" customWidth="1"/>
    <col min="13325" max="13325" width="14.7109375" style="168" customWidth="1"/>
    <col min="13326" max="13326" width="14.7109375" style="168" bestFit="1" customWidth="1"/>
    <col min="13327" max="13331" width="14.42578125" style="168" customWidth="1"/>
    <col min="13332" max="13332" width="14.85546875" style="168" bestFit="1" customWidth="1"/>
    <col min="13333" max="13333" width="10.85546875" style="168" bestFit="1" customWidth="1"/>
    <col min="13334" max="13568" width="9.140625" style="168"/>
    <col min="13569" max="13569" width="8.42578125" style="168" customWidth="1"/>
    <col min="13570" max="13570" width="14.42578125" style="168" customWidth="1"/>
    <col min="13571" max="13571" width="15.42578125" style="168" customWidth="1"/>
    <col min="13572" max="13572" width="16.42578125" style="168" customWidth="1"/>
    <col min="13573" max="13573" width="16.140625" style="168" customWidth="1"/>
    <col min="13574" max="13574" width="13.7109375" style="168" customWidth="1"/>
    <col min="13575" max="13575" width="18.85546875" style="168" customWidth="1"/>
    <col min="13576" max="13576" width="15.7109375" style="168" customWidth="1"/>
    <col min="13577" max="13578" width="16.5703125" style="168" customWidth="1"/>
    <col min="13579" max="13579" width="13.140625" style="168" bestFit="1" customWidth="1"/>
    <col min="13580" max="13580" width="13.42578125" style="168" customWidth="1"/>
    <col min="13581" max="13581" width="14.7109375" style="168" customWidth="1"/>
    <col min="13582" max="13582" width="14.7109375" style="168" bestFit="1" customWidth="1"/>
    <col min="13583" max="13587" width="14.42578125" style="168" customWidth="1"/>
    <col min="13588" max="13588" width="14.85546875" style="168" bestFit="1" customWidth="1"/>
    <col min="13589" max="13589" width="10.85546875" style="168" bestFit="1" customWidth="1"/>
    <col min="13590" max="13824" width="9.140625" style="168"/>
    <col min="13825" max="13825" width="8.42578125" style="168" customWidth="1"/>
    <col min="13826" max="13826" width="14.42578125" style="168" customWidth="1"/>
    <col min="13827" max="13827" width="15.42578125" style="168" customWidth="1"/>
    <col min="13828" max="13828" width="16.42578125" style="168" customWidth="1"/>
    <col min="13829" max="13829" width="16.140625" style="168" customWidth="1"/>
    <col min="13830" max="13830" width="13.7109375" style="168" customWidth="1"/>
    <col min="13831" max="13831" width="18.85546875" style="168" customWidth="1"/>
    <col min="13832" max="13832" width="15.7109375" style="168" customWidth="1"/>
    <col min="13833" max="13834" width="16.5703125" style="168" customWidth="1"/>
    <col min="13835" max="13835" width="13.140625" style="168" bestFit="1" customWidth="1"/>
    <col min="13836" max="13836" width="13.42578125" style="168" customWidth="1"/>
    <col min="13837" max="13837" width="14.7109375" style="168" customWidth="1"/>
    <col min="13838" max="13838" width="14.7109375" style="168" bestFit="1" customWidth="1"/>
    <col min="13839" max="13843" width="14.42578125" style="168" customWidth="1"/>
    <col min="13844" max="13844" width="14.85546875" style="168" bestFit="1" customWidth="1"/>
    <col min="13845" max="13845" width="10.85546875" style="168" bestFit="1" customWidth="1"/>
    <col min="13846" max="14080" width="9.140625" style="168"/>
    <col min="14081" max="14081" width="8.42578125" style="168" customWidth="1"/>
    <col min="14082" max="14082" width="14.42578125" style="168" customWidth="1"/>
    <col min="14083" max="14083" width="15.42578125" style="168" customWidth="1"/>
    <col min="14084" max="14084" width="16.42578125" style="168" customWidth="1"/>
    <col min="14085" max="14085" width="16.140625" style="168" customWidth="1"/>
    <col min="14086" max="14086" width="13.7109375" style="168" customWidth="1"/>
    <col min="14087" max="14087" width="18.85546875" style="168" customWidth="1"/>
    <col min="14088" max="14088" width="15.7109375" style="168" customWidth="1"/>
    <col min="14089" max="14090" width="16.5703125" style="168" customWidth="1"/>
    <col min="14091" max="14091" width="13.140625" style="168" bestFit="1" customWidth="1"/>
    <col min="14092" max="14092" width="13.42578125" style="168" customWidth="1"/>
    <col min="14093" max="14093" width="14.7109375" style="168" customWidth="1"/>
    <col min="14094" max="14094" width="14.7109375" style="168" bestFit="1" customWidth="1"/>
    <col min="14095" max="14099" width="14.42578125" style="168" customWidth="1"/>
    <col min="14100" max="14100" width="14.85546875" style="168" bestFit="1" customWidth="1"/>
    <col min="14101" max="14101" width="10.85546875" style="168" bestFit="1" customWidth="1"/>
    <col min="14102" max="14336" width="9.140625" style="168"/>
    <col min="14337" max="14337" width="8.42578125" style="168" customWidth="1"/>
    <col min="14338" max="14338" width="14.42578125" style="168" customWidth="1"/>
    <col min="14339" max="14339" width="15.42578125" style="168" customWidth="1"/>
    <col min="14340" max="14340" width="16.42578125" style="168" customWidth="1"/>
    <col min="14341" max="14341" width="16.140625" style="168" customWidth="1"/>
    <col min="14342" max="14342" width="13.7109375" style="168" customWidth="1"/>
    <col min="14343" max="14343" width="18.85546875" style="168" customWidth="1"/>
    <col min="14344" max="14344" width="15.7109375" style="168" customWidth="1"/>
    <col min="14345" max="14346" width="16.5703125" style="168" customWidth="1"/>
    <col min="14347" max="14347" width="13.140625" style="168" bestFit="1" customWidth="1"/>
    <col min="14348" max="14348" width="13.42578125" style="168" customWidth="1"/>
    <col min="14349" max="14349" width="14.7109375" style="168" customWidth="1"/>
    <col min="14350" max="14350" width="14.7109375" style="168" bestFit="1" customWidth="1"/>
    <col min="14351" max="14355" width="14.42578125" style="168" customWidth="1"/>
    <col min="14356" max="14356" width="14.85546875" style="168" bestFit="1" customWidth="1"/>
    <col min="14357" max="14357" width="10.85546875" style="168" bestFit="1" customWidth="1"/>
    <col min="14358" max="14592" width="9.140625" style="168"/>
    <col min="14593" max="14593" width="8.42578125" style="168" customWidth="1"/>
    <col min="14594" max="14594" width="14.42578125" style="168" customWidth="1"/>
    <col min="14595" max="14595" width="15.42578125" style="168" customWidth="1"/>
    <col min="14596" max="14596" width="16.42578125" style="168" customWidth="1"/>
    <col min="14597" max="14597" width="16.140625" style="168" customWidth="1"/>
    <col min="14598" max="14598" width="13.7109375" style="168" customWidth="1"/>
    <col min="14599" max="14599" width="18.85546875" style="168" customWidth="1"/>
    <col min="14600" max="14600" width="15.7109375" style="168" customWidth="1"/>
    <col min="14601" max="14602" width="16.5703125" style="168" customWidth="1"/>
    <col min="14603" max="14603" width="13.140625" style="168" bestFit="1" customWidth="1"/>
    <col min="14604" max="14604" width="13.42578125" style="168" customWidth="1"/>
    <col min="14605" max="14605" width="14.7109375" style="168" customWidth="1"/>
    <col min="14606" max="14606" width="14.7109375" style="168" bestFit="1" customWidth="1"/>
    <col min="14607" max="14611" width="14.42578125" style="168" customWidth="1"/>
    <col min="14612" max="14612" width="14.85546875" style="168" bestFit="1" customWidth="1"/>
    <col min="14613" max="14613" width="10.85546875" style="168" bestFit="1" customWidth="1"/>
    <col min="14614" max="14848" width="9.140625" style="168"/>
    <col min="14849" max="14849" width="8.42578125" style="168" customWidth="1"/>
    <col min="14850" max="14850" width="14.42578125" style="168" customWidth="1"/>
    <col min="14851" max="14851" width="15.42578125" style="168" customWidth="1"/>
    <col min="14852" max="14852" width="16.42578125" style="168" customWidth="1"/>
    <col min="14853" max="14853" width="16.140625" style="168" customWidth="1"/>
    <col min="14854" max="14854" width="13.7109375" style="168" customWidth="1"/>
    <col min="14855" max="14855" width="18.85546875" style="168" customWidth="1"/>
    <col min="14856" max="14856" width="15.7109375" style="168" customWidth="1"/>
    <col min="14857" max="14858" width="16.5703125" style="168" customWidth="1"/>
    <col min="14859" max="14859" width="13.140625" style="168" bestFit="1" customWidth="1"/>
    <col min="14860" max="14860" width="13.42578125" style="168" customWidth="1"/>
    <col min="14861" max="14861" width="14.7109375" style="168" customWidth="1"/>
    <col min="14862" max="14862" width="14.7109375" style="168" bestFit="1" customWidth="1"/>
    <col min="14863" max="14867" width="14.42578125" style="168" customWidth="1"/>
    <col min="14868" max="14868" width="14.85546875" style="168" bestFit="1" customWidth="1"/>
    <col min="14869" max="14869" width="10.85546875" style="168" bestFit="1" customWidth="1"/>
    <col min="14870" max="15104" width="9.140625" style="168"/>
    <col min="15105" max="15105" width="8.42578125" style="168" customWidth="1"/>
    <col min="15106" max="15106" width="14.42578125" style="168" customWidth="1"/>
    <col min="15107" max="15107" width="15.42578125" style="168" customWidth="1"/>
    <col min="15108" max="15108" width="16.42578125" style="168" customWidth="1"/>
    <col min="15109" max="15109" width="16.140625" style="168" customWidth="1"/>
    <col min="15110" max="15110" width="13.7109375" style="168" customWidth="1"/>
    <col min="15111" max="15111" width="18.85546875" style="168" customWidth="1"/>
    <col min="15112" max="15112" width="15.7109375" style="168" customWidth="1"/>
    <col min="15113" max="15114" width="16.5703125" style="168" customWidth="1"/>
    <col min="15115" max="15115" width="13.140625" style="168" bestFit="1" customWidth="1"/>
    <col min="15116" max="15116" width="13.42578125" style="168" customWidth="1"/>
    <col min="15117" max="15117" width="14.7109375" style="168" customWidth="1"/>
    <col min="15118" max="15118" width="14.7109375" style="168" bestFit="1" customWidth="1"/>
    <col min="15119" max="15123" width="14.42578125" style="168" customWidth="1"/>
    <col min="15124" max="15124" width="14.85546875" style="168" bestFit="1" customWidth="1"/>
    <col min="15125" max="15125" width="10.85546875" style="168" bestFit="1" customWidth="1"/>
    <col min="15126" max="15360" width="9.140625" style="168"/>
    <col min="15361" max="15361" width="8.42578125" style="168" customWidth="1"/>
    <col min="15362" max="15362" width="14.42578125" style="168" customWidth="1"/>
    <col min="15363" max="15363" width="15.42578125" style="168" customWidth="1"/>
    <col min="15364" max="15364" width="16.42578125" style="168" customWidth="1"/>
    <col min="15365" max="15365" width="16.140625" style="168" customWidth="1"/>
    <col min="15366" max="15366" width="13.7109375" style="168" customWidth="1"/>
    <col min="15367" max="15367" width="18.85546875" style="168" customWidth="1"/>
    <col min="15368" max="15368" width="15.7109375" style="168" customWidth="1"/>
    <col min="15369" max="15370" width="16.5703125" style="168" customWidth="1"/>
    <col min="15371" max="15371" width="13.140625" style="168" bestFit="1" customWidth="1"/>
    <col min="15372" max="15372" width="13.42578125" style="168" customWidth="1"/>
    <col min="15373" max="15373" width="14.7109375" style="168" customWidth="1"/>
    <col min="15374" max="15374" width="14.7109375" style="168" bestFit="1" customWidth="1"/>
    <col min="15375" max="15379" width="14.42578125" style="168" customWidth="1"/>
    <col min="15380" max="15380" width="14.85546875" style="168" bestFit="1" customWidth="1"/>
    <col min="15381" max="15381" width="10.85546875" style="168" bestFit="1" customWidth="1"/>
    <col min="15382" max="15616" width="9.140625" style="168"/>
    <col min="15617" max="15617" width="8.42578125" style="168" customWidth="1"/>
    <col min="15618" max="15618" width="14.42578125" style="168" customWidth="1"/>
    <col min="15619" max="15619" width="15.42578125" style="168" customWidth="1"/>
    <col min="15620" max="15620" width="16.42578125" style="168" customWidth="1"/>
    <col min="15621" max="15621" width="16.140625" style="168" customWidth="1"/>
    <col min="15622" max="15622" width="13.7109375" style="168" customWidth="1"/>
    <col min="15623" max="15623" width="18.85546875" style="168" customWidth="1"/>
    <col min="15624" max="15624" width="15.7109375" style="168" customWidth="1"/>
    <col min="15625" max="15626" width="16.5703125" style="168" customWidth="1"/>
    <col min="15627" max="15627" width="13.140625" style="168" bestFit="1" customWidth="1"/>
    <col min="15628" max="15628" width="13.42578125" style="168" customWidth="1"/>
    <col min="15629" max="15629" width="14.7109375" style="168" customWidth="1"/>
    <col min="15630" max="15630" width="14.7109375" style="168" bestFit="1" customWidth="1"/>
    <col min="15631" max="15635" width="14.42578125" style="168" customWidth="1"/>
    <col min="15636" max="15636" width="14.85546875" style="168" bestFit="1" customWidth="1"/>
    <col min="15637" max="15637" width="10.85546875" style="168" bestFit="1" customWidth="1"/>
    <col min="15638" max="15872" width="9.140625" style="168"/>
    <col min="15873" max="15873" width="8.42578125" style="168" customWidth="1"/>
    <col min="15874" max="15874" width="14.42578125" style="168" customWidth="1"/>
    <col min="15875" max="15875" width="15.42578125" style="168" customWidth="1"/>
    <col min="15876" max="15876" width="16.42578125" style="168" customWidth="1"/>
    <col min="15877" max="15877" width="16.140625" style="168" customWidth="1"/>
    <col min="15878" max="15878" width="13.7109375" style="168" customWidth="1"/>
    <col min="15879" max="15879" width="18.85546875" style="168" customWidth="1"/>
    <col min="15880" max="15880" width="15.7109375" style="168" customWidth="1"/>
    <col min="15881" max="15882" width="16.5703125" style="168" customWidth="1"/>
    <col min="15883" max="15883" width="13.140625" style="168" bestFit="1" customWidth="1"/>
    <col min="15884" max="15884" width="13.42578125" style="168" customWidth="1"/>
    <col min="15885" max="15885" width="14.7109375" style="168" customWidth="1"/>
    <col min="15886" max="15886" width="14.7109375" style="168" bestFit="1" customWidth="1"/>
    <col min="15887" max="15891" width="14.42578125" style="168" customWidth="1"/>
    <col min="15892" max="15892" width="14.85546875" style="168" bestFit="1" customWidth="1"/>
    <col min="15893" max="15893" width="10.85546875" style="168" bestFit="1" customWidth="1"/>
    <col min="15894" max="16128" width="9.140625" style="168"/>
    <col min="16129" max="16129" width="8.42578125" style="168" customWidth="1"/>
    <col min="16130" max="16130" width="14.42578125" style="168" customWidth="1"/>
    <col min="16131" max="16131" width="15.42578125" style="168" customWidth="1"/>
    <col min="16132" max="16132" width="16.42578125" style="168" customWidth="1"/>
    <col min="16133" max="16133" width="16.140625" style="168" customWidth="1"/>
    <col min="16134" max="16134" width="13.7109375" style="168" customWidth="1"/>
    <col min="16135" max="16135" width="18.85546875" style="168" customWidth="1"/>
    <col min="16136" max="16136" width="15.7109375" style="168" customWidth="1"/>
    <col min="16137" max="16138" width="16.5703125" style="168" customWidth="1"/>
    <col min="16139" max="16139" width="13.140625" style="168" bestFit="1" customWidth="1"/>
    <col min="16140" max="16140" width="13.42578125" style="168" customWidth="1"/>
    <col min="16141" max="16141" width="14.7109375" style="168" customWidth="1"/>
    <col min="16142" max="16142" width="14.7109375" style="168" bestFit="1" customWidth="1"/>
    <col min="16143" max="16147" width="14.42578125" style="168" customWidth="1"/>
    <col min="16148" max="16148" width="14.85546875" style="168" bestFit="1" customWidth="1"/>
    <col min="16149" max="16149" width="10.85546875" style="168" bestFit="1" customWidth="1"/>
    <col min="16150" max="16384" width="9.140625" style="168"/>
  </cols>
  <sheetData>
    <row r="1" spans="1:10" ht="18" customHeight="1" x14ac:dyDescent="0.2">
      <c r="A1" s="698" t="s">
        <v>181</v>
      </c>
      <c r="B1" s="698"/>
      <c r="C1" s="698"/>
      <c r="D1" s="698"/>
      <c r="E1" s="698"/>
      <c r="F1" s="698"/>
      <c r="G1" s="698"/>
      <c r="H1" s="698"/>
      <c r="I1" s="698"/>
      <c r="J1" s="698"/>
    </row>
    <row r="2" spans="1:10" x14ac:dyDescent="0.2">
      <c r="A2" s="169"/>
      <c r="B2" s="170"/>
      <c r="C2" s="171"/>
      <c r="D2" s="171"/>
      <c r="E2" s="172"/>
      <c r="F2" s="172"/>
    </row>
    <row r="3" spans="1:10" x14ac:dyDescent="0.2">
      <c r="A3" s="169" t="s">
        <v>182</v>
      </c>
      <c r="B3" s="699" t="s">
        <v>350</v>
      </c>
      <c r="C3" s="699"/>
      <c r="D3" s="699"/>
      <c r="E3" s="699"/>
      <c r="F3" s="699"/>
      <c r="G3" s="699"/>
      <c r="H3" s="699"/>
      <c r="I3" s="699"/>
      <c r="J3" s="174"/>
    </row>
    <row r="4" spans="1:10" x14ac:dyDescent="0.2">
      <c r="A4" s="175"/>
      <c r="B4" s="699"/>
      <c r="C4" s="699"/>
      <c r="D4" s="699"/>
      <c r="E4" s="699"/>
      <c r="F4" s="699"/>
      <c r="G4" s="699"/>
      <c r="H4" s="699"/>
      <c r="I4" s="699"/>
      <c r="J4" s="174"/>
    </row>
    <row r="5" spans="1:10" ht="15" customHeight="1" x14ac:dyDescent="0.2">
      <c r="A5" s="700" t="str">
        <f>CONCATENATE("PLAZO: ",A42," MESES (",A43,")")</f>
        <v>PLAZO: 24 MESES (720 dias)</v>
      </c>
      <c r="B5" s="700"/>
      <c r="C5" s="700"/>
      <c r="E5" s="177" t="s">
        <v>183</v>
      </c>
    </row>
    <row r="7" spans="1:10" x14ac:dyDescent="0.2">
      <c r="C7" s="179" t="s">
        <v>185</v>
      </c>
      <c r="D7" s="701"/>
      <c r="E7" s="701"/>
      <c r="F7" s="701"/>
      <c r="H7" s="179" t="s">
        <v>186</v>
      </c>
      <c r="I7" s="180">
        <f ca="1">NOW()</f>
        <v>43703.768187847221</v>
      </c>
    </row>
    <row r="8" spans="1:10" x14ac:dyDescent="0.2">
      <c r="C8" s="179" t="str">
        <f>IF(D7=0,"MONTO ESTIMADO CON IVA:","MONTO DE CONTRATO CON IVA:")</f>
        <v>MONTO ESTIMADO CON IVA:</v>
      </c>
      <c r="D8" s="181">
        <v>95884465</v>
      </c>
      <c r="E8" s="182" t="s">
        <v>187</v>
      </c>
      <c r="F8" s="168" t="s">
        <v>188</v>
      </c>
      <c r="H8" s="173" t="s">
        <v>189</v>
      </c>
      <c r="I8" s="183">
        <v>1</v>
      </c>
    </row>
    <row r="9" spans="1:10" hidden="1" x14ac:dyDescent="0.2">
      <c r="C9" s="179"/>
      <c r="D9" s="181"/>
      <c r="E9" s="176" t="s">
        <v>190</v>
      </c>
      <c r="I9" s="184"/>
    </row>
    <row r="10" spans="1:10" hidden="1" x14ac:dyDescent="0.2">
      <c r="C10" s="179"/>
      <c r="D10" s="181"/>
      <c r="E10" s="176" t="s">
        <v>187</v>
      </c>
      <c r="I10" s="184"/>
    </row>
    <row r="11" spans="1:10" x14ac:dyDescent="0.2">
      <c r="B11" s="168"/>
      <c r="C11" s="179" t="str">
        <f>IF(D7=0,"MONTO ESTIMADO SIN IVA:","MONTO DE CONTRATO SIN IVA:")</f>
        <v>MONTO ESTIMADO SIN IVA:</v>
      </c>
      <c r="D11" s="185">
        <f>D8</f>
        <v>95884465</v>
      </c>
      <c r="E11" s="186" t="s">
        <v>190</v>
      </c>
      <c r="F11" s="176"/>
    </row>
    <row r="12" spans="1:10" x14ac:dyDescent="0.2">
      <c r="B12" s="168"/>
      <c r="C12" s="179" t="s">
        <v>191</v>
      </c>
      <c r="D12" s="183">
        <v>100</v>
      </c>
      <c r="F12" s="176" t="s">
        <v>192</v>
      </c>
    </row>
    <row r="13" spans="1:10" x14ac:dyDescent="0.2">
      <c r="B13" s="168"/>
      <c r="C13" s="179" t="s">
        <v>193</v>
      </c>
      <c r="D13" s="187">
        <f>100-D12</f>
        <v>0</v>
      </c>
      <c r="F13" s="176"/>
    </row>
    <row r="14" spans="1:10" x14ac:dyDescent="0.2">
      <c r="B14" s="168"/>
      <c r="C14" s="179" t="s">
        <v>194</v>
      </c>
      <c r="D14" s="184">
        <v>20</v>
      </c>
      <c r="F14" s="176"/>
    </row>
    <row r="15" spans="1:10" x14ac:dyDescent="0.2">
      <c r="B15" s="179" t="s">
        <v>195</v>
      </c>
      <c r="C15" s="702"/>
      <c r="D15" s="702"/>
      <c r="E15" s="188" t="s">
        <v>196</v>
      </c>
      <c r="F15" s="189"/>
      <c r="H15" s="190" t="s">
        <v>197</v>
      </c>
      <c r="I15" s="183">
        <v>10</v>
      </c>
    </row>
    <row r="16" spans="1:10" ht="12.75" thickBot="1" x14ac:dyDescent="0.25">
      <c r="F16" s="191"/>
    </row>
    <row r="17" spans="1:11" ht="42" customHeight="1" thickBot="1" x14ac:dyDescent="0.25">
      <c r="A17" s="192" t="s">
        <v>198</v>
      </c>
      <c r="B17" s="193" t="s">
        <v>199</v>
      </c>
      <c r="C17" s="193" t="s">
        <v>200</v>
      </c>
      <c r="D17" s="194" t="str">
        <f>CONCATENATE("MONTO MENSUAL DESCONTADO ",ROUND(D14,0),"% ANTICIPO")</f>
        <v>MONTO MENSUAL DESCONTADO 20% ANTICIPO</v>
      </c>
      <c r="E17" s="195" t="s">
        <v>201</v>
      </c>
      <c r="F17" s="196" t="s">
        <v>202</v>
      </c>
      <c r="G17" s="197" t="s">
        <v>203</v>
      </c>
      <c r="H17" s="198" t="s">
        <v>204</v>
      </c>
      <c r="I17" s="199" t="str">
        <f>CONCATENATE("DESEMBOLSOS FONDO LOCAL (",ROUND(D13,0),"%) + IVA")</f>
        <v>DESEMBOLSOS FONDO LOCAL (0%) + IVA</v>
      </c>
      <c r="J17" s="199" t="str">
        <f>CONCATENATE("DESEMBOLSOS FONDO EXTERNO (",ROUND(D12,0),"%)")</f>
        <v>DESEMBOLSOS FONDO EXTERNO (100%)</v>
      </c>
    </row>
    <row r="18" spans="1:11" ht="12.75" customHeight="1" x14ac:dyDescent="0.2">
      <c r="A18" s="200">
        <v>0</v>
      </c>
      <c r="B18" s="201">
        <f>D14/100</f>
        <v>0.2</v>
      </c>
      <c r="C18" s="201">
        <v>0</v>
      </c>
      <c r="D18" s="202">
        <f>ROUND(B18*D11,0)</f>
        <v>19176893</v>
      </c>
      <c r="E18" s="203">
        <f>D18</f>
        <v>19176893</v>
      </c>
      <c r="F18" s="204">
        <f>E18/$E$42</f>
        <v>0.2</v>
      </c>
      <c r="G18" s="205" t="s">
        <v>205</v>
      </c>
      <c r="H18" s="206">
        <f t="shared" ref="H18:H33" si="0">ROUND(D18*0.1,0)</f>
        <v>1917689</v>
      </c>
      <c r="I18" s="207">
        <f>ROUNDUP((D18+H18-J18),-(LEN(D18)-$I$15))</f>
        <v>1917689</v>
      </c>
      <c r="J18" s="207">
        <f>ROUNDUP(D18*$D$12/100,-(LEN(D18)-$I$15))</f>
        <v>19176893</v>
      </c>
    </row>
    <row r="19" spans="1:11" ht="12.75" thickBot="1" x14ac:dyDescent="0.25">
      <c r="A19" s="208">
        <v>1</v>
      </c>
      <c r="B19" s="209">
        <v>2.5000000000000001E-2</v>
      </c>
      <c r="C19" s="209">
        <f t="shared" ref="C19:C42" si="1">B19+C18</f>
        <v>2.5000000000000001E-2</v>
      </c>
      <c r="D19" s="210">
        <f>ROUND(B19*$D$11*(100-$D$14)/100,0)</f>
        <v>1917689</v>
      </c>
      <c r="E19" s="211">
        <f t="shared" ref="E19:E33" si="2">E18+D19</f>
        <v>21094582</v>
      </c>
      <c r="F19" s="212">
        <f>E19/$E$42</f>
        <v>0.21999999687123456</v>
      </c>
      <c r="G19" s="213" t="s">
        <v>96</v>
      </c>
      <c r="H19" s="214">
        <f t="shared" si="0"/>
        <v>191769</v>
      </c>
      <c r="I19" s="215">
        <f t="shared" ref="I19:I42" si="3">ROUNDUP((D19+H19-J19),-(LEN(D19)-$I$15))</f>
        <v>191769</v>
      </c>
      <c r="J19" s="215">
        <f t="shared" ref="J19:J33" si="4">ROUNDUP(D19*$D$12/100,-(LEN(D19)-$I$15))</f>
        <v>1917689</v>
      </c>
    </row>
    <row r="20" spans="1:11" x14ac:dyDescent="0.2">
      <c r="A20" s="208">
        <v>2</v>
      </c>
      <c r="B20" s="209">
        <v>0.03</v>
      </c>
      <c r="C20" s="209">
        <f t="shared" si="1"/>
        <v>5.5E-2</v>
      </c>
      <c r="D20" s="210">
        <f t="shared" ref="D20:D42" si="5">ROUND(B20*$D$11*(100-$D$14)/100,0)</f>
        <v>2301227</v>
      </c>
      <c r="E20" s="211">
        <f t="shared" si="2"/>
        <v>23395809</v>
      </c>
      <c r="F20" s="204">
        <f t="shared" ref="F20:F42" si="6">E20/$E$42</f>
        <v>0.24399999520255966</v>
      </c>
      <c r="G20" s="213" t="s">
        <v>97</v>
      </c>
      <c r="H20" s="214">
        <f t="shared" si="0"/>
        <v>230123</v>
      </c>
      <c r="I20" s="215">
        <f t="shared" si="3"/>
        <v>230123</v>
      </c>
      <c r="J20" s="215">
        <f t="shared" si="4"/>
        <v>2301227</v>
      </c>
      <c r="K20" s="216">
        <f>+SUM(J18:J20)</f>
        <v>23395809</v>
      </c>
    </row>
    <row r="21" spans="1:11" ht="12.75" thickBot="1" x14ac:dyDescent="0.25">
      <c r="A21" s="208">
        <v>3</v>
      </c>
      <c r="B21" s="209">
        <v>3.5000000000000003E-2</v>
      </c>
      <c r="C21" s="209">
        <f>B21+C20</f>
        <v>0.09</v>
      </c>
      <c r="D21" s="210">
        <f t="shared" si="5"/>
        <v>2684765</v>
      </c>
      <c r="E21" s="211">
        <f t="shared" si="2"/>
        <v>26080574</v>
      </c>
      <c r="F21" s="212">
        <f t="shared" si="6"/>
        <v>0.27199999499397531</v>
      </c>
      <c r="G21" s="213" t="s">
        <v>98</v>
      </c>
      <c r="H21" s="214">
        <f t="shared" si="0"/>
        <v>268477</v>
      </c>
      <c r="I21" s="215">
        <f t="shared" si="3"/>
        <v>268477</v>
      </c>
      <c r="J21" s="215">
        <f t="shared" si="4"/>
        <v>2684765</v>
      </c>
    </row>
    <row r="22" spans="1:11" x14ac:dyDescent="0.2">
      <c r="A22" s="208">
        <v>4</v>
      </c>
      <c r="B22" s="209">
        <v>3.5000000000000003E-2</v>
      </c>
      <c r="C22" s="209">
        <f t="shared" si="1"/>
        <v>0.125</v>
      </c>
      <c r="D22" s="210">
        <f t="shared" si="5"/>
        <v>2684765</v>
      </c>
      <c r="E22" s="211">
        <f t="shared" si="2"/>
        <v>28765339</v>
      </c>
      <c r="F22" s="204">
        <f t="shared" si="6"/>
        <v>0.29999999478539097</v>
      </c>
      <c r="G22" s="213" t="s">
        <v>99</v>
      </c>
      <c r="H22" s="214">
        <f t="shared" si="0"/>
        <v>268477</v>
      </c>
      <c r="I22" s="215">
        <f t="shared" si="3"/>
        <v>268477</v>
      </c>
      <c r="J22" s="215">
        <f t="shared" si="4"/>
        <v>2684765</v>
      </c>
      <c r="K22" s="217"/>
    </row>
    <row r="23" spans="1:11" ht="12.75" thickBot="1" x14ac:dyDescent="0.25">
      <c r="A23" s="208">
        <v>5</v>
      </c>
      <c r="B23" s="209">
        <v>0.04</v>
      </c>
      <c r="C23" s="209">
        <f t="shared" si="1"/>
        <v>0.16500000000000001</v>
      </c>
      <c r="D23" s="210">
        <f t="shared" si="5"/>
        <v>3068303</v>
      </c>
      <c r="E23" s="211">
        <f t="shared" si="2"/>
        <v>31833642</v>
      </c>
      <c r="F23" s="212">
        <f t="shared" si="6"/>
        <v>0.33199999603689712</v>
      </c>
      <c r="G23" s="213" t="s">
        <v>100</v>
      </c>
      <c r="H23" s="214">
        <f t="shared" si="0"/>
        <v>306830</v>
      </c>
      <c r="I23" s="215">
        <f t="shared" si="3"/>
        <v>306830</v>
      </c>
      <c r="J23" s="215">
        <f t="shared" si="4"/>
        <v>3068303</v>
      </c>
      <c r="K23" s="217"/>
    </row>
    <row r="24" spans="1:11" x14ac:dyDescent="0.2">
      <c r="A24" s="208">
        <v>6</v>
      </c>
      <c r="B24" s="209">
        <v>4.4999999999999998E-2</v>
      </c>
      <c r="C24" s="209">
        <f t="shared" si="1"/>
        <v>0.21000000000000002</v>
      </c>
      <c r="D24" s="210">
        <f t="shared" si="5"/>
        <v>3451841</v>
      </c>
      <c r="E24" s="211">
        <f t="shared" si="2"/>
        <v>35285483</v>
      </c>
      <c r="F24" s="204">
        <f t="shared" si="6"/>
        <v>0.36799999874849382</v>
      </c>
      <c r="G24" s="213" t="s">
        <v>101</v>
      </c>
      <c r="H24" s="214">
        <f t="shared" si="0"/>
        <v>345184</v>
      </c>
      <c r="I24" s="215">
        <f t="shared" si="3"/>
        <v>345184</v>
      </c>
      <c r="J24" s="215">
        <f t="shared" si="4"/>
        <v>3451841</v>
      </c>
      <c r="K24" s="217"/>
    </row>
    <row r="25" spans="1:11" ht="12.75" thickBot="1" x14ac:dyDescent="0.25">
      <c r="A25" s="208">
        <v>7</v>
      </c>
      <c r="B25" s="209">
        <v>4.4999999999999998E-2</v>
      </c>
      <c r="C25" s="209">
        <f t="shared" si="1"/>
        <v>0.255</v>
      </c>
      <c r="D25" s="210">
        <f t="shared" si="5"/>
        <v>3451841</v>
      </c>
      <c r="E25" s="211">
        <f t="shared" si="2"/>
        <v>38737324</v>
      </c>
      <c r="F25" s="212">
        <f t="shared" si="6"/>
        <v>0.40400000146009052</v>
      </c>
      <c r="G25" s="213" t="s">
        <v>102</v>
      </c>
      <c r="H25" s="214">
        <f t="shared" si="0"/>
        <v>345184</v>
      </c>
      <c r="I25" s="215">
        <f t="shared" si="3"/>
        <v>345184</v>
      </c>
      <c r="J25" s="215">
        <f t="shared" si="4"/>
        <v>3451841</v>
      </c>
      <c r="K25" s="218"/>
    </row>
    <row r="26" spans="1:11" x14ac:dyDescent="0.2">
      <c r="A26" s="208">
        <v>8</v>
      </c>
      <c r="B26" s="209">
        <v>0.05</v>
      </c>
      <c r="C26" s="209">
        <f t="shared" si="1"/>
        <v>0.30499999999999999</v>
      </c>
      <c r="D26" s="210">
        <f t="shared" si="5"/>
        <v>3835379</v>
      </c>
      <c r="E26" s="211">
        <f t="shared" si="2"/>
        <v>42572703</v>
      </c>
      <c r="F26" s="204">
        <f t="shared" si="6"/>
        <v>0.44400000563177777</v>
      </c>
      <c r="G26" s="213" t="s">
        <v>103</v>
      </c>
      <c r="H26" s="214">
        <f t="shared" si="0"/>
        <v>383538</v>
      </c>
      <c r="I26" s="215">
        <f t="shared" si="3"/>
        <v>383538</v>
      </c>
      <c r="J26" s="215">
        <f t="shared" si="4"/>
        <v>3835379</v>
      </c>
      <c r="K26" s="217"/>
    </row>
    <row r="27" spans="1:11" ht="12.75" thickBot="1" x14ac:dyDescent="0.25">
      <c r="A27" s="208">
        <v>9</v>
      </c>
      <c r="B27" s="209">
        <v>5.5E-2</v>
      </c>
      <c r="C27" s="209">
        <f t="shared" si="1"/>
        <v>0.36</v>
      </c>
      <c r="D27" s="210">
        <f t="shared" si="5"/>
        <v>4218916</v>
      </c>
      <c r="E27" s="211">
        <f t="shared" si="2"/>
        <v>46791619</v>
      </c>
      <c r="F27" s="212">
        <f t="shared" si="6"/>
        <v>0.48800000083433748</v>
      </c>
      <c r="G27" s="213" t="s">
        <v>104</v>
      </c>
      <c r="H27" s="214">
        <f t="shared" si="0"/>
        <v>421892</v>
      </c>
      <c r="I27" s="215">
        <f t="shared" si="3"/>
        <v>421892</v>
      </c>
      <c r="J27" s="215">
        <f t="shared" si="4"/>
        <v>4218916</v>
      </c>
      <c r="K27" s="217"/>
    </row>
    <row r="28" spans="1:11" x14ac:dyDescent="0.2">
      <c r="A28" s="208">
        <v>10</v>
      </c>
      <c r="B28" s="209">
        <v>5.5E-2</v>
      </c>
      <c r="C28" s="209">
        <f t="shared" si="1"/>
        <v>0.41499999999999998</v>
      </c>
      <c r="D28" s="210">
        <f t="shared" si="5"/>
        <v>4218916</v>
      </c>
      <c r="E28" s="211">
        <f t="shared" si="2"/>
        <v>51010535</v>
      </c>
      <c r="F28" s="204">
        <f t="shared" si="6"/>
        <v>0.53199999603689707</v>
      </c>
      <c r="G28" s="213" t="s">
        <v>105</v>
      </c>
      <c r="H28" s="214">
        <f t="shared" si="0"/>
        <v>421892</v>
      </c>
      <c r="I28" s="215">
        <f t="shared" si="3"/>
        <v>421892</v>
      </c>
      <c r="J28" s="215">
        <f t="shared" si="4"/>
        <v>4218916</v>
      </c>
      <c r="K28" s="217"/>
    </row>
    <row r="29" spans="1:11" ht="12.75" thickBot="1" x14ac:dyDescent="0.25">
      <c r="A29" s="208">
        <v>11</v>
      </c>
      <c r="B29" s="209">
        <v>5.5E-2</v>
      </c>
      <c r="C29" s="209">
        <f t="shared" si="1"/>
        <v>0.47</v>
      </c>
      <c r="D29" s="210">
        <f t="shared" si="5"/>
        <v>4218916</v>
      </c>
      <c r="E29" s="211">
        <f t="shared" si="2"/>
        <v>55229451</v>
      </c>
      <c r="F29" s="212">
        <f t="shared" si="6"/>
        <v>0.57599999123945678</v>
      </c>
      <c r="G29" s="213" t="s">
        <v>106</v>
      </c>
      <c r="H29" s="214">
        <f t="shared" si="0"/>
        <v>421892</v>
      </c>
      <c r="I29" s="215">
        <f t="shared" si="3"/>
        <v>421892</v>
      </c>
      <c r="J29" s="215">
        <f t="shared" si="4"/>
        <v>4218916</v>
      </c>
      <c r="K29" s="217"/>
    </row>
    <row r="30" spans="1:11" x14ac:dyDescent="0.2">
      <c r="A30" s="208">
        <v>12</v>
      </c>
      <c r="B30" s="209">
        <v>0.06</v>
      </c>
      <c r="C30" s="209">
        <f t="shared" si="1"/>
        <v>0.53</v>
      </c>
      <c r="D30" s="210">
        <f t="shared" si="5"/>
        <v>4602454</v>
      </c>
      <c r="E30" s="211">
        <f t="shared" si="2"/>
        <v>59831905</v>
      </c>
      <c r="F30" s="204">
        <f t="shared" si="6"/>
        <v>0.62399998790210698</v>
      </c>
      <c r="G30" s="213" t="s">
        <v>107</v>
      </c>
      <c r="H30" s="214">
        <f t="shared" si="0"/>
        <v>460245</v>
      </c>
      <c r="I30" s="215">
        <f t="shared" si="3"/>
        <v>460245</v>
      </c>
      <c r="J30" s="215">
        <f t="shared" si="4"/>
        <v>4602454</v>
      </c>
      <c r="K30" s="217"/>
    </row>
    <row r="31" spans="1:11" ht="12.75" thickBot="1" x14ac:dyDescent="0.25">
      <c r="A31" s="208">
        <v>13</v>
      </c>
      <c r="B31" s="209">
        <v>7.0000000000000007E-2</v>
      </c>
      <c r="C31" s="209">
        <f t="shared" si="1"/>
        <v>0.60000000000000009</v>
      </c>
      <c r="D31" s="210">
        <f t="shared" si="5"/>
        <v>5369530</v>
      </c>
      <c r="E31" s="211">
        <f t="shared" si="2"/>
        <v>65201435</v>
      </c>
      <c r="F31" s="212">
        <f t="shared" si="6"/>
        <v>0.67999998748493828</v>
      </c>
      <c r="G31" s="213" t="s">
        <v>108</v>
      </c>
      <c r="H31" s="214">
        <f t="shared" si="0"/>
        <v>536953</v>
      </c>
      <c r="I31" s="215">
        <f t="shared" si="3"/>
        <v>536953</v>
      </c>
      <c r="J31" s="215">
        <f t="shared" si="4"/>
        <v>5369530</v>
      </c>
      <c r="K31" s="217"/>
    </row>
    <row r="32" spans="1:11" x14ac:dyDescent="0.2">
      <c r="A32" s="208">
        <v>14</v>
      </c>
      <c r="B32" s="209">
        <v>7.0000000000000007E-2</v>
      </c>
      <c r="C32" s="209">
        <f t="shared" si="1"/>
        <v>0.67000000000000015</v>
      </c>
      <c r="D32" s="210">
        <f t="shared" si="5"/>
        <v>5369530</v>
      </c>
      <c r="E32" s="211">
        <f t="shared" si="2"/>
        <v>70570965</v>
      </c>
      <c r="F32" s="204">
        <f t="shared" si="6"/>
        <v>0.73599998706776948</v>
      </c>
      <c r="G32" s="213" t="s">
        <v>109</v>
      </c>
      <c r="H32" s="214">
        <f t="shared" si="0"/>
        <v>536953</v>
      </c>
      <c r="I32" s="215">
        <f t="shared" si="3"/>
        <v>536953</v>
      </c>
      <c r="J32" s="215">
        <f t="shared" si="4"/>
        <v>5369530</v>
      </c>
      <c r="K32" s="219">
        <f>+SUM(J21:J32)</f>
        <v>47175156</v>
      </c>
    </row>
    <row r="33" spans="1:11" ht="12.75" thickBot="1" x14ac:dyDescent="0.25">
      <c r="A33" s="208">
        <v>15</v>
      </c>
      <c r="B33" s="209">
        <v>6.5000000000000002E-2</v>
      </c>
      <c r="C33" s="209">
        <f t="shared" si="1"/>
        <v>0.7350000000000001</v>
      </c>
      <c r="D33" s="210">
        <f t="shared" si="5"/>
        <v>4985992</v>
      </c>
      <c r="E33" s="211">
        <f t="shared" si="2"/>
        <v>75556957</v>
      </c>
      <c r="F33" s="212">
        <f t="shared" si="6"/>
        <v>0.78799998519051029</v>
      </c>
      <c r="G33" s="213" t="s">
        <v>110</v>
      </c>
      <c r="H33" s="214">
        <f t="shared" si="0"/>
        <v>498599</v>
      </c>
      <c r="I33" s="215">
        <f t="shared" si="3"/>
        <v>498599</v>
      </c>
      <c r="J33" s="215">
        <f t="shared" si="4"/>
        <v>4985992</v>
      </c>
      <c r="K33" s="217"/>
    </row>
    <row r="34" spans="1:11" x14ac:dyDescent="0.2">
      <c r="A34" s="208">
        <v>16</v>
      </c>
      <c r="B34" s="209">
        <v>6.5000000000000002E-2</v>
      </c>
      <c r="C34" s="209">
        <f t="shared" si="1"/>
        <v>0.8</v>
      </c>
      <c r="D34" s="210">
        <f t="shared" si="5"/>
        <v>4985992</v>
      </c>
      <c r="E34" s="211">
        <f>E33+D34</f>
        <v>80542949</v>
      </c>
      <c r="F34" s="204">
        <f t="shared" si="6"/>
        <v>0.83999998331325099</v>
      </c>
      <c r="G34" s="213" t="s">
        <v>111</v>
      </c>
      <c r="H34" s="214">
        <f>ROUND(D34*0.1,0)</f>
        <v>498599</v>
      </c>
      <c r="I34" s="215">
        <f t="shared" si="3"/>
        <v>498599</v>
      </c>
      <c r="J34" s="215">
        <f>ROUNDUP(D34*$D$12/100,-(LEN(D34)-$I$15))</f>
        <v>4985992</v>
      </c>
      <c r="K34" s="217"/>
    </row>
    <row r="35" spans="1:11" ht="12.75" thickBot="1" x14ac:dyDescent="0.25">
      <c r="A35" s="208">
        <v>17</v>
      </c>
      <c r="B35" s="209">
        <v>0.05</v>
      </c>
      <c r="C35" s="209">
        <f t="shared" si="1"/>
        <v>0.85000000000000009</v>
      </c>
      <c r="D35" s="210">
        <f t="shared" si="5"/>
        <v>3835379</v>
      </c>
      <c r="E35" s="211">
        <f>E34+D35</f>
        <v>84378328</v>
      </c>
      <c r="F35" s="212">
        <f t="shared" si="6"/>
        <v>0.87999998748493824</v>
      </c>
      <c r="G35" s="213" t="s">
        <v>112</v>
      </c>
      <c r="H35" s="214">
        <f>ROUND(D35*0.1,0)</f>
        <v>383538</v>
      </c>
      <c r="I35" s="215">
        <f t="shared" si="3"/>
        <v>383538</v>
      </c>
      <c r="J35" s="215">
        <f>ROUNDUP(D35*$D$12/100,-(LEN(D35)-$I$15))</f>
        <v>3835379</v>
      </c>
      <c r="K35" s="217"/>
    </row>
    <row r="36" spans="1:11" ht="12.75" thickBot="1" x14ac:dyDescent="0.25">
      <c r="A36" s="220">
        <v>18</v>
      </c>
      <c r="B36" s="209">
        <v>0.05</v>
      </c>
      <c r="C36" s="209">
        <f t="shared" si="1"/>
        <v>0.90000000000000013</v>
      </c>
      <c r="D36" s="210">
        <f t="shared" si="5"/>
        <v>3835379</v>
      </c>
      <c r="E36" s="222">
        <f>E35+D36</f>
        <v>88213707</v>
      </c>
      <c r="F36" s="204">
        <f t="shared" si="6"/>
        <v>0.91999999165662549</v>
      </c>
      <c r="G36" s="224" t="s">
        <v>113</v>
      </c>
      <c r="H36" s="225">
        <f>ROUND(D36*0.1,0)</f>
        <v>383538</v>
      </c>
      <c r="I36" s="215">
        <f t="shared" si="3"/>
        <v>383538</v>
      </c>
      <c r="J36" s="226">
        <f>ROUNDUP(D36*$D$12/100,-(LEN(D36)-$I$15))</f>
        <v>3835379</v>
      </c>
      <c r="K36" s="219">
        <f>+SUM(J33:J36)</f>
        <v>17642742</v>
      </c>
    </row>
    <row r="37" spans="1:11" ht="12.75" thickBot="1" x14ac:dyDescent="0.25">
      <c r="A37" s="208">
        <v>19</v>
      </c>
      <c r="B37" s="209">
        <v>0.04</v>
      </c>
      <c r="C37" s="209">
        <f t="shared" si="1"/>
        <v>0.94000000000000017</v>
      </c>
      <c r="D37" s="210">
        <f t="shared" si="5"/>
        <v>3068303</v>
      </c>
      <c r="E37" s="211">
        <f t="shared" ref="E37:E42" si="7">E36+D37</f>
        <v>91282010</v>
      </c>
      <c r="F37" s="212">
        <f t="shared" si="6"/>
        <v>0.95199999290813164</v>
      </c>
      <c r="G37" s="213" t="s">
        <v>114</v>
      </c>
      <c r="H37" s="214">
        <f t="shared" ref="H37:H42" si="8">ROUND(D37*0.1,0)</f>
        <v>306830</v>
      </c>
      <c r="I37" s="215">
        <f t="shared" si="3"/>
        <v>306830</v>
      </c>
      <c r="J37" s="226">
        <f t="shared" ref="J37:J42" si="9">ROUNDUP(D37*$D$12/100,-(LEN(D37)-$I$15))</f>
        <v>3068303</v>
      </c>
      <c r="K37" s="219"/>
    </row>
    <row r="38" spans="1:11" ht="12.75" thickBot="1" x14ac:dyDescent="0.25">
      <c r="A38" s="220">
        <v>20</v>
      </c>
      <c r="B38" s="209">
        <v>0.02</v>
      </c>
      <c r="C38" s="209">
        <f t="shared" si="1"/>
        <v>0.96000000000000019</v>
      </c>
      <c r="D38" s="210">
        <f t="shared" si="5"/>
        <v>1534151</v>
      </c>
      <c r="E38" s="222">
        <f t="shared" si="7"/>
        <v>92816161</v>
      </c>
      <c r="F38" s="204">
        <f t="shared" si="6"/>
        <v>0.96799998831927569</v>
      </c>
      <c r="G38" s="224" t="s">
        <v>115</v>
      </c>
      <c r="H38" s="225">
        <f t="shared" si="8"/>
        <v>153415</v>
      </c>
      <c r="I38" s="215">
        <f t="shared" si="3"/>
        <v>153415</v>
      </c>
      <c r="J38" s="226">
        <f t="shared" si="9"/>
        <v>1534151</v>
      </c>
      <c r="K38" s="219"/>
    </row>
    <row r="39" spans="1:11" ht="12.75" thickBot="1" x14ac:dyDescent="0.25">
      <c r="A39" s="208">
        <v>21</v>
      </c>
      <c r="B39" s="238">
        <v>0.01</v>
      </c>
      <c r="C39" s="209">
        <f t="shared" si="1"/>
        <v>0.9700000000000002</v>
      </c>
      <c r="D39" s="210">
        <f t="shared" si="5"/>
        <v>767076</v>
      </c>
      <c r="E39" s="211">
        <f t="shared" si="7"/>
        <v>93583237</v>
      </c>
      <c r="F39" s="212">
        <f t="shared" si="6"/>
        <v>0.9759999912394568</v>
      </c>
      <c r="G39" s="213" t="s">
        <v>116</v>
      </c>
      <c r="H39" s="214">
        <f t="shared" si="8"/>
        <v>76708</v>
      </c>
      <c r="I39" s="226">
        <f>ROUNDUP((D39+H39-J39),-(LEN(D39)-$I$15))</f>
        <v>76708</v>
      </c>
      <c r="J39" s="226">
        <f t="shared" si="9"/>
        <v>767076</v>
      </c>
      <c r="K39" s="219"/>
    </row>
    <row r="40" spans="1:11" ht="12.75" thickBot="1" x14ac:dyDescent="0.25">
      <c r="A40" s="220">
        <v>22</v>
      </c>
      <c r="B40" s="209">
        <v>0.01</v>
      </c>
      <c r="C40" s="209">
        <f t="shared" si="1"/>
        <v>0.9800000000000002</v>
      </c>
      <c r="D40" s="210">
        <f t="shared" si="5"/>
        <v>767076</v>
      </c>
      <c r="E40" s="222">
        <f t="shared" si="7"/>
        <v>94350313</v>
      </c>
      <c r="F40" s="204">
        <f t="shared" si="6"/>
        <v>0.9839999941596379</v>
      </c>
      <c r="G40" s="224" t="s">
        <v>117</v>
      </c>
      <c r="H40" s="225">
        <f t="shared" si="8"/>
        <v>76708</v>
      </c>
      <c r="I40" s="215">
        <f t="shared" si="3"/>
        <v>76708</v>
      </c>
      <c r="J40" s="226">
        <f t="shared" si="9"/>
        <v>767076</v>
      </c>
      <c r="K40" s="219"/>
    </row>
    <row r="41" spans="1:11" ht="12.75" thickBot="1" x14ac:dyDescent="0.25">
      <c r="A41" s="208">
        <v>23</v>
      </c>
      <c r="B41" s="209">
        <v>0.01</v>
      </c>
      <c r="C41" s="209">
        <f t="shared" si="1"/>
        <v>0.99000000000000021</v>
      </c>
      <c r="D41" s="210">
        <f t="shared" ref="D41" si="10">ROUND(B41*$D$11*(100-$D$14)/100,0)</f>
        <v>767076</v>
      </c>
      <c r="E41" s="211">
        <f t="shared" si="7"/>
        <v>95117389</v>
      </c>
      <c r="F41" s="212">
        <f t="shared" si="6"/>
        <v>0.9919999970798189</v>
      </c>
      <c r="G41" s="213" t="s">
        <v>118</v>
      </c>
      <c r="H41" s="214">
        <f t="shared" si="8"/>
        <v>76708</v>
      </c>
      <c r="I41" s="215">
        <f t="shared" si="3"/>
        <v>76708</v>
      </c>
      <c r="J41" s="226">
        <f t="shared" si="9"/>
        <v>767076</v>
      </c>
      <c r="K41" s="219"/>
    </row>
    <row r="42" spans="1:11" ht="12.75" thickBot="1" x14ac:dyDescent="0.25">
      <c r="A42" s="220">
        <v>24</v>
      </c>
      <c r="B42" s="221">
        <v>0.01</v>
      </c>
      <c r="C42" s="209">
        <f t="shared" si="1"/>
        <v>1.0000000000000002</v>
      </c>
      <c r="D42" s="210">
        <f t="shared" si="5"/>
        <v>767076</v>
      </c>
      <c r="E42" s="222">
        <f t="shared" si="7"/>
        <v>95884465</v>
      </c>
      <c r="F42" s="204">
        <f t="shared" si="6"/>
        <v>1</v>
      </c>
      <c r="G42" s="224" t="s">
        <v>119</v>
      </c>
      <c r="H42" s="225">
        <f t="shared" si="8"/>
        <v>76708</v>
      </c>
      <c r="I42" s="226">
        <f t="shared" si="3"/>
        <v>76708</v>
      </c>
      <c r="J42" s="226">
        <f t="shared" si="9"/>
        <v>767076</v>
      </c>
      <c r="K42" s="219"/>
    </row>
    <row r="43" spans="1:11" ht="20.25" customHeight="1" thickBot="1" x14ac:dyDescent="0.25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95884465</v>
      </c>
      <c r="E43" s="168"/>
      <c r="H43" s="168"/>
      <c r="I43" s="231">
        <f>SUM(I18:I36)</f>
        <v>8821372</v>
      </c>
      <c r="J43" s="231">
        <f>SUM(J18:J42)</f>
        <v>95884465</v>
      </c>
      <c r="K43" s="217"/>
    </row>
    <row r="44" spans="1:11" ht="15" customHeight="1" x14ac:dyDescent="0.2">
      <c r="A44" s="173"/>
      <c r="F44" s="176"/>
      <c r="G44" s="176"/>
      <c r="H44" s="179" t="s">
        <v>206</v>
      </c>
      <c r="I44" s="696">
        <f>I43+J43</f>
        <v>104705837</v>
      </c>
      <c r="J44" s="697"/>
    </row>
    <row r="45" spans="1:11" x14ac:dyDescent="0.2">
      <c r="A45" s="172" t="s">
        <v>207</v>
      </c>
      <c r="B45" s="172"/>
      <c r="C45" s="172"/>
      <c r="H45" s="179" t="s">
        <v>208</v>
      </c>
      <c r="I45" s="190">
        <f>I44/1.1-D11</f>
        <v>-697340.45454546809</v>
      </c>
    </row>
    <row r="46" spans="1:11" x14ac:dyDescent="0.2">
      <c r="B46" s="232"/>
    </row>
    <row r="47" spans="1:11" x14ac:dyDescent="0.2">
      <c r="B47" s="232"/>
    </row>
    <row r="49" spans="1:27" s="235" customFormat="1" ht="12.75" customHeight="1" x14ac:dyDescent="0.2">
      <c r="A49" s="233"/>
      <c r="B49" s="234" t="s">
        <v>209</v>
      </c>
      <c r="C49" s="234" t="s">
        <v>96</v>
      </c>
      <c r="D49" s="234" t="s">
        <v>97</v>
      </c>
      <c r="E49" s="234" t="s">
        <v>98</v>
      </c>
      <c r="F49" s="234" t="s">
        <v>99</v>
      </c>
      <c r="G49" s="234" t="s">
        <v>100</v>
      </c>
      <c r="H49" s="234" t="s">
        <v>101</v>
      </c>
      <c r="I49" s="234" t="s">
        <v>102</v>
      </c>
      <c r="J49" s="234" t="s">
        <v>103</v>
      </c>
      <c r="K49" s="234" t="s">
        <v>104</v>
      </c>
      <c r="L49" s="234" t="s">
        <v>105</v>
      </c>
      <c r="M49" s="234" t="s">
        <v>106</v>
      </c>
      <c r="N49" s="234" t="s">
        <v>107</v>
      </c>
      <c r="O49" s="234" t="s">
        <v>108</v>
      </c>
      <c r="P49" s="234" t="s">
        <v>109</v>
      </c>
      <c r="Q49" s="234" t="s">
        <v>110</v>
      </c>
      <c r="R49" s="234" t="s">
        <v>111</v>
      </c>
      <c r="S49" s="234" t="s">
        <v>112</v>
      </c>
      <c r="T49" s="234" t="s">
        <v>113</v>
      </c>
      <c r="U49" s="234" t="s">
        <v>114</v>
      </c>
      <c r="V49" s="234" t="s">
        <v>115</v>
      </c>
      <c r="W49" s="234" t="s">
        <v>116</v>
      </c>
      <c r="X49" s="234" t="s">
        <v>117</v>
      </c>
      <c r="Y49" s="234" t="s">
        <v>118</v>
      </c>
      <c r="Z49" s="234" t="s">
        <v>119</v>
      </c>
    </row>
    <row r="50" spans="1:27" x14ac:dyDescent="0.2">
      <c r="A50" s="236" t="s">
        <v>210</v>
      </c>
      <c r="B50" s="210">
        <v>0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176">
        <f>SUM(B50:T50)</f>
        <v>0</v>
      </c>
      <c r="V50" s="176">
        <f t="shared" ref="V50:AA50" si="11">SUM(C50:U50)</f>
        <v>0</v>
      </c>
      <c r="W50" s="176">
        <f t="shared" si="11"/>
        <v>0</v>
      </c>
      <c r="X50" s="176">
        <f t="shared" si="11"/>
        <v>0</v>
      </c>
      <c r="Y50" s="176">
        <f t="shared" si="11"/>
        <v>0</v>
      </c>
      <c r="Z50" s="176">
        <f t="shared" si="11"/>
        <v>0</v>
      </c>
      <c r="AA50" s="176">
        <f t="shared" si="11"/>
        <v>0</v>
      </c>
    </row>
    <row r="51" spans="1:27" x14ac:dyDescent="0.2">
      <c r="A51" s="236" t="s">
        <v>211</v>
      </c>
      <c r="B51" s="210">
        <f>$J18</f>
        <v>19176893</v>
      </c>
      <c r="C51" s="210">
        <f>$J19</f>
        <v>1917689</v>
      </c>
      <c r="D51" s="210">
        <f>$J20</f>
        <v>2301227</v>
      </c>
      <c r="E51" s="210">
        <f>$J21</f>
        <v>2684765</v>
      </c>
      <c r="F51" s="210">
        <f>$J22</f>
        <v>2684765</v>
      </c>
      <c r="G51" s="210">
        <f>$J23</f>
        <v>3068303</v>
      </c>
      <c r="H51" s="210">
        <f>$J24</f>
        <v>3451841</v>
      </c>
      <c r="I51" s="210">
        <f>$J25</f>
        <v>3451841</v>
      </c>
      <c r="J51" s="210">
        <f>$J26</f>
        <v>3835379</v>
      </c>
      <c r="K51" s="210">
        <f>$J27</f>
        <v>4218916</v>
      </c>
      <c r="L51" s="210">
        <f>$J28</f>
        <v>4218916</v>
      </c>
      <c r="M51" s="210">
        <f>$J29</f>
        <v>4218916</v>
      </c>
      <c r="N51" s="210">
        <f>$J30</f>
        <v>4602454</v>
      </c>
      <c r="O51" s="210">
        <f>$J31</f>
        <v>5369530</v>
      </c>
      <c r="P51" s="210">
        <f>$J32</f>
        <v>5369530</v>
      </c>
      <c r="Q51" s="210">
        <f>$J33</f>
        <v>4985992</v>
      </c>
      <c r="R51" s="210">
        <f>$J34</f>
        <v>4985992</v>
      </c>
      <c r="S51" s="210">
        <f>$J35</f>
        <v>3835379</v>
      </c>
      <c r="T51" s="210">
        <f>$J36</f>
        <v>3835379</v>
      </c>
      <c r="U51" s="210">
        <f>$J37</f>
        <v>3068303</v>
      </c>
      <c r="V51" s="210">
        <f>$J38</f>
        <v>1534151</v>
      </c>
      <c r="W51" s="210">
        <f>$J39</f>
        <v>767076</v>
      </c>
      <c r="X51" s="210">
        <f>$J40</f>
        <v>767076</v>
      </c>
      <c r="Y51" s="210">
        <f>$J41</f>
        <v>767076</v>
      </c>
      <c r="Z51" s="210">
        <f>$J42</f>
        <v>767076</v>
      </c>
      <c r="AA51" s="176">
        <f>SUM(B51:Z51)</f>
        <v>95884465</v>
      </c>
    </row>
    <row r="52" spans="1:27" x14ac:dyDescent="0.2">
      <c r="B52" s="210">
        <f>B50+B51</f>
        <v>19176893</v>
      </c>
      <c r="C52" s="210">
        <f t="shared" ref="C52:Z52" si="12">C50+C51</f>
        <v>1917689</v>
      </c>
      <c r="D52" s="210">
        <f t="shared" si="12"/>
        <v>2301227</v>
      </c>
      <c r="E52" s="210">
        <f t="shared" si="12"/>
        <v>2684765</v>
      </c>
      <c r="F52" s="210">
        <f t="shared" si="12"/>
        <v>2684765</v>
      </c>
      <c r="G52" s="210">
        <f t="shared" si="12"/>
        <v>3068303</v>
      </c>
      <c r="H52" s="210">
        <f t="shared" si="12"/>
        <v>3451841</v>
      </c>
      <c r="I52" s="210">
        <f t="shared" si="12"/>
        <v>3451841</v>
      </c>
      <c r="J52" s="210">
        <f t="shared" si="12"/>
        <v>3835379</v>
      </c>
      <c r="K52" s="210">
        <f t="shared" si="12"/>
        <v>4218916</v>
      </c>
      <c r="L52" s="210">
        <f t="shared" si="12"/>
        <v>4218916</v>
      </c>
      <c r="M52" s="210">
        <f t="shared" si="12"/>
        <v>4218916</v>
      </c>
      <c r="N52" s="210">
        <f t="shared" si="12"/>
        <v>4602454</v>
      </c>
      <c r="O52" s="210">
        <f t="shared" si="12"/>
        <v>5369530</v>
      </c>
      <c r="P52" s="210">
        <f t="shared" si="12"/>
        <v>5369530</v>
      </c>
      <c r="Q52" s="210">
        <f t="shared" si="12"/>
        <v>4985992</v>
      </c>
      <c r="R52" s="210">
        <f t="shared" si="12"/>
        <v>4985992</v>
      </c>
      <c r="S52" s="210">
        <f t="shared" si="12"/>
        <v>3835379</v>
      </c>
      <c r="T52" s="210">
        <f t="shared" si="12"/>
        <v>3835379</v>
      </c>
      <c r="U52" s="210">
        <f t="shared" si="12"/>
        <v>3068303</v>
      </c>
      <c r="V52" s="210">
        <f t="shared" si="12"/>
        <v>1534151</v>
      </c>
      <c r="W52" s="210">
        <f t="shared" si="12"/>
        <v>767076</v>
      </c>
      <c r="X52" s="210">
        <f t="shared" si="12"/>
        <v>767076</v>
      </c>
      <c r="Y52" s="210">
        <f t="shared" si="12"/>
        <v>767076</v>
      </c>
      <c r="Z52" s="210">
        <f t="shared" si="12"/>
        <v>767076</v>
      </c>
      <c r="AA52" s="210">
        <f>U50+AA51</f>
        <v>95884465</v>
      </c>
    </row>
    <row r="53" spans="1:27" x14ac:dyDescent="0.2">
      <c r="B53" s="237">
        <f>SUM(B52:Z52)</f>
        <v>95884465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8A09-70E8-4C67-A1B9-505971FEBAAA}">
  <sheetPr>
    <pageSetUpPr fitToPage="1"/>
  </sheetPr>
  <dimension ref="A1:AA53"/>
  <sheetViews>
    <sheetView showGridLines="0" topLeftCell="A2" zoomScale="70" zoomScaleNormal="70" workbookViewId="0">
      <selection activeCell="D11" sqref="D11"/>
    </sheetView>
  </sheetViews>
  <sheetFormatPr defaultColWidth="9.140625" defaultRowHeight="12" x14ac:dyDescent="0.2"/>
  <cols>
    <col min="1" max="1" width="8.42578125" style="168" customWidth="1"/>
    <col min="2" max="2" width="14.42578125" style="178" customWidth="1"/>
    <col min="3" max="3" width="15.42578125" style="176" customWidth="1"/>
    <col min="4" max="4" width="16.42578125" style="176" customWidth="1"/>
    <col min="5" max="5" width="16.140625" style="176" customWidth="1"/>
    <col min="6" max="6" width="13.7109375" style="168" customWidth="1"/>
    <col min="7" max="7" width="18.85546875" style="168" customWidth="1"/>
    <col min="8" max="8" width="15.7109375" style="173" customWidth="1"/>
    <col min="9" max="9" width="18" style="168" customWidth="1"/>
    <col min="10" max="10" width="22.7109375" style="168" customWidth="1"/>
    <col min="11" max="11" width="13.140625" style="168" bestFit="1" customWidth="1"/>
    <col min="12" max="12" width="13.42578125" style="168" customWidth="1"/>
    <col min="13" max="13" width="14.7109375" style="168" customWidth="1"/>
    <col min="14" max="14" width="14.7109375" style="168" bestFit="1" customWidth="1"/>
    <col min="15" max="19" width="14.42578125" style="168" customWidth="1"/>
    <col min="20" max="20" width="14.85546875" style="168" bestFit="1" customWidth="1"/>
    <col min="21" max="21" width="10.85546875" style="168" bestFit="1" customWidth="1"/>
    <col min="22" max="22" width="9.140625" style="168"/>
    <col min="23" max="23" width="10.28515625" style="168" bestFit="1" customWidth="1"/>
    <col min="24" max="26" width="9.140625" style="168"/>
    <col min="27" max="27" width="10" style="168" bestFit="1" customWidth="1"/>
    <col min="28" max="256" width="9.140625" style="168"/>
    <col min="257" max="257" width="8.42578125" style="168" customWidth="1"/>
    <col min="258" max="258" width="14.42578125" style="168" customWidth="1"/>
    <col min="259" max="259" width="15.42578125" style="168" customWidth="1"/>
    <col min="260" max="260" width="16.42578125" style="168" customWidth="1"/>
    <col min="261" max="261" width="16.140625" style="168" customWidth="1"/>
    <col min="262" max="262" width="13.7109375" style="168" customWidth="1"/>
    <col min="263" max="263" width="18.85546875" style="168" customWidth="1"/>
    <col min="264" max="264" width="15.7109375" style="168" customWidth="1"/>
    <col min="265" max="266" width="16.5703125" style="168" customWidth="1"/>
    <col min="267" max="267" width="13.140625" style="168" bestFit="1" customWidth="1"/>
    <col min="268" max="268" width="13.42578125" style="168" customWidth="1"/>
    <col min="269" max="269" width="14.7109375" style="168" customWidth="1"/>
    <col min="270" max="270" width="14.7109375" style="168" bestFit="1" customWidth="1"/>
    <col min="271" max="275" width="14.42578125" style="168" customWidth="1"/>
    <col min="276" max="276" width="14.85546875" style="168" bestFit="1" customWidth="1"/>
    <col min="277" max="277" width="10.85546875" style="168" bestFit="1" customWidth="1"/>
    <col min="278" max="512" width="9.140625" style="168"/>
    <col min="513" max="513" width="8.42578125" style="168" customWidth="1"/>
    <col min="514" max="514" width="14.42578125" style="168" customWidth="1"/>
    <col min="515" max="515" width="15.42578125" style="168" customWidth="1"/>
    <col min="516" max="516" width="16.42578125" style="168" customWidth="1"/>
    <col min="517" max="517" width="16.140625" style="168" customWidth="1"/>
    <col min="518" max="518" width="13.7109375" style="168" customWidth="1"/>
    <col min="519" max="519" width="18.85546875" style="168" customWidth="1"/>
    <col min="520" max="520" width="15.7109375" style="168" customWidth="1"/>
    <col min="521" max="522" width="16.5703125" style="168" customWidth="1"/>
    <col min="523" max="523" width="13.140625" style="168" bestFit="1" customWidth="1"/>
    <col min="524" max="524" width="13.42578125" style="168" customWidth="1"/>
    <col min="525" max="525" width="14.7109375" style="168" customWidth="1"/>
    <col min="526" max="526" width="14.7109375" style="168" bestFit="1" customWidth="1"/>
    <col min="527" max="531" width="14.42578125" style="168" customWidth="1"/>
    <col min="532" max="532" width="14.85546875" style="168" bestFit="1" customWidth="1"/>
    <col min="533" max="533" width="10.85546875" style="168" bestFit="1" customWidth="1"/>
    <col min="534" max="768" width="9.140625" style="168"/>
    <col min="769" max="769" width="8.42578125" style="168" customWidth="1"/>
    <col min="770" max="770" width="14.42578125" style="168" customWidth="1"/>
    <col min="771" max="771" width="15.42578125" style="168" customWidth="1"/>
    <col min="772" max="772" width="16.42578125" style="168" customWidth="1"/>
    <col min="773" max="773" width="16.140625" style="168" customWidth="1"/>
    <col min="774" max="774" width="13.7109375" style="168" customWidth="1"/>
    <col min="775" max="775" width="18.85546875" style="168" customWidth="1"/>
    <col min="776" max="776" width="15.7109375" style="168" customWidth="1"/>
    <col min="777" max="778" width="16.5703125" style="168" customWidth="1"/>
    <col min="779" max="779" width="13.140625" style="168" bestFit="1" customWidth="1"/>
    <col min="780" max="780" width="13.42578125" style="168" customWidth="1"/>
    <col min="781" max="781" width="14.7109375" style="168" customWidth="1"/>
    <col min="782" max="782" width="14.7109375" style="168" bestFit="1" customWidth="1"/>
    <col min="783" max="787" width="14.42578125" style="168" customWidth="1"/>
    <col min="788" max="788" width="14.85546875" style="168" bestFit="1" customWidth="1"/>
    <col min="789" max="789" width="10.85546875" style="168" bestFit="1" customWidth="1"/>
    <col min="790" max="1024" width="9.140625" style="168"/>
    <col min="1025" max="1025" width="8.42578125" style="168" customWidth="1"/>
    <col min="1026" max="1026" width="14.42578125" style="168" customWidth="1"/>
    <col min="1027" max="1027" width="15.42578125" style="168" customWidth="1"/>
    <col min="1028" max="1028" width="16.42578125" style="168" customWidth="1"/>
    <col min="1029" max="1029" width="16.140625" style="168" customWidth="1"/>
    <col min="1030" max="1030" width="13.7109375" style="168" customWidth="1"/>
    <col min="1031" max="1031" width="18.85546875" style="168" customWidth="1"/>
    <col min="1032" max="1032" width="15.7109375" style="168" customWidth="1"/>
    <col min="1033" max="1034" width="16.5703125" style="168" customWidth="1"/>
    <col min="1035" max="1035" width="13.140625" style="168" bestFit="1" customWidth="1"/>
    <col min="1036" max="1036" width="13.42578125" style="168" customWidth="1"/>
    <col min="1037" max="1037" width="14.7109375" style="168" customWidth="1"/>
    <col min="1038" max="1038" width="14.7109375" style="168" bestFit="1" customWidth="1"/>
    <col min="1039" max="1043" width="14.42578125" style="168" customWidth="1"/>
    <col min="1044" max="1044" width="14.85546875" style="168" bestFit="1" customWidth="1"/>
    <col min="1045" max="1045" width="10.85546875" style="168" bestFit="1" customWidth="1"/>
    <col min="1046" max="1280" width="9.140625" style="168"/>
    <col min="1281" max="1281" width="8.42578125" style="168" customWidth="1"/>
    <col min="1282" max="1282" width="14.42578125" style="168" customWidth="1"/>
    <col min="1283" max="1283" width="15.42578125" style="168" customWidth="1"/>
    <col min="1284" max="1284" width="16.42578125" style="168" customWidth="1"/>
    <col min="1285" max="1285" width="16.140625" style="168" customWidth="1"/>
    <col min="1286" max="1286" width="13.7109375" style="168" customWidth="1"/>
    <col min="1287" max="1287" width="18.85546875" style="168" customWidth="1"/>
    <col min="1288" max="1288" width="15.7109375" style="168" customWidth="1"/>
    <col min="1289" max="1290" width="16.5703125" style="168" customWidth="1"/>
    <col min="1291" max="1291" width="13.140625" style="168" bestFit="1" customWidth="1"/>
    <col min="1292" max="1292" width="13.42578125" style="168" customWidth="1"/>
    <col min="1293" max="1293" width="14.7109375" style="168" customWidth="1"/>
    <col min="1294" max="1294" width="14.7109375" style="168" bestFit="1" customWidth="1"/>
    <col min="1295" max="1299" width="14.42578125" style="168" customWidth="1"/>
    <col min="1300" max="1300" width="14.85546875" style="168" bestFit="1" customWidth="1"/>
    <col min="1301" max="1301" width="10.85546875" style="168" bestFit="1" customWidth="1"/>
    <col min="1302" max="1536" width="9.140625" style="168"/>
    <col min="1537" max="1537" width="8.42578125" style="168" customWidth="1"/>
    <col min="1538" max="1538" width="14.42578125" style="168" customWidth="1"/>
    <col min="1539" max="1539" width="15.42578125" style="168" customWidth="1"/>
    <col min="1540" max="1540" width="16.42578125" style="168" customWidth="1"/>
    <col min="1541" max="1541" width="16.140625" style="168" customWidth="1"/>
    <col min="1542" max="1542" width="13.7109375" style="168" customWidth="1"/>
    <col min="1543" max="1543" width="18.85546875" style="168" customWidth="1"/>
    <col min="1544" max="1544" width="15.7109375" style="168" customWidth="1"/>
    <col min="1545" max="1546" width="16.5703125" style="168" customWidth="1"/>
    <col min="1547" max="1547" width="13.140625" style="168" bestFit="1" customWidth="1"/>
    <col min="1548" max="1548" width="13.42578125" style="168" customWidth="1"/>
    <col min="1549" max="1549" width="14.7109375" style="168" customWidth="1"/>
    <col min="1550" max="1550" width="14.7109375" style="168" bestFit="1" customWidth="1"/>
    <col min="1551" max="1555" width="14.42578125" style="168" customWidth="1"/>
    <col min="1556" max="1556" width="14.85546875" style="168" bestFit="1" customWidth="1"/>
    <col min="1557" max="1557" width="10.85546875" style="168" bestFit="1" customWidth="1"/>
    <col min="1558" max="1792" width="9.140625" style="168"/>
    <col min="1793" max="1793" width="8.42578125" style="168" customWidth="1"/>
    <col min="1794" max="1794" width="14.42578125" style="168" customWidth="1"/>
    <col min="1795" max="1795" width="15.42578125" style="168" customWidth="1"/>
    <col min="1796" max="1796" width="16.42578125" style="168" customWidth="1"/>
    <col min="1797" max="1797" width="16.140625" style="168" customWidth="1"/>
    <col min="1798" max="1798" width="13.7109375" style="168" customWidth="1"/>
    <col min="1799" max="1799" width="18.85546875" style="168" customWidth="1"/>
    <col min="1800" max="1800" width="15.7109375" style="168" customWidth="1"/>
    <col min="1801" max="1802" width="16.5703125" style="168" customWidth="1"/>
    <col min="1803" max="1803" width="13.140625" style="168" bestFit="1" customWidth="1"/>
    <col min="1804" max="1804" width="13.42578125" style="168" customWidth="1"/>
    <col min="1805" max="1805" width="14.7109375" style="168" customWidth="1"/>
    <col min="1806" max="1806" width="14.7109375" style="168" bestFit="1" customWidth="1"/>
    <col min="1807" max="1811" width="14.42578125" style="168" customWidth="1"/>
    <col min="1812" max="1812" width="14.85546875" style="168" bestFit="1" customWidth="1"/>
    <col min="1813" max="1813" width="10.85546875" style="168" bestFit="1" customWidth="1"/>
    <col min="1814" max="2048" width="9.140625" style="168"/>
    <col min="2049" max="2049" width="8.42578125" style="168" customWidth="1"/>
    <col min="2050" max="2050" width="14.42578125" style="168" customWidth="1"/>
    <col min="2051" max="2051" width="15.42578125" style="168" customWidth="1"/>
    <col min="2052" max="2052" width="16.42578125" style="168" customWidth="1"/>
    <col min="2053" max="2053" width="16.140625" style="168" customWidth="1"/>
    <col min="2054" max="2054" width="13.7109375" style="168" customWidth="1"/>
    <col min="2055" max="2055" width="18.85546875" style="168" customWidth="1"/>
    <col min="2056" max="2056" width="15.7109375" style="168" customWidth="1"/>
    <col min="2057" max="2058" width="16.5703125" style="168" customWidth="1"/>
    <col min="2059" max="2059" width="13.140625" style="168" bestFit="1" customWidth="1"/>
    <col min="2060" max="2060" width="13.42578125" style="168" customWidth="1"/>
    <col min="2061" max="2061" width="14.7109375" style="168" customWidth="1"/>
    <col min="2062" max="2062" width="14.7109375" style="168" bestFit="1" customWidth="1"/>
    <col min="2063" max="2067" width="14.42578125" style="168" customWidth="1"/>
    <col min="2068" max="2068" width="14.85546875" style="168" bestFit="1" customWidth="1"/>
    <col min="2069" max="2069" width="10.85546875" style="168" bestFit="1" customWidth="1"/>
    <col min="2070" max="2304" width="9.140625" style="168"/>
    <col min="2305" max="2305" width="8.42578125" style="168" customWidth="1"/>
    <col min="2306" max="2306" width="14.42578125" style="168" customWidth="1"/>
    <col min="2307" max="2307" width="15.42578125" style="168" customWidth="1"/>
    <col min="2308" max="2308" width="16.42578125" style="168" customWidth="1"/>
    <col min="2309" max="2309" width="16.140625" style="168" customWidth="1"/>
    <col min="2310" max="2310" width="13.7109375" style="168" customWidth="1"/>
    <col min="2311" max="2311" width="18.85546875" style="168" customWidth="1"/>
    <col min="2312" max="2312" width="15.7109375" style="168" customWidth="1"/>
    <col min="2313" max="2314" width="16.5703125" style="168" customWidth="1"/>
    <col min="2315" max="2315" width="13.140625" style="168" bestFit="1" customWidth="1"/>
    <col min="2316" max="2316" width="13.42578125" style="168" customWidth="1"/>
    <col min="2317" max="2317" width="14.7109375" style="168" customWidth="1"/>
    <col min="2318" max="2318" width="14.7109375" style="168" bestFit="1" customWidth="1"/>
    <col min="2319" max="2323" width="14.42578125" style="168" customWidth="1"/>
    <col min="2324" max="2324" width="14.85546875" style="168" bestFit="1" customWidth="1"/>
    <col min="2325" max="2325" width="10.85546875" style="168" bestFit="1" customWidth="1"/>
    <col min="2326" max="2560" width="9.140625" style="168"/>
    <col min="2561" max="2561" width="8.42578125" style="168" customWidth="1"/>
    <col min="2562" max="2562" width="14.42578125" style="168" customWidth="1"/>
    <col min="2563" max="2563" width="15.42578125" style="168" customWidth="1"/>
    <col min="2564" max="2564" width="16.42578125" style="168" customWidth="1"/>
    <col min="2565" max="2565" width="16.140625" style="168" customWidth="1"/>
    <col min="2566" max="2566" width="13.7109375" style="168" customWidth="1"/>
    <col min="2567" max="2567" width="18.85546875" style="168" customWidth="1"/>
    <col min="2568" max="2568" width="15.7109375" style="168" customWidth="1"/>
    <col min="2569" max="2570" width="16.5703125" style="168" customWidth="1"/>
    <col min="2571" max="2571" width="13.140625" style="168" bestFit="1" customWidth="1"/>
    <col min="2572" max="2572" width="13.42578125" style="168" customWidth="1"/>
    <col min="2573" max="2573" width="14.7109375" style="168" customWidth="1"/>
    <col min="2574" max="2574" width="14.7109375" style="168" bestFit="1" customWidth="1"/>
    <col min="2575" max="2579" width="14.42578125" style="168" customWidth="1"/>
    <col min="2580" max="2580" width="14.85546875" style="168" bestFit="1" customWidth="1"/>
    <col min="2581" max="2581" width="10.85546875" style="168" bestFit="1" customWidth="1"/>
    <col min="2582" max="2816" width="9.140625" style="168"/>
    <col min="2817" max="2817" width="8.42578125" style="168" customWidth="1"/>
    <col min="2818" max="2818" width="14.42578125" style="168" customWidth="1"/>
    <col min="2819" max="2819" width="15.42578125" style="168" customWidth="1"/>
    <col min="2820" max="2820" width="16.42578125" style="168" customWidth="1"/>
    <col min="2821" max="2821" width="16.140625" style="168" customWidth="1"/>
    <col min="2822" max="2822" width="13.7109375" style="168" customWidth="1"/>
    <col min="2823" max="2823" width="18.85546875" style="168" customWidth="1"/>
    <col min="2824" max="2824" width="15.7109375" style="168" customWidth="1"/>
    <col min="2825" max="2826" width="16.5703125" style="168" customWidth="1"/>
    <col min="2827" max="2827" width="13.140625" style="168" bestFit="1" customWidth="1"/>
    <col min="2828" max="2828" width="13.42578125" style="168" customWidth="1"/>
    <col min="2829" max="2829" width="14.7109375" style="168" customWidth="1"/>
    <col min="2830" max="2830" width="14.7109375" style="168" bestFit="1" customWidth="1"/>
    <col min="2831" max="2835" width="14.42578125" style="168" customWidth="1"/>
    <col min="2836" max="2836" width="14.85546875" style="168" bestFit="1" customWidth="1"/>
    <col min="2837" max="2837" width="10.85546875" style="168" bestFit="1" customWidth="1"/>
    <col min="2838" max="3072" width="9.140625" style="168"/>
    <col min="3073" max="3073" width="8.42578125" style="168" customWidth="1"/>
    <col min="3074" max="3074" width="14.42578125" style="168" customWidth="1"/>
    <col min="3075" max="3075" width="15.42578125" style="168" customWidth="1"/>
    <col min="3076" max="3076" width="16.42578125" style="168" customWidth="1"/>
    <col min="3077" max="3077" width="16.140625" style="168" customWidth="1"/>
    <col min="3078" max="3078" width="13.7109375" style="168" customWidth="1"/>
    <col min="3079" max="3079" width="18.85546875" style="168" customWidth="1"/>
    <col min="3080" max="3080" width="15.7109375" style="168" customWidth="1"/>
    <col min="3081" max="3082" width="16.5703125" style="168" customWidth="1"/>
    <col min="3083" max="3083" width="13.140625" style="168" bestFit="1" customWidth="1"/>
    <col min="3084" max="3084" width="13.42578125" style="168" customWidth="1"/>
    <col min="3085" max="3085" width="14.7109375" style="168" customWidth="1"/>
    <col min="3086" max="3086" width="14.7109375" style="168" bestFit="1" customWidth="1"/>
    <col min="3087" max="3091" width="14.42578125" style="168" customWidth="1"/>
    <col min="3092" max="3092" width="14.85546875" style="168" bestFit="1" customWidth="1"/>
    <col min="3093" max="3093" width="10.85546875" style="168" bestFit="1" customWidth="1"/>
    <col min="3094" max="3328" width="9.140625" style="168"/>
    <col min="3329" max="3329" width="8.42578125" style="168" customWidth="1"/>
    <col min="3330" max="3330" width="14.42578125" style="168" customWidth="1"/>
    <col min="3331" max="3331" width="15.42578125" style="168" customWidth="1"/>
    <col min="3332" max="3332" width="16.42578125" style="168" customWidth="1"/>
    <col min="3333" max="3333" width="16.140625" style="168" customWidth="1"/>
    <col min="3334" max="3334" width="13.7109375" style="168" customWidth="1"/>
    <col min="3335" max="3335" width="18.85546875" style="168" customWidth="1"/>
    <col min="3336" max="3336" width="15.7109375" style="168" customWidth="1"/>
    <col min="3337" max="3338" width="16.5703125" style="168" customWidth="1"/>
    <col min="3339" max="3339" width="13.140625" style="168" bestFit="1" customWidth="1"/>
    <col min="3340" max="3340" width="13.42578125" style="168" customWidth="1"/>
    <col min="3341" max="3341" width="14.7109375" style="168" customWidth="1"/>
    <col min="3342" max="3342" width="14.7109375" style="168" bestFit="1" customWidth="1"/>
    <col min="3343" max="3347" width="14.42578125" style="168" customWidth="1"/>
    <col min="3348" max="3348" width="14.85546875" style="168" bestFit="1" customWidth="1"/>
    <col min="3349" max="3349" width="10.85546875" style="168" bestFit="1" customWidth="1"/>
    <col min="3350" max="3584" width="9.140625" style="168"/>
    <col min="3585" max="3585" width="8.42578125" style="168" customWidth="1"/>
    <col min="3586" max="3586" width="14.42578125" style="168" customWidth="1"/>
    <col min="3587" max="3587" width="15.42578125" style="168" customWidth="1"/>
    <col min="3588" max="3588" width="16.42578125" style="168" customWidth="1"/>
    <col min="3589" max="3589" width="16.140625" style="168" customWidth="1"/>
    <col min="3590" max="3590" width="13.7109375" style="168" customWidth="1"/>
    <col min="3591" max="3591" width="18.85546875" style="168" customWidth="1"/>
    <col min="3592" max="3592" width="15.7109375" style="168" customWidth="1"/>
    <col min="3593" max="3594" width="16.5703125" style="168" customWidth="1"/>
    <col min="3595" max="3595" width="13.140625" style="168" bestFit="1" customWidth="1"/>
    <col min="3596" max="3596" width="13.42578125" style="168" customWidth="1"/>
    <col min="3597" max="3597" width="14.7109375" style="168" customWidth="1"/>
    <col min="3598" max="3598" width="14.7109375" style="168" bestFit="1" customWidth="1"/>
    <col min="3599" max="3603" width="14.42578125" style="168" customWidth="1"/>
    <col min="3604" max="3604" width="14.85546875" style="168" bestFit="1" customWidth="1"/>
    <col min="3605" max="3605" width="10.85546875" style="168" bestFit="1" customWidth="1"/>
    <col min="3606" max="3840" width="9.140625" style="168"/>
    <col min="3841" max="3841" width="8.42578125" style="168" customWidth="1"/>
    <col min="3842" max="3842" width="14.42578125" style="168" customWidth="1"/>
    <col min="3843" max="3843" width="15.42578125" style="168" customWidth="1"/>
    <col min="3844" max="3844" width="16.42578125" style="168" customWidth="1"/>
    <col min="3845" max="3845" width="16.140625" style="168" customWidth="1"/>
    <col min="3846" max="3846" width="13.7109375" style="168" customWidth="1"/>
    <col min="3847" max="3847" width="18.85546875" style="168" customWidth="1"/>
    <col min="3848" max="3848" width="15.7109375" style="168" customWidth="1"/>
    <col min="3849" max="3850" width="16.5703125" style="168" customWidth="1"/>
    <col min="3851" max="3851" width="13.140625" style="168" bestFit="1" customWidth="1"/>
    <col min="3852" max="3852" width="13.42578125" style="168" customWidth="1"/>
    <col min="3853" max="3853" width="14.7109375" style="168" customWidth="1"/>
    <col min="3854" max="3854" width="14.7109375" style="168" bestFit="1" customWidth="1"/>
    <col min="3855" max="3859" width="14.42578125" style="168" customWidth="1"/>
    <col min="3860" max="3860" width="14.85546875" style="168" bestFit="1" customWidth="1"/>
    <col min="3861" max="3861" width="10.85546875" style="168" bestFit="1" customWidth="1"/>
    <col min="3862" max="4096" width="9.140625" style="168"/>
    <col min="4097" max="4097" width="8.42578125" style="168" customWidth="1"/>
    <col min="4098" max="4098" width="14.42578125" style="168" customWidth="1"/>
    <col min="4099" max="4099" width="15.42578125" style="168" customWidth="1"/>
    <col min="4100" max="4100" width="16.42578125" style="168" customWidth="1"/>
    <col min="4101" max="4101" width="16.140625" style="168" customWidth="1"/>
    <col min="4102" max="4102" width="13.7109375" style="168" customWidth="1"/>
    <col min="4103" max="4103" width="18.85546875" style="168" customWidth="1"/>
    <col min="4104" max="4104" width="15.7109375" style="168" customWidth="1"/>
    <col min="4105" max="4106" width="16.5703125" style="168" customWidth="1"/>
    <col min="4107" max="4107" width="13.140625" style="168" bestFit="1" customWidth="1"/>
    <col min="4108" max="4108" width="13.42578125" style="168" customWidth="1"/>
    <col min="4109" max="4109" width="14.7109375" style="168" customWidth="1"/>
    <col min="4110" max="4110" width="14.7109375" style="168" bestFit="1" customWidth="1"/>
    <col min="4111" max="4115" width="14.42578125" style="168" customWidth="1"/>
    <col min="4116" max="4116" width="14.85546875" style="168" bestFit="1" customWidth="1"/>
    <col min="4117" max="4117" width="10.85546875" style="168" bestFit="1" customWidth="1"/>
    <col min="4118" max="4352" width="9.140625" style="168"/>
    <col min="4353" max="4353" width="8.42578125" style="168" customWidth="1"/>
    <col min="4354" max="4354" width="14.42578125" style="168" customWidth="1"/>
    <col min="4355" max="4355" width="15.42578125" style="168" customWidth="1"/>
    <col min="4356" max="4356" width="16.42578125" style="168" customWidth="1"/>
    <col min="4357" max="4357" width="16.140625" style="168" customWidth="1"/>
    <col min="4358" max="4358" width="13.7109375" style="168" customWidth="1"/>
    <col min="4359" max="4359" width="18.85546875" style="168" customWidth="1"/>
    <col min="4360" max="4360" width="15.7109375" style="168" customWidth="1"/>
    <col min="4361" max="4362" width="16.5703125" style="168" customWidth="1"/>
    <col min="4363" max="4363" width="13.140625" style="168" bestFit="1" customWidth="1"/>
    <col min="4364" max="4364" width="13.42578125" style="168" customWidth="1"/>
    <col min="4365" max="4365" width="14.7109375" style="168" customWidth="1"/>
    <col min="4366" max="4366" width="14.7109375" style="168" bestFit="1" customWidth="1"/>
    <col min="4367" max="4371" width="14.42578125" style="168" customWidth="1"/>
    <col min="4372" max="4372" width="14.85546875" style="168" bestFit="1" customWidth="1"/>
    <col min="4373" max="4373" width="10.85546875" style="168" bestFit="1" customWidth="1"/>
    <col min="4374" max="4608" width="9.140625" style="168"/>
    <col min="4609" max="4609" width="8.42578125" style="168" customWidth="1"/>
    <col min="4610" max="4610" width="14.42578125" style="168" customWidth="1"/>
    <col min="4611" max="4611" width="15.42578125" style="168" customWidth="1"/>
    <col min="4612" max="4612" width="16.42578125" style="168" customWidth="1"/>
    <col min="4613" max="4613" width="16.140625" style="168" customWidth="1"/>
    <col min="4614" max="4614" width="13.7109375" style="168" customWidth="1"/>
    <col min="4615" max="4615" width="18.85546875" style="168" customWidth="1"/>
    <col min="4616" max="4616" width="15.7109375" style="168" customWidth="1"/>
    <col min="4617" max="4618" width="16.5703125" style="168" customWidth="1"/>
    <col min="4619" max="4619" width="13.140625" style="168" bestFit="1" customWidth="1"/>
    <col min="4620" max="4620" width="13.42578125" style="168" customWidth="1"/>
    <col min="4621" max="4621" width="14.7109375" style="168" customWidth="1"/>
    <col min="4622" max="4622" width="14.7109375" style="168" bestFit="1" customWidth="1"/>
    <col min="4623" max="4627" width="14.42578125" style="168" customWidth="1"/>
    <col min="4628" max="4628" width="14.85546875" style="168" bestFit="1" customWidth="1"/>
    <col min="4629" max="4629" width="10.85546875" style="168" bestFit="1" customWidth="1"/>
    <col min="4630" max="4864" width="9.140625" style="168"/>
    <col min="4865" max="4865" width="8.42578125" style="168" customWidth="1"/>
    <col min="4866" max="4866" width="14.42578125" style="168" customWidth="1"/>
    <col min="4867" max="4867" width="15.42578125" style="168" customWidth="1"/>
    <col min="4868" max="4868" width="16.42578125" style="168" customWidth="1"/>
    <col min="4869" max="4869" width="16.140625" style="168" customWidth="1"/>
    <col min="4870" max="4870" width="13.7109375" style="168" customWidth="1"/>
    <col min="4871" max="4871" width="18.85546875" style="168" customWidth="1"/>
    <col min="4872" max="4872" width="15.7109375" style="168" customWidth="1"/>
    <col min="4873" max="4874" width="16.5703125" style="168" customWidth="1"/>
    <col min="4875" max="4875" width="13.140625" style="168" bestFit="1" customWidth="1"/>
    <col min="4876" max="4876" width="13.42578125" style="168" customWidth="1"/>
    <col min="4877" max="4877" width="14.7109375" style="168" customWidth="1"/>
    <col min="4878" max="4878" width="14.7109375" style="168" bestFit="1" customWidth="1"/>
    <col min="4879" max="4883" width="14.42578125" style="168" customWidth="1"/>
    <col min="4884" max="4884" width="14.85546875" style="168" bestFit="1" customWidth="1"/>
    <col min="4885" max="4885" width="10.85546875" style="168" bestFit="1" customWidth="1"/>
    <col min="4886" max="5120" width="9.140625" style="168"/>
    <col min="5121" max="5121" width="8.42578125" style="168" customWidth="1"/>
    <col min="5122" max="5122" width="14.42578125" style="168" customWidth="1"/>
    <col min="5123" max="5123" width="15.42578125" style="168" customWidth="1"/>
    <col min="5124" max="5124" width="16.42578125" style="168" customWidth="1"/>
    <col min="5125" max="5125" width="16.140625" style="168" customWidth="1"/>
    <col min="5126" max="5126" width="13.7109375" style="168" customWidth="1"/>
    <col min="5127" max="5127" width="18.85546875" style="168" customWidth="1"/>
    <col min="5128" max="5128" width="15.7109375" style="168" customWidth="1"/>
    <col min="5129" max="5130" width="16.5703125" style="168" customWidth="1"/>
    <col min="5131" max="5131" width="13.140625" style="168" bestFit="1" customWidth="1"/>
    <col min="5132" max="5132" width="13.42578125" style="168" customWidth="1"/>
    <col min="5133" max="5133" width="14.7109375" style="168" customWidth="1"/>
    <col min="5134" max="5134" width="14.7109375" style="168" bestFit="1" customWidth="1"/>
    <col min="5135" max="5139" width="14.42578125" style="168" customWidth="1"/>
    <col min="5140" max="5140" width="14.85546875" style="168" bestFit="1" customWidth="1"/>
    <col min="5141" max="5141" width="10.85546875" style="168" bestFit="1" customWidth="1"/>
    <col min="5142" max="5376" width="9.140625" style="168"/>
    <col min="5377" max="5377" width="8.42578125" style="168" customWidth="1"/>
    <col min="5378" max="5378" width="14.42578125" style="168" customWidth="1"/>
    <col min="5379" max="5379" width="15.42578125" style="168" customWidth="1"/>
    <col min="5380" max="5380" width="16.42578125" style="168" customWidth="1"/>
    <col min="5381" max="5381" width="16.140625" style="168" customWidth="1"/>
    <col min="5382" max="5382" width="13.7109375" style="168" customWidth="1"/>
    <col min="5383" max="5383" width="18.85546875" style="168" customWidth="1"/>
    <col min="5384" max="5384" width="15.7109375" style="168" customWidth="1"/>
    <col min="5385" max="5386" width="16.5703125" style="168" customWidth="1"/>
    <col min="5387" max="5387" width="13.140625" style="168" bestFit="1" customWidth="1"/>
    <col min="5388" max="5388" width="13.42578125" style="168" customWidth="1"/>
    <col min="5389" max="5389" width="14.7109375" style="168" customWidth="1"/>
    <col min="5390" max="5390" width="14.7109375" style="168" bestFit="1" customWidth="1"/>
    <col min="5391" max="5395" width="14.42578125" style="168" customWidth="1"/>
    <col min="5396" max="5396" width="14.85546875" style="168" bestFit="1" customWidth="1"/>
    <col min="5397" max="5397" width="10.85546875" style="168" bestFit="1" customWidth="1"/>
    <col min="5398" max="5632" width="9.140625" style="168"/>
    <col min="5633" max="5633" width="8.42578125" style="168" customWidth="1"/>
    <col min="5634" max="5634" width="14.42578125" style="168" customWidth="1"/>
    <col min="5635" max="5635" width="15.42578125" style="168" customWidth="1"/>
    <col min="5636" max="5636" width="16.42578125" style="168" customWidth="1"/>
    <col min="5637" max="5637" width="16.140625" style="168" customWidth="1"/>
    <col min="5638" max="5638" width="13.7109375" style="168" customWidth="1"/>
    <col min="5639" max="5639" width="18.85546875" style="168" customWidth="1"/>
    <col min="5640" max="5640" width="15.7109375" style="168" customWidth="1"/>
    <col min="5641" max="5642" width="16.5703125" style="168" customWidth="1"/>
    <col min="5643" max="5643" width="13.140625" style="168" bestFit="1" customWidth="1"/>
    <col min="5644" max="5644" width="13.42578125" style="168" customWidth="1"/>
    <col min="5645" max="5645" width="14.7109375" style="168" customWidth="1"/>
    <col min="5646" max="5646" width="14.7109375" style="168" bestFit="1" customWidth="1"/>
    <col min="5647" max="5651" width="14.42578125" style="168" customWidth="1"/>
    <col min="5652" max="5652" width="14.85546875" style="168" bestFit="1" customWidth="1"/>
    <col min="5653" max="5653" width="10.85546875" style="168" bestFit="1" customWidth="1"/>
    <col min="5654" max="5888" width="9.140625" style="168"/>
    <col min="5889" max="5889" width="8.42578125" style="168" customWidth="1"/>
    <col min="5890" max="5890" width="14.42578125" style="168" customWidth="1"/>
    <col min="5891" max="5891" width="15.42578125" style="168" customWidth="1"/>
    <col min="5892" max="5892" width="16.42578125" style="168" customWidth="1"/>
    <col min="5893" max="5893" width="16.140625" style="168" customWidth="1"/>
    <col min="5894" max="5894" width="13.7109375" style="168" customWidth="1"/>
    <col min="5895" max="5895" width="18.85546875" style="168" customWidth="1"/>
    <col min="5896" max="5896" width="15.7109375" style="168" customWidth="1"/>
    <col min="5897" max="5898" width="16.5703125" style="168" customWidth="1"/>
    <col min="5899" max="5899" width="13.140625" style="168" bestFit="1" customWidth="1"/>
    <col min="5900" max="5900" width="13.42578125" style="168" customWidth="1"/>
    <col min="5901" max="5901" width="14.7109375" style="168" customWidth="1"/>
    <col min="5902" max="5902" width="14.7109375" style="168" bestFit="1" customWidth="1"/>
    <col min="5903" max="5907" width="14.42578125" style="168" customWidth="1"/>
    <col min="5908" max="5908" width="14.85546875" style="168" bestFit="1" customWidth="1"/>
    <col min="5909" max="5909" width="10.85546875" style="168" bestFit="1" customWidth="1"/>
    <col min="5910" max="6144" width="9.140625" style="168"/>
    <col min="6145" max="6145" width="8.42578125" style="168" customWidth="1"/>
    <col min="6146" max="6146" width="14.42578125" style="168" customWidth="1"/>
    <col min="6147" max="6147" width="15.42578125" style="168" customWidth="1"/>
    <col min="6148" max="6148" width="16.42578125" style="168" customWidth="1"/>
    <col min="6149" max="6149" width="16.140625" style="168" customWidth="1"/>
    <col min="6150" max="6150" width="13.7109375" style="168" customWidth="1"/>
    <col min="6151" max="6151" width="18.85546875" style="168" customWidth="1"/>
    <col min="6152" max="6152" width="15.7109375" style="168" customWidth="1"/>
    <col min="6153" max="6154" width="16.5703125" style="168" customWidth="1"/>
    <col min="6155" max="6155" width="13.140625" style="168" bestFit="1" customWidth="1"/>
    <col min="6156" max="6156" width="13.42578125" style="168" customWidth="1"/>
    <col min="6157" max="6157" width="14.7109375" style="168" customWidth="1"/>
    <col min="6158" max="6158" width="14.7109375" style="168" bestFit="1" customWidth="1"/>
    <col min="6159" max="6163" width="14.42578125" style="168" customWidth="1"/>
    <col min="6164" max="6164" width="14.85546875" style="168" bestFit="1" customWidth="1"/>
    <col min="6165" max="6165" width="10.85546875" style="168" bestFit="1" customWidth="1"/>
    <col min="6166" max="6400" width="9.140625" style="168"/>
    <col min="6401" max="6401" width="8.42578125" style="168" customWidth="1"/>
    <col min="6402" max="6402" width="14.42578125" style="168" customWidth="1"/>
    <col min="6403" max="6403" width="15.42578125" style="168" customWidth="1"/>
    <col min="6404" max="6404" width="16.42578125" style="168" customWidth="1"/>
    <col min="6405" max="6405" width="16.140625" style="168" customWidth="1"/>
    <col min="6406" max="6406" width="13.7109375" style="168" customWidth="1"/>
    <col min="6407" max="6407" width="18.85546875" style="168" customWidth="1"/>
    <col min="6408" max="6408" width="15.7109375" style="168" customWidth="1"/>
    <col min="6409" max="6410" width="16.5703125" style="168" customWidth="1"/>
    <col min="6411" max="6411" width="13.140625" style="168" bestFit="1" customWidth="1"/>
    <col min="6412" max="6412" width="13.42578125" style="168" customWidth="1"/>
    <col min="6413" max="6413" width="14.7109375" style="168" customWidth="1"/>
    <col min="6414" max="6414" width="14.7109375" style="168" bestFit="1" customWidth="1"/>
    <col min="6415" max="6419" width="14.42578125" style="168" customWidth="1"/>
    <col min="6420" max="6420" width="14.85546875" style="168" bestFit="1" customWidth="1"/>
    <col min="6421" max="6421" width="10.85546875" style="168" bestFit="1" customWidth="1"/>
    <col min="6422" max="6656" width="9.140625" style="168"/>
    <col min="6657" max="6657" width="8.42578125" style="168" customWidth="1"/>
    <col min="6658" max="6658" width="14.42578125" style="168" customWidth="1"/>
    <col min="6659" max="6659" width="15.42578125" style="168" customWidth="1"/>
    <col min="6660" max="6660" width="16.42578125" style="168" customWidth="1"/>
    <col min="6661" max="6661" width="16.140625" style="168" customWidth="1"/>
    <col min="6662" max="6662" width="13.7109375" style="168" customWidth="1"/>
    <col min="6663" max="6663" width="18.85546875" style="168" customWidth="1"/>
    <col min="6664" max="6664" width="15.7109375" style="168" customWidth="1"/>
    <col min="6665" max="6666" width="16.5703125" style="168" customWidth="1"/>
    <col min="6667" max="6667" width="13.140625" style="168" bestFit="1" customWidth="1"/>
    <col min="6668" max="6668" width="13.42578125" style="168" customWidth="1"/>
    <col min="6669" max="6669" width="14.7109375" style="168" customWidth="1"/>
    <col min="6670" max="6670" width="14.7109375" style="168" bestFit="1" customWidth="1"/>
    <col min="6671" max="6675" width="14.42578125" style="168" customWidth="1"/>
    <col min="6676" max="6676" width="14.85546875" style="168" bestFit="1" customWidth="1"/>
    <col min="6677" max="6677" width="10.85546875" style="168" bestFit="1" customWidth="1"/>
    <col min="6678" max="6912" width="9.140625" style="168"/>
    <col min="6913" max="6913" width="8.42578125" style="168" customWidth="1"/>
    <col min="6914" max="6914" width="14.42578125" style="168" customWidth="1"/>
    <col min="6915" max="6915" width="15.42578125" style="168" customWidth="1"/>
    <col min="6916" max="6916" width="16.42578125" style="168" customWidth="1"/>
    <col min="6917" max="6917" width="16.140625" style="168" customWidth="1"/>
    <col min="6918" max="6918" width="13.7109375" style="168" customWidth="1"/>
    <col min="6919" max="6919" width="18.85546875" style="168" customWidth="1"/>
    <col min="6920" max="6920" width="15.7109375" style="168" customWidth="1"/>
    <col min="6921" max="6922" width="16.5703125" style="168" customWidth="1"/>
    <col min="6923" max="6923" width="13.140625" style="168" bestFit="1" customWidth="1"/>
    <col min="6924" max="6924" width="13.42578125" style="168" customWidth="1"/>
    <col min="6925" max="6925" width="14.7109375" style="168" customWidth="1"/>
    <col min="6926" max="6926" width="14.7109375" style="168" bestFit="1" customWidth="1"/>
    <col min="6927" max="6931" width="14.42578125" style="168" customWidth="1"/>
    <col min="6932" max="6932" width="14.85546875" style="168" bestFit="1" customWidth="1"/>
    <col min="6933" max="6933" width="10.85546875" style="168" bestFit="1" customWidth="1"/>
    <col min="6934" max="7168" width="9.140625" style="168"/>
    <col min="7169" max="7169" width="8.42578125" style="168" customWidth="1"/>
    <col min="7170" max="7170" width="14.42578125" style="168" customWidth="1"/>
    <col min="7171" max="7171" width="15.42578125" style="168" customWidth="1"/>
    <col min="7172" max="7172" width="16.42578125" style="168" customWidth="1"/>
    <col min="7173" max="7173" width="16.140625" style="168" customWidth="1"/>
    <col min="7174" max="7174" width="13.7109375" style="168" customWidth="1"/>
    <col min="7175" max="7175" width="18.85546875" style="168" customWidth="1"/>
    <col min="7176" max="7176" width="15.7109375" style="168" customWidth="1"/>
    <col min="7177" max="7178" width="16.5703125" style="168" customWidth="1"/>
    <col min="7179" max="7179" width="13.140625" style="168" bestFit="1" customWidth="1"/>
    <col min="7180" max="7180" width="13.42578125" style="168" customWidth="1"/>
    <col min="7181" max="7181" width="14.7109375" style="168" customWidth="1"/>
    <col min="7182" max="7182" width="14.7109375" style="168" bestFit="1" customWidth="1"/>
    <col min="7183" max="7187" width="14.42578125" style="168" customWidth="1"/>
    <col min="7188" max="7188" width="14.85546875" style="168" bestFit="1" customWidth="1"/>
    <col min="7189" max="7189" width="10.85546875" style="168" bestFit="1" customWidth="1"/>
    <col min="7190" max="7424" width="9.140625" style="168"/>
    <col min="7425" max="7425" width="8.42578125" style="168" customWidth="1"/>
    <col min="7426" max="7426" width="14.42578125" style="168" customWidth="1"/>
    <col min="7427" max="7427" width="15.42578125" style="168" customWidth="1"/>
    <col min="7428" max="7428" width="16.42578125" style="168" customWidth="1"/>
    <col min="7429" max="7429" width="16.140625" style="168" customWidth="1"/>
    <col min="7430" max="7430" width="13.7109375" style="168" customWidth="1"/>
    <col min="7431" max="7431" width="18.85546875" style="168" customWidth="1"/>
    <col min="7432" max="7432" width="15.7109375" style="168" customWidth="1"/>
    <col min="7433" max="7434" width="16.5703125" style="168" customWidth="1"/>
    <col min="7435" max="7435" width="13.140625" style="168" bestFit="1" customWidth="1"/>
    <col min="7436" max="7436" width="13.42578125" style="168" customWidth="1"/>
    <col min="7437" max="7437" width="14.7109375" style="168" customWidth="1"/>
    <col min="7438" max="7438" width="14.7109375" style="168" bestFit="1" customWidth="1"/>
    <col min="7439" max="7443" width="14.42578125" style="168" customWidth="1"/>
    <col min="7444" max="7444" width="14.85546875" style="168" bestFit="1" customWidth="1"/>
    <col min="7445" max="7445" width="10.85546875" style="168" bestFit="1" customWidth="1"/>
    <col min="7446" max="7680" width="9.140625" style="168"/>
    <col min="7681" max="7681" width="8.42578125" style="168" customWidth="1"/>
    <col min="7682" max="7682" width="14.42578125" style="168" customWidth="1"/>
    <col min="7683" max="7683" width="15.42578125" style="168" customWidth="1"/>
    <col min="7684" max="7684" width="16.42578125" style="168" customWidth="1"/>
    <col min="7685" max="7685" width="16.140625" style="168" customWidth="1"/>
    <col min="7686" max="7686" width="13.7109375" style="168" customWidth="1"/>
    <col min="7687" max="7687" width="18.85546875" style="168" customWidth="1"/>
    <col min="7688" max="7688" width="15.7109375" style="168" customWidth="1"/>
    <col min="7689" max="7690" width="16.5703125" style="168" customWidth="1"/>
    <col min="7691" max="7691" width="13.140625" style="168" bestFit="1" customWidth="1"/>
    <col min="7692" max="7692" width="13.42578125" style="168" customWidth="1"/>
    <col min="7693" max="7693" width="14.7109375" style="168" customWidth="1"/>
    <col min="7694" max="7694" width="14.7109375" style="168" bestFit="1" customWidth="1"/>
    <col min="7695" max="7699" width="14.42578125" style="168" customWidth="1"/>
    <col min="7700" max="7700" width="14.85546875" style="168" bestFit="1" customWidth="1"/>
    <col min="7701" max="7701" width="10.85546875" style="168" bestFit="1" customWidth="1"/>
    <col min="7702" max="7936" width="9.140625" style="168"/>
    <col min="7937" max="7937" width="8.42578125" style="168" customWidth="1"/>
    <col min="7938" max="7938" width="14.42578125" style="168" customWidth="1"/>
    <col min="7939" max="7939" width="15.42578125" style="168" customWidth="1"/>
    <col min="7940" max="7940" width="16.42578125" style="168" customWidth="1"/>
    <col min="7941" max="7941" width="16.140625" style="168" customWidth="1"/>
    <col min="7942" max="7942" width="13.7109375" style="168" customWidth="1"/>
    <col min="7943" max="7943" width="18.85546875" style="168" customWidth="1"/>
    <col min="7944" max="7944" width="15.7109375" style="168" customWidth="1"/>
    <col min="7945" max="7946" width="16.5703125" style="168" customWidth="1"/>
    <col min="7947" max="7947" width="13.140625" style="168" bestFit="1" customWidth="1"/>
    <col min="7948" max="7948" width="13.42578125" style="168" customWidth="1"/>
    <col min="7949" max="7949" width="14.7109375" style="168" customWidth="1"/>
    <col min="7950" max="7950" width="14.7109375" style="168" bestFit="1" customWidth="1"/>
    <col min="7951" max="7955" width="14.42578125" style="168" customWidth="1"/>
    <col min="7956" max="7956" width="14.85546875" style="168" bestFit="1" customWidth="1"/>
    <col min="7957" max="7957" width="10.85546875" style="168" bestFit="1" customWidth="1"/>
    <col min="7958" max="8192" width="9.140625" style="168"/>
    <col min="8193" max="8193" width="8.42578125" style="168" customWidth="1"/>
    <col min="8194" max="8194" width="14.42578125" style="168" customWidth="1"/>
    <col min="8195" max="8195" width="15.42578125" style="168" customWidth="1"/>
    <col min="8196" max="8196" width="16.42578125" style="168" customWidth="1"/>
    <col min="8197" max="8197" width="16.140625" style="168" customWidth="1"/>
    <col min="8198" max="8198" width="13.7109375" style="168" customWidth="1"/>
    <col min="8199" max="8199" width="18.85546875" style="168" customWidth="1"/>
    <col min="8200" max="8200" width="15.7109375" style="168" customWidth="1"/>
    <col min="8201" max="8202" width="16.5703125" style="168" customWidth="1"/>
    <col min="8203" max="8203" width="13.140625" style="168" bestFit="1" customWidth="1"/>
    <col min="8204" max="8204" width="13.42578125" style="168" customWidth="1"/>
    <col min="8205" max="8205" width="14.7109375" style="168" customWidth="1"/>
    <col min="8206" max="8206" width="14.7109375" style="168" bestFit="1" customWidth="1"/>
    <col min="8207" max="8211" width="14.42578125" style="168" customWidth="1"/>
    <col min="8212" max="8212" width="14.85546875" style="168" bestFit="1" customWidth="1"/>
    <col min="8213" max="8213" width="10.85546875" style="168" bestFit="1" customWidth="1"/>
    <col min="8214" max="8448" width="9.140625" style="168"/>
    <col min="8449" max="8449" width="8.42578125" style="168" customWidth="1"/>
    <col min="8450" max="8450" width="14.42578125" style="168" customWidth="1"/>
    <col min="8451" max="8451" width="15.42578125" style="168" customWidth="1"/>
    <col min="8452" max="8452" width="16.42578125" style="168" customWidth="1"/>
    <col min="8453" max="8453" width="16.140625" style="168" customWidth="1"/>
    <col min="8454" max="8454" width="13.7109375" style="168" customWidth="1"/>
    <col min="8455" max="8455" width="18.85546875" style="168" customWidth="1"/>
    <col min="8456" max="8456" width="15.7109375" style="168" customWidth="1"/>
    <col min="8457" max="8458" width="16.5703125" style="168" customWidth="1"/>
    <col min="8459" max="8459" width="13.140625" style="168" bestFit="1" customWidth="1"/>
    <col min="8460" max="8460" width="13.42578125" style="168" customWidth="1"/>
    <col min="8461" max="8461" width="14.7109375" style="168" customWidth="1"/>
    <col min="8462" max="8462" width="14.7109375" style="168" bestFit="1" customWidth="1"/>
    <col min="8463" max="8467" width="14.42578125" style="168" customWidth="1"/>
    <col min="8468" max="8468" width="14.85546875" style="168" bestFit="1" customWidth="1"/>
    <col min="8469" max="8469" width="10.85546875" style="168" bestFit="1" customWidth="1"/>
    <col min="8470" max="8704" width="9.140625" style="168"/>
    <col min="8705" max="8705" width="8.42578125" style="168" customWidth="1"/>
    <col min="8706" max="8706" width="14.42578125" style="168" customWidth="1"/>
    <col min="8707" max="8707" width="15.42578125" style="168" customWidth="1"/>
    <col min="8708" max="8708" width="16.42578125" style="168" customWidth="1"/>
    <col min="8709" max="8709" width="16.140625" style="168" customWidth="1"/>
    <col min="8710" max="8710" width="13.7109375" style="168" customWidth="1"/>
    <col min="8711" max="8711" width="18.85546875" style="168" customWidth="1"/>
    <col min="8712" max="8712" width="15.7109375" style="168" customWidth="1"/>
    <col min="8713" max="8714" width="16.5703125" style="168" customWidth="1"/>
    <col min="8715" max="8715" width="13.140625" style="168" bestFit="1" customWidth="1"/>
    <col min="8716" max="8716" width="13.42578125" style="168" customWidth="1"/>
    <col min="8717" max="8717" width="14.7109375" style="168" customWidth="1"/>
    <col min="8718" max="8718" width="14.7109375" style="168" bestFit="1" customWidth="1"/>
    <col min="8719" max="8723" width="14.42578125" style="168" customWidth="1"/>
    <col min="8724" max="8724" width="14.85546875" style="168" bestFit="1" customWidth="1"/>
    <col min="8725" max="8725" width="10.85546875" style="168" bestFit="1" customWidth="1"/>
    <col min="8726" max="8960" width="9.140625" style="168"/>
    <col min="8961" max="8961" width="8.42578125" style="168" customWidth="1"/>
    <col min="8962" max="8962" width="14.42578125" style="168" customWidth="1"/>
    <col min="8963" max="8963" width="15.42578125" style="168" customWidth="1"/>
    <col min="8964" max="8964" width="16.42578125" style="168" customWidth="1"/>
    <col min="8965" max="8965" width="16.140625" style="168" customWidth="1"/>
    <col min="8966" max="8966" width="13.7109375" style="168" customWidth="1"/>
    <col min="8967" max="8967" width="18.85546875" style="168" customWidth="1"/>
    <col min="8968" max="8968" width="15.7109375" style="168" customWidth="1"/>
    <col min="8969" max="8970" width="16.5703125" style="168" customWidth="1"/>
    <col min="8971" max="8971" width="13.140625" style="168" bestFit="1" customWidth="1"/>
    <col min="8972" max="8972" width="13.42578125" style="168" customWidth="1"/>
    <col min="8973" max="8973" width="14.7109375" style="168" customWidth="1"/>
    <col min="8974" max="8974" width="14.7109375" style="168" bestFit="1" customWidth="1"/>
    <col min="8975" max="8979" width="14.42578125" style="168" customWidth="1"/>
    <col min="8980" max="8980" width="14.85546875" style="168" bestFit="1" customWidth="1"/>
    <col min="8981" max="8981" width="10.85546875" style="168" bestFit="1" customWidth="1"/>
    <col min="8982" max="9216" width="9.140625" style="168"/>
    <col min="9217" max="9217" width="8.42578125" style="168" customWidth="1"/>
    <col min="9218" max="9218" width="14.42578125" style="168" customWidth="1"/>
    <col min="9219" max="9219" width="15.42578125" style="168" customWidth="1"/>
    <col min="9220" max="9220" width="16.42578125" style="168" customWidth="1"/>
    <col min="9221" max="9221" width="16.140625" style="168" customWidth="1"/>
    <col min="9222" max="9222" width="13.7109375" style="168" customWidth="1"/>
    <col min="9223" max="9223" width="18.85546875" style="168" customWidth="1"/>
    <col min="9224" max="9224" width="15.7109375" style="168" customWidth="1"/>
    <col min="9225" max="9226" width="16.5703125" style="168" customWidth="1"/>
    <col min="9227" max="9227" width="13.140625" style="168" bestFit="1" customWidth="1"/>
    <col min="9228" max="9228" width="13.42578125" style="168" customWidth="1"/>
    <col min="9229" max="9229" width="14.7109375" style="168" customWidth="1"/>
    <col min="9230" max="9230" width="14.7109375" style="168" bestFit="1" customWidth="1"/>
    <col min="9231" max="9235" width="14.42578125" style="168" customWidth="1"/>
    <col min="9236" max="9236" width="14.85546875" style="168" bestFit="1" customWidth="1"/>
    <col min="9237" max="9237" width="10.85546875" style="168" bestFit="1" customWidth="1"/>
    <col min="9238" max="9472" width="9.140625" style="168"/>
    <col min="9473" max="9473" width="8.42578125" style="168" customWidth="1"/>
    <col min="9474" max="9474" width="14.42578125" style="168" customWidth="1"/>
    <col min="9475" max="9475" width="15.42578125" style="168" customWidth="1"/>
    <col min="9476" max="9476" width="16.42578125" style="168" customWidth="1"/>
    <col min="9477" max="9477" width="16.140625" style="168" customWidth="1"/>
    <col min="9478" max="9478" width="13.7109375" style="168" customWidth="1"/>
    <col min="9479" max="9479" width="18.85546875" style="168" customWidth="1"/>
    <col min="9480" max="9480" width="15.7109375" style="168" customWidth="1"/>
    <col min="9481" max="9482" width="16.5703125" style="168" customWidth="1"/>
    <col min="9483" max="9483" width="13.140625" style="168" bestFit="1" customWidth="1"/>
    <col min="9484" max="9484" width="13.42578125" style="168" customWidth="1"/>
    <col min="9485" max="9485" width="14.7109375" style="168" customWidth="1"/>
    <col min="9486" max="9486" width="14.7109375" style="168" bestFit="1" customWidth="1"/>
    <col min="9487" max="9491" width="14.42578125" style="168" customWidth="1"/>
    <col min="9492" max="9492" width="14.85546875" style="168" bestFit="1" customWidth="1"/>
    <col min="9493" max="9493" width="10.85546875" style="168" bestFit="1" customWidth="1"/>
    <col min="9494" max="9728" width="9.140625" style="168"/>
    <col min="9729" max="9729" width="8.42578125" style="168" customWidth="1"/>
    <col min="9730" max="9730" width="14.42578125" style="168" customWidth="1"/>
    <col min="9731" max="9731" width="15.42578125" style="168" customWidth="1"/>
    <col min="9732" max="9732" width="16.42578125" style="168" customWidth="1"/>
    <col min="9733" max="9733" width="16.140625" style="168" customWidth="1"/>
    <col min="9734" max="9734" width="13.7109375" style="168" customWidth="1"/>
    <col min="9735" max="9735" width="18.85546875" style="168" customWidth="1"/>
    <col min="9736" max="9736" width="15.7109375" style="168" customWidth="1"/>
    <col min="9737" max="9738" width="16.5703125" style="168" customWidth="1"/>
    <col min="9739" max="9739" width="13.140625" style="168" bestFit="1" customWidth="1"/>
    <col min="9740" max="9740" width="13.42578125" style="168" customWidth="1"/>
    <col min="9741" max="9741" width="14.7109375" style="168" customWidth="1"/>
    <col min="9742" max="9742" width="14.7109375" style="168" bestFit="1" customWidth="1"/>
    <col min="9743" max="9747" width="14.42578125" style="168" customWidth="1"/>
    <col min="9748" max="9748" width="14.85546875" style="168" bestFit="1" customWidth="1"/>
    <col min="9749" max="9749" width="10.85546875" style="168" bestFit="1" customWidth="1"/>
    <col min="9750" max="9984" width="9.140625" style="168"/>
    <col min="9985" max="9985" width="8.42578125" style="168" customWidth="1"/>
    <col min="9986" max="9986" width="14.42578125" style="168" customWidth="1"/>
    <col min="9987" max="9987" width="15.42578125" style="168" customWidth="1"/>
    <col min="9988" max="9988" width="16.42578125" style="168" customWidth="1"/>
    <col min="9989" max="9989" width="16.140625" style="168" customWidth="1"/>
    <col min="9990" max="9990" width="13.7109375" style="168" customWidth="1"/>
    <col min="9991" max="9991" width="18.85546875" style="168" customWidth="1"/>
    <col min="9992" max="9992" width="15.7109375" style="168" customWidth="1"/>
    <col min="9993" max="9994" width="16.5703125" style="168" customWidth="1"/>
    <col min="9995" max="9995" width="13.140625" style="168" bestFit="1" customWidth="1"/>
    <col min="9996" max="9996" width="13.42578125" style="168" customWidth="1"/>
    <col min="9997" max="9997" width="14.7109375" style="168" customWidth="1"/>
    <col min="9998" max="9998" width="14.7109375" style="168" bestFit="1" customWidth="1"/>
    <col min="9999" max="10003" width="14.42578125" style="168" customWidth="1"/>
    <col min="10004" max="10004" width="14.85546875" style="168" bestFit="1" customWidth="1"/>
    <col min="10005" max="10005" width="10.85546875" style="168" bestFit="1" customWidth="1"/>
    <col min="10006" max="10240" width="9.140625" style="168"/>
    <col min="10241" max="10241" width="8.42578125" style="168" customWidth="1"/>
    <col min="10242" max="10242" width="14.42578125" style="168" customWidth="1"/>
    <col min="10243" max="10243" width="15.42578125" style="168" customWidth="1"/>
    <col min="10244" max="10244" width="16.42578125" style="168" customWidth="1"/>
    <col min="10245" max="10245" width="16.140625" style="168" customWidth="1"/>
    <col min="10246" max="10246" width="13.7109375" style="168" customWidth="1"/>
    <col min="10247" max="10247" width="18.85546875" style="168" customWidth="1"/>
    <col min="10248" max="10248" width="15.7109375" style="168" customWidth="1"/>
    <col min="10249" max="10250" width="16.5703125" style="168" customWidth="1"/>
    <col min="10251" max="10251" width="13.140625" style="168" bestFit="1" customWidth="1"/>
    <col min="10252" max="10252" width="13.42578125" style="168" customWidth="1"/>
    <col min="10253" max="10253" width="14.7109375" style="168" customWidth="1"/>
    <col min="10254" max="10254" width="14.7109375" style="168" bestFit="1" customWidth="1"/>
    <col min="10255" max="10259" width="14.42578125" style="168" customWidth="1"/>
    <col min="10260" max="10260" width="14.85546875" style="168" bestFit="1" customWidth="1"/>
    <col min="10261" max="10261" width="10.85546875" style="168" bestFit="1" customWidth="1"/>
    <col min="10262" max="10496" width="9.140625" style="168"/>
    <col min="10497" max="10497" width="8.42578125" style="168" customWidth="1"/>
    <col min="10498" max="10498" width="14.42578125" style="168" customWidth="1"/>
    <col min="10499" max="10499" width="15.42578125" style="168" customWidth="1"/>
    <col min="10500" max="10500" width="16.42578125" style="168" customWidth="1"/>
    <col min="10501" max="10501" width="16.140625" style="168" customWidth="1"/>
    <col min="10502" max="10502" width="13.7109375" style="168" customWidth="1"/>
    <col min="10503" max="10503" width="18.85546875" style="168" customWidth="1"/>
    <col min="10504" max="10504" width="15.7109375" style="168" customWidth="1"/>
    <col min="10505" max="10506" width="16.5703125" style="168" customWidth="1"/>
    <col min="10507" max="10507" width="13.140625" style="168" bestFit="1" customWidth="1"/>
    <col min="10508" max="10508" width="13.42578125" style="168" customWidth="1"/>
    <col min="10509" max="10509" width="14.7109375" style="168" customWidth="1"/>
    <col min="10510" max="10510" width="14.7109375" style="168" bestFit="1" customWidth="1"/>
    <col min="10511" max="10515" width="14.42578125" style="168" customWidth="1"/>
    <col min="10516" max="10516" width="14.85546875" style="168" bestFit="1" customWidth="1"/>
    <col min="10517" max="10517" width="10.85546875" style="168" bestFit="1" customWidth="1"/>
    <col min="10518" max="10752" width="9.140625" style="168"/>
    <col min="10753" max="10753" width="8.42578125" style="168" customWidth="1"/>
    <col min="10754" max="10754" width="14.42578125" style="168" customWidth="1"/>
    <col min="10755" max="10755" width="15.42578125" style="168" customWidth="1"/>
    <col min="10756" max="10756" width="16.42578125" style="168" customWidth="1"/>
    <col min="10757" max="10757" width="16.140625" style="168" customWidth="1"/>
    <col min="10758" max="10758" width="13.7109375" style="168" customWidth="1"/>
    <col min="10759" max="10759" width="18.85546875" style="168" customWidth="1"/>
    <col min="10760" max="10760" width="15.7109375" style="168" customWidth="1"/>
    <col min="10761" max="10762" width="16.5703125" style="168" customWidth="1"/>
    <col min="10763" max="10763" width="13.140625" style="168" bestFit="1" customWidth="1"/>
    <col min="10764" max="10764" width="13.42578125" style="168" customWidth="1"/>
    <col min="10765" max="10765" width="14.7109375" style="168" customWidth="1"/>
    <col min="10766" max="10766" width="14.7109375" style="168" bestFit="1" customWidth="1"/>
    <col min="10767" max="10771" width="14.42578125" style="168" customWidth="1"/>
    <col min="10772" max="10772" width="14.85546875" style="168" bestFit="1" customWidth="1"/>
    <col min="10773" max="10773" width="10.85546875" style="168" bestFit="1" customWidth="1"/>
    <col min="10774" max="11008" width="9.140625" style="168"/>
    <col min="11009" max="11009" width="8.42578125" style="168" customWidth="1"/>
    <col min="11010" max="11010" width="14.42578125" style="168" customWidth="1"/>
    <col min="11011" max="11011" width="15.42578125" style="168" customWidth="1"/>
    <col min="11012" max="11012" width="16.42578125" style="168" customWidth="1"/>
    <col min="11013" max="11013" width="16.140625" style="168" customWidth="1"/>
    <col min="11014" max="11014" width="13.7109375" style="168" customWidth="1"/>
    <col min="11015" max="11015" width="18.85546875" style="168" customWidth="1"/>
    <col min="11016" max="11016" width="15.7109375" style="168" customWidth="1"/>
    <col min="11017" max="11018" width="16.5703125" style="168" customWidth="1"/>
    <col min="11019" max="11019" width="13.140625" style="168" bestFit="1" customWidth="1"/>
    <col min="11020" max="11020" width="13.42578125" style="168" customWidth="1"/>
    <col min="11021" max="11021" width="14.7109375" style="168" customWidth="1"/>
    <col min="11022" max="11022" width="14.7109375" style="168" bestFit="1" customWidth="1"/>
    <col min="11023" max="11027" width="14.42578125" style="168" customWidth="1"/>
    <col min="11028" max="11028" width="14.85546875" style="168" bestFit="1" customWidth="1"/>
    <col min="11029" max="11029" width="10.85546875" style="168" bestFit="1" customWidth="1"/>
    <col min="11030" max="11264" width="9.140625" style="168"/>
    <col min="11265" max="11265" width="8.42578125" style="168" customWidth="1"/>
    <col min="11266" max="11266" width="14.42578125" style="168" customWidth="1"/>
    <col min="11267" max="11267" width="15.42578125" style="168" customWidth="1"/>
    <col min="11268" max="11268" width="16.42578125" style="168" customWidth="1"/>
    <col min="11269" max="11269" width="16.140625" style="168" customWidth="1"/>
    <col min="11270" max="11270" width="13.7109375" style="168" customWidth="1"/>
    <col min="11271" max="11271" width="18.85546875" style="168" customWidth="1"/>
    <col min="11272" max="11272" width="15.7109375" style="168" customWidth="1"/>
    <col min="11273" max="11274" width="16.5703125" style="168" customWidth="1"/>
    <col min="11275" max="11275" width="13.140625" style="168" bestFit="1" customWidth="1"/>
    <col min="11276" max="11276" width="13.42578125" style="168" customWidth="1"/>
    <col min="11277" max="11277" width="14.7109375" style="168" customWidth="1"/>
    <col min="11278" max="11278" width="14.7109375" style="168" bestFit="1" customWidth="1"/>
    <col min="11279" max="11283" width="14.42578125" style="168" customWidth="1"/>
    <col min="11284" max="11284" width="14.85546875" style="168" bestFit="1" customWidth="1"/>
    <col min="11285" max="11285" width="10.85546875" style="168" bestFit="1" customWidth="1"/>
    <col min="11286" max="11520" width="9.140625" style="168"/>
    <col min="11521" max="11521" width="8.42578125" style="168" customWidth="1"/>
    <col min="11522" max="11522" width="14.42578125" style="168" customWidth="1"/>
    <col min="11523" max="11523" width="15.42578125" style="168" customWidth="1"/>
    <col min="11524" max="11524" width="16.42578125" style="168" customWidth="1"/>
    <col min="11525" max="11525" width="16.140625" style="168" customWidth="1"/>
    <col min="11526" max="11526" width="13.7109375" style="168" customWidth="1"/>
    <col min="11527" max="11527" width="18.85546875" style="168" customWidth="1"/>
    <col min="11528" max="11528" width="15.7109375" style="168" customWidth="1"/>
    <col min="11529" max="11530" width="16.5703125" style="168" customWidth="1"/>
    <col min="11531" max="11531" width="13.140625" style="168" bestFit="1" customWidth="1"/>
    <col min="11532" max="11532" width="13.42578125" style="168" customWidth="1"/>
    <col min="11533" max="11533" width="14.7109375" style="168" customWidth="1"/>
    <col min="11534" max="11534" width="14.7109375" style="168" bestFit="1" customWidth="1"/>
    <col min="11535" max="11539" width="14.42578125" style="168" customWidth="1"/>
    <col min="11540" max="11540" width="14.85546875" style="168" bestFit="1" customWidth="1"/>
    <col min="11541" max="11541" width="10.85546875" style="168" bestFit="1" customWidth="1"/>
    <col min="11542" max="11776" width="9.140625" style="168"/>
    <col min="11777" max="11777" width="8.42578125" style="168" customWidth="1"/>
    <col min="11778" max="11778" width="14.42578125" style="168" customWidth="1"/>
    <col min="11779" max="11779" width="15.42578125" style="168" customWidth="1"/>
    <col min="11780" max="11780" width="16.42578125" style="168" customWidth="1"/>
    <col min="11781" max="11781" width="16.140625" style="168" customWidth="1"/>
    <col min="11782" max="11782" width="13.7109375" style="168" customWidth="1"/>
    <col min="11783" max="11783" width="18.85546875" style="168" customWidth="1"/>
    <col min="11784" max="11784" width="15.7109375" style="168" customWidth="1"/>
    <col min="11785" max="11786" width="16.5703125" style="168" customWidth="1"/>
    <col min="11787" max="11787" width="13.140625" style="168" bestFit="1" customWidth="1"/>
    <col min="11788" max="11788" width="13.42578125" style="168" customWidth="1"/>
    <col min="11789" max="11789" width="14.7109375" style="168" customWidth="1"/>
    <col min="11790" max="11790" width="14.7109375" style="168" bestFit="1" customWidth="1"/>
    <col min="11791" max="11795" width="14.42578125" style="168" customWidth="1"/>
    <col min="11796" max="11796" width="14.85546875" style="168" bestFit="1" customWidth="1"/>
    <col min="11797" max="11797" width="10.85546875" style="168" bestFit="1" customWidth="1"/>
    <col min="11798" max="12032" width="9.140625" style="168"/>
    <col min="12033" max="12033" width="8.42578125" style="168" customWidth="1"/>
    <col min="12034" max="12034" width="14.42578125" style="168" customWidth="1"/>
    <col min="12035" max="12035" width="15.42578125" style="168" customWidth="1"/>
    <col min="12036" max="12036" width="16.42578125" style="168" customWidth="1"/>
    <col min="12037" max="12037" width="16.140625" style="168" customWidth="1"/>
    <col min="12038" max="12038" width="13.7109375" style="168" customWidth="1"/>
    <col min="12039" max="12039" width="18.85546875" style="168" customWidth="1"/>
    <col min="12040" max="12040" width="15.7109375" style="168" customWidth="1"/>
    <col min="12041" max="12042" width="16.5703125" style="168" customWidth="1"/>
    <col min="12043" max="12043" width="13.140625" style="168" bestFit="1" customWidth="1"/>
    <col min="12044" max="12044" width="13.42578125" style="168" customWidth="1"/>
    <col min="12045" max="12045" width="14.7109375" style="168" customWidth="1"/>
    <col min="12046" max="12046" width="14.7109375" style="168" bestFit="1" customWidth="1"/>
    <col min="12047" max="12051" width="14.42578125" style="168" customWidth="1"/>
    <col min="12052" max="12052" width="14.85546875" style="168" bestFit="1" customWidth="1"/>
    <col min="12053" max="12053" width="10.85546875" style="168" bestFit="1" customWidth="1"/>
    <col min="12054" max="12288" width="9.140625" style="168"/>
    <col min="12289" max="12289" width="8.42578125" style="168" customWidth="1"/>
    <col min="12290" max="12290" width="14.42578125" style="168" customWidth="1"/>
    <col min="12291" max="12291" width="15.42578125" style="168" customWidth="1"/>
    <col min="12292" max="12292" width="16.42578125" style="168" customWidth="1"/>
    <col min="12293" max="12293" width="16.140625" style="168" customWidth="1"/>
    <col min="12294" max="12294" width="13.7109375" style="168" customWidth="1"/>
    <col min="12295" max="12295" width="18.85546875" style="168" customWidth="1"/>
    <col min="12296" max="12296" width="15.7109375" style="168" customWidth="1"/>
    <col min="12297" max="12298" width="16.5703125" style="168" customWidth="1"/>
    <col min="12299" max="12299" width="13.140625" style="168" bestFit="1" customWidth="1"/>
    <col min="12300" max="12300" width="13.42578125" style="168" customWidth="1"/>
    <col min="12301" max="12301" width="14.7109375" style="168" customWidth="1"/>
    <col min="12302" max="12302" width="14.7109375" style="168" bestFit="1" customWidth="1"/>
    <col min="12303" max="12307" width="14.42578125" style="168" customWidth="1"/>
    <col min="12308" max="12308" width="14.85546875" style="168" bestFit="1" customWidth="1"/>
    <col min="12309" max="12309" width="10.85546875" style="168" bestFit="1" customWidth="1"/>
    <col min="12310" max="12544" width="9.140625" style="168"/>
    <col min="12545" max="12545" width="8.42578125" style="168" customWidth="1"/>
    <col min="12546" max="12546" width="14.42578125" style="168" customWidth="1"/>
    <col min="12547" max="12547" width="15.42578125" style="168" customWidth="1"/>
    <col min="12548" max="12548" width="16.42578125" style="168" customWidth="1"/>
    <col min="12549" max="12549" width="16.140625" style="168" customWidth="1"/>
    <col min="12550" max="12550" width="13.7109375" style="168" customWidth="1"/>
    <col min="12551" max="12551" width="18.85546875" style="168" customWidth="1"/>
    <col min="12552" max="12552" width="15.7109375" style="168" customWidth="1"/>
    <col min="12553" max="12554" width="16.5703125" style="168" customWidth="1"/>
    <col min="12555" max="12555" width="13.140625" style="168" bestFit="1" customWidth="1"/>
    <col min="12556" max="12556" width="13.42578125" style="168" customWidth="1"/>
    <col min="12557" max="12557" width="14.7109375" style="168" customWidth="1"/>
    <col min="12558" max="12558" width="14.7109375" style="168" bestFit="1" customWidth="1"/>
    <col min="12559" max="12563" width="14.42578125" style="168" customWidth="1"/>
    <col min="12564" max="12564" width="14.85546875" style="168" bestFit="1" customWidth="1"/>
    <col min="12565" max="12565" width="10.85546875" style="168" bestFit="1" customWidth="1"/>
    <col min="12566" max="12800" width="9.140625" style="168"/>
    <col min="12801" max="12801" width="8.42578125" style="168" customWidth="1"/>
    <col min="12802" max="12802" width="14.42578125" style="168" customWidth="1"/>
    <col min="12803" max="12803" width="15.42578125" style="168" customWidth="1"/>
    <col min="12804" max="12804" width="16.42578125" style="168" customWidth="1"/>
    <col min="12805" max="12805" width="16.140625" style="168" customWidth="1"/>
    <col min="12806" max="12806" width="13.7109375" style="168" customWidth="1"/>
    <col min="12807" max="12807" width="18.85546875" style="168" customWidth="1"/>
    <col min="12808" max="12808" width="15.7109375" style="168" customWidth="1"/>
    <col min="12809" max="12810" width="16.5703125" style="168" customWidth="1"/>
    <col min="12811" max="12811" width="13.140625" style="168" bestFit="1" customWidth="1"/>
    <col min="12812" max="12812" width="13.42578125" style="168" customWidth="1"/>
    <col min="12813" max="12813" width="14.7109375" style="168" customWidth="1"/>
    <col min="12814" max="12814" width="14.7109375" style="168" bestFit="1" customWidth="1"/>
    <col min="12815" max="12819" width="14.42578125" style="168" customWidth="1"/>
    <col min="12820" max="12820" width="14.85546875" style="168" bestFit="1" customWidth="1"/>
    <col min="12821" max="12821" width="10.85546875" style="168" bestFit="1" customWidth="1"/>
    <col min="12822" max="13056" width="9.140625" style="168"/>
    <col min="13057" max="13057" width="8.42578125" style="168" customWidth="1"/>
    <col min="13058" max="13058" width="14.42578125" style="168" customWidth="1"/>
    <col min="13059" max="13059" width="15.42578125" style="168" customWidth="1"/>
    <col min="13060" max="13060" width="16.42578125" style="168" customWidth="1"/>
    <col min="13061" max="13061" width="16.140625" style="168" customWidth="1"/>
    <col min="13062" max="13062" width="13.7109375" style="168" customWidth="1"/>
    <col min="13063" max="13063" width="18.85546875" style="168" customWidth="1"/>
    <col min="13064" max="13064" width="15.7109375" style="168" customWidth="1"/>
    <col min="13065" max="13066" width="16.5703125" style="168" customWidth="1"/>
    <col min="13067" max="13067" width="13.140625" style="168" bestFit="1" customWidth="1"/>
    <col min="13068" max="13068" width="13.42578125" style="168" customWidth="1"/>
    <col min="13069" max="13069" width="14.7109375" style="168" customWidth="1"/>
    <col min="13070" max="13070" width="14.7109375" style="168" bestFit="1" customWidth="1"/>
    <col min="13071" max="13075" width="14.42578125" style="168" customWidth="1"/>
    <col min="13076" max="13076" width="14.85546875" style="168" bestFit="1" customWidth="1"/>
    <col min="13077" max="13077" width="10.85546875" style="168" bestFit="1" customWidth="1"/>
    <col min="13078" max="13312" width="9.140625" style="168"/>
    <col min="13313" max="13313" width="8.42578125" style="168" customWidth="1"/>
    <col min="13314" max="13314" width="14.42578125" style="168" customWidth="1"/>
    <col min="13315" max="13315" width="15.42578125" style="168" customWidth="1"/>
    <col min="13316" max="13316" width="16.42578125" style="168" customWidth="1"/>
    <col min="13317" max="13317" width="16.140625" style="168" customWidth="1"/>
    <col min="13318" max="13318" width="13.7109375" style="168" customWidth="1"/>
    <col min="13319" max="13319" width="18.85546875" style="168" customWidth="1"/>
    <col min="13320" max="13320" width="15.7109375" style="168" customWidth="1"/>
    <col min="13321" max="13322" width="16.5703125" style="168" customWidth="1"/>
    <col min="13323" max="13323" width="13.140625" style="168" bestFit="1" customWidth="1"/>
    <col min="13324" max="13324" width="13.42578125" style="168" customWidth="1"/>
    <col min="13325" max="13325" width="14.7109375" style="168" customWidth="1"/>
    <col min="13326" max="13326" width="14.7109375" style="168" bestFit="1" customWidth="1"/>
    <col min="13327" max="13331" width="14.42578125" style="168" customWidth="1"/>
    <col min="13332" max="13332" width="14.85546875" style="168" bestFit="1" customWidth="1"/>
    <col min="13333" max="13333" width="10.85546875" style="168" bestFit="1" customWidth="1"/>
    <col min="13334" max="13568" width="9.140625" style="168"/>
    <col min="13569" max="13569" width="8.42578125" style="168" customWidth="1"/>
    <col min="13570" max="13570" width="14.42578125" style="168" customWidth="1"/>
    <col min="13571" max="13571" width="15.42578125" style="168" customWidth="1"/>
    <col min="13572" max="13572" width="16.42578125" style="168" customWidth="1"/>
    <col min="13573" max="13573" width="16.140625" style="168" customWidth="1"/>
    <col min="13574" max="13574" width="13.7109375" style="168" customWidth="1"/>
    <col min="13575" max="13575" width="18.85546875" style="168" customWidth="1"/>
    <col min="13576" max="13576" width="15.7109375" style="168" customWidth="1"/>
    <col min="13577" max="13578" width="16.5703125" style="168" customWidth="1"/>
    <col min="13579" max="13579" width="13.140625" style="168" bestFit="1" customWidth="1"/>
    <col min="13580" max="13580" width="13.42578125" style="168" customWidth="1"/>
    <col min="13581" max="13581" width="14.7109375" style="168" customWidth="1"/>
    <col min="13582" max="13582" width="14.7109375" style="168" bestFit="1" customWidth="1"/>
    <col min="13583" max="13587" width="14.42578125" style="168" customWidth="1"/>
    <col min="13588" max="13588" width="14.85546875" style="168" bestFit="1" customWidth="1"/>
    <col min="13589" max="13589" width="10.85546875" style="168" bestFit="1" customWidth="1"/>
    <col min="13590" max="13824" width="9.140625" style="168"/>
    <col min="13825" max="13825" width="8.42578125" style="168" customWidth="1"/>
    <col min="13826" max="13826" width="14.42578125" style="168" customWidth="1"/>
    <col min="13827" max="13827" width="15.42578125" style="168" customWidth="1"/>
    <col min="13828" max="13828" width="16.42578125" style="168" customWidth="1"/>
    <col min="13829" max="13829" width="16.140625" style="168" customWidth="1"/>
    <col min="13830" max="13830" width="13.7109375" style="168" customWidth="1"/>
    <col min="13831" max="13831" width="18.85546875" style="168" customWidth="1"/>
    <col min="13832" max="13832" width="15.7109375" style="168" customWidth="1"/>
    <col min="13833" max="13834" width="16.5703125" style="168" customWidth="1"/>
    <col min="13835" max="13835" width="13.140625" style="168" bestFit="1" customWidth="1"/>
    <col min="13836" max="13836" width="13.42578125" style="168" customWidth="1"/>
    <col min="13837" max="13837" width="14.7109375" style="168" customWidth="1"/>
    <col min="13838" max="13838" width="14.7109375" style="168" bestFit="1" customWidth="1"/>
    <col min="13839" max="13843" width="14.42578125" style="168" customWidth="1"/>
    <col min="13844" max="13844" width="14.85546875" style="168" bestFit="1" customWidth="1"/>
    <col min="13845" max="13845" width="10.85546875" style="168" bestFit="1" customWidth="1"/>
    <col min="13846" max="14080" width="9.140625" style="168"/>
    <col min="14081" max="14081" width="8.42578125" style="168" customWidth="1"/>
    <col min="14082" max="14082" width="14.42578125" style="168" customWidth="1"/>
    <col min="14083" max="14083" width="15.42578125" style="168" customWidth="1"/>
    <col min="14084" max="14084" width="16.42578125" style="168" customWidth="1"/>
    <col min="14085" max="14085" width="16.140625" style="168" customWidth="1"/>
    <col min="14086" max="14086" width="13.7109375" style="168" customWidth="1"/>
    <col min="14087" max="14087" width="18.85546875" style="168" customWidth="1"/>
    <col min="14088" max="14088" width="15.7109375" style="168" customWidth="1"/>
    <col min="14089" max="14090" width="16.5703125" style="168" customWidth="1"/>
    <col min="14091" max="14091" width="13.140625" style="168" bestFit="1" customWidth="1"/>
    <col min="14092" max="14092" width="13.42578125" style="168" customWidth="1"/>
    <col min="14093" max="14093" width="14.7109375" style="168" customWidth="1"/>
    <col min="14094" max="14094" width="14.7109375" style="168" bestFit="1" customWidth="1"/>
    <col min="14095" max="14099" width="14.42578125" style="168" customWidth="1"/>
    <col min="14100" max="14100" width="14.85546875" style="168" bestFit="1" customWidth="1"/>
    <col min="14101" max="14101" width="10.85546875" style="168" bestFit="1" customWidth="1"/>
    <col min="14102" max="14336" width="9.140625" style="168"/>
    <col min="14337" max="14337" width="8.42578125" style="168" customWidth="1"/>
    <col min="14338" max="14338" width="14.42578125" style="168" customWidth="1"/>
    <col min="14339" max="14339" width="15.42578125" style="168" customWidth="1"/>
    <col min="14340" max="14340" width="16.42578125" style="168" customWidth="1"/>
    <col min="14341" max="14341" width="16.140625" style="168" customWidth="1"/>
    <col min="14342" max="14342" width="13.7109375" style="168" customWidth="1"/>
    <col min="14343" max="14343" width="18.85546875" style="168" customWidth="1"/>
    <col min="14344" max="14344" width="15.7109375" style="168" customWidth="1"/>
    <col min="14345" max="14346" width="16.5703125" style="168" customWidth="1"/>
    <col min="14347" max="14347" width="13.140625" style="168" bestFit="1" customWidth="1"/>
    <col min="14348" max="14348" width="13.42578125" style="168" customWidth="1"/>
    <col min="14349" max="14349" width="14.7109375" style="168" customWidth="1"/>
    <col min="14350" max="14350" width="14.7109375" style="168" bestFit="1" customWidth="1"/>
    <col min="14351" max="14355" width="14.42578125" style="168" customWidth="1"/>
    <col min="14356" max="14356" width="14.85546875" style="168" bestFit="1" customWidth="1"/>
    <col min="14357" max="14357" width="10.85546875" style="168" bestFit="1" customWidth="1"/>
    <col min="14358" max="14592" width="9.140625" style="168"/>
    <col min="14593" max="14593" width="8.42578125" style="168" customWidth="1"/>
    <col min="14594" max="14594" width="14.42578125" style="168" customWidth="1"/>
    <col min="14595" max="14595" width="15.42578125" style="168" customWidth="1"/>
    <col min="14596" max="14596" width="16.42578125" style="168" customWidth="1"/>
    <col min="14597" max="14597" width="16.140625" style="168" customWidth="1"/>
    <col min="14598" max="14598" width="13.7109375" style="168" customWidth="1"/>
    <col min="14599" max="14599" width="18.85546875" style="168" customWidth="1"/>
    <col min="14600" max="14600" width="15.7109375" style="168" customWidth="1"/>
    <col min="14601" max="14602" width="16.5703125" style="168" customWidth="1"/>
    <col min="14603" max="14603" width="13.140625" style="168" bestFit="1" customWidth="1"/>
    <col min="14604" max="14604" width="13.42578125" style="168" customWidth="1"/>
    <col min="14605" max="14605" width="14.7109375" style="168" customWidth="1"/>
    <col min="14606" max="14606" width="14.7109375" style="168" bestFit="1" customWidth="1"/>
    <col min="14607" max="14611" width="14.42578125" style="168" customWidth="1"/>
    <col min="14612" max="14612" width="14.85546875" style="168" bestFit="1" customWidth="1"/>
    <col min="14613" max="14613" width="10.85546875" style="168" bestFit="1" customWidth="1"/>
    <col min="14614" max="14848" width="9.140625" style="168"/>
    <col min="14849" max="14849" width="8.42578125" style="168" customWidth="1"/>
    <col min="14850" max="14850" width="14.42578125" style="168" customWidth="1"/>
    <col min="14851" max="14851" width="15.42578125" style="168" customWidth="1"/>
    <col min="14852" max="14852" width="16.42578125" style="168" customWidth="1"/>
    <col min="14853" max="14853" width="16.140625" style="168" customWidth="1"/>
    <col min="14854" max="14854" width="13.7109375" style="168" customWidth="1"/>
    <col min="14855" max="14855" width="18.85546875" style="168" customWidth="1"/>
    <col min="14856" max="14856" width="15.7109375" style="168" customWidth="1"/>
    <col min="14857" max="14858" width="16.5703125" style="168" customWidth="1"/>
    <col min="14859" max="14859" width="13.140625" style="168" bestFit="1" customWidth="1"/>
    <col min="14860" max="14860" width="13.42578125" style="168" customWidth="1"/>
    <col min="14861" max="14861" width="14.7109375" style="168" customWidth="1"/>
    <col min="14862" max="14862" width="14.7109375" style="168" bestFit="1" customWidth="1"/>
    <col min="14863" max="14867" width="14.42578125" style="168" customWidth="1"/>
    <col min="14868" max="14868" width="14.85546875" style="168" bestFit="1" customWidth="1"/>
    <col min="14869" max="14869" width="10.85546875" style="168" bestFit="1" customWidth="1"/>
    <col min="14870" max="15104" width="9.140625" style="168"/>
    <col min="15105" max="15105" width="8.42578125" style="168" customWidth="1"/>
    <col min="15106" max="15106" width="14.42578125" style="168" customWidth="1"/>
    <col min="15107" max="15107" width="15.42578125" style="168" customWidth="1"/>
    <col min="15108" max="15108" width="16.42578125" style="168" customWidth="1"/>
    <col min="15109" max="15109" width="16.140625" style="168" customWidth="1"/>
    <col min="15110" max="15110" width="13.7109375" style="168" customWidth="1"/>
    <col min="15111" max="15111" width="18.85546875" style="168" customWidth="1"/>
    <col min="15112" max="15112" width="15.7109375" style="168" customWidth="1"/>
    <col min="15113" max="15114" width="16.5703125" style="168" customWidth="1"/>
    <col min="15115" max="15115" width="13.140625" style="168" bestFit="1" customWidth="1"/>
    <col min="15116" max="15116" width="13.42578125" style="168" customWidth="1"/>
    <col min="15117" max="15117" width="14.7109375" style="168" customWidth="1"/>
    <col min="15118" max="15118" width="14.7109375" style="168" bestFit="1" customWidth="1"/>
    <col min="15119" max="15123" width="14.42578125" style="168" customWidth="1"/>
    <col min="15124" max="15124" width="14.85546875" style="168" bestFit="1" customWidth="1"/>
    <col min="15125" max="15125" width="10.85546875" style="168" bestFit="1" customWidth="1"/>
    <col min="15126" max="15360" width="9.140625" style="168"/>
    <col min="15361" max="15361" width="8.42578125" style="168" customWidth="1"/>
    <col min="15362" max="15362" width="14.42578125" style="168" customWidth="1"/>
    <col min="15363" max="15363" width="15.42578125" style="168" customWidth="1"/>
    <col min="15364" max="15364" width="16.42578125" style="168" customWidth="1"/>
    <col min="15365" max="15365" width="16.140625" style="168" customWidth="1"/>
    <col min="15366" max="15366" width="13.7109375" style="168" customWidth="1"/>
    <col min="15367" max="15367" width="18.85546875" style="168" customWidth="1"/>
    <col min="15368" max="15368" width="15.7109375" style="168" customWidth="1"/>
    <col min="15369" max="15370" width="16.5703125" style="168" customWidth="1"/>
    <col min="15371" max="15371" width="13.140625" style="168" bestFit="1" customWidth="1"/>
    <col min="15372" max="15372" width="13.42578125" style="168" customWidth="1"/>
    <col min="15373" max="15373" width="14.7109375" style="168" customWidth="1"/>
    <col min="15374" max="15374" width="14.7109375" style="168" bestFit="1" customWidth="1"/>
    <col min="15375" max="15379" width="14.42578125" style="168" customWidth="1"/>
    <col min="15380" max="15380" width="14.85546875" style="168" bestFit="1" customWidth="1"/>
    <col min="15381" max="15381" width="10.85546875" style="168" bestFit="1" customWidth="1"/>
    <col min="15382" max="15616" width="9.140625" style="168"/>
    <col min="15617" max="15617" width="8.42578125" style="168" customWidth="1"/>
    <col min="15618" max="15618" width="14.42578125" style="168" customWidth="1"/>
    <col min="15619" max="15619" width="15.42578125" style="168" customWidth="1"/>
    <col min="15620" max="15620" width="16.42578125" style="168" customWidth="1"/>
    <col min="15621" max="15621" width="16.140625" style="168" customWidth="1"/>
    <col min="15622" max="15622" width="13.7109375" style="168" customWidth="1"/>
    <col min="15623" max="15623" width="18.85546875" style="168" customWidth="1"/>
    <col min="15624" max="15624" width="15.7109375" style="168" customWidth="1"/>
    <col min="15625" max="15626" width="16.5703125" style="168" customWidth="1"/>
    <col min="15627" max="15627" width="13.140625" style="168" bestFit="1" customWidth="1"/>
    <col min="15628" max="15628" width="13.42578125" style="168" customWidth="1"/>
    <col min="15629" max="15629" width="14.7109375" style="168" customWidth="1"/>
    <col min="15630" max="15630" width="14.7109375" style="168" bestFit="1" customWidth="1"/>
    <col min="15631" max="15635" width="14.42578125" style="168" customWidth="1"/>
    <col min="15636" max="15636" width="14.85546875" style="168" bestFit="1" customWidth="1"/>
    <col min="15637" max="15637" width="10.85546875" style="168" bestFit="1" customWidth="1"/>
    <col min="15638" max="15872" width="9.140625" style="168"/>
    <col min="15873" max="15873" width="8.42578125" style="168" customWidth="1"/>
    <col min="15874" max="15874" width="14.42578125" style="168" customWidth="1"/>
    <col min="15875" max="15875" width="15.42578125" style="168" customWidth="1"/>
    <col min="15876" max="15876" width="16.42578125" style="168" customWidth="1"/>
    <col min="15877" max="15877" width="16.140625" style="168" customWidth="1"/>
    <col min="15878" max="15878" width="13.7109375" style="168" customWidth="1"/>
    <col min="15879" max="15879" width="18.85546875" style="168" customWidth="1"/>
    <col min="15880" max="15880" width="15.7109375" style="168" customWidth="1"/>
    <col min="15881" max="15882" width="16.5703125" style="168" customWidth="1"/>
    <col min="15883" max="15883" width="13.140625" style="168" bestFit="1" customWidth="1"/>
    <col min="15884" max="15884" width="13.42578125" style="168" customWidth="1"/>
    <col min="15885" max="15885" width="14.7109375" style="168" customWidth="1"/>
    <col min="15886" max="15886" width="14.7109375" style="168" bestFit="1" customWidth="1"/>
    <col min="15887" max="15891" width="14.42578125" style="168" customWidth="1"/>
    <col min="15892" max="15892" width="14.85546875" style="168" bestFit="1" customWidth="1"/>
    <col min="15893" max="15893" width="10.85546875" style="168" bestFit="1" customWidth="1"/>
    <col min="15894" max="16128" width="9.140625" style="168"/>
    <col min="16129" max="16129" width="8.42578125" style="168" customWidth="1"/>
    <col min="16130" max="16130" width="14.42578125" style="168" customWidth="1"/>
    <col min="16131" max="16131" width="15.42578125" style="168" customWidth="1"/>
    <col min="16132" max="16132" width="16.42578125" style="168" customWidth="1"/>
    <col min="16133" max="16133" width="16.140625" style="168" customWidth="1"/>
    <col min="16134" max="16134" width="13.7109375" style="168" customWidth="1"/>
    <col min="16135" max="16135" width="18.85546875" style="168" customWidth="1"/>
    <col min="16136" max="16136" width="15.7109375" style="168" customWidth="1"/>
    <col min="16137" max="16138" width="16.5703125" style="168" customWidth="1"/>
    <col min="16139" max="16139" width="13.140625" style="168" bestFit="1" customWidth="1"/>
    <col min="16140" max="16140" width="13.42578125" style="168" customWidth="1"/>
    <col min="16141" max="16141" width="14.7109375" style="168" customWidth="1"/>
    <col min="16142" max="16142" width="14.7109375" style="168" bestFit="1" customWidth="1"/>
    <col min="16143" max="16147" width="14.42578125" style="168" customWidth="1"/>
    <col min="16148" max="16148" width="14.85546875" style="168" bestFit="1" customWidth="1"/>
    <col min="16149" max="16149" width="10.85546875" style="168" bestFit="1" customWidth="1"/>
    <col min="16150" max="16384" width="9.140625" style="168"/>
  </cols>
  <sheetData>
    <row r="1" spans="1:10" ht="18" customHeight="1" x14ac:dyDescent="0.2">
      <c r="A1" s="698" t="s">
        <v>181</v>
      </c>
      <c r="B1" s="698"/>
      <c r="C1" s="698"/>
      <c r="D1" s="698"/>
      <c r="E1" s="698"/>
      <c r="F1" s="698"/>
      <c r="G1" s="698"/>
      <c r="H1" s="698"/>
      <c r="I1" s="698"/>
      <c r="J1" s="698"/>
    </row>
    <row r="2" spans="1:10" x14ac:dyDescent="0.2">
      <c r="A2" s="169"/>
      <c r="B2" s="170"/>
      <c r="C2" s="171"/>
      <c r="D2" s="171"/>
      <c r="E2" s="172"/>
      <c r="F2" s="172"/>
    </row>
    <row r="3" spans="1:10" x14ac:dyDescent="0.2">
      <c r="A3" s="169" t="s">
        <v>182</v>
      </c>
      <c r="B3" s="699" t="s">
        <v>350</v>
      </c>
      <c r="C3" s="699"/>
      <c r="D3" s="699"/>
      <c r="E3" s="699"/>
      <c r="F3" s="699"/>
      <c r="G3" s="699"/>
      <c r="H3" s="699"/>
      <c r="I3" s="699"/>
      <c r="J3" s="174"/>
    </row>
    <row r="4" spans="1:10" x14ac:dyDescent="0.2">
      <c r="A4" s="175"/>
      <c r="B4" s="699"/>
      <c r="C4" s="699"/>
      <c r="D4" s="699"/>
      <c r="E4" s="699"/>
      <c r="F4" s="699"/>
      <c r="G4" s="699"/>
      <c r="H4" s="699"/>
      <c r="I4" s="699"/>
      <c r="J4" s="174"/>
    </row>
    <row r="5" spans="1:10" ht="15" customHeight="1" x14ac:dyDescent="0.2">
      <c r="A5" s="700" t="str">
        <f>CONCATENATE("PLAZO: ",A42," MESES (",A43,")")</f>
        <v>PLAZO: 24 MESES (720 dias)</v>
      </c>
      <c r="B5" s="700"/>
      <c r="C5" s="700"/>
      <c r="E5" s="177" t="s">
        <v>183</v>
      </c>
    </row>
    <row r="7" spans="1:10" x14ac:dyDescent="0.2">
      <c r="C7" s="179" t="s">
        <v>185</v>
      </c>
      <c r="D7" s="701"/>
      <c r="E7" s="701"/>
      <c r="F7" s="701"/>
      <c r="H7" s="179" t="s">
        <v>186</v>
      </c>
      <c r="I7" s="180">
        <f ca="1">NOW()</f>
        <v>43703.768187731483</v>
      </c>
    </row>
    <row r="8" spans="1:10" x14ac:dyDescent="0.2">
      <c r="C8" s="179" t="str">
        <f>IF(D7=0,"MONTO ESTIMADO CON IVA:","MONTO DE CONTRATO CON IVA:")</f>
        <v>MONTO ESTIMADO CON IVA:</v>
      </c>
      <c r="D8" s="181">
        <v>57889500</v>
      </c>
      <c r="E8" s="182" t="s">
        <v>187</v>
      </c>
      <c r="F8" s="168" t="s">
        <v>188</v>
      </c>
      <c r="H8" s="173" t="s">
        <v>189</v>
      </c>
      <c r="I8" s="183">
        <v>1</v>
      </c>
    </row>
    <row r="9" spans="1:10" hidden="1" x14ac:dyDescent="0.2">
      <c r="C9" s="179"/>
      <c r="D9" s="181"/>
      <c r="E9" s="176" t="s">
        <v>190</v>
      </c>
      <c r="I9" s="184"/>
    </row>
    <row r="10" spans="1:10" hidden="1" x14ac:dyDescent="0.2">
      <c r="C10" s="179"/>
      <c r="D10" s="181"/>
      <c r="E10" s="176" t="s">
        <v>187</v>
      </c>
      <c r="I10" s="184"/>
    </row>
    <row r="11" spans="1:10" x14ac:dyDescent="0.2">
      <c r="B11" s="168"/>
      <c r="C11" s="179" t="str">
        <f>IF(D7=0,"MONTO ESTIMADO SIN IVA:","MONTO DE CONTRATO SIN IVA:")</f>
        <v>MONTO ESTIMADO SIN IVA:</v>
      </c>
      <c r="D11" s="185">
        <f>D8</f>
        <v>57889500</v>
      </c>
      <c r="E11" s="186" t="s">
        <v>190</v>
      </c>
      <c r="F11" s="176"/>
    </row>
    <row r="12" spans="1:10" x14ac:dyDescent="0.2">
      <c r="B12" s="168"/>
      <c r="C12" s="179" t="s">
        <v>191</v>
      </c>
      <c r="D12" s="448">
        <v>0.38709677419354838</v>
      </c>
      <c r="F12" s="176" t="s">
        <v>192</v>
      </c>
    </row>
    <row r="13" spans="1:10" x14ac:dyDescent="0.2">
      <c r="B13" s="168"/>
      <c r="C13" s="179" t="s">
        <v>193</v>
      </c>
      <c r="D13" s="449">
        <v>0.61290322580645162</v>
      </c>
      <c r="F13" s="176"/>
    </row>
    <row r="14" spans="1:10" x14ac:dyDescent="0.2">
      <c r="B14" s="168"/>
      <c r="C14" s="179" t="s">
        <v>194</v>
      </c>
      <c r="D14" s="184">
        <v>20</v>
      </c>
      <c r="F14" s="176"/>
    </row>
    <row r="15" spans="1:10" x14ac:dyDescent="0.2">
      <c r="B15" s="179" t="s">
        <v>195</v>
      </c>
      <c r="C15" s="702"/>
      <c r="D15" s="702"/>
      <c r="E15" s="416" t="s">
        <v>196</v>
      </c>
      <c r="F15" s="417"/>
      <c r="H15" s="190" t="s">
        <v>197</v>
      </c>
      <c r="I15" s="183">
        <v>4</v>
      </c>
    </row>
    <row r="16" spans="1:10" ht="12.75" thickBot="1" x14ac:dyDescent="0.25">
      <c r="F16" s="191"/>
    </row>
    <row r="17" spans="1:11" ht="42" customHeight="1" thickBot="1" x14ac:dyDescent="0.25">
      <c r="A17" s="192" t="s">
        <v>198</v>
      </c>
      <c r="B17" s="193" t="s">
        <v>199</v>
      </c>
      <c r="C17" s="193" t="s">
        <v>200</v>
      </c>
      <c r="D17" s="194" t="str">
        <f>CONCATENATE("MONTO MENSUAL DESCONTADO ",ROUND(D14,0),"% ANTICIPO")</f>
        <v>MONTO MENSUAL DESCONTADO 20% ANTICIPO</v>
      </c>
      <c r="E17" s="195" t="s">
        <v>201</v>
      </c>
      <c r="F17" s="196" t="s">
        <v>202</v>
      </c>
      <c r="G17" s="197" t="s">
        <v>203</v>
      </c>
      <c r="H17" s="198" t="s">
        <v>204</v>
      </c>
      <c r="I17" s="199" t="str">
        <f>CONCATENATE("DESEMBOLSOS FONDO LOCAL (",ROUND(D13,0),"%) + IVA")</f>
        <v>DESEMBOLSOS FONDO LOCAL (1%) + IVA</v>
      </c>
      <c r="J17" s="199" t="str">
        <f>CONCATENATE("DESEMBOLSOS FONDO EXTERNO (",ROUND(D12,0),"%)")</f>
        <v>DESEMBOLSOS FONDO EXTERNO (0%)</v>
      </c>
    </row>
    <row r="18" spans="1:11" ht="12.75" customHeight="1" thickBot="1" x14ac:dyDescent="0.25">
      <c r="A18" s="200">
        <v>0</v>
      </c>
      <c r="B18" s="201">
        <f>D14/100</f>
        <v>0.2</v>
      </c>
      <c r="C18" s="201">
        <v>0</v>
      </c>
      <c r="D18" s="202">
        <f>B18*D11</f>
        <v>11577900</v>
      </c>
      <c r="E18" s="203">
        <f>D18</f>
        <v>11577900</v>
      </c>
      <c r="F18" s="204">
        <f>E18/$E$42</f>
        <v>0.2</v>
      </c>
      <c r="G18" s="205" t="s">
        <v>205</v>
      </c>
      <c r="H18" s="206">
        <f>ROUND(D18*0.18,0)</f>
        <v>2084022</v>
      </c>
      <c r="I18" s="207">
        <f>(D18-J18)</f>
        <v>7096132.2580645159</v>
      </c>
      <c r="J18" s="207">
        <f>D18*($D$12)</f>
        <v>4481767.7419354841</v>
      </c>
    </row>
    <row r="19" spans="1:11" ht="12.75" thickBot="1" x14ac:dyDescent="0.25">
      <c r="A19" s="208">
        <v>1</v>
      </c>
      <c r="B19" s="209">
        <v>2.5000000000000001E-2</v>
      </c>
      <c r="C19" s="209">
        <f t="shared" ref="C19:C42" si="0">B19+C18</f>
        <v>2.5000000000000001E-2</v>
      </c>
      <c r="D19" s="210">
        <f>(B19*$D$11)*((100-$D$14)/100)</f>
        <v>1157790</v>
      </c>
      <c r="E19" s="211">
        <f>E18+D19</f>
        <v>12735690</v>
      </c>
      <c r="F19" s="212">
        <f>E19/$E$42</f>
        <v>0.22</v>
      </c>
      <c r="G19" s="213" t="s">
        <v>96</v>
      </c>
      <c r="H19" s="206">
        <f>ROUND(D19*0.18,0)</f>
        <v>208402</v>
      </c>
      <c r="I19" s="207">
        <f>(D19-J19)</f>
        <v>709613.22580645164</v>
      </c>
      <c r="J19" s="207">
        <f t="shared" ref="J19:J42" si="1">D19*($D$12)</f>
        <v>448176.77419354836</v>
      </c>
    </row>
    <row r="20" spans="1:11" ht="12.75" thickBot="1" x14ac:dyDescent="0.25">
      <c r="A20" s="208">
        <v>2</v>
      </c>
      <c r="B20" s="209">
        <v>0.03</v>
      </c>
      <c r="C20" s="209">
        <f t="shared" si="0"/>
        <v>5.5E-2</v>
      </c>
      <c r="D20" s="210">
        <f t="shared" ref="D20:D42" si="2">(B20*$D$11)*((100-$D$14)/100)</f>
        <v>1389348</v>
      </c>
      <c r="E20" s="211">
        <f t="shared" ref="E20:E33" si="3">E19+D20</f>
        <v>14125038</v>
      </c>
      <c r="F20" s="204">
        <f t="shared" ref="F20:F42" si="4">E20/$E$42</f>
        <v>0.24399999999999999</v>
      </c>
      <c r="G20" s="213" t="s">
        <v>97</v>
      </c>
      <c r="H20" s="206">
        <f t="shared" ref="H20:H42" si="5">ROUND(D20*0.18,0)</f>
        <v>250083</v>
      </c>
      <c r="I20" s="207">
        <f t="shared" ref="I20:I42" si="6">(D20-J20)</f>
        <v>851535.87096774194</v>
      </c>
      <c r="J20" s="207">
        <f t="shared" si="1"/>
        <v>537812.12903225806</v>
      </c>
      <c r="K20" s="216">
        <f>+SUM(J18:J20)</f>
        <v>5467756.6451612907</v>
      </c>
    </row>
    <row r="21" spans="1:11" ht="12.75" thickBot="1" x14ac:dyDescent="0.25">
      <c r="A21" s="208">
        <v>3</v>
      </c>
      <c r="B21" s="209">
        <v>3.5000000000000003E-2</v>
      </c>
      <c r="C21" s="209">
        <f>B21+C20</f>
        <v>0.09</v>
      </c>
      <c r="D21" s="210">
        <f t="shared" si="2"/>
        <v>1620906.0000000002</v>
      </c>
      <c r="E21" s="211">
        <f t="shared" si="3"/>
        <v>15745944</v>
      </c>
      <c r="F21" s="212">
        <f t="shared" si="4"/>
        <v>0.27200000000000002</v>
      </c>
      <c r="G21" s="213" t="s">
        <v>98</v>
      </c>
      <c r="H21" s="206">
        <f>ROUND(D21*0.18,0)</f>
        <v>291763</v>
      </c>
      <c r="I21" s="207">
        <f>(D21-J21)</f>
        <v>993458.51612903248</v>
      </c>
      <c r="J21" s="207">
        <f t="shared" si="1"/>
        <v>627447.48387096776</v>
      </c>
    </row>
    <row r="22" spans="1:11" ht="12.75" thickBot="1" x14ac:dyDescent="0.25">
      <c r="A22" s="208">
        <v>4</v>
      </c>
      <c r="B22" s="209">
        <v>3.5000000000000003E-2</v>
      </c>
      <c r="C22" s="209">
        <f t="shared" si="0"/>
        <v>0.125</v>
      </c>
      <c r="D22" s="210">
        <f t="shared" si="2"/>
        <v>1620906.0000000002</v>
      </c>
      <c r="E22" s="211">
        <f t="shared" si="3"/>
        <v>17366850</v>
      </c>
      <c r="F22" s="204">
        <f t="shared" si="4"/>
        <v>0.3</v>
      </c>
      <c r="G22" s="213" t="s">
        <v>99</v>
      </c>
      <c r="H22" s="206">
        <f t="shared" si="5"/>
        <v>291763</v>
      </c>
      <c r="I22" s="207">
        <f t="shared" si="6"/>
        <v>993458.51612903248</v>
      </c>
      <c r="J22" s="207">
        <f t="shared" si="1"/>
        <v>627447.48387096776</v>
      </c>
      <c r="K22" s="217"/>
    </row>
    <row r="23" spans="1:11" ht="12.75" thickBot="1" x14ac:dyDescent="0.25">
      <c r="A23" s="208">
        <v>5</v>
      </c>
      <c r="B23" s="209">
        <v>0.04</v>
      </c>
      <c r="C23" s="209">
        <f t="shared" si="0"/>
        <v>0.16500000000000001</v>
      </c>
      <c r="D23" s="210">
        <f t="shared" si="2"/>
        <v>1852464</v>
      </c>
      <c r="E23" s="211">
        <f t="shared" si="3"/>
        <v>19219314</v>
      </c>
      <c r="F23" s="212">
        <f t="shared" si="4"/>
        <v>0.33200000000000002</v>
      </c>
      <c r="G23" s="213" t="s">
        <v>100</v>
      </c>
      <c r="H23" s="206">
        <f t="shared" si="5"/>
        <v>333444</v>
      </c>
      <c r="I23" s="207">
        <f t="shared" si="6"/>
        <v>1135381.1612903224</v>
      </c>
      <c r="J23" s="207">
        <f t="shared" si="1"/>
        <v>717082.83870967745</v>
      </c>
      <c r="K23" s="217"/>
    </row>
    <row r="24" spans="1:11" ht="12.75" thickBot="1" x14ac:dyDescent="0.25">
      <c r="A24" s="208">
        <v>6</v>
      </c>
      <c r="B24" s="209">
        <v>4.4999999999999998E-2</v>
      </c>
      <c r="C24" s="209">
        <f t="shared" si="0"/>
        <v>0.21000000000000002</v>
      </c>
      <c r="D24" s="210">
        <f t="shared" si="2"/>
        <v>2084022</v>
      </c>
      <c r="E24" s="211">
        <f t="shared" si="3"/>
        <v>21303336</v>
      </c>
      <c r="F24" s="204">
        <f t="shared" si="4"/>
        <v>0.36799999999999999</v>
      </c>
      <c r="G24" s="213" t="s">
        <v>101</v>
      </c>
      <c r="H24" s="206">
        <f t="shared" si="5"/>
        <v>375124</v>
      </c>
      <c r="I24" s="207">
        <f t="shared" si="6"/>
        <v>1277303.8064516131</v>
      </c>
      <c r="J24" s="207">
        <f t="shared" si="1"/>
        <v>806718.19354838703</v>
      </c>
      <c r="K24" s="217"/>
    </row>
    <row r="25" spans="1:11" ht="12.75" thickBot="1" x14ac:dyDescent="0.25">
      <c r="A25" s="208">
        <v>7</v>
      </c>
      <c r="B25" s="209">
        <v>4.4999999999999998E-2</v>
      </c>
      <c r="C25" s="209">
        <f t="shared" si="0"/>
        <v>0.255</v>
      </c>
      <c r="D25" s="210">
        <f t="shared" si="2"/>
        <v>2084022</v>
      </c>
      <c r="E25" s="211">
        <f t="shared" si="3"/>
        <v>23387358</v>
      </c>
      <c r="F25" s="212">
        <f t="shared" si="4"/>
        <v>0.40400000000000003</v>
      </c>
      <c r="G25" s="213" t="s">
        <v>102</v>
      </c>
      <c r="H25" s="206">
        <f t="shared" si="5"/>
        <v>375124</v>
      </c>
      <c r="I25" s="207">
        <f t="shared" si="6"/>
        <v>1277303.8064516131</v>
      </c>
      <c r="J25" s="207">
        <f t="shared" si="1"/>
        <v>806718.19354838703</v>
      </c>
      <c r="K25" s="218"/>
    </row>
    <row r="26" spans="1:11" ht="12.75" thickBot="1" x14ac:dyDescent="0.25">
      <c r="A26" s="208">
        <v>8</v>
      </c>
      <c r="B26" s="209">
        <v>0.05</v>
      </c>
      <c r="C26" s="209">
        <f t="shared" si="0"/>
        <v>0.30499999999999999</v>
      </c>
      <c r="D26" s="210">
        <f t="shared" si="2"/>
        <v>2315580</v>
      </c>
      <c r="E26" s="211">
        <f t="shared" si="3"/>
        <v>25702938</v>
      </c>
      <c r="F26" s="204">
        <f t="shared" si="4"/>
        <v>0.44400000000000001</v>
      </c>
      <c r="G26" s="213" t="s">
        <v>103</v>
      </c>
      <c r="H26" s="206">
        <f t="shared" si="5"/>
        <v>416804</v>
      </c>
      <c r="I26" s="207">
        <f t="shared" si="6"/>
        <v>1419226.4516129033</v>
      </c>
      <c r="J26" s="207">
        <f t="shared" si="1"/>
        <v>896353.54838709673</v>
      </c>
      <c r="K26" s="217"/>
    </row>
    <row r="27" spans="1:11" ht="12.75" thickBot="1" x14ac:dyDescent="0.25">
      <c r="A27" s="208">
        <v>9</v>
      </c>
      <c r="B27" s="209">
        <v>5.5E-2</v>
      </c>
      <c r="C27" s="209">
        <f t="shared" si="0"/>
        <v>0.36</v>
      </c>
      <c r="D27" s="210">
        <f t="shared" si="2"/>
        <v>2547138</v>
      </c>
      <c r="E27" s="211">
        <f t="shared" si="3"/>
        <v>28250076</v>
      </c>
      <c r="F27" s="212">
        <f t="shared" si="4"/>
        <v>0.48799999999999999</v>
      </c>
      <c r="G27" s="213" t="s">
        <v>104</v>
      </c>
      <c r="H27" s="206">
        <f t="shared" si="5"/>
        <v>458485</v>
      </c>
      <c r="I27" s="207">
        <f t="shared" si="6"/>
        <v>1561149.0967741935</v>
      </c>
      <c r="J27" s="207">
        <f t="shared" si="1"/>
        <v>985988.90322580643</v>
      </c>
      <c r="K27" s="217"/>
    </row>
    <row r="28" spans="1:11" ht="12.75" thickBot="1" x14ac:dyDescent="0.25">
      <c r="A28" s="208">
        <v>10</v>
      </c>
      <c r="B28" s="209">
        <v>5.5E-2</v>
      </c>
      <c r="C28" s="209">
        <f t="shared" si="0"/>
        <v>0.41499999999999998</v>
      </c>
      <c r="D28" s="210">
        <f t="shared" si="2"/>
        <v>2547138</v>
      </c>
      <c r="E28" s="211">
        <f t="shared" si="3"/>
        <v>30797214</v>
      </c>
      <c r="F28" s="204">
        <f t="shared" si="4"/>
        <v>0.53200000000000003</v>
      </c>
      <c r="G28" s="213" t="s">
        <v>105</v>
      </c>
      <c r="H28" s="206">
        <f t="shared" si="5"/>
        <v>458485</v>
      </c>
      <c r="I28" s="207">
        <f t="shared" si="6"/>
        <v>1561149.0967741935</v>
      </c>
      <c r="J28" s="207">
        <f t="shared" si="1"/>
        <v>985988.90322580643</v>
      </c>
      <c r="K28" s="217"/>
    </row>
    <row r="29" spans="1:11" ht="12.75" thickBot="1" x14ac:dyDescent="0.25">
      <c r="A29" s="208">
        <v>11</v>
      </c>
      <c r="B29" s="209">
        <v>5.5E-2</v>
      </c>
      <c r="C29" s="209">
        <f t="shared" si="0"/>
        <v>0.47</v>
      </c>
      <c r="D29" s="210">
        <f t="shared" si="2"/>
        <v>2547138</v>
      </c>
      <c r="E29" s="211">
        <f t="shared" si="3"/>
        <v>33344352</v>
      </c>
      <c r="F29" s="212">
        <f t="shared" si="4"/>
        <v>0.57599999999999996</v>
      </c>
      <c r="G29" s="213" t="s">
        <v>106</v>
      </c>
      <c r="H29" s="206">
        <f t="shared" si="5"/>
        <v>458485</v>
      </c>
      <c r="I29" s="207">
        <f t="shared" si="6"/>
        <v>1561149.0967741935</v>
      </c>
      <c r="J29" s="207">
        <f t="shared" si="1"/>
        <v>985988.90322580643</v>
      </c>
      <c r="K29" s="217"/>
    </row>
    <row r="30" spans="1:11" ht="12.75" thickBot="1" x14ac:dyDescent="0.25">
      <c r="A30" s="208">
        <v>12</v>
      </c>
      <c r="B30" s="209">
        <v>0.06</v>
      </c>
      <c r="C30" s="209">
        <f t="shared" si="0"/>
        <v>0.53</v>
      </c>
      <c r="D30" s="210">
        <f t="shared" si="2"/>
        <v>2778696</v>
      </c>
      <c r="E30" s="211">
        <f t="shared" si="3"/>
        <v>36123048</v>
      </c>
      <c r="F30" s="204">
        <f t="shared" si="4"/>
        <v>0.624</v>
      </c>
      <c r="G30" s="213" t="s">
        <v>107</v>
      </c>
      <c r="H30" s="206">
        <f t="shared" si="5"/>
        <v>500165</v>
      </c>
      <c r="I30" s="207">
        <f t="shared" si="6"/>
        <v>1703071.7419354839</v>
      </c>
      <c r="J30" s="207">
        <f t="shared" si="1"/>
        <v>1075624.2580645161</v>
      </c>
      <c r="K30" s="217"/>
    </row>
    <row r="31" spans="1:11" ht="12.75" thickBot="1" x14ac:dyDescent="0.25">
      <c r="A31" s="208">
        <v>13</v>
      </c>
      <c r="B31" s="209">
        <v>7.0000000000000007E-2</v>
      </c>
      <c r="C31" s="209">
        <f t="shared" si="0"/>
        <v>0.60000000000000009</v>
      </c>
      <c r="D31" s="210">
        <f t="shared" si="2"/>
        <v>3241812.0000000005</v>
      </c>
      <c r="E31" s="211">
        <f t="shared" si="3"/>
        <v>39364860</v>
      </c>
      <c r="F31" s="212">
        <f t="shared" si="4"/>
        <v>0.68</v>
      </c>
      <c r="G31" s="213" t="s">
        <v>108</v>
      </c>
      <c r="H31" s="206">
        <f t="shared" si="5"/>
        <v>583526</v>
      </c>
      <c r="I31" s="207">
        <f t="shared" si="6"/>
        <v>1986917.032258065</v>
      </c>
      <c r="J31" s="207">
        <f t="shared" si="1"/>
        <v>1254894.9677419355</v>
      </c>
      <c r="K31" s="217"/>
    </row>
    <row r="32" spans="1:11" ht="12.75" thickBot="1" x14ac:dyDescent="0.25">
      <c r="A32" s="208">
        <v>14</v>
      </c>
      <c r="B32" s="209">
        <v>7.0000000000000007E-2</v>
      </c>
      <c r="C32" s="209">
        <f t="shared" si="0"/>
        <v>0.67000000000000015</v>
      </c>
      <c r="D32" s="210">
        <f t="shared" si="2"/>
        <v>3241812.0000000005</v>
      </c>
      <c r="E32" s="211">
        <f t="shared" si="3"/>
        <v>42606672</v>
      </c>
      <c r="F32" s="204">
        <f t="shared" si="4"/>
        <v>0.73599999999999999</v>
      </c>
      <c r="G32" s="213" t="s">
        <v>109</v>
      </c>
      <c r="H32" s="206">
        <f t="shared" si="5"/>
        <v>583526</v>
      </c>
      <c r="I32" s="207">
        <f t="shared" si="6"/>
        <v>1986917.032258065</v>
      </c>
      <c r="J32" s="207">
        <f t="shared" si="1"/>
        <v>1254894.9677419355</v>
      </c>
      <c r="K32" s="219">
        <f>+SUM(J21:J32)</f>
        <v>11025148.645161293</v>
      </c>
    </row>
    <row r="33" spans="1:12" ht="12.75" thickBot="1" x14ac:dyDescent="0.25">
      <c r="A33" s="208">
        <v>15</v>
      </c>
      <c r="B33" s="209">
        <v>6.5000000000000002E-2</v>
      </c>
      <c r="C33" s="209">
        <f t="shared" si="0"/>
        <v>0.7350000000000001</v>
      </c>
      <c r="D33" s="210">
        <f t="shared" si="2"/>
        <v>3010254</v>
      </c>
      <c r="E33" s="211">
        <f t="shared" si="3"/>
        <v>45616926</v>
      </c>
      <c r="F33" s="212">
        <f t="shared" si="4"/>
        <v>0.78800000000000003</v>
      </c>
      <c r="G33" s="213" t="s">
        <v>110</v>
      </c>
      <c r="H33" s="206">
        <f t="shared" si="5"/>
        <v>541846</v>
      </c>
      <c r="I33" s="207">
        <f t="shared" si="6"/>
        <v>1844994.3870967743</v>
      </c>
      <c r="J33" s="207">
        <f t="shared" si="1"/>
        <v>1165259.6129032257</v>
      </c>
      <c r="K33" s="217"/>
    </row>
    <row r="34" spans="1:12" ht="12.75" thickBot="1" x14ac:dyDescent="0.25">
      <c r="A34" s="208">
        <v>16</v>
      </c>
      <c r="B34" s="209">
        <v>6.5000000000000002E-2</v>
      </c>
      <c r="C34" s="209">
        <f t="shared" si="0"/>
        <v>0.8</v>
      </c>
      <c r="D34" s="210">
        <f t="shared" si="2"/>
        <v>3010254</v>
      </c>
      <c r="E34" s="211">
        <f>E33+D34</f>
        <v>48627180</v>
      </c>
      <c r="F34" s="204">
        <f t="shared" si="4"/>
        <v>0.84</v>
      </c>
      <c r="G34" s="213" t="s">
        <v>111</v>
      </c>
      <c r="H34" s="206">
        <f t="shared" si="5"/>
        <v>541846</v>
      </c>
      <c r="I34" s="207">
        <f t="shared" si="6"/>
        <v>1844994.3870967743</v>
      </c>
      <c r="J34" s="207">
        <f t="shared" si="1"/>
        <v>1165259.6129032257</v>
      </c>
      <c r="K34" s="217"/>
    </row>
    <row r="35" spans="1:12" ht="12.75" thickBot="1" x14ac:dyDescent="0.25">
      <c r="A35" s="208">
        <v>17</v>
      </c>
      <c r="B35" s="209">
        <v>0.05</v>
      </c>
      <c r="C35" s="209">
        <f t="shared" si="0"/>
        <v>0.85000000000000009</v>
      </c>
      <c r="D35" s="210">
        <f t="shared" si="2"/>
        <v>2315580</v>
      </c>
      <c r="E35" s="211">
        <f>E34+D35</f>
        <v>50942760</v>
      </c>
      <c r="F35" s="212">
        <f t="shared" si="4"/>
        <v>0.88</v>
      </c>
      <c r="G35" s="213" t="s">
        <v>112</v>
      </c>
      <c r="H35" s="206">
        <f t="shared" si="5"/>
        <v>416804</v>
      </c>
      <c r="I35" s="207">
        <f t="shared" si="6"/>
        <v>1419226.4516129033</v>
      </c>
      <c r="J35" s="207">
        <f t="shared" si="1"/>
        <v>896353.54838709673</v>
      </c>
      <c r="K35" s="217"/>
    </row>
    <row r="36" spans="1:12" ht="12.75" thickBot="1" x14ac:dyDescent="0.25">
      <c r="A36" s="220">
        <v>18</v>
      </c>
      <c r="B36" s="209">
        <v>0.05</v>
      </c>
      <c r="C36" s="209">
        <f t="shared" si="0"/>
        <v>0.90000000000000013</v>
      </c>
      <c r="D36" s="210">
        <f t="shared" si="2"/>
        <v>2315580</v>
      </c>
      <c r="E36" s="222">
        <f>E35+D36</f>
        <v>53258340</v>
      </c>
      <c r="F36" s="204">
        <f t="shared" si="4"/>
        <v>0.92</v>
      </c>
      <c r="G36" s="224" t="s">
        <v>113</v>
      </c>
      <c r="H36" s="206">
        <f t="shared" si="5"/>
        <v>416804</v>
      </c>
      <c r="I36" s="207">
        <f t="shared" si="6"/>
        <v>1419226.4516129033</v>
      </c>
      <c r="J36" s="207">
        <f t="shared" si="1"/>
        <v>896353.54838709673</v>
      </c>
      <c r="K36" s="219">
        <f>+SUM(J33:J36)</f>
        <v>4123226.3225806449</v>
      </c>
    </row>
    <row r="37" spans="1:12" ht="12.75" thickBot="1" x14ac:dyDescent="0.25">
      <c r="A37" s="208">
        <v>19</v>
      </c>
      <c r="B37" s="209">
        <v>0.04</v>
      </c>
      <c r="C37" s="209">
        <f t="shared" si="0"/>
        <v>0.94000000000000017</v>
      </c>
      <c r="D37" s="210">
        <f t="shared" si="2"/>
        <v>1852464</v>
      </c>
      <c r="E37" s="211">
        <f t="shared" ref="E37:E42" si="7">E36+D37</f>
        <v>55110804</v>
      </c>
      <c r="F37" s="212">
        <f t="shared" si="4"/>
        <v>0.95199999999999996</v>
      </c>
      <c r="G37" s="213" t="s">
        <v>114</v>
      </c>
      <c r="H37" s="206">
        <f t="shared" si="5"/>
        <v>333444</v>
      </c>
      <c r="I37" s="207">
        <f t="shared" si="6"/>
        <v>1135381.1612903224</v>
      </c>
      <c r="J37" s="207">
        <f t="shared" si="1"/>
        <v>717082.83870967745</v>
      </c>
      <c r="K37" s="219"/>
    </row>
    <row r="38" spans="1:12" ht="12.75" thickBot="1" x14ac:dyDescent="0.25">
      <c r="A38" s="220">
        <v>20</v>
      </c>
      <c r="B38" s="209">
        <v>0.02</v>
      </c>
      <c r="C38" s="209">
        <f t="shared" si="0"/>
        <v>0.96000000000000019</v>
      </c>
      <c r="D38" s="210">
        <f t="shared" si="2"/>
        <v>926232</v>
      </c>
      <c r="E38" s="222">
        <f t="shared" si="7"/>
        <v>56037036</v>
      </c>
      <c r="F38" s="204">
        <f t="shared" si="4"/>
        <v>0.96799999999999997</v>
      </c>
      <c r="G38" s="224" t="s">
        <v>115</v>
      </c>
      <c r="H38" s="206">
        <f t="shared" si="5"/>
        <v>166722</v>
      </c>
      <c r="I38" s="207">
        <f t="shared" si="6"/>
        <v>567690.58064516122</v>
      </c>
      <c r="J38" s="207">
        <f t="shared" si="1"/>
        <v>358541.41935483873</v>
      </c>
      <c r="K38" s="219"/>
    </row>
    <row r="39" spans="1:12" ht="12.75" thickBot="1" x14ac:dyDescent="0.25">
      <c r="A39" s="208">
        <v>21</v>
      </c>
      <c r="B39" s="238">
        <v>0.01</v>
      </c>
      <c r="C39" s="209">
        <f t="shared" si="0"/>
        <v>0.9700000000000002</v>
      </c>
      <c r="D39" s="210">
        <f t="shared" si="2"/>
        <v>463116</v>
      </c>
      <c r="E39" s="211">
        <f t="shared" si="7"/>
        <v>56500152</v>
      </c>
      <c r="F39" s="212">
        <f t="shared" si="4"/>
        <v>0.97599999999999998</v>
      </c>
      <c r="G39" s="213" t="s">
        <v>116</v>
      </c>
      <c r="H39" s="206">
        <f t="shared" si="5"/>
        <v>83361</v>
      </c>
      <c r="I39" s="207">
        <f t="shared" si="6"/>
        <v>283845.29032258061</v>
      </c>
      <c r="J39" s="207">
        <f t="shared" si="1"/>
        <v>179270.70967741936</v>
      </c>
      <c r="K39" s="219"/>
    </row>
    <row r="40" spans="1:12" ht="12.75" thickBot="1" x14ac:dyDescent="0.25">
      <c r="A40" s="220">
        <v>22</v>
      </c>
      <c r="B40" s="209">
        <v>0.01</v>
      </c>
      <c r="C40" s="209">
        <f t="shared" si="0"/>
        <v>0.9800000000000002</v>
      </c>
      <c r="D40" s="210">
        <f t="shared" si="2"/>
        <v>463116</v>
      </c>
      <c r="E40" s="222">
        <f t="shared" si="7"/>
        <v>56963268</v>
      </c>
      <c r="F40" s="204">
        <f t="shared" si="4"/>
        <v>0.98399999999999999</v>
      </c>
      <c r="G40" s="224" t="s">
        <v>117</v>
      </c>
      <c r="H40" s="206">
        <f t="shared" si="5"/>
        <v>83361</v>
      </c>
      <c r="I40" s="207">
        <f t="shared" si="6"/>
        <v>283845.29032258061</v>
      </c>
      <c r="J40" s="207">
        <f t="shared" si="1"/>
        <v>179270.70967741936</v>
      </c>
      <c r="K40" s="219"/>
    </row>
    <row r="41" spans="1:12" ht="12.75" thickBot="1" x14ac:dyDescent="0.25">
      <c r="A41" s="208">
        <v>23</v>
      </c>
      <c r="B41" s="209">
        <v>0.01</v>
      </c>
      <c r="C41" s="209">
        <f t="shared" si="0"/>
        <v>0.99000000000000021</v>
      </c>
      <c r="D41" s="210">
        <f t="shared" si="2"/>
        <v>463116</v>
      </c>
      <c r="E41" s="211">
        <f t="shared" si="7"/>
        <v>57426384</v>
      </c>
      <c r="F41" s="212">
        <f t="shared" si="4"/>
        <v>0.99199999999999999</v>
      </c>
      <c r="G41" s="213" t="s">
        <v>118</v>
      </c>
      <c r="H41" s="206">
        <f t="shared" si="5"/>
        <v>83361</v>
      </c>
      <c r="I41" s="207">
        <f t="shared" si="6"/>
        <v>283845.29032258061</v>
      </c>
      <c r="J41" s="207">
        <f t="shared" si="1"/>
        <v>179270.70967741936</v>
      </c>
      <c r="K41" s="219"/>
    </row>
    <row r="42" spans="1:12" ht="12.75" thickBot="1" x14ac:dyDescent="0.25">
      <c r="A42" s="220">
        <v>24</v>
      </c>
      <c r="B42" s="221">
        <v>0.01</v>
      </c>
      <c r="C42" s="209">
        <f t="shared" si="0"/>
        <v>1.0000000000000002</v>
      </c>
      <c r="D42" s="210">
        <f t="shared" si="2"/>
        <v>463116</v>
      </c>
      <c r="E42" s="222">
        <f t="shared" si="7"/>
        <v>57889500</v>
      </c>
      <c r="F42" s="204">
        <f t="shared" si="4"/>
        <v>1</v>
      </c>
      <c r="G42" s="224" t="s">
        <v>119</v>
      </c>
      <c r="H42" s="206">
        <f t="shared" si="5"/>
        <v>83361</v>
      </c>
      <c r="I42" s="207">
        <f t="shared" si="6"/>
        <v>283845.29032258061</v>
      </c>
      <c r="J42" s="207">
        <f t="shared" si="1"/>
        <v>179270.70967741936</v>
      </c>
      <c r="K42" s="219"/>
    </row>
    <row r="43" spans="1:12" ht="20.25" customHeight="1" thickBot="1" x14ac:dyDescent="0.25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57889500</v>
      </c>
      <c r="E43" s="168"/>
      <c r="H43" s="168"/>
      <c r="I43" s="231">
        <f>SUM(I18:I42)</f>
        <v>35480661.290322572</v>
      </c>
      <c r="J43" s="231">
        <f>SUM(J18:J42)</f>
        <v>22408838.709677421</v>
      </c>
      <c r="K43" s="450">
        <f>+D43*D12</f>
        <v>22408838.709677421</v>
      </c>
      <c r="L43" s="176">
        <f>+K43-J43</f>
        <v>0</v>
      </c>
    </row>
    <row r="44" spans="1:12" ht="15" customHeight="1" x14ac:dyDescent="0.2">
      <c r="A44" s="173"/>
      <c r="F44" s="176"/>
      <c r="G44" s="176"/>
      <c r="H44" s="179" t="s">
        <v>206</v>
      </c>
      <c r="I44" s="696">
        <f>I43+J43</f>
        <v>57889499.999999993</v>
      </c>
      <c r="J44" s="697"/>
      <c r="L44" s="176">
        <f>+I45-I43</f>
        <v>2519338.709677428</v>
      </c>
    </row>
    <row r="45" spans="1:12" x14ac:dyDescent="0.2">
      <c r="A45" s="172" t="s">
        <v>207</v>
      </c>
      <c r="B45" s="172"/>
      <c r="C45" s="172"/>
      <c r="H45" s="179" t="s">
        <v>208</v>
      </c>
      <c r="I45" s="190">
        <v>38000000</v>
      </c>
      <c r="J45" s="168">
        <v>24000000</v>
      </c>
    </row>
    <row r="46" spans="1:12" x14ac:dyDescent="0.2">
      <c r="B46" s="232"/>
      <c r="I46" s="176"/>
      <c r="J46" s="176"/>
    </row>
    <row r="47" spans="1:12" x14ac:dyDescent="0.2">
      <c r="B47" s="232"/>
    </row>
    <row r="49" spans="1:27" s="235" customFormat="1" ht="12.75" customHeight="1" x14ac:dyDescent="0.2">
      <c r="A49" s="233"/>
      <c r="B49" s="234" t="s">
        <v>209</v>
      </c>
      <c r="C49" s="234" t="s">
        <v>96</v>
      </c>
      <c r="D49" s="234" t="s">
        <v>97</v>
      </c>
      <c r="E49" s="234" t="s">
        <v>98</v>
      </c>
      <c r="F49" s="234" t="s">
        <v>99</v>
      </c>
      <c r="G49" s="234" t="s">
        <v>100</v>
      </c>
      <c r="H49" s="234" t="s">
        <v>101</v>
      </c>
      <c r="I49" s="234" t="s">
        <v>102</v>
      </c>
      <c r="J49" s="234" t="s">
        <v>103</v>
      </c>
      <c r="K49" s="234" t="s">
        <v>104</v>
      </c>
      <c r="L49" s="234" t="s">
        <v>105</v>
      </c>
      <c r="M49" s="234" t="s">
        <v>106</v>
      </c>
      <c r="N49" s="234" t="s">
        <v>107</v>
      </c>
      <c r="O49" s="234" t="s">
        <v>108</v>
      </c>
      <c r="P49" s="234" t="s">
        <v>109</v>
      </c>
      <c r="Q49" s="234" t="s">
        <v>110</v>
      </c>
      <c r="R49" s="234" t="s">
        <v>111</v>
      </c>
      <c r="S49" s="234" t="s">
        <v>112</v>
      </c>
      <c r="T49" s="234" t="s">
        <v>113</v>
      </c>
      <c r="U49" s="234" t="s">
        <v>114</v>
      </c>
      <c r="V49" s="234" t="s">
        <v>115</v>
      </c>
      <c r="W49" s="234" t="s">
        <v>116</v>
      </c>
      <c r="X49" s="234" t="s">
        <v>117</v>
      </c>
      <c r="Y49" s="234" t="s">
        <v>118</v>
      </c>
      <c r="Z49" s="234" t="s">
        <v>119</v>
      </c>
    </row>
    <row r="50" spans="1:27" x14ac:dyDescent="0.2">
      <c r="A50" s="236" t="s">
        <v>210</v>
      </c>
      <c r="B50" s="210">
        <f>$I18</f>
        <v>7096132.2580645159</v>
      </c>
      <c r="C50" s="210">
        <f>$I19</f>
        <v>709613.22580645164</v>
      </c>
      <c r="D50" s="210">
        <f>$I20</f>
        <v>851535.87096774194</v>
      </c>
      <c r="E50" s="210">
        <f>$I21</f>
        <v>993458.51612903248</v>
      </c>
      <c r="F50" s="210">
        <f>$I22</f>
        <v>993458.51612903248</v>
      </c>
      <c r="G50" s="210">
        <f>$I23</f>
        <v>1135381.1612903224</v>
      </c>
      <c r="H50" s="210">
        <f>$I24</f>
        <v>1277303.8064516131</v>
      </c>
      <c r="I50" s="210">
        <f>$I25</f>
        <v>1277303.8064516131</v>
      </c>
      <c r="J50" s="210">
        <f>$I26</f>
        <v>1419226.4516129033</v>
      </c>
      <c r="K50" s="210">
        <f>$I27</f>
        <v>1561149.0967741935</v>
      </c>
      <c r="L50" s="210">
        <f>$I28</f>
        <v>1561149.0967741935</v>
      </c>
      <c r="M50" s="210">
        <f>$I29</f>
        <v>1561149.0967741935</v>
      </c>
      <c r="N50" s="210">
        <f>$I30</f>
        <v>1703071.7419354839</v>
      </c>
      <c r="O50" s="210">
        <f>$I31</f>
        <v>1986917.032258065</v>
      </c>
      <c r="P50" s="210">
        <f>$I32</f>
        <v>1986917.032258065</v>
      </c>
      <c r="Q50" s="210">
        <f>$I33</f>
        <v>1844994.3870967743</v>
      </c>
      <c r="R50" s="210">
        <f>$I34</f>
        <v>1844994.3870967743</v>
      </c>
      <c r="S50" s="210">
        <f>$I35</f>
        <v>1419226.4516129033</v>
      </c>
      <c r="T50" s="210">
        <f>$I36</f>
        <v>1419226.4516129033</v>
      </c>
      <c r="U50" s="210">
        <f>$I37</f>
        <v>1135381.1612903224</v>
      </c>
      <c r="V50" s="210">
        <f>$I38</f>
        <v>567690.58064516122</v>
      </c>
      <c r="W50" s="210">
        <f>$I39</f>
        <v>283845.29032258061</v>
      </c>
      <c r="X50" s="210">
        <f>$I40</f>
        <v>283845.29032258061</v>
      </c>
      <c r="Y50" s="210">
        <f>$I41</f>
        <v>283845.29032258061</v>
      </c>
      <c r="Z50" s="210">
        <f>$I42</f>
        <v>283845.29032258061</v>
      </c>
      <c r="AA50" s="176">
        <f>SUM(B50:Z50)</f>
        <v>35480661.290322572</v>
      </c>
    </row>
    <row r="51" spans="1:27" x14ac:dyDescent="0.2">
      <c r="A51" s="236" t="s">
        <v>211</v>
      </c>
      <c r="B51" s="210">
        <f>$J18</f>
        <v>4481767.7419354841</v>
      </c>
      <c r="C51" s="210">
        <f>$J19</f>
        <v>448176.77419354836</v>
      </c>
      <c r="D51" s="210">
        <f>$J20</f>
        <v>537812.12903225806</v>
      </c>
      <c r="E51" s="210">
        <f>$J21</f>
        <v>627447.48387096776</v>
      </c>
      <c r="F51" s="210">
        <f>$J22</f>
        <v>627447.48387096776</v>
      </c>
      <c r="G51" s="210">
        <f>$J23</f>
        <v>717082.83870967745</v>
      </c>
      <c r="H51" s="210">
        <f>$J24</f>
        <v>806718.19354838703</v>
      </c>
      <c r="I51" s="210">
        <f>$J25</f>
        <v>806718.19354838703</v>
      </c>
      <c r="J51" s="210">
        <f>$J26</f>
        <v>896353.54838709673</v>
      </c>
      <c r="K51" s="210">
        <f>$J27</f>
        <v>985988.90322580643</v>
      </c>
      <c r="L51" s="210">
        <f>$J28</f>
        <v>985988.90322580643</v>
      </c>
      <c r="M51" s="210">
        <f>$J29</f>
        <v>985988.90322580643</v>
      </c>
      <c r="N51" s="210">
        <f>$J30</f>
        <v>1075624.2580645161</v>
      </c>
      <c r="O51" s="210">
        <f>$J31</f>
        <v>1254894.9677419355</v>
      </c>
      <c r="P51" s="210">
        <f>$J32</f>
        <v>1254894.9677419355</v>
      </c>
      <c r="Q51" s="210">
        <f>$J33</f>
        <v>1165259.6129032257</v>
      </c>
      <c r="R51" s="210">
        <f>$J34</f>
        <v>1165259.6129032257</v>
      </c>
      <c r="S51" s="210">
        <f>$J35</f>
        <v>896353.54838709673</v>
      </c>
      <c r="T51" s="210">
        <f>$J36</f>
        <v>896353.54838709673</v>
      </c>
      <c r="U51" s="210">
        <f>$J37</f>
        <v>717082.83870967745</v>
      </c>
      <c r="V51" s="210">
        <f>$J38</f>
        <v>358541.41935483873</v>
      </c>
      <c r="W51" s="210">
        <f>$J39</f>
        <v>179270.70967741936</v>
      </c>
      <c r="X51" s="210">
        <f>$J40</f>
        <v>179270.70967741936</v>
      </c>
      <c r="Y51" s="210">
        <f>$J41</f>
        <v>179270.70967741936</v>
      </c>
      <c r="Z51" s="210">
        <f>$J42</f>
        <v>179270.70967741936</v>
      </c>
      <c r="AA51" s="176">
        <f>SUM(B51:Z51)</f>
        <v>22408838.709677421</v>
      </c>
    </row>
    <row r="52" spans="1:27" x14ac:dyDescent="0.2">
      <c r="B52" s="210">
        <f>B50+B51</f>
        <v>11577900</v>
      </c>
      <c r="C52" s="210">
        <f t="shared" ref="C52:Z52" si="8">C50+C51</f>
        <v>1157790</v>
      </c>
      <c r="D52" s="210">
        <f t="shared" si="8"/>
        <v>1389348</v>
      </c>
      <c r="E52" s="210">
        <f t="shared" si="8"/>
        <v>1620906.0000000002</v>
      </c>
      <c r="F52" s="210">
        <f t="shared" si="8"/>
        <v>1620906.0000000002</v>
      </c>
      <c r="G52" s="210">
        <f t="shared" si="8"/>
        <v>1852464</v>
      </c>
      <c r="H52" s="210">
        <f t="shared" si="8"/>
        <v>2084022</v>
      </c>
      <c r="I52" s="210">
        <f t="shared" si="8"/>
        <v>2084022</v>
      </c>
      <c r="J52" s="210">
        <f t="shared" si="8"/>
        <v>2315580</v>
      </c>
      <c r="K52" s="210">
        <f t="shared" si="8"/>
        <v>2547138</v>
      </c>
      <c r="L52" s="210">
        <f t="shared" si="8"/>
        <v>2547138</v>
      </c>
      <c r="M52" s="210">
        <f t="shared" si="8"/>
        <v>2547138</v>
      </c>
      <c r="N52" s="210">
        <f t="shared" si="8"/>
        <v>2778696</v>
      </c>
      <c r="O52" s="210">
        <f t="shared" si="8"/>
        <v>3241812.0000000005</v>
      </c>
      <c r="P52" s="210">
        <f t="shared" si="8"/>
        <v>3241812.0000000005</v>
      </c>
      <c r="Q52" s="210">
        <f t="shared" si="8"/>
        <v>3010254</v>
      </c>
      <c r="R52" s="210">
        <f t="shared" si="8"/>
        <v>3010254</v>
      </c>
      <c r="S52" s="210">
        <f t="shared" si="8"/>
        <v>2315580</v>
      </c>
      <c r="T52" s="210">
        <f t="shared" si="8"/>
        <v>2315580</v>
      </c>
      <c r="U52" s="210">
        <f t="shared" si="8"/>
        <v>1852464</v>
      </c>
      <c r="V52" s="210">
        <f t="shared" si="8"/>
        <v>926232</v>
      </c>
      <c r="W52" s="210">
        <f t="shared" si="8"/>
        <v>463116</v>
      </c>
      <c r="X52" s="210">
        <f t="shared" si="8"/>
        <v>463116</v>
      </c>
      <c r="Y52" s="210">
        <f t="shared" si="8"/>
        <v>463116</v>
      </c>
      <c r="Z52" s="210">
        <f t="shared" si="8"/>
        <v>463116</v>
      </c>
      <c r="AA52" s="210">
        <f>+AA50+AA51</f>
        <v>57889499.999999993</v>
      </c>
    </row>
    <row r="53" spans="1:27" x14ac:dyDescent="0.2">
      <c r="B53" s="237">
        <f>SUM(B52:Z52)</f>
        <v>57889500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8690-992A-4112-AC77-609FD9E41E0F}">
  <sheetPr>
    <pageSetUpPr fitToPage="1"/>
  </sheetPr>
  <dimension ref="A1:AA58"/>
  <sheetViews>
    <sheetView showGridLines="0" topLeftCell="A14" zoomScale="90" zoomScaleNormal="90" workbookViewId="0">
      <selection activeCell="E57" sqref="E57"/>
    </sheetView>
  </sheetViews>
  <sheetFormatPr defaultColWidth="9.140625" defaultRowHeight="12" x14ac:dyDescent="0.2"/>
  <cols>
    <col min="1" max="1" width="8.42578125" style="168" customWidth="1"/>
    <col min="2" max="2" width="23.140625" style="178" customWidth="1"/>
    <col min="3" max="3" width="15.42578125" style="176" customWidth="1"/>
    <col min="4" max="4" width="16.42578125" style="176" customWidth="1"/>
    <col min="5" max="5" width="16.140625" style="176" customWidth="1"/>
    <col min="6" max="6" width="13.7109375" style="168" customWidth="1"/>
    <col min="7" max="7" width="18.85546875" style="168" customWidth="1"/>
    <col min="8" max="8" width="15.7109375" style="173" customWidth="1"/>
    <col min="9" max="9" width="18" style="168" customWidth="1"/>
    <col min="10" max="10" width="22.7109375" style="168" customWidth="1"/>
    <col min="11" max="11" width="13.140625" style="168" bestFit="1" customWidth="1"/>
    <col min="12" max="12" width="13.42578125" style="168" customWidth="1"/>
    <col min="13" max="13" width="14.7109375" style="168" customWidth="1"/>
    <col min="14" max="14" width="14.7109375" style="168" bestFit="1" customWidth="1"/>
    <col min="15" max="19" width="14.42578125" style="168" customWidth="1"/>
    <col min="20" max="20" width="14.85546875" style="168" bestFit="1" customWidth="1"/>
    <col min="21" max="21" width="10.85546875" style="168" bestFit="1" customWidth="1"/>
    <col min="22" max="22" width="9.140625" style="168"/>
    <col min="23" max="23" width="10.28515625" style="168" bestFit="1" customWidth="1"/>
    <col min="24" max="26" width="9.140625" style="168"/>
    <col min="27" max="27" width="15.5703125" style="168" customWidth="1"/>
    <col min="28" max="256" width="9.140625" style="168"/>
    <col min="257" max="257" width="8.42578125" style="168" customWidth="1"/>
    <col min="258" max="258" width="14.42578125" style="168" customWidth="1"/>
    <col min="259" max="259" width="15.42578125" style="168" customWidth="1"/>
    <col min="260" max="260" width="16.42578125" style="168" customWidth="1"/>
    <col min="261" max="261" width="16.140625" style="168" customWidth="1"/>
    <col min="262" max="262" width="13.7109375" style="168" customWidth="1"/>
    <col min="263" max="263" width="18.85546875" style="168" customWidth="1"/>
    <col min="264" max="264" width="15.7109375" style="168" customWidth="1"/>
    <col min="265" max="266" width="16.5703125" style="168" customWidth="1"/>
    <col min="267" max="267" width="13.140625" style="168" bestFit="1" customWidth="1"/>
    <col min="268" max="268" width="13.42578125" style="168" customWidth="1"/>
    <col min="269" max="269" width="14.7109375" style="168" customWidth="1"/>
    <col min="270" max="270" width="14.7109375" style="168" bestFit="1" customWidth="1"/>
    <col min="271" max="275" width="14.42578125" style="168" customWidth="1"/>
    <col min="276" max="276" width="14.85546875" style="168" bestFit="1" customWidth="1"/>
    <col min="277" max="277" width="10.85546875" style="168" bestFit="1" customWidth="1"/>
    <col min="278" max="512" width="9.140625" style="168"/>
    <col min="513" max="513" width="8.42578125" style="168" customWidth="1"/>
    <col min="514" max="514" width="14.42578125" style="168" customWidth="1"/>
    <col min="515" max="515" width="15.42578125" style="168" customWidth="1"/>
    <col min="516" max="516" width="16.42578125" style="168" customWidth="1"/>
    <col min="517" max="517" width="16.140625" style="168" customWidth="1"/>
    <col min="518" max="518" width="13.7109375" style="168" customWidth="1"/>
    <col min="519" max="519" width="18.85546875" style="168" customWidth="1"/>
    <col min="520" max="520" width="15.7109375" style="168" customWidth="1"/>
    <col min="521" max="522" width="16.5703125" style="168" customWidth="1"/>
    <col min="523" max="523" width="13.140625" style="168" bestFit="1" customWidth="1"/>
    <col min="524" max="524" width="13.42578125" style="168" customWidth="1"/>
    <col min="525" max="525" width="14.7109375" style="168" customWidth="1"/>
    <col min="526" max="526" width="14.7109375" style="168" bestFit="1" customWidth="1"/>
    <col min="527" max="531" width="14.42578125" style="168" customWidth="1"/>
    <col min="532" max="532" width="14.85546875" style="168" bestFit="1" customWidth="1"/>
    <col min="533" max="533" width="10.85546875" style="168" bestFit="1" customWidth="1"/>
    <col min="534" max="768" width="9.140625" style="168"/>
    <col min="769" max="769" width="8.42578125" style="168" customWidth="1"/>
    <col min="770" max="770" width="14.42578125" style="168" customWidth="1"/>
    <col min="771" max="771" width="15.42578125" style="168" customWidth="1"/>
    <col min="772" max="772" width="16.42578125" style="168" customWidth="1"/>
    <col min="773" max="773" width="16.140625" style="168" customWidth="1"/>
    <col min="774" max="774" width="13.7109375" style="168" customWidth="1"/>
    <col min="775" max="775" width="18.85546875" style="168" customWidth="1"/>
    <col min="776" max="776" width="15.7109375" style="168" customWidth="1"/>
    <col min="777" max="778" width="16.5703125" style="168" customWidth="1"/>
    <col min="779" max="779" width="13.140625" style="168" bestFit="1" customWidth="1"/>
    <col min="780" max="780" width="13.42578125" style="168" customWidth="1"/>
    <col min="781" max="781" width="14.7109375" style="168" customWidth="1"/>
    <col min="782" max="782" width="14.7109375" style="168" bestFit="1" customWidth="1"/>
    <col min="783" max="787" width="14.42578125" style="168" customWidth="1"/>
    <col min="788" max="788" width="14.85546875" style="168" bestFit="1" customWidth="1"/>
    <col min="789" max="789" width="10.85546875" style="168" bestFit="1" customWidth="1"/>
    <col min="790" max="1024" width="9.140625" style="168"/>
    <col min="1025" max="1025" width="8.42578125" style="168" customWidth="1"/>
    <col min="1026" max="1026" width="14.42578125" style="168" customWidth="1"/>
    <col min="1027" max="1027" width="15.42578125" style="168" customWidth="1"/>
    <col min="1028" max="1028" width="16.42578125" style="168" customWidth="1"/>
    <col min="1029" max="1029" width="16.140625" style="168" customWidth="1"/>
    <col min="1030" max="1030" width="13.7109375" style="168" customWidth="1"/>
    <col min="1031" max="1031" width="18.85546875" style="168" customWidth="1"/>
    <col min="1032" max="1032" width="15.7109375" style="168" customWidth="1"/>
    <col min="1033" max="1034" width="16.5703125" style="168" customWidth="1"/>
    <col min="1035" max="1035" width="13.140625" style="168" bestFit="1" customWidth="1"/>
    <col min="1036" max="1036" width="13.42578125" style="168" customWidth="1"/>
    <col min="1037" max="1037" width="14.7109375" style="168" customWidth="1"/>
    <col min="1038" max="1038" width="14.7109375" style="168" bestFit="1" customWidth="1"/>
    <col min="1039" max="1043" width="14.42578125" style="168" customWidth="1"/>
    <col min="1044" max="1044" width="14.85546875" style="168" bestFit="1" customWidth="1"/>
    <col min="1045" max="1045" width="10.85546875" style="168" bestFit="1" customWidth="1"/>
    <col min="1046" max="1280" width="9.140625" style="168"/>
    <col min="1281" max="1281" width="8.42578125" style="168" customWidth="1"/>
    <col min="1282" max="1282" width="14.42578125" style="168" customWidth="1"/>
    <col min="1283" max="1283" width="15.42578125" style="168" customWidth="1"/>
    <col min="1284" max="1284" width="16.42578125" style="168" customWidth="1"/>
    <col min="1285" max="1285" width="16.140625" style="168" customWidth="1"/>
    <col min="1286" max="1286" width="13.7109375" style="168" customWidth="1"/>
    <col min="1287" max="1287" width="18.85546875" style="168" customWidth="1"/>
    <col min="1288" max="1288" width="15.7109375" style="168" customWidth="1"/>
    <col min="1289" max="1290" width="16.5703125" style="168" customWidth="1"/>
    <col min="1291" max="1291" width="13.140625" style="168" bestFit="1" customWidth="1"/>
    <col min="1292" max="1292" width="13.42578125" style="168" customWidth="1"/>
    <col min="1293" max="1293" width="14.7109375" style="168" customWidth="1"/>
    <col min="1294" max="1294" width="14.7109375" style="168" bestFit="1" customWidth="1"/>
    <col min="1295" max="1299" width="14.42578125" style="168" customWidth="1"/>
    <col min="1300" max="1300" width="14.85546875" style="168" bestFit="1" customWidth="1"/>
    <col min="1301" max="1301" width="10.85546875" style="168" bestFit="1" customWidth="1"/>
    <col min="1302" max="1536" width="9.140625" style="168"/>
    <col min="1537" max="1537" width="8.42578125" style="168" customWidth="1"/>
    <col min="1538" max="1538" width="14.42578125" style="168" customWidth="1"/>
    <col min="1539" max="1539" width="15.42578125" style="168" customWidth="1"/>
    <col min="1540" max="1540" width="16.42578125" style="168" customWidth="1"/>
    <col min="1541" max="1541" width="16.140625" style="168" customWidth="1"/>
    <col min="1542" max="1542" width="13.7109375" style="168" customWidth="1"/>
    <col min="1543" max="1543" width="18.85546875" style="168" customWidth="1"/>
    <col min="1544" max="1544" width="15.7109375" style="168" customWidth="1"/>
    <col min="1545" max="1546" width="16.5703125" style="168" customWidth="1"/>
    <col min="1547" max="1547" width="13.140625" style="168" bestFit="1" customWidth="1"/>
    <col min="1548" max="1548" width="13.42578125" style="168" customWidth="1"/>
    <col min="1549" max="1549" width="14.7109375" style="168" customWidth="1"/>
    <col min="1550" max="1550" width="14.7109375" style="168" bestFit="1" customWidth="1"/>
    <col min="1551" max="1555" width="14.42578125" style="168" customWidth="1"/>
    <col min="1556" max="1556" width="14.85546875" style="168" bestFit="1" customWidth="1"/>
    <col min="1557" max="1557" width="10.85546875" style="168" bestFit="1" customWidth="1"/>
    <col min="1558" max="1792" width="9.140625" style="168"/>
    <col min="1793" max="1793" width="8.42578125" style="168" customWidth="1"/>
    <col min="1794" max="1794" width="14.42578125" style="168" customWidth="1"/>
    <col min="1795" max="1795" width="15.42578125" style="168" customWidth="1"/>
    <col min="1796" max="1796" width="16.42578125" style="168" customWidth="1"/>
    <col min="1797" max="1797" width="16.140625" style="168" customWidth="1"/>
    <col min="1798" max="1798" width="13.7109375" style="168" customWidth="1"/>
    <col min="1799" max="1799" width="18.85546875" style="168" customWidth="1"/>
    <col min="1800" max="1800" width="15.7109375" style="168" customWidth="1"/>
    <col min="1801" max="1802" width="16.5703125" style="168" customWidth="1"/>
    <col min="1803" max="1803" width="13.140625" style="168" bestFit="1" customWidth="1"/>
    <col min="1804" max="1804" width="13.42578125" style="168" customWidth="1"/>
    <col min="1805" max="1805" width="14.7109375" style="168" customWidth="1"/>
    <col min="1806" max="1806" width="14.7109375" style="168" bestFit="1" customWidth="1"/>
    <col min="1807" max="1811" width="14.42578125" style="168" customWidth="1"/>
    <col min="1812" max="1812" width="14.85546875" style="168" bestFit="1" customWidth="1"/>
    <col min="1813" max="1813" width="10.85546875" style="168" bestFit="1" customWidth="1"/>
    <col min="1814" max="2048" width="9.140625" style="168"/>
    <col min="2049" max="2049" width="8.42578125" style="168" customWidth="1"/>
    <col min="2050" max="2050" width="14.42578125" style="168" customWidth="1"/>
    <col min="2051" max="2051" width="15.42578125" style="168" customWidth="1"/>
    <col min="2052" max="2052" width="16.42578125" style="168" customWidth="1"/>
    <col min="2053" max="2053" width="16.140625" style="168" customWidth="1"/>
    <col min="2054" max="2054" width="13.7109375" style="168" customWidth="1"/>
    <col min="2055" max="2055" width="18.85546875" style="168" customWidth="1"/>
    <col min="2056" max="2056" width="15.7109375" style="168" customWidth="1"/>
    <col min="2057" max="2058" width="16.5703125" style="168" customWidth="1"/>
    <col min="2059" max="2059" width="13.140625" style="168" bestFit="1" customWidth="1"/>
    <col min="2060" max="2060" width="13.42578125" style="168" customWidth="1"/>
    <col min="2061" max="2061" width="14.7109375" style="168" customWidth="1"/>
    <col min="2062" max="2062" width="14.7109375" style="168" bestFit="1" customWidth="1"/>
    <col min="2063" max="2067" width="14.42578125" style="168" customWidth="1"/>
    <col min="2068" max="2068" width="14.85546875" style="168" bestFit="1" customWidth="1"/>
    <col min="2069" max="2069" width="10.85546875" style="168" bestFit="1" customWidth="1"/>
    <col min="2070" max="2304" width="9.140625" style="168"/>
    <col min="2305" max="2305" width="8.42578125" style="168" customWidth="1"/>
    <col min="2306" max="2306" width="14.42578125" style="168" customWidth="1"/>
    <col min="2307" max="2307" width="15.42578125" style="168" customWidth="1"/>
    <col min="2308" max="2308" width="16.42578125" style="168" customWidth="1"/>
    <col min="2309" max="2309" width="16.140625" style="168" customWidth="1"/>
    <col min="2310" max="2310" width="13.7109375" style="168" customWidth="1"/>
    <col min="2311" max="2311" width="18.85546875" style="168" customWidth="1"/>
    <col min="2312" max="2312" width="15.7109375" style="168" customWidth="1"/>
    <col min="2313" max="2314" width="16.5703125" style="168" customWidth="1"/>
    <col min="2315" max="2315" width="13.140625" style="168" bestFit="1" customWidth="1"/>
    <col min="2316" max="2316" width="13.42578125" style="168" customWidth="1"/>
    <col min="2317" max="2317" width="14.7109375" style="168" customWidth="1"/>
    <col min="2318" max="2318" width="14.7109375" style="168" bestFit="1" customWidth="1"/>
    <col min="2319" max="2323" width="14.42578125" style="168" customWidth="1"/>
    <col min="2324" max="2324" width="14.85546875" style="168" bestFit="1" customWidth="1"/>
    <col min="2325" max="2325" width="10.85546875" style="168" bestFit="1" customWidth="1"/>
    <col min="2326" max="2560" width="9.140625" style="168"/>
    <col min="2561" max="2561" width="8.42578125" style="168" customWidth="1"/>
    <col min="2562" max="2562" width="14.42578125" style="168" customWidth="1"/>
    <col min="2563" max="2563" width="15.42578125" style="168" customWidth="1"/>
    <col min="2564" max="2564" width="16.42578125" style="168" customWidth="1"/>
    <col min="2565" max="2565" width="16.140625" style="168" customWidth="1"/>
    <col min="2566" max="2566" width="13.7109375" style="168" customWidth="1"/>
    <col min="2567" max="2567" width="18.85546875" style="168" customWidth="1"/>
    <col min="2568" max="2568" width="15.7109375" style="168" customWidth="1"/>
    <col min="2569" max="2570" width="16.5703125" style="168" customWidth="1"/>
    <col min="2571" max="2571" width="13.140625" style="168" bestFit="1" customWidth="1"/>
    <col min="2572" max="2572" width="13.42578125" style="168" customWidth="1"/>
    <col min="2573" max="2573" width="14.7109375" style="168" customWidth="1"/>
    <col min="2574" max="2574" width="14.7109375" style="168" bestFit="1" customWidth="1"/>
    <col min="2575" max="2579" width="14.42578125" style="168" customWidth="1"/>
    <col min="2580" max="2580" width="14.85546875" style="168" bestFit="1" customWidth="1"/>
    <col min="2581" max="2581" width="10.85546875" style="168" bestFit="1" customWidth="1"/>
    <col min="2582" max="2816" width="9.140625" style="168"/>
    <col min="2817" max="2817" width="8.42578125" style="168" customWidth="1"/>
    <col min="2818" max="2818" width="14.42578125" style="168" customWidth="1"/>
    <col min="2819" max="2819" width="15.42578125" style="168" customWidth="1"/>
    <col min="2820" max="2820" width="16.42578125" style="168" customWidth="1"/>
    <col min="2821" max="2821" width="16.140625" style="168" customWidth="1"/>
    <col min="2822" max="2822" width="13.7109375" style="168" customWidth="1"/>
    <col min="2823" max="2823" width="18.85546875" style="168" customWidth="1"/>
    <col min="2824" max="2824" width="15.7109375" style="168" customWidth="1"/>
    <col min="2825" max="2826" width="16.5703125" style="168" customWidth="1"/>
    <col min="2827" max="2827" width="13.140625" style="168" bestFit="1" customWidth="1"/>
    <col min="2828" max="2828" width="13.42578125" style="168" customWidth="1"/>
    <col min="2829" max="2829" width="14.7109375" style="168" customWidth="1"/>
    <col min="2830" max="2830" width="14.7109375" style="168" bestFit="1" customWidth="1"/>
    <col min="2831" max="2835" width="14.42578125" style="168" customWidth="1"/>
    <col min="2836" max="2836" width="14.85546875" style="168" bestFit="1" customWidth="1"/>
    <col min="2837" max="2837" width="10.85546875" style="168" bestFit="1" customWidth="1"/>
    <col min="2838" max="3072" width="9.140625" style="168"/>
    <col min="3073" max="3073" width="8.42578125" style="168" customWidth="1"/>
    <col min="3074" max="3074" width="14.42578125" style="168" customWidth="1"/>
    <col min="3075" max="3075" width="15.42578125" style="168" customWidth="1"/>
    <col min="3076" max="3076" width="16.42578125" style="168" customWidth="1"/>
    <col min="3077" max="3077" width="16.140625" style="168" customWidth="1"/>
    <col min="3078" max="3078" width="13.7109375" style="168" customWidth="1"/>
    <col min="3079" max="3079" width="18.85546875" style="168" customWidth="1"/>
    <col min="3080" max="3080" width="15.7109375" style="168" customWidth="1"/>
    <col min="3081" max="3082" width="16.5703125" style="168" customWidth="1"/>
    <col min="3083" max="3083" width="13.140625" style="168" bestFit="1" customWidth="1"/>
    <col min="3084" max="3084" width="13.42578125" style="168" customWidth="1"/>
    <col min="3085" max="3085" width="14.7109375" style="168" customWidth="1"/>
    <col min="3086" max="3086" width="14.7109375" style="168" bestFit="1" customWidth="1"/>
    <col min="3087" max="3091" width="14.42578125" style="168" customWidth="1"/>
    <col min="3092" max="3092" width="14.85546875" style="168" bestFit="1" customWidth="1"/>
    <col min="3093" max="3093" width="10.85546875" style="168" bestFit="1" customWidth="1"/>
    <col min="3094" max="3328" width="9.140625" style="168"/>
    <col min="3329" max="3329" width="8.42578125" style="168" customWidth="1"/>
    <col min="3330" max="3330" width="14.42578125" style="168" customWidth="1"/>
    <col min="3331" max="3331" width="15.42578125" style="168" customWidth="1"/>
    <col min="3332" max="3332" width="16.42578125" style="168" customWidth="1"/>
    <col min="3333" max="3333" width="16.140625" style="168" customWidth="1"/>
    <col min="3334" max="3334" width="13.7109375" style="168" customWidth="1"/>
    <col min="3335" max="3335" width="18.85546875" style="168" customWidth="1"/>
    <col min="3336" max="3336" width="15.7109375" style="168" customWidth="1"/>
    <col min="3337" max="3338" width="16.5703125" style="168" customWidth="1"/>
    <col min="3339" max="3339" width="13.140625" style="168" bestFit="1" customWidth="1"/>
    <col min="3340" max="3340" width="13.42578125" style="168" customWidth="1"/>
    <col min="3341" max="3341" width="14.7109375" style="168" customWidth="1"/>
    <col min="3342" max="3342" width="14.7109375" style="168" bestFit="1" customWidth="1"/>
    <col min="3343" max="3347" width="14.42578125" style="168" customWidth="1"/>
    <col min="3348" max="3348" width="14.85546875" style="168" bestFit="1" customWidth="1"/>
    <col min="3349" max="3349" width="10.85546875" style="168" bestFit="1" customWidth="1"/>
    <col min="3350" max="3584" width="9.140625" style="168"/>
    <col min="3585" max="3585" width="8.42578125" style="168" customWidth="1"/>
    <col min="3586" max="3586" width="14.42578125" style="168" customWidth="1"/>
    <col min="3587" max="3587" width="15.42578125" style="168" customWidth="1"/>
    <col min="3588" max="3588" width="16.42578125" style="168" customWidth="1"/>
    <col min="3589" max="3589" width="16.140625" style="168" customWidth="1"/>
    <col min="3590" max="3590" width="13.7109375" style="168" customWidth="1"/>
    <col min="3591" max="3591" width="18.85546875" style="168" customWidth="1"/>
    <col min="3592" max="3592" width="15.7109375" style="168" customWidth="1"/>
    <col min="3593" max="3594" width="16.5703125" style="168" customWidth="1"/>
    <col min="3595" max="3595" width="13.140625" style="168" bestFit="1" customWidth="1"/>
    <col min="3596" max="3596" width="13.42578125" style="168" customWidth="1"/>
    <col min="3597" max="3597" width="14.7109375" style="168" customWidth="1"/>
    <col min="3598" max="3598" width="14.7109375" style="168" bestFit="1" customWidth="1"/>
    <col min="3599" max="3603" width="14.42578125" style="168" customWidth="1"/>
    <col min="3604" max="3604" width="14.85546875" style="168" bestFit="1" customWidth="1"/>
    <col min="3605" max="3605" width="10.85546875" style="168" bestFit="1" customWidth="1"/>
    <col min="3606" max="3840" width="9.140625" style="168"/>
    <col min="3841" max="3841" width="8.42578125" style="168" customWidth="1"/>
    <col min="3842" max="3842" width="14.42578125" style="168" customWidth="1"/>
    <col min="3843" max="3843" width="15.42578125" style="168" customWidth="1"/>
    <col min="3844" max="3844" width="16.42578125" style="168" customWidth="1"/>
    <col min="3845" max="3845" width="16.140625" style="168" customWidth="1"/>
    <col min="3846" max="3846" width="13.7109375" style="168" customWidth="1"/>
    <col min="3847" max="3847" width="18.85546875" style="168" customWidth="1"/>
    <col min="3848" max="3848" width="15.7109375" style="168" customWidth="1"/>
    <col min="3849" max="3850" width="16.5703125" style="168" customWidth="1"/>
    <col min="3851" max="3851" width="13.140625" style="168" bestFit="1" customWidth="1"/>
    <col min="3852" max="3852" width="13.42578125" style="168" customWidth="1"/>
    <col min="3853" max="3853" width="14.7109375" style="168" customWidth="1"/>
    <col min="3854" max="3854" width="14.7109375" style="168" bestFit="1" customWidth="1"/>
    <col min="3855" max="3859" width="14.42578125" style="168" customWidth="1"/>
    <col min="3860" max="3860" width="14.85546875" style="168" bestFit="1" customWidth="1"/>
    <col min="3861" max="3861" width="10.85546875" style="168" bestFit="1" customWidth="1"/>
    <col min="3862" max="4096" width="9.140625" style="168"/>
    <col min="4097" max="4097" width="8.42578125" style="168" customWidth="1"/>
    <col min="4098" max="4098" width="14.42578125" style="168" customWidth="1"/>
    <col min="4099" max="4099" width="15.42578125" style="168" customWidth="1"/>
    <col min="4100" max="4100" width="16.42578125" style="168" customWidth="1"/>
    <col min="4101" max="4101" width="16.140625" style="168" customWidth="1"/>
    <col min="4102" max="4102" width="13.7109375" style="168" customWidth="1"/>
    <col min="4103" max="4103" width="18.85546875" style="168" customWidth="1"/>
    <col min="4104" max="4104" width="15.7109375" style="168" customWidth="1"/>
    <col min="4105" max="4106" width="16.5703125" style="168" customWidth="1"/>
    <col min="4107" max="4107" width="13.140625" style="168" bestFit="1" customWidth="1"/>
    <col min="4108" max="4108" width="13.42578125" style="168" customWidth="1"/>
    <col min="4109" max="4109" width="14.7109375" style="168" customWidth="1"/>
    <col min="4110" max="4110" width="14.7109375" style="168" bestFit="1" customWidth="1"/>
    <col min="4111" max="4115" width="14.42578125" style="168" customWidth="1"/>
    <col min="4116" max="4116" width="14.85546875" style="168" bestFit="1" customWidth="1"/>
    <col min="4117" max="4117" width="10.85546875" style="168" bestFit="1" customWidth="1"/>
    <col min="4118" max="4352" width="9.140625" style="168"/>
    <col min="4353" max="4353" width="8.42578125" style="168" customWidth="1"/>
    <col min="4354" max="4354" width="14.42578125" style="168" customWidth="1"/>
    <col min="4355" max="4355" width="15.42578125" style="168" customWidth="1"/>
    <col min="4356" max="4356" width="16.42578125" style="168" customWidth="1"/>
    <col min="4357" max="4357" width="16.140625" style="168" customWidth="1"/>
    <col min="4358" max="4358" width="13.7109375" style="168" customWidth="1"/>
    <col min="4359" max="4359" width="18.85546875" style="168" customWidth="1"/>
    <col min="4360" max="4360" width="15.7109375" style="168" customWidth="1"/>
    <col min="4361" max="4362" width="16.5703125" style="168" customWidth="1"/>
    <col min="4363" max="4363" width="13.140625" style="168" bestFit="1" customWidth="1"/>
    <col min="4364" max="4364" width="13.42578125" style="168" customWidth="1"/>
    <col min="4365" max="4365" width="14.7109375" style="168" customWidth="1"/>
    <col min="4366" max="4366" width="14.7109375" style="168" bestFit="1" customWidth="1"/>
    <col min="4367" max="4371" width="14.42578125" style="168" customWidth="1"/>
    <col min="4372" max="4372" width="14.85546875" style="168" bestFit="1" customWidth="1"/>
    <col min="4373" max="4373" width="10.85546875" style="168" bestFit="1" customWidth="1"/>
    <col min="4374" max="4608" width="9.140625" style="168"/>
    <col min="4609" max="4609" width="8.42578125" style="168" customWidth="1"/>
    <col min="4610" max="4610" width="14.42578125" style="168" customWidth="1"/>
    <col min="4611" max="4611" width="15.42578125" style="168" customWidth="1"/>
    <col min="4612" max="4612" width="16.42578125" style="168" customWidth="1"/>
    <col min="4613" max="4613" width="16.140625" style="168" customWidth="1"/>
    <col min="4614" max="4614" width="13.7109375" style="168" customWidth="1"/>
    <col min="4615" max="4615" width="18.85546875" style="168" customWidth="1"/>
    <col min="4616" max="4616" width="15.7109375" style="168" customWidth="1"/>
    <col min="4617" max="4618" width="16.5703125" style="168" customWidth="1"/>
    <col min="4619" max="4619" width="13.140625" style="168" bestFit="1" customWidth="1"/>
    <col min="4620" max="4620" width="13.42578125" style="168" customWidth="1"/>
    <col min="4621" max="4621" width="14.7109375" style="168" customWidth="1"/>
    <col min="4622" max="4622" width="14.7109375" style="168" bestFit="1" customWidth="1"/>
    <col min="4623" max="4627" width="14.42578125" style="168" customWidth="1"/>
    <col min="4628" max="4628" width="14.85546875" style="168" bestFit="1" customWidth="1"/>
    <col min="4629" max="4629" width="10.85546875" style="168" bestFit="1" customWidth="1"/>
    <col min="4630" max="4864" width="9.140625" style="168"/>
    <col min="4865" max="4865" width="8.42578125" style="168" customWidth="1"/>
    <col min="4866" max="4866" width="14.42578125" style="168" customWidth="1"/>
    <col min="4867" max="4867" width="15.42578125" style="168" customWidth="1"/>
    <col min="4868" max="4868" width="16.42578125" style="168" customWidth="1"/>
    <col min="4869" max="4869" width="16.140625" style="168" customWidth="1"/>
    <col min="4870" max="4870" width="13.7109375" style="168" customWidth="1"/>
    <col min="4871" max="4871" width="18.85546875" style="168" customWidth="1"/>
    <col min="4872" max="4872" width="15.7109375" style="168" customWidth="1"/>
    <col min="4873" max="4874" width="16.5703125" style="168" customWidth="1"/>
    <col min="4875" max="4875" width="13.140625" style="168" bestFit="1" customWidth="1"/>
    <col min="4876" max="4876" width="13.42578125" style="168" customWidth="1"/>
    <col min="4877" max="4877" width="14.7109375" style="168" customWidth="1"/>
    <col min="4878" max="4878" width="14.7109375" style="168" bestFit="1" customWidth="1"/>
    <col min="4879" max="4883" width="14.42578125" style="168" customWidth="1"/>
    <col min="4884" max="4884" width="14.85546875" style="168" bestFit="1" customWidth="1"/>
    <col min="4885" max="4885" width="10.85546875" style="168" bestFit="1" customWidth="1"/>
    <col min="4886" max="5120" width="9.140625" style="168"/>
    <col min="5121" max="5121" width="8.42578125" style="168" customWidth="1"/>
    <col min="5122" max="5122" width="14.42578125" style="168" customWidth="1"/>
    <col min="5123" max="5123" width="15.42578125" style="168" customWidth="1"/>
    <col min="5124" max="5124" width="16.42578125" style="168" customWidth="1"/>
    <col min="5125" max="5125" width="16.140625" style="168" customWidth="1"/>
    <col min="5126" max="5126" width="13.7109375" style="168" customWidth="1"/>
    <col min="5127" max="5127" width="18.85546875" style="168" customWidth="1"/>
    <col min="5128" max="5128" width="15.7109375" style="168" customWidth="1"/>
    <col min="5129" max="5130" width="16.5703125" style="168" customWidth="1"/>
    <col min="5131" max="5131" width="13.140625" style="168" bestFit="1" customWidth="1"/>
    <col min="5132" max="5132" width="13.42578125" style="168" customWidth="1"/>
    <col min="5133" max="5133" width="14.7109375" style="168" customWidth="1"/>
    <col min="5134" max="5134" width="14.7109375" style="168" bestFit="1" customWidth="1"/>
    <col min="5135" max="5139" width="14.42578125" style="168" customWidth="1"/>
    <col min="5140" max="5140" width="14.85546875" style="168" bestFit="1" customWidth="1"/>
    <col min="5141" max="5141" width="10.85546875" style="168" bestFit="1" customWidth="1"/>
    <col min="5142" max="5376" width="9.140625" style="168"/>
    <col min="5377" max="5377" width="8.42578125" style="168" customWidth="1"/>
    <col min="5378" max="5378" width="14.42578125" style="168" customWidth="1"/>
    <col min="5379" max="5379" width="15.42578125" style="168" customWidth="1"/>
    <col min="5380" max="5380" width="16.42578125" style="168" customWidth="1"/>
    <col min="5381" max="5381" width="16.140625" style="168" customWidth="1"/>
    <col min="5382" max="5382" width="13.7109375" style="168" customWidth="1"/>
    <col min="5383" max="5383" width="18.85546875" style="168" customWidth="1"/>
    <col min="5384" max="5384" width="15.7109375" style="168" customWidth="1"/>
    <col min="5385" max="5386" width="16.5703125" style="168" customWidth="1"/>
    <col min="5387" max="5387" width="13.140625" style="168" bestFit="1" customWidth="1"/>
    <col min="5388" max="5388" width="13.42578125" style="168" customWidth="1"/>
    <col min="5389" max="5389" width="14.7109375" style="168" customWidth="1"/>
    <col min="5390" max="5390" width="14.7109375" style="168" bestFit="1" customWidth="1"/>
    <col min="5391" max="5395" width="14.42578125" style="168" customWidth="1"/>
    <col min="5396" max="5396" width="14.85546875" style="168" bestFit="1" customWidth="1"/>
    <col min="5397" max="5397" width="10.85546875" style="168" bestFit="1" customWidth="1"/>
    <col min="5398" max="5632" width="9.140625" style="168"/>
    <col min="5633" max="5633" width="8.42578125" style="168" customWidth="1"/>
    <col min="5634" max="5634" width="14.42578125" style="168" customWidth="1"/>
    <col min="5635" max="5635" width="15.42578125" style="168" customWidth="1"/>
    <col min="5636" max="5636" width="16.42578125" style="168" customWidth="1"/>
    <col min="5637" max="5637" width="16.140625" style="168" customWidth="1"/>
    <col min="5638" max="5638" width="13.7109375" style="168" customWidth="1"/>
    <col min="5639" max="5639" width="18.85546875" style="168" customWidth="1"/>
    <col min="5640" max="5640" width="15.7109375" style="168" customWidth="1"/>
    <col min="5641" max="5642" width="16.5703125" style="168" customWidth="1"/>
    <col min="5643" max="5643" width="13.140625" style="168" bestFit="1" customWidth="1"/>
    <col min="5644" max="5644" width="13.42578125" style="168" customWidth="1"/>
    <col min="5645" max="5645" width="14.7109375" style="168" customWidth="1"/>
    <col min="5646" max="5646" width="14.7109375" style="168" bestFit="1" customWidth="1"/>
    <col min="5647" max="5651" width="14.42578125" style="168" customWidth="1"/>
    <col min="5652" max="5652" width="14.85546875" style="168" bestFit="1" customWidth="1"/>
    <col min="5653" max="5653" width="10.85546875" style="168" bestFit="1" customWidth="1"/>
    <col min="5654" max="5888" width="9.140625" style="168"/>
    <col min="5889" max="5889" width="8.42578125" style="168" customWidth="1"/>
    <col min="5890" max="5890" width="14.42578125" style="168" customWidth="1"/>
    <col min="5891" max="5891" width="15.42578125" style="168" customWidth="1"/>
    <col min="5892" max="5892" width="16.42578125" style="168" customWidth="1"/>
    <col min="5893" max="5893" width="16.140625" style="168" customWidth="1"/>
    <col min="5894" max="5894" width="13.7109375" style="168" customWidth="1"/>
    <col min="5895" max="5895" width="18.85546875" style="168" customWidth="1"/>
    <col min="5896" max="5896" width="15.7109375" style="168" customWidth="1"/>
    <col min="5897" max="5898" width="16.5703125" style="168" customWidth="1"/>
    <col min="5899" max="5899" width="13.140625" style="168" bestFit="1" customWidth="1"/>
    <col min="5900" max="5900" width="13.42578125" style="168" customWidth="1"/>
    <col min="5901" max="5901" width="14.7109375" style="168" customWidth="1"/>
    <col min="5902" max="5902" width="14.7109375" style="168" bestFit="1" customWidth="1"/>
    <col min="5903" max="5907" width="14.42578125" style="168" customWidth="1"/>
    <col min="5908" max="5908" width="14.85546875" style="168" bestFit="1" customWidth="1"/>
    <col min="5909" max="5909" width="10.85546875" style="168" bestFit="1" customWidth="1"/>
    <col min="5910" max="6144" width="9.140625" style="168"/>
    <col min="6145" max="6145" width="8.42578125" style="168" customWidth="1"/>
    <col min="6146" max="6146" width="14.42578125" style="168" customWidth="1"/>
    <col min="6147" max="6147" width="15.42578125" style="168" customWidth="1"/>
    <col min="6148" max="6148" width="16.42578125" style="168" customWidth="1"/>
    <col min="6149" max="6149" width="16.140625" style="168" customWidth="1"/>
    <col min="6150" max="6150" width="13.7109375" style="168" customWidth="1"/>
    <col min="6151" max="6151" width="18.85546875" style="168" customWidth="1"/>
    <col min="6152" max="6152" width="15.7109375" style="168" customWidth="1"/>
    <col min="6153" max="6154" width="16.5703125" style="168" customWidth="1"/>
    <col min="6155" max="6155" width="13.140625" style="168" bestFit="1" customWidth="1"/>
    <col min="6156" max="6156" width="13.42578125" style="168" customWidth="1"/>
    <col min="6157" max="6157" width="14.7109375" style="168" customWidth="1"/>
    <col min="6158" max="6158" width="14.7109375" style="168" bestFit="1" customWidth="1"/>
    <col min="6159" max="6163" width="14.42578125" style="168" customWidth="1"/>
    <col min="6164" max="6164" width="14.85546875" style="168" bestFit="1" customWidth="1"/>
    <col min="6165" max="6165" width="10.85546875" style="168" bestFit="1" customWidth="1"/>
    <col min="6166" max="6400" width="9.140625" style="168"/>
    <col min="6401" max="6401" width="8.42578125" style="168" customWidth="1"/>
    <col min="6402" max="6402" width="14.42578125" style="168" customWidth="1"/>
    <col min="6403" max="6403" width="15.42578125" style="168" customWidth="1"/>
    <col min="6404" max="6404" width="16.42578125" style="168" customWidth="1"/>
    <col min="6405" max="6405" width="16.140625" style="168" customWidth="1"/>
    <col min="6406" max="6406" width="13.7109375" style="168" customWidth="1"/>
    <col min="6407" max="6407" width="18.85546875" style="168" customWidth="1"/>
    <col min="6408" max="6408" width="15.7109375" style="168" customWidth="1"/>
    <col min="6409" max="6410" width="16.5703125" style="168" customWidth="1"/>
    <col min="6411" max="6411" width="13.140625" style="168" bestFit="1" customWidth="1"/>
    <col min="6412" max="6412" width="13.42578125" style="168" customWidth="1"/>
    <col min="6413" max="6413" width="14.7109375" style="168" customWidth="1"/>
    <col min="6414" max="6414" width="14.7109375" style="168" bestFit="1" customWidth="1"/>
    <col min="6415" max="6419" width="14.42578125" style="168" customWidth="1"/>
    <col min="6420" max="6420" width="14.85546875" style="168" bestFit="1" customWidth="1"/>
    <col min="6421" max="6421" width="10.85546875" style="168" bestFit="1" customWidth="1"/>
    <col min="6422" max="6656" width="9.140625" style="168"/>
    <col min="6657" max="6657" width="8.42578125" style="168" customWidth="1"/>
    <col min="6658" max="6658" width="14.42578125" style="168" customWidth="1"/>
    <col min="6659" max="6659" width="15.42578125" style="168" customWidth="1"/>
    <col min="6660" max="6660" width="16.42578125" style="168" customWidth="1"/>
    <col min="6661" max="6661" width="16.140625" style="168" customWidth="1"/>
    <col min="6662" max="6662" width="13.7109375" style="168" customWidth="1"/>
    <col min="6663" max="6663" width="18.85546875" style="168" customWidth="1"/>
    <col min="6664" max="6664" width="15.7109375" style="168" customWidth="1"/>
    <col min="6665" max="6666" width="16.5703125" style="168" customWidth="1"/>
    <col min="6667" max="6667" width="13.140625" style="168" bestFit="1" customWidth="1"/>
    <col min="6668" max="6668" width="13.42578125" style="168" customWidth="1"/>
    <col min="6669" max="6669" width="14.7109375" style="168" customWidth="1"/>
    <col min="6670" max="6670" width="14.7109375" style="168" bestFit="1" customWidth="1"/>
    <col min="6671" max="6675" width="14.42578125" style="168" customWidth="1"/>
    <col min="6676" max="6676" width="14.85546875" style="168" bestFit="1" customWidth="1"/>
    <col min="6677" max="6677" width="10.85546875" style="168" bestFit="1" customWidth="1"/>
    <col min="6678" max="6912" width="9.140625" style="168"/>
    <col min="6913" max="6913" width="8.42578125" style="168" customWidth="1"/>
    <col min="6914" max="6914" width="14.42578125" style="168" customWidth="1"/>
    <col min="6915" max="6915" width="15.42578125" style="168" customWidth="1"/>
    <col min="6916" max="6916" width="16.42578125" style="168" customWidth="1"/>
    <col min="6917" max="6917" width="16.140625" style="168" customWidth="1"/>
    <col min="6918" max="6918" width="13.7109375" style="168" customWidth="1"/>
    <col min="6919" max="6919" width="18.85546875" style="168" customWidth="1"/>
    <col min="6920" max="6920" width="15.7109375" style="168" customWidth="1"/>
    <col min="6921" max="6922" width="16.5703125" style="168" customWidth="1"/>
    <col min="6923" max="6923" width="13.140625" style="168" bestFit="1" customWidth="1"/>
    <col min="6924" max="6924" width="13.42578125" style="168" customWidth="1"/>
    <col min="6925" max="6925" width="14.7109375" style="168" customWidth="1"/>
    <col min="6926" max="6926" width="14.7109375" style="168" bestFit="1" customWidth="1"/>
    <col min="6927" max="6931" width="14.42578125" style="168" customWidth="1"/>
    <col min="6932" max="6932" width="14.85546875" style="168" bestFit="1" customWidth="1"/>
    <col min="6933" max="6933" width="10.85546875" style="168" bestFit="1" customWidth="1"/>
    <col min="6934" max="7168" width="9.140625" style="168"/>
    <col min="7169" max="7169" width="8.42578125" style="168" customWidth="1"/>
    <col min="7170" max="7170" width="14.42578125" style="168" customWidth="1"/>
    <col min="7171" max="7171" width="15.42578125" style="168" customWidth="1"/>
    <col min="7172" max="7172" width="16.42578125" style="168" customWidth="1"/>
    <col min="7173" max="7173" width="16.140625" style="168" customWidth="1"/>
    <col min="7174" max="7174" width="13.7109375" style="168" customWidth="1"/>
    <col min="7175" max="7175" width="18.85546875" style="168" customWidth="1"/>
    <col min="7176" max="7176" width="15.7109375" style="168" customWidth="1"/>
    <col min="7177" max="7178" width="16.5703125" style="168" customWidth="1"/>
    <col min="7179" max="7179" width="13.140625" style="168" bestFit="1" customWidth="1"/>
    <col min="7180" max="7180" width="13.42578125" style="168" customWidth="1"/>
    <col min="7181" max="7181" width="14.7109375" style="168" customWidth="1"/>
    <col min="7182" max="7182" width="14.7109375" style="168" bestFit="1" customWidth="1"/>
    <col min="7183" max="7187" width="14.42578125" style="168" customWidth="1"/>
    <col min="7188" max="7188" width="14.85546875" style="168" bestFit="1" customWidth="1"/>
    <col min="7189" max="7189" width="10.85546875" style="168" bestFit="1" customWidth="1"/>
    <col min="7190" max="7424" width="9.140625" style="168"/>
    <col min="7425" max="7425" width="8.42578125" style="168" customWidth="1"/>
    <col min="7426" max="7426" width="14.42578125" style="168" customWidth="1"/>
    <col min="7427" max="7427" width="15.42578125" style="168" customWidth="1"/>
    <col min="7428" max="7428" width="16.42578125" style="168" customWidth="1"/>
    <col min="7429" max="7429" width="16.140625" style="168" customWidth="1"/>
    <col min="7430" max="7430" width="13.7109375" style="168" customWidth="1"/>
    <col min="7431" max="7431" width="18.85546875" style="168" customWidth="1"/>
    <col min="7432" max="7432" width="15.7109375" style="168" customWidth="1"/>
    <col min="7433" max="7434" width="16.5703125" style="168" customWidth="1"/>
    <col min="7435" max="7435" width="13.140625" style="168" bestFit="1" customWidth="1"/>
    <col min="7436" max="7436" width="13.42578125" style="168" customWidth="1"/>
    <col min="7437" max="7437" width="14.7109375" style="168" customWidth="1"/>
    <col min="7438" max="7438" width="14.7109375" style="168" bestFit="1" customWidth="1"/>
    <col min="7439" max="7443" width="14.42578125" style="168" customWidth="1"/>
    <col min="7444" max="7444" width="14.85546875" style="168" bestFit="1" customWidth="1"/>
    <col min="7445" max="7445" width="10.85546875" style="168" bestFit="1" customWidth="1"/>
    <col min="7446" max="7680" width="9.140625" style="168"/>
    <col min="7681" max="7681" width="8.42578125" style="168" customWidth="1"/>
    <col min="7682" max="7682" width="14.42578125" style="168" customWidth="1"/>
    <col min="7683" max="7683" width="15.42578125" style="168" customWidth="1"/>
    <col min="7684" max="7684" width="16.42578125" style="168" customWidth="1"/>
    <col min="7685" max="7685" width="16.140625" style="168" customWidth="1"/>
    <col min="7686" max="7686" width="13.7109375" style="168" customWidth="1"/>
    <col min="7687" max="7687" width="18.85546875" style="168" customWidth="1"/>
    <col min="7688" max="7688" width="15.7109375" style="168" customWidth="1"/>
    <col min="7689" max="7690" width="16.5703125" style="168" customWidth="1"/>
    <col min="7691" max="7691" width="13.140625" style="168" bestFit="1" customWidth="1"/>
    <col min="7692" max="7692" width="13.42578125" style="168" customWidth="1"/>
    <col min="7693" max="7693" width="14.7109375" style="168" customWidth="1"/>
    <col min="7694" max="7694" width="14.7109375" style="168" bestFit="1" customWidth="1"/>
    <col min="7695" max="7699" width="14.42578125" style="168" customWidth="1"/>
    <col min="7700" max="7700" width="14.85546875" style="168" bestFit="1" customWidth="1"/>
    <col min="7701" max="7701" width="10.85546875" style="168" bestFit="1" customWidth="1"/>
    <col min="7702" max="7936" width="9.140625" style="168"/>
    <col min="7937" max="7937" width="8.42578125" style="168" customWidth="1"/>
    <col min="7938" max="7938" width="14.42578125" style="168" customWidth="1"/>
    <col min="7939" max="7939" width="15.42578125" style="168" customWidth="1"/>
    <col min="7940" max="7940" width="16.42578125" style="168" customWidth="1"/>
    <col min="7941" max="7941" width="16.140625" style="168" customWidth="1"/>
    <col min="7942" max="7942" width="13.7109375" style="168" customWidth="1"/>
    <col min="7943" max="7943" width="18.85546875" style="168" customWidth="1"/>
    <col min="7944" max="7944" width="15.7109375" style="168" customWidth="1"/>
    <col min="7945" max="7946" width="16.5703125" style="168" customWidth="1"/>
    <col min="7947" max="7947" width="13.140625" style="168" bestFit="1" customWidth="1"/>
    <col min="7948" max="7948" width="13.42578125" style="168" customWidth="1"/>
    <col min="7949" max="7949" width="14.7109375" style="168" customWidth="1"/>
    <col min="7950" max="7950" width="14.7109375" style="168" bestFit="1" customWidth="1"/>
    <col min="7951" max="7955" width="14.42578125" style="168" customWidth="1"/>
    <col min="7956" max="7956" width="14.85546875" style="168" bestFit="1" customWidth="1"/>
    <col min="7957" max="7957" width="10.85546875" style="168" bestFit="1" customWidth="1"/>
    <col min="7958" max="8192" width="9.140625" style="168"/>
    <col min="8193" max="8193" width="8.42578125" style="168" customWidth="1"/>
    <col min="8194" max="8194" width="14.42578125" style="168" customWidth="1"/>
    <col min="8195" max="8195" width="15.42578125" style="168" customWidth="1"/>
    <col min="8196" max="8196" width="16.42578125" style="168" customWidth="1"/>
    <col min="8197" max="8197" width="16.140625" style="168" customWidth="1"/>
    <col min="8198" max="8198" width="13.7109375" style="168" customWidth="1"/>
    <col min="8199" max="8199" width="18.85546875" style="168" customWidth="1"/>
    <col min="8200" max="8200" width="15.7109375" style="168" customWidth="1"/>
    <col min="8201" max="8202" width="16.5703125" style="168" customWidth="1"/>
    <col min="8203" max="8203" width="13.140625" style="168" bestFit="1" customWidth="1"/>
    <col min="8204" max="8204" width="13.42578125" style="168" customWidth="1"/>
    <col min="8205" max="8205" width="14.7109375" style="168" customWidth="1"/>
    <col min="8206" max="8206" width="14.7109375" style="168" bestFit="1" customWidth="1"/>
    <col min="8207" max="8211" width="14.42578125" style="168" customWidth="1"/>
    <col min="8212" max="8212" width="14.85546875" style="168" bestFit="1" customWidth="1"/>
    <col min="8213" max="8213" width="10.85546875" style="168" bestFit="1" customWidth="1"/>
    <col min="8214" max="8448" width="9.140625" style="168"/>
    <col min="8449" max="8449" width="8.42578125" style="168" customWidth="1"/>
    <col min="8450" max="8450" width="14.42578125" style="168" customWidth="1"/>
    <col min="8451" max="8451" width="15.42578125" style="168" customWidth="1"/>
    <col min="8452" max="8452" width="16.42578125" style="168" customWidth="1"/>
    <col min="8453" max="8453" width="16.140625" style="168" customWidth="1"/>
    <col min="8454" max="8454" width="13.7109375" style="168" customWidth="1"/>
    <col min="8455" max="8455" width="18.85546875" style="168" customWidth="1"/>
    <col min="8456" max="8456" width="15.7109375" style="168" customWidth="1"/>
    <col min="8457" max="8458" width="16.5703125" style="168" customWidth="1"/>
    <col min="8459" max="8459" width="13.140625" style="168" bestFit="1" customWidth="1"/>
    <col min="8460" max="8460" width="13.42578125" style="168" customWidth="1"/>
    <col min="8461" max="8461" width="14.7109375" style="168" customWidth="1"/>
    <col min="8462" max="8462" width="14.7109375" style="168" bestFit="1" customWidth="1"/>
    <col min="8463" max="8467" width="14.42578125" style="168" customWidth="1"/>
    <col min="8468" max="8468" width="14.85546875" style="168" bestFit="1" customWidth="1"/>
    <col min="8469" max="8469" width="10.85546875" style="168" bestFit="1" customWidth="1"/>
    <col min="8470" max="8704" width="9.140625" style="168"/>
    <col min="8705" max="8705" width="8.42578125" style="168" customWidth="1"/>
    <col min="8706" max="8706" width="14.42578125" style="168" customWidth="1"/>
    <col min="8707" max="8707" width="15.42578125" style="168" customWidth="1"/>
    <col min="8708" max="8708" width="16.42578125" style="168" customWidth="1"/>
    <col min="8709" max="8709" width="16.140625" style="168" customWidth="1"/>
    <col min="8710" max="8710" width="13.7109375" style="168" customWidth="1"/>
    <col min="8711" max="8711" width="18.85546875" style="168" customWidth="1"/>
    <col min="8712" max="8712" width="15.7109375" style="168" customWidth="1"/>
    <col min="8713" max="8714" width="16.5703125" style="168" customWidth="1"/>
    <col min="8715" max="8715" width="13.140625" style="168" bestFit="1" customWidth="1"/>
    <col min="8716" max="8716" width="13.42578125" style="168" customWidth="1"/>
    <col min="8717" max="8717" width="14.7109375" style="168" customWidth="1"/>
    <col min="8718" max="8718" width="14.7109375" style="168" bestFit="1" customWidth="1"/>
    <col min="8719" max="8723" width="14.42578125" style="168" customWidth="1"/>
    <col min="8724" max="8724" width="14.85546875" style="168" bestFit="1" customWidth="1"/>
    <col min="8725" max="8725" width="10.85546875" style="168" bestFit="1" customWidth="1"/>
    <col min="8726" max="8960" width="9.140625" style="168"/>
    <col min="8961" max="8961" width="8.42578125" style="168" customWidth="1"/>
    <col min="8962" max="8962" width="14.42578125" style="168" customWidth="1"/>
    <col min="8963" max="8963" width="15.42578125" style="168" customWidth="1"/>
    <col min="8964" max="8964" width="16.42578125" style="168" customWidth="1"/>
    <col min="8965" max="8965" width="16.140625" style="168" customWidth="1"/>
    <col min="8966" max="8966" width="13.7109375" style="168" customWidth="1"/>
    <col min="8967" max="8967" width="18.85546875" style="168" customWidth="1"/>
    <col min="8968" max="8968" width="15.7109375" style="168" customWidth="1"/>
    <col min="8969" max="8970" width="16.5703125" style="168" customWidth="1"/>
    <col min="8971" max="8971" width="13.140625" style="168" bestFit="1" customWidth="1"/>
    <col min="8972" max="8972" width="13.42578125" style="168" customWidth="1"/>
    <col min="8973" max="8973" width="14.7109375" style="168" customWidth="1"/>
    <col min="8974" max="8974" width="14.7109375" style="168" bestFit="1" customWidth="1"/>
    <col min="8975" max="8979" width="14.42578125" style="168" customWidth="1"/>
    <col min="8980" max="8980" width="14.85546875" style="168" bestFit="1" customWidth="1"/>
    <col min="8981" max="8981" width="10.85546875" style="168" bestFit="1" customWidth="1"/>
    <col min="8982" max="9216" width="9.140625" style="168"/>
    <col min="9217" max="9217" width="8.42578125" style="168" customWidth="1"/>
    <col min="9218" max="9218" width="14.42578125" style="168" customWidth="1"/>
    <col min="9219" max="9219" width="15.42578125" style="168" customWidth="1"/>
    <col min="9220" max="9220" width="16.42578125" style="168" customWidth="1"/>
    <col min="9221" max="9221" width="16.140625" style="168" customWidth="1"/>
    <col min="9222" max="9222" width="13.7109375" style="168" customWidth="1"/>
    <col min="9223" max="9223" width="18.85546875" style="168" customWidth="1"/>
    <col min="9224" max="9224" width="15.7109375" style="168" customWidth="1"/>
    <col min="9225" max="9226" width="16.5703125" style="168" customWidth="1"/>
    <col min="9227" max="9227" width="13.140625" style="168" bestFit="1" customWidth="1"/>
    <col min="9228" max="9228" width="13.42578125" style="168" customWidth="1"/>
    <col min="9229" max="9229" width="14.7109375" style="168" customWidth="1"/>
    <col min="9230" max="9230" width="14.7109375" style="168" bestFit="1" customWidth="1"/>
    <col min="9231" max="9235" width="14.42578125" style="168" customWidth="1"/>
    <col min="9236" max="9236" width="14.85546875" style="168" bestFit="1" customWidth="1"/>
    <col min="9237" max="9237" width="10.85546875" style="168" bestFit="1" customWidth="1"/>
    <col min="9238" max="9472" width="9.140625" style="168"/>
    <col min="9473" max="9473" width="8.42578125" style="168" customWidth="1"/>
    <col min="9474" max="9474" width="14.42578125" style="168" customWidth="1"/>
    <col min="9475" max="9475" width="15.42578125" style="168" customWidth="1"/>
    <col min="9476" max="9476" width="16.42578125" style="168" customWidth="1"/>
    <col min="9477" max="9477" width="16.140625" style="168" customWidth="1"/>
    <col min="9478" max="9478" width="13.7109375" style="168" customWidth="1"/>
    <col min="9479" max="9479" width="18.85546875" style="168" customWidth="1"/>
    <col min="9480" max="9480" width="15.7109375" style="168" customWidth="1"/>
    <col min="9481" max="9482" width="16.5703125" style="168" customWidth="1"/>
    <col min="9483" max="9483" width="13.140625" style="168" bestFit="1" customWidth="1"/>
    <col min="9484" max="9484" width="13.42578125" style="168" customWidth="1"/>
    <col min="9485" max="9485" width="14.7109375" style="168" customWidth="1"/>
    <col min="9486" max="9486" width="14.7109375" style="168" bestFit="1" customWidth="1"/>
    <col min="9487" max="9491" width="14.42578125" style="168" customWidth="1"/>
    <col min="9492" max="9492" width="14.85546875" style="168" bestFit="1" customWidth="1"/>
    <col min="9493" max="9493" width="10.85546875" style="168" bestFit="1" customWidth="1"/>
    <col min="9494" max="9728" width="9.140625" style="168"/>
    <col min="9729" max="9729" width="8.42578125" style="168" customWidth="1"/>
    <col min="9730" max="9730" width="14.42578125" style="168" customWidth="1"/>
    <col min="9731" max="9731" width="15.42578125" style="168" customWidth="1"/>
    <col min="9732" max="9732" width="16.42578125" style="168" customWidth="1"/>
    <col min="9733" max="9733" width="16.140625" style="168" customWidth="1"/>
    <col min="9734" max="9734" width="13.7109375" style="168" customWidth="1"/>
    <col min="9735" max="9735" width="18.85546875" style="168" customWidth="1"/>
    <col min="9736" max="9736" width="15.7109375" style="168" customWidth="1"/>
    <col min="9737" max="9738" width="16.5703125" style="168" customWidth="1"/>
    <col min="9739" max="9739" width="13.140625" style="168" bestFit="1" customWidth="1"/>
    <col min="9740" max="9740" width="13.42578125" style="168" customWidth="1"/>
    <col min="9741" max="9741" width="14.7109375" style="168" customWidth="1"/>
    <col min="9742" max="9742" width="14.7109375" style="168" bestFit="1" customWidth="1"/>
    <col min="9743" max="9747" width="14.42578125" style="168" customWidth="1"/>
    <col min="9748" max="9748" width="14.85546875" style="168" bestFit="1" customWidth="1"/>
    <col min="9749" max="9749" width="10.85546875" style="168" bestFit="1" customWidth="1"/>
    <col min="9750" max="9984" width="9.140625" style="168"/>
    <col min="9985" max="9985" width="8.42578125" style="168" customWidth="1"/>
    <col min="9986" max="9986" width="14.42578125" style="168" customWidth="1"/>
    <col min="9987" max="9987" width="15.42578125" style="168" customWidth="1"/>
    <col min="9988" max="9988" width="16.42578125" style="168" customWidth="1"/>
    <col min="9989" max="9989" width="16.140625" style="168" customWidth="1"/>
    <col min="9990" max="9990" width="13.7109375" style="168" customWidth="1"/>
    <col min="9991" max="9991" width="18.85546875" style="168" customWidth="1"/>
    <col min="9992" max="9992" width="15.7109375" style="168" customWidth="1"/>
    <col min="9993" max="9994" width="16.5703125" style="168" customWidth="1"/>
    <col min="9995" max="9995" width="13.140625" style="168" bestFit="1" customWidth="1"/>
    <col min="9996" max="9996" width="13.42578125" style="168" customWidth="1"/>
    <col min="9997" max="9997" width="14.7109375" style="168" customWidth="1"/>
    <col min="9998" max="9998" width="14.7109375" style="168" bestFit="1" customWidth="1"/>
    <col min="9999" max="10003" width="14.42578125" style="168" customWidth="1"/>
    <col min="10004" max="10004" width="14.85546875" style="168" bestFit="1" customWidth="1"/>
    <col min="10005" max="10005" width="10.85546875" style="168" bestFit="1" customWidth="1"/>
    <col min="10006" max="10240" width="9.140625" style="168"/>
    <col min="10241" max="10241" width="8.42578125" style="168" customWidth="1"/>
    <col min="10242" max="10242" width="14.42578125" style="168" customWidth="1"/>
    <col min="10243" max="10243" width="15.42578125" style="168" customWidth="1"/>
    <col min="10244" max="10244" width="16.42578125" style="168" customWidth="1"/>
    <col min="10245" max="10245" width="16.140625" style="168" customWidth="1"/>
    <col min="10246" max="10246" width="13.7109375" style="168" customWidth="1"/>
    <col min="10247" max="10247" width="18.85546875" style="168" customWidth="1"/>
    <col min="10248" max="10248" width="15.7109375" style="168" customWidth="1"/>
    <col min="10249" max="10250" width="16.5703125" style="168" customWidth="1"/>
    <col min="10251" max="10251" width="13.140625" style="168" bestFit="1" customWidth="1"/>
    <col min="10252" max="10252" width="13.42578125" style="168" customWidth="1"/>
    <col min="10253" max="10253" width="14.7109375" style="168" customWidth="1"/>
    <col min="10254" max="10254" width="14.7109375" style="168" bestFit="1" customWidth="1"/>
    <col min="10255" max="10259" width="14.42578125" style="168" customWidth="1"/>
    <col min="10260" max="10260" width="14.85546875" style="168" bestFit="1" customWidth="1"/>
    <col min="10261" max="10261" width="10.85546875" style="168" bestFit="1" customWidth="1"/>
    <col min="10262" max="10496" width="9.140625" style="168"/>
    <col min="10497" max="10497" width="8.42578125" style="168" customWidth="1"/>
    <col min="10498" max="10498" width="14.42578125" style="168" customWidth="1"/>
    <col min="10499" max="10499" width="15.42578125" style="168" customWidth="1"/>
    <col min="10500" max="10500" width="16.42578125" style="168" customWidth="1"/>
    <col min="10501" max="10501" width="16.140625" style="168" customWidth="1"/>
    <col min="10502" max="10502" width="13.7109375" style="168" customWidth="1"/>
    <col min="10503" max="10503" width="18.85546875" style="168" customWidth="1"/>
    <col min="10504" max="10504" width="15.7109375" style="168" customWidth="1"/>
    <col min="10505" max="10506" width="16.5703125" style="168" customWidth="1"/>
    <col min="10507" max="10507" width="13.140625" style="168" bestFit="1" customWidth="1"/>
    <col min="10508" max="10508" width="13.42578125" style="168" customWidth="1"/>
    <col min="10509" max="10509" width="14.7109375" style="168" customWidth="1"/>
    <col min="10510" max="10510" width="14.7109375" style="168" bestFit="1" customWidth="1"/>
    <col min="10511" max="10515" width="14.42578125" style="168" customWidth="1"/>
    <col min="10516" max="10516" width="14.85546875" style="168" bestFit="1" customWidth="1"/>
    <col min="10517" max="10517" width="10.85546875" style="168" bestFit="1" customWidth="1"/>
    <col min="10518" max="10752" width="9.140625" style="168"/>
    <col min="10753" max="10753" width="8.42578125" style="168" customWidth="1"/>
    <col min="10754" max="10754" width="14.42578125" style="168" customWidth="1"/>
    <col min="10755" max="10755" width="15.42578125" style="168" customWidth="1"/>
    <col min="10756" max="10756" width="16.42578125" style="168" customWidth="1"/>
    <col min="10757" max="10757" width="16.140625" style="168" customWidth="1"/>
    <col min="10758" max="10758" width="13.7109375" style="168" customWidth="1"/>
    <col min="10759" max="10759" width="18.85546875" style="168" customWidth="1"/>
    <col min="10760" max="10760" width="15.7109375" style="168" customWidth="1"/>
    <col min="10761" max="10762" width="16.5703125" style="168" customWidth="1"/>
    <col min="10763" max="10763" width="13.140625" style="168" bestFit="1" customWidth="1"/>
    <col min="10764" max="10764" width="13.42578125" style="168" customWidth="1"/>
    <col min="10765" max="10765" width="14.7109375" style="168" customWidth="1"/>
    <col min="10766" max="10766" width="14.7109375" style="168" bestFit="1" customWidth="1"/>
    <col min="10767" max="10771" width="14.42578125" style="168" customWidth="1"/>
    <col min="10772" max="10772" width="14.85546875" style="168" bestFit="1" customWidth="1"/>
    <col min="10773" max="10773" width="10.85546875" style="168" bestFit="1" customWidth="1"/>
    <col min="10774" max="11008" width="9.140625" style="168"/>
    <col min="11009" max="11009" width="8.42578125" style="168" customWidth="1"/>
    <col min="11010" max="11010" width="14.42578125" style="168" customWidth="1"/>
    <col min="11011" max="11011" width="15.42578125" style="168" customWidth="1"/>
    <col min="11012" max="11012" width="16.42578125" style="168" customWidth="1"/>
    <col min="11013" max="11013" width="16.140625" style="168" customWidth="1"/>
    <col min="11014" max="11014" width="13.7109375" style="168" customWidth="1"/>
    <col min="11015" max="11015" width="18.85546875" style="168" customWidth="1"/>
    <col min="11016" max="11016" width="15.7109375" style="168" customWidth="1"/>
    <col min="11017" max="11018" width="16.5703125" style="168" customWidth="1"/>
    <col min="11019" max="11019" width="13.140625" style="168" bestFit="1" customWidth="1"/>
    <col min="11020" max="11020" width="13.42578125" style="168" customWidth="1"/>
    <col min="11021" max="11021" width="14.7109375" style="168" customWidth="1"/>
    <col min="11022" max="11022" width="14.7109375" style="168" bestFit="1" customWidth="1"/>
    <col min="11023" max="11027" width="14.42578125" style="168" customWidth="1"/>
    <col min="11028" max="11028" width="14.85546875" style="168" bestFit="1" customWidth="1"/>
    <col min="11029" max="11029" width="10.85546875" style="168" bestFit="1" customWidth="1"/>
    <col min="11030" max="11264" width="9.140625" style="168"/>
    <col min="11265" max="11265" width="8.42578125" style="168" customWidth="1"/>
    <col min="11266" max="11266" width="14.42578125" style="168" customWidth="1"/>
    <col min="11267" max="11267" width="15.42578125" style="168" customWidth="1"/>
    <col min="11268" max="11268" width="16.42578125" style="168" customWidth="1"/>
    <col min="11269" max="11269" width="16.140625" style="168" customWidth="1"/>
    <col min="11270" max="11270" width="13.7109375" style="168" customWidth="1"/>
    <col min="11271" max="11271" width="18.85546875" style="168" customWidth="1"/>
    <col min="11272" max="11272" width="15.7109375" style="168" customWidth="1"/>
    <col min="11273" max="11274" width="16.5703125" style="168" customWidth="1"/>
    <col min="11275" max="11275" width="13.140625" style="168" bestFit="1" customWidth="1"/>
    <col min="11276" max="11276" width="13.42578125" style="168" customWidth="1"/>
    <col min="11277" max="11277" width="14.7109375" style="168" customWidth="1"/>
    <col min="11278" max="11278" width="14.7109375" style="168" bestFit="1" customWidth="1"/>
    <col min="11279" max="11283" width="14.42578125" style="168" customWidth="1"/>
    <col min="11284" max="11284" width="14.85546875" style="168" bestFit="1" customWidth="1"/>
    <col min="11285" max="11285" width="10.85546875" style="168" bestFit="1" customWidth="1"/>
    <col min="11286" max="11520" width="9.140625" style="168"/>
    <col min="11521" max="11521" width="8.42578125" style="168" customWidth="1"/>
    <col min="11522" max="11522" width="14.42578125" style="168" customWidth="1"/>
    <col min="11523" max="11523" width="15.42578125" style="168" customWidth="1"/>
    <col min="11524" max="11524" width="16.42578125" style="168" customWidth="1"/>
    <col min="11525" max="11525" width="16.140625" style="168" customWidth="1"/>
    <col min="11526" max="11526" width="13.7109375" style="168" customWidth="1"/>
    <col min="11527" max="11527" width="18.85546875" style="168" customWidth="1"/>
    <col min="11528" max="11528" width="15.7109375" style="168" customWidth="1"/>
    <col min="11529" max="11530" width="16.5703125" style="168" customWidth="1"/>
    <col min="11531" max="11531" width="13.140625" style="168" bestFit="1" customWidth="1"/>
    <col min="11532" max="11532" width="13.42578125" style="168" customWidth="1"/>
    <col min="11533" max="11533" width="14.7109375" style="168" customWidth="1"/>
    <col min="11534" max="11534" width="14.7109375" style="168" bestFit="1" customWidth="1"/>
    <col min="11535" max="11539" width="14.42578125" style="168" customWidth="1"/>
    <col min="11540" max="11540" width="14.85546875" style="168" bestFit="1" customWidth="1"/>
    <col min="11541" max="11541" width="10.85546875" style="168" bestFit="1" customWidth="1"/>
    <col min="11542" max="11776" width="9.140625" style="168"/>
    <col min="11777" max="11777" width="8.42578125" style="168" customWidth="1"/>
    <col min="11778" max="11778" width="14.42578125" style="168" customWidth="1"/>
    <col min="11779" max="11779" width="15.42578125" style="168" customWidth="1"/>
    <col min="11780" max="11780" width="16.42578125" style="168" customWidth="1"/>
    <col min="11781" max="11781" width="16.140625" style="168" customWidth="1"/>
    <col min="11782" max="11782" width="13.7109375" style="168" customWidth="1"/>
    <col min="11783" max="11783" width="18.85546875" style="168" customWidth="1"/>
    <col min="11784" max="11784" width="15.7109375" style="168" customWidth="1"/>
    <col min="11785" max="11786" width="16.5703125" style="168" customWidth="1"/>
    <col min="11787" max="11787" width="13.140625" style="168" bestFit="1" customWidth="1"/>
    <col min="11788" max="11788" width="13.42578125" style="168" customWidth="1"/>
    <col min="11789" max="11789" width="14.7109375" style="168" customWidth="1"/>
    <col min="11790" max="11790" width="14.7109375" style="168" bestFit="1" customWidth="1"/>
    <col min="11791" max="11795" width="14.42578125" style="168" customWidth="1"/>
    <col min="11796" max="11796" width="14.85546875" style="168" bestFit="1" customWidth="1"/>
    <col min="11797" max="11797" width="10.85546875" style="168" bestFit="1" customWidth="1"/>
    <col min="11798" max="12032" width="9.140625" style="168"/>
    <col min="12033" max="12033" width="8.42578125" style="168" customWidth="1"/>
    <col min="12034" max="12034" width="14.42578125" style="168" customWidth="1"/>
    <col min="12035" max="12035" width="15.42578125" style="168" customWidth="1"/>
    <col min="12036" max="12036" width="16.42578125" style="168" customWidth="1"/>
    <col min="12037" max="12037" width="16.140625" style="168" customWidth="1"/>
    <col min="12038" max="12038" width="13.7109375" style="168" customWidth="1"/>
    <col min="12039" max="12039" width="18.85546875" style="168" customWidth="1"/>
    <col min="12040" max="12040" width="15.7109375" style="168" customWidth="1"/>
    <col min="12041" max="12042" width="16.5703125" style="168" customWidth="1"/>
    <col min="12043" max="12043" width="13.140625" style="168" bestFit="1" customWidth="1"/>
    <col min="12044" max="12044" width="13.42578125" style="168" customWidth="1"/>
    <col min="12045" max="12045" width="14.7109375" style="168" customWidth="1"/>
    <col min="12046" max="12046" width="14.7109375" style="168" bestFit="1" customWidth="1"/>
    <col min="12047" max="12051" width="14.42578125" style="168" customWidth="1"/>
    <col min="12052" max="12052" width="14.85546875" style="168" bestFit="1" customWidth="1"/>
    <col min="12053" max="12053" width="10.85546875" style="168" bestFit="1" customWidth="1"/>
    <col min="12054" max="12288" width="9.140625" style="168"/>
    <col min="12289" max="12289" width="8.42578125" style="168" customWidth="1"/>
    <col min="12290" max="12290" width="14.42578125" style="168" customWidth="1"/>
    <col min="12291" max="12291" width="15.42578125" style="168" customWidth="1"/>
    <col min="12292" max="12292" width="16.42578125" style="168" customWidth="1"/>
    <col min="12293" max="12293" width="16.140625" style="168" customWidth="1"/>
    <col min="12294" max="12294" width="13.7109375" style="168" customWidth="1"/>
    <col min="12295" max="12295" width="18.85546875" style="168" customWidth="1"/>
    <col min="12296" max="12296" width="15.7109375" style="168" customWidth="1"/>
    <col min="12297" max="12298" width="16.5703125" style="168" customWidth="1"/>
    <col min="12299" max="12299" width="13.140625" style="168" bestFit="1" customWidth="1"/>
    <col min="12300" max="12300" width="13.42578125" style="168" customWidth="1"/>
    <col min="12301" max="12301" width="14.7109375" style="168" customWidth="1"/>
    <col min="12302" max="12302" width="14.7109375" style="168" bestFit="1" customWidth="1"/>
    <col min="12303" max="12307" width="14.42578125" style="168" customWidth="1"/>
    <col min="12308" max="12308" width="14.85546875" style="168" bestFit="1" customWidth="1"/>
    <col min="12309" max="12309" width="10.85546875" style="168" bestFit="1" customWidth="1"/>
    <col min="12310" max="12544" width="9.140625" style="168"/>
    <col min="12545" max="12545" width="8.42578125" style="168" customWidth="1"/>
    <col min="12546" max="12546" width="14.42578125" style="168" customWidth="1"/>
    <col min="12547" max="12547" width="15.42578125" style="168" customWidth="1"/>
    <col min="12548" max="12548" width="16.42578125" style="168" customWidth="1"/>
    <col min="12549" max="12549" width="16.140625" style="168" customWidth="1"/>
    <col min="12550" max="12550" width="13.7109375" style="168" customWidth="1"/>
    <col min="12551" max="12551" width="18.85546875" style="168" customWidth="1"/>
    <col min="12552" max="12552" width="15.7109375" style="168" customWidth="1"/>
    <col min="12553" max="12554" width="16.5703125" style="168" customWidth="1"/>
    <col min="12555" max="12555" width="13.140625" style="168" bestFit="1" customWidth="1"/>
    <col min="12556" max="12556" width="13.42578125" style="168" customWidth="1"/>
    <col min="12557" max="12557" width="14.7109375" style="168" customWidth="1"/>
    <col min="12558" max="12558" width="14.7109375" style="168" bestFit="1" customWidth="1"/>
    <col min="12559" max="12563" width="14.42578125" style="168" customWidth="1"/>
    <col min="12564" max="12564" width="14.85546875" style="168" bestFit="1" customWidth="1"/>
    <col min="12565" max="12565" width="10.85546875" style="168" bestFit="1" customWidth="1"/>
    <col min="12566" max="12800" width="9.140625" style="168"/>
    <col min="12801" max="12801" width="8.42578125" style="168" customWidth="1"/>
    <col min="12802" max="12802" width="14.42578125" style="168" customWidth="1"/>
    <col min="12803" max="12803" width="15.42578125" style="168" customWidth="1"/>
    <col min="12804" max="12804" width="16.42578125" style="168" customWidth="1"/>
    <col min="12805" max="12805" width="16.140625" style="168" customWidth="1"/>
    <col min="12806" max="12806" width="13.7109375" style="168" customWidth="1"/>
    <col min="12807" max="12807" width="18.85546875" style="168" customWidth="1"/>
    <col min="12808" max="12808" width="15.7109375" style="168" customWidth="1"/>
    <col min="12809" max="12810" width="16.5703125" style="168" customWidth="1"/>
    <col min="12811" max="12811" width="13.140625" style="168" bestFit="1" customWidth="1"/>
    <col min="12812" max="12812" width="13.42578125" style="168" customWidth="1"/>
    <col min="12813" max="12813" width="14.7109375" style="168" customWidth="1"/>
    <col min="12814" max="12814" width="14.7109375" style="168" bestFit="1" customWidth="1"/>
    <col min="12815" max="12819" width="14.42578125" style="168" customWidth="1"/>
    <col min="12820" max="12820" width="14.85546875" style="168" bestFit="1" customWidth="1"/>
    <col min="12821" max="12821" width="10.85546875" style="168" bestFit="1" customWidth="1"/>
    <col min="12822" max="13056" width="9.140625" style="168"/>
    <col min="13057" max="13057" width="8.42578125" style="168" customWidth="1"/>
    <col min="13058" max="13058" width="14.42578125" style="168" customWidth="1"/>
    <col min="13059" max="13059" width="15.42578125" style="168" customWidth="1"/>
    <col min="13060" max="13060" width="16.42578125" style="168" customWidth="1"/>
    <col min="13061" max="13061" width="16.140625" style="168" customWidth="1"/>
    <col min="13062" max="13062" width="13.7109375" style="168" customWidth="1"/>
    <col min="13063" max="13063" width="18.85546875" style="168" customWidth="1"/>
    <col min="13064" max="13064" width="15.7109375" style="168" customWidth="1"/>
    <col min="13065" max="13066" width="16.5703125" style="168" customWidth="1"/>
    <col min="13067" max="13067" width="13.140625" style="168" bestFit="1" customWidth="1"/>
    <col min="13068" max="13068" width="13.42578125" style="168" customWidth="1"/>
    <col min="13069" max="13069" width="14.7109375" style="168" customWidth="1"/>
    <col min="13070" max="13070" width="14.7109375" style="168" bestFit="1" customWidth="1"/>
    <col min="13071" max="13075" width="14.42578125" style="168" customWidth="1"/>
    <col min="13076" max="13076" width="14.85546875" style="168" bestFit="1" customWidth="1"/>
    <col min="13077" max="13077" width="10.85546875" style="168" bestFit="1" customWidth="1"/>
    <col min="13078" max="13312" width="9.140625" style="168"/>
    <col min="13313" max="13313" width="8.42578125" style="168" customWidth="1"/>
    <col min="13314" max="13314" width="14.42578125" style="168" customWidth="1"/>
    <col min="13315" max="13315" width="15.42578125" style="168" customWidth="1"/>
    <col min="13316" max="13316" width="16.42578125" style="168" customWidth="1"/>
    <col min="13317" max="13317" width="16.140625" style="168" customWidth="1"/>
    <col min="13318" max="13318" width="13.7109375" style="168" customWidth="1"/>
    <col min="13319" max="13319" width="18.85546875" style="168" customWidth="1"/>
    <col min="13320" max="13320" width="15.7109375" style="168" customWidth="1"/>
    <col min="13321" max="13322" width="16.5703125" style="168" customWidth="1"/>
    <col min="13323" max="13323" width="13.140625" style="168" bestFit="1" customWidth="1"/>
    <col min="13324" max="13324" width="13.42578125" style="168" customWidth="1"/>
    <col min="13325" max="13325" width="14.7109375" style="168" customWidth="1"/>
    <col min="13326" max="13326" width="14.7109375" style="168" bestFit="1" customWidth="1"/>
    <col min="13327" max="13331" width="14.42578125" style="168" customWidth="1"/>
    <col min="13332" max="13332" width="14.85546875" style="168" bestFit="1" customWidth="1"/>
    <col min="13333" max="13333" width="10.85546875" style="168" bestFit="1" customWidth="1"/>
    <col min="13334" max="13568" width="9.140625" style="168"/>
    <col min="13569" max="13569" width="8.42578125" style="168" customWidth="1"/>
    <col min="13570" max="13570" width="14.42578125" style="168" customWidth="1"/>
    <col min="13571" max="13571" width="15.42578125" style="168" customWidth="1"/>
    <col min="13572" max="13572" width="16.42578125" style="168" customWidth="1"/>
    <col min="13573" max="13573" width="16.140625" style="168" customWidth="1"/>
    <col min="13574" max="13574" width="13.7109375" style="168" customWidth="1"/>
    <col min="13575" max="13575" width="18.85546875" style="168" customWidth="1"/>
    <col min="13576" max="13576" width="15.7109375" style="168" customWidth="1"/>
    <col min="13577" max="13578" width="16.5703125" style="168" customWidth="1"/>
    <col min="13579" max="13579" width="13.140625" style="168" bestFit="1" customWidth="1"/>
    <col min="13580" max="13580" width="13.42578125" style="168" customWidth="1"/>
    <col min="13581" max="13581" width="14.7109375" style="168" customWidth="1"/>
    <col min="13582" max="13582" width="14.7109375" style="168" bestFit="1" customWidth="1"/>
    <col min="13583" max="13587" width="14.42578125" style="168" customWidth="1"/>
    <col min="13588" max="13588" width="14.85546875" style="168" bestFit="1" customWidth="1"/>
    <col min="13589" max="13589" width="10.85546875" style="168" bestFit="1" customWidth="1"/>
    <col min="13590" max="13824" width="9.140625" style="168"/>
    <col min="13825" max="13825" width="8.42578125" style="168" customWidth="1"/>
    <col min="13826" max="13826" width="14.42578125" style="168" customWidth="1"/>
    <col min="13827" max="13827" width="15.42578125" style="168" customWidth="1"/>
    <col min="13828" max="13828" width="16.42578125" style="168" customWidth="1"/>
    <col min="13829" max="13829" width="16.140625" style="168" customWidth="1"/>
    <col min="13830" max="13830" width="13.7109375" style="168" customWidth="1"/>
    <col min="13831" max="13831" width="18.85546875" style="168" customWidth="1"/>
    <col min="13832" max="13832" width="15.7109375" style="168" customWidth="1"/>
    <col min="13833" max="13834" width="16.5703125" style="168" customWidth="1"/>
    <col min="13835" max="13835" width="13.140625" style="168" bestFit="1" customWidth="1"/>
    <col min="13836" max="13836" width="13.42578125" style="168" customWidth="1"/>
    <col min="13837" max="13837" width="14.7109375" style="168" customWidth="1"/>
    <col min="13838" max="13838" width="14.7109375" style="168" bestFit="1" customWidth="1"/>
    <col min="13839" max="13843" width="14.42578125" style="168" customWidth="1"/>
    <col min="13844" max="13844" width="14.85546875" style="168" bestFit="1" customWidth="1"/>
    <col min="13845" max="13845" width="10.85546875" style="168" bestFit="1" customWidth="1"/>
    <col min="13846" max="14080" width="9.140625" style="168"/>
    <col min="14081" max="14081" width="8.42578125" style="168" customWidth="1"/>
    <col min="14082" max="14082" width="14.42578125" style="168" customWidth="1"/>
    <col min="14083" max="14083" width="15.42578125" style="168" customWidth="1"/>
    <col min="14084" max="14084" width="16.42578125" style="168" customWidth="1"/>
    <col min="14085" max="14085" width="16.140625" style="168" customWidth="1"/>
    <col min="14086" max="14086" width="13.7109375" style="168" customWidth="1"/>
    <col min="14087" max="14087" width="18.85546875" style="168" customWidth="1"/>
    <col min="14088" max="14088" width="15.7109375" style="168" customWidth="1"/>
    <col min="14089" max="14090" width="16.5703125" style="168" customWidth="1"/>
    <col min="14091" max="14091" width="13.140625" style="168" bestFit="1" customWidth="1"/>
    <col min="14092" max="14092" width="13.42578125" style="168" customWidth="1"/>
    <col min="14093" max="14093" width="14.7109375" style="168" customWidth="1"/>
    <col min="14094" max="14094" width="14.7109375" style="168" bestFit="1" customWidth="1"/>
    <col min="14095" max="14099" width="14.42578125" style="168" customWidth="1"/>
    <col min="14100" max="14100" width="14.85546875" style="168" bestFit="1" customWidth="1"/>
    <col min="14101" max="14101" width="10.85546875" style="168" bestFit="1" customWidth="1"/>
    <col min="14102" max="14336" width="9.140625" style="168"/>
    <col min="14337" max="14337" width="8.42578125" style="168" customWidth="1"/>
    <col min="14338" max="14338" width="14.42578125" style="168" customWidth="1"/>
    <col min="14339" max="14339" width="15.42578125" style="168" customWidth="1"/>
    <col min="14340" max="14340" width="16.42578125" style="168" customWidth="1"/>
    <col min="14341" max="14341" width="16.140625" style="168" customWidth="1"/>
    <col min="14342" max="14342" width="13.7109375" style="168" customWidth="1"/>
    <col min="14343" max="14343" width="18.85546875" style="168" customWidth="1"/>
    <col min="14344" max="14344" width="15.7109375" style="168" customWidth="1"/>
    <col min="14345" max="14346" width="16.5703125" style="168" customWidth="1"/>
    <col min="14347" max="14347" width="13.140625" style="168" bestFit="1" customWidth="1"/>
    <col min="14348" max="14348" width="13.42578125" style="168" customWidth="1"/>
    <col min="14349" max="14349" width="14.7109375" style="168" customWidth="1"/>
    <col min="14350" max="14350" width="14.7109375" style="168" bestFit="1" customWidth="1"/>
    <col min="14351" max="14355" width="14.42578125" style="168" customWidth="1"/>
    <col min="14356" max="14356" width="14.85546875" style="168" bestFit="1" customWidth="1"/>
    <col min="14357" max="14357" width="10.85546875" style="168" bestFit="1" customWidth="1"/>
    <col min="14358" max="14592" width="9.140625" style="168"/>
    <col min="14593" max="14593" width="8.42578125" style="168" customWidth="1"/>
    <col min="14594" max="14594" width="14.42578125" style="168" customWidth="1"/>
    <col min="14595" max="14595" width="15.42578125" style="168" customWidth="1"/>
    <col min="14596" max="14596" width="16.42578125" style="168" customWidth="1"/>
    <col min="14597" max="14597" width="16.140625" style="168" customWidth="1"/>
    <col min="14598" max="14598" width="13.7109375" style="168" customWidth="1"/>
    <col min="14599" max="14599" width="18.85546875" style="168" customWidth="1"/>
    <col min="14600" max="14600" width="15.7109375" style="168" customWidth="1"/>
    <col min="14601" max="14602" width="16.5703125" style="168" customWidth="1"/>
    <col min="14603" max="14603" width="13.140625" style="168" bestFit="1" customWidth="1"/>
    <col min="14604" max="14604" width="13.42578125" style="168" customWidth="1"/>
    <col min="14605" max="14605" width="14.7109375" style="168" customWidth="1"/>
    <col min="14606" max="14606" width="14.7109375" style="168" bestFit="1" customWidth="1"/>
    <col min="14607" max="14611" width="14.42578125" style="168" customWidth="1"/>
    <col min="14612" max="14612" width="14.85546875" style="168" bestFit="1" customWidth="1"/>
    <col min="14613" max="14613" width="10.85546875" style="168" bestFit="1" customWidth="1"/>
    <col min="14614" max="14848" width="9.140625" style="168"/>
    <col min="14849" max="14849" width="8.42578125" style="168" customWidth="1"/>
    <col min="14850" max="14850" width="14.42578125" style="168" customWidth="1"/>
    <col min="14851" max="14851" width="15.42578125" style="168" customWidth="1"/>
    <col min="14852" max="14852" width="16.42578125" style="168" customWidth="1"/>
    <col min="14853" max="14853" width="16.140625" style="168" customWidth="1"/>
    <col min="14854" max="14854" width="13.7109375" style="168" customWidth="1"/>
    <col min="14855" max="14855" width="18.85546875" style="168" customWidth="1"/>
    <col min="14856" max="14856" width="15.7109375" style="168" customWidth="1"/>
    <col min="14857" max="14858" width="16.5703125" style="168" customWidth="1"/>
    <col min="14859" max="14859" width="13.140625" style="168" bestFit="1" customWidth="1"/>
    <col min="14860" max="14860" width="13.42578125" style="168" customWidth="1"/>
    <col min="14861" max="14861" width="14.7109375" style="168" customWidth="1"/>
    <col min="14862" max="14862" width="14.7109375" style="168" bestFit="1" customWidth="1"/>
    <col min="14863" max="14867" width="14.42578125" style="168" customWidth="1"/>
    <col min="14868" max="14868" width="14.85546875" style="168" bestFit="1" customWidth="1"/>
    <col min="14869" max="14869" width="10.85546875" style="168" bestFit="1" customWidth="1"/>
    <col min="14870" max="15104" width="9.140625" style="168"/>
    <col min="15105" max="15105" width="8.42578125" style="168" customWidth="1"/>
    <col min="15106" max="15106" width="14.42578125" style="168" customWidth="1"/>
    <col min="15107" max="15107" width="15.42578125" style="168" customWidth="1"/>
    <col min="15108" max="15108" width="16.42578125" style="168" customWidth="1"/>
    <col min="15109" max="15109" width="16.140625" style="168" customWidth="1"/>
    <col min="15110" max="15110" width="13.7109375" style="168" customWidth="1"/>
    <col min="15111" max="15111" width="18.85546875" style="168" customWidth="1"/>
    <col min="15112" max="15112" width="15.7109375" style="168" customWidth="1"/>
    <col min="15113" max="15114" width="16.5703125" style="168" customWidth="1"/>
    <col min="15115" max="15115" width="13.140625" style="168" bestFit="1" customWidth="1"/>
    <col min="15116" max="15116" width="13.42578125" style="168" customWidth="1"/>
    <col min="15117" max="15117" width="14.7109375" style="168" customWidth="1"/>
    <col min="15118" max="15118" width="14.7109375" style="168" bestFit="1" customWidth="1"/>
    <col min="15119" max="15123" width="14.42578125" style="168" customWidth="1"/>
    <col min="15124" max="15124" width="14.85546875" style="168" bestFit="1" customWidth="1"/>
    <col min="15125" max="15125" width="10.85546875" style="168" bestFit="1" customWidth="1"/>
    <col min="15126" max="15360" width="9.140625" style="168"/>
    <col min="15361" max="15361" width="8.42578125" style="168" customWidth="1"/>
    <col min="15362" max="15362" width="14.42578125" style="168" customWidth="1"/>
    <col min="15363" max="15363" width="15.42578125" style="168" customWidth="1"/>
    <col min="15364" max="15364" width="16.42578125" style="168" customWidth="1"/>
    <col min="15365" max="15365" width="16.140625" style="168" customWidth="1"/>
    <col min="15366" max="15366" width="13.7109375" style="168" customWidth="1"/>
    <col min="15367" max="15367" width="18.85546875" style="168" customWidth="1"/>
    <col min="15368" max="15368" width="15.7109375" style="168" customWidth="1"/>
    <col min="15369" max="15370" width="16.5703125" style="168" customWidth="1"/>
    <col min="15371" max="15371" width="13.140625" style="168" bestFit="1" customWidth="1"/>
    <col min="15372" max="15372" width="13.42578125" style="168" customWidth="1"/>
    <col min="15373" max="15373" width="14.7109375" style="168" customWidth="1"/>
    <col min="15374" max="15374" width="14.7109375" style="168" bestFit="1" customWidth="1"/>
    <col min="15375" max="15379" width="14.42578125" style="168" customWidth="1"/>
    <col min="15380" max="15380" width="14.85546875" style="168" bestFit="1" customWidth="1"/>
    <col min="15381" max="15381" width="10.85546875" style="168" bestFit="1" customWidth="1"/>
    <col min="15382" max="15616" width="9.140625" style="168"/>
    <col min="15617" max="15617" width="8.42578125" style="168" customWidth="1"/>
    <col min="15618" max="15618" width="14.42578125" style="168" customWidth="1"/>
    <col min="15619" max="15619" width="15.42578125" style="168" customWidth="1"/>
    <col min="15620" max="15620" width="16.42578125" style="168" customWidth="1"/>
    <col min="15621" max="15621" width="16.140625" style="168" customWidth="1"/>
    <col min="15622" max="15622" width="13.7109375" style="168" customWidth="1"/>
    <col min="15623" max="15623" width="18.85546875" style="168" customWidth="1"/>
    <col min="15624" max="15624" width="15.7109375" style="168" customWidth="1"/>
    <col min="15625" max="15626" width="16.5703125" style="168" customWidth="1"/>
    <col min="15627" max="15627" width="13.140625" style="168" bestFit="1" customWidth="1"/>
    <col min="15628" max="15628" width="13.42578125" style="168" customWidth="1"/>
    <col min="15629" max="15629" width="14.7109375" style="168" customWidth="1"/>
    <col min="15630" max="15630" width="14.7109375" style="168" bestFit="1" customWidth="1"/>
    <col min="15631" max="15635" width="14.42578125" style="168" customWidth="1"/>
    <col min="15636" max="15636" width="14.85546875" style="168" bestFit="1" customWidth="1"/>
    <col min="15637" max="15637" width="10.85546875" style="168" bestFit="1" customWidth="1"/>
    <col min="15638" max="15872" width="9.140625" style="168"/>
    <col min="15873" max="15873" width="8.42578125" style="168" customWidth="1"/>
    <col min="15874" max="15874" width="14.42578125" style="168" customWidth="1"/>
    <col min="15875" max="15875" width="15.42578125" style="168" customWidth="1"/>
    <col min="15876" max="15876" width="16.42578125" style="168" customWidth="1"/>
    <col min="15877" max="15877" width="16.140625" style="168" customWidth="1"/>
    <col min="15878" max="15878" width="13.7109375" style="168" customWidth="1"/>
    <col min="15879" max="15879" width="18.85546875" style="168" customWidth="1"/>
    <col min="15880" max="15880" width="15.7109375" style="168" customWidth="1"/>
    <col min="15881" max="15882" width="16.5703125" style="168" customWidth="1"/>
    <col min="15883" max="15883" width="13.140625" style="168" bestFit="1" customWidth="1"/>
    <col min="15884" max="15884" width="13.42578125" style="168" customWidth="1"/>
    <col min="15885" max="15885" width="14.7109375" style="168" customWidth="1"/>
    <col min="15886" max="15886" width="14.7109375" style="168" bestFit="1" customWidth="1"/>
    <col min="15887" max="15891" width="14.42578125" style="168" customWidth="1"/>
    <col min="15892" max="15892" width="14.85546875" style="168" bestFit="1" customWidth="1"/>
    <col min="15893" max="15893" width="10.85546875" style="168" bestFit="1" customWidth="1"/>
    <col min="15894" max="16128" width="9.140625" style="168"/>
    <col min="16129" max="16129" width="8.42578125" style="168" customWidth="1"/>
    <col min="16130" max="16130" width="14.42578125" style="168" customWidth="1"/>
    <col min="16131" max="16131" width="15.42578125" style="168" customWidth="1"/>
    <col min="16132" max="16132" width="16.42578125" style="168" customWidth="1"/>
    <col min="16133" max="16133" width="16.140625" style="168" customWidth="1"/>
    <col min="16134" max="16134" width="13.7109375" style="168" customWidth="1"/>
    <col min="16135" max="16135" width="18.85546875" style="168" customWidth="1"/>
    <col min="16136" max="16136" width="15.7109375" style="168" customWidth="1"/>
    <col min="16137" max="16138" width="16.5703125" style="168" customWidth="1"/>
    <col min="16139" max="16139" width="13.140625" style="168" bestFit="1" customWidth="1"/>
    <col min="16140" max="16140" width="13.42578125" style="168" customWidth="1"/>
    <col min="16141" max="16141" width="14.7109375" style="168" customWidth="1"/>
    <col min="16142" max="16142" width="14.7109375" style="168" bestFit="1" customWidth="1"/>
    <col min="16143" max="16147" width="14.42578125" style="168" customWidth="1"/>
    <col min="16148" max="16148" width="14.85546875" style="168" bestFit="1" customWidth="1"/>
    <col min="16149" max="16149" width="10.85546875" style="168" bestFit="1" customWidth="1"/>
    <col min="16150" max="16384" width="9.140625" style="168"/>
  </cols>
  <sheetData>
    <row r="1" spans="1:10" ht="18" customHeight="1" x14ac:dyDescent="0.2">
      <c r="A1" s="698" t="s">
        <v>181</v>
      </c>
      <c r="B1" s="698"/>
      <c r="C1" s="698"/>
      <c r="D1" s="698"/>
      <c r="E1" s="698"/>
      <c r="F1" s="698"/>
      <c r="G1" s="698"/>
      <c r="H1" s="698"/>
      <c r="I1" s="698"/>
      <c r="J1" s="698"/>
    </row>
    <row r="2" spans="1:10" x14ac:dyDescent="0.2">
      <c r="A2" s="169"/>
      <c r="B2" s="170"/>
      <c r="C2" s="171"/>
      <c r="D2" s="171"/>
      <c r="E2" s="172"/>
      <c r="F2" s="172"/>
    </row>
    <row r="3" spans="1:10" x14ac:dyDescent="0.2">
      <c r="A3" s="169" t="s">
        <v>182</v>
      </c>
      <c r="B3" s="699" t="s">
        <v>350</v>
      </c>
      <c r="C3" s="699"/>
      <c r="D3" s="699"/>
      <c r="E3" s="699"/>
      <c r="F3" s="699"/>
      <c r="G3" s="699"/>
      <c r="H3" s="699"/>
      <c r="I3" s="699"/>
      <c r="J3" s="174"/>
    </row>
    <row r="4" spans="1:10" x14ac:dyDescent="0.2">
      <c r="A4" s="175"/>
      <c r="B4" s="699"/>
      <c r="C4" s="699"/>
      <c r="D4" s="699"/>
      <c r="E4" s="699"/>
      <c r="F4" s="699"/>
      <c r="G4" s="699"/>
      <c r="H4" s="699"/>
      <c r="I4" s="699"/>
      <c r="J4" s="174"/>
    </row>
    <row r="5" spans="1:10" ht="15" customHeight="1" x14ac:dyDescent="0.2">
      <c r="A5" s="700" t="str">
        <f>CONCATENATE("PLAZO: ",A42," MESES (",A43,")")</f>
        <v>PLAZO: 24 MESES (720 dias)</v>
      </c>
      <c r="B5" s="700"/>
      <c r="C5" s="700"/>
      <c r="E5" s="177" t="s">
        <v>183</v>
      </c>
    </row>
    <row r="7" spans="1:10" x14ac:dyDescent="0.2">
      <c r="C7" s="179" t="s">
        <v>185</v>
      </c>
      <c r="D7" s="701"/>
      <c r="E7" s="701"/>
      <c r="F7" s="701"/>
      <c r="H7" s="179" t="s">
        <v>186</v>
      </c>
      <c r="I7" s="180">
        <f ca="1">NOW()</f>
        <v>43703.768187731483</v>
      </c>
    </row>
    <row r="8" spans="1:10" x14ac:dyDescent="0.2">
      <c r="C8" s="179" t="str">
        <f>IF(D7=0,"MONTO ESTIMADO CON IVA:","MONTO DE CONTRATO CON IVA:")</f>
        <v>MONTO ESTIMADO CON IVA:</v>
      </c>
      <c r="D8" s="185"/>
      <c r="E8" s="182" t="s">
        <v>187</v>
      </c>
      <c r="F8" s="168" t="s">
        <v>188</v>
      </c>
      <c r="H8" s="173" t="s">
        <v>189</v>
      </c>
      <c r="I8" s="183">
        <v>1</v>
      </c>
    </row>
    <row r="9" spans="1:10" hidden="1" x14ac:dyDescent="0.2">
      <c r="C9" s="179"/>
      <c r="D9" s="181"/>
      <c r="E9" s="176" t="s">
        <v>190</v>
      </c>
      <c r="I9" s="184"/>
    </row>
    <row r="10" spans="1:10" hidden="1" x14ac:dyDescent="0.2">
      <c r="C10" s="179"/>
      <c r="D10" s="181"/>
      <c r="E10" s="176" t="s">
        <v>187</v>
      </c>
      <c r="I10" s="184"/>
    </row>
    <row r="11" spans="1:10" x14ac:dyDescent="0.2">
      <c r="B11" s="168"/>
      <c r="C11" s="179" t="str">
        <f>IF(D7=0,"MONTO ESTIMADO SIN IVA:","MONTO DE CONTRATO SIN IVA:")</f>
        <v>MONTO ESTIMADO SIN IVA:</v>
      </c>
      <c r="D11" s="185">
        <v>22447177</v>
      </c>
      <c r="E11" s="186" t="s">
        <v>190</v>
      </c>
      <c r="F11" s="176"/>
    </row>
    <row r="12" spans="1:10" x14ac:dyDescent="0.2">
      <c r="B12" s="168"/>
      <c r="C12" s="179" t="s">
        <v>191</v>
      </c>
      <c r="D12" s="183">
        <v>100</v>
      </c>
      <c r="F12" s="176" t="s">
        <v>192</v>
      </c>
    </row>
    <row r="13" spans="1:10" x14ac:dyDescent="0.2">
      <c r="B13" s="168"/>
      <c r="C13" s="179" t="s">
        <v>193</v>
      </c>
      <c r="D13" s="187">
        <f>100-D12</f>
        <v>0</v>
      </c>
      <c r="F13" s="176"/>
    </row>
    <row r="14" spans="1:10" x14ac:dyDescent="0.2">
      <c r="B14" s="168"/>
      <c r="C14" s="179" t="s">
        <v>194</v>
      </c>
      <c r="D14" s="184">
        <v>20</v>
      </c>
      <c r="F14" s="176"/>
    </row>
    <row r="15" spans="1:10" x14ac:dyDescent="0.2">
      <c r="B15" s="179" t="s">
        <v>195</v>
      </c>
      <c r="C15" s="702"/>
      <c r="D15" s="702"/>
      <c r="E15" s="416" t="s">
        <v>196</v>
      </c>
      <c r="F15" s="417"/>
      <c r="H15" s="190" t="s">
        <v>197</v>
      </c>
      <c r="I15" s="183">
        <v>10</v>
      </c>
    </row>
    <row r="16" spans="1:10" ht="12.75" thickBot="1" x14ac:dyDescent="0.25">
      <c r="F16" s="191"/>
    </row>
    <row r="17" spans="1:11" ht="42" customHeight="1" thickBot="1" x14ac:dyDescent="0.25">
      <c r="A17" s="192" t="s">
        <v>198</v>
      </c>
      <c r="B17" s="193" t="s">
        <v>199</v>
      </c>
      <c r="C17" s="193" t="s">
        <v>200</v>
      </c>
      <c r="D17" s="194" t="str">
        <f>CONCATENATE("MONTO MENSUAL DESCONTADO ",ROUND(D14,0),"% ANTICIPO")</f>
        <v>MONTO MENSUAL DESCONTADO 20% ANTICIPO</v>
      </c>
      <c r="E17" s="195" t="s">
        <v>201</v>
      </c>
      <c r="F17" s="196" t="s">
        <v>202</v>
      </c>
      <c r="G17" s="197" t="s">
        <v>203</v>
      </c>
      <c r="H17" s="198" t="s">
        <v>204</v>
      </c>
      <c r="I17" s="199" t="str">
        <f>CONCATENATE("DESEMBOLSOS FONDO LOCAL (",ROUND(D13,0),"%) + IVA")</f>
        <v>DESEMBOLSOS FONDO LOCAL (0%) + IVA</v>
      </c>
      <c r="J17" s="199" t="str">
        <f>CONCATENATE("DESEMBOLSOS FONDO EXTERNO (",ROUND(D12,0),"%)")</f>
        <v>DESEMBOLSOS FONDO EXTERNO (100%)</v>
      </c>
    </row>
    <row r="18" spans="1:11" ht="12.75" customHeight="1" thickBot="1" x14ac:dyDescent="0.25">
      <c r="A18" s="200">
        <v>0</v>
      </c>
      <c r="B18" s="201">
        <f>D14/100</f>
        <v>0.2</v>
      </c>
      <c r="C18" s="201">
        <v>0</v>
      </c>
      <c r="D18" s="202">
        <f>B18*D11</f>
        <v>4489435.4000000004</v>
      </c>
      <c r="E18" s="203">
        <f>D18</f>
        <v>4489435.4000000004</v>
      </c>
      <c r="F18" s="204">
        <f>E18/$E$42</f>
        <v>0.19999999999999998</v>
      </c>
      <c r="G18" s="205" t="s">
        <v>205</v>
      </c>
      <c r="H18" s="206">
        <f t="shared" ref="H18:H33" si="0">ROUND(D18*0.1,0)</f>
        <v>448944</v>
      </c>
      <c r="I18" s="207">
        <f>ROUNDUP((D18+H18-J18),-(LEN(D18)-$I$15))</f>
        <v>448944</v>
      </c>
      <c r="J18" s="497">
        <f>(D18*$D$12/100)</f>
        <v>4489435.4000000004</v>
      </c>
    </row>
    <row r="19" spans="1:11" ht="12.75" thickBot="1" x14ac:dyDescent="0.25">
      <c r="A19" s="208">
        <v>1</v>
      </c>
      <c r="B19" s="209">
        <v>2.5000000000000001E-2</v>
      </c>
      <c r="C19" s="209">
        <f t="shared" ref="C19:C42" si="1">B19+C18</f>
        <v>2.5000000000000001E-2</v>
      </c>
      <c r="D19" s="210">
        <f>(B19*$D$11*(100-$D$14)/100)</f>
        <v>448943.54</v>
      </c>
      <c r="E19" s="211">
        <f t="shared" ref="E19:E33" si="2">E18+D19</f>
        <v>4938378.9400000004</v>
      </c>
      <c r="F19" s="212">
        <f>E19/$E$42</f>
        <v>0.21999999999999997</v>
      </c>
      <c r="G19" s="213" t="s">
        <v>96</v>
      </c>
      <c r="H19" s="214">
        <f t="shared" si="0"/>
        <v>44894</v>
      </c>
      <c r="I19" s="215">
        <f t="shared" ref="I19:I42" si="3">ROUNDUP((D19+H19-J19),-(LEN(D19)-$I$15))</f>
        <v>44894</v>
      </c>
      <c r="J19" s="497">
        <f t="shared" ref="J19:J42" si="4">(D19*$D$12/100)</f>
        <v>448943.54</v>
      </c>
    </row>
    <row r="20" spans="1:11" ht="12.75" thickBot="1" x14ac:dyDescent="0.25">
      <c r="A20" s="208">
        <v>2</v>
      </c>
      <c r="B20" s="209">
        <v>0.03</v>
      </c>
      <c r="C20" s="209">
        <f t="shared" si="1"/>
        <v>5.5E-2</v>
      </c>
      <c r="D20" s="210">
        <f t="shared" ref="D20:D42" si="5">(B20*$D$11*(100-$D$14)/100)</f>
        <v>538732.24800000002</v>
      </c>
      <c r="E20" s="211">
        <f t="shared" si="2"/>
        <v>5477111.1880000001</v>
      </c>
      <c r="F20" s="204">
        <f t="shared" ref="F20:F42" si="6">E20/$E$42</f>
        <v>0.24399999999999997</v>
      </c>
      <c r="G20" s="213" t="s">
        <v>97</v>
      </c>
      <c r="H20" s="214">
        <f t="shared" si="0"/>
        <v>53873</v>
      </c>
      <c r="I20" s="215">
        <f t="shared" si="3"/>
        <v>53873</v>
      </c>
      <c r="J20" s="497">
        <f t="shared" si="4"/>
        <v>538732.24800000002</v>
      </c>
      <c r="K20" s="216">
        <f>+SUM(J18:J20)</f>
        <v>5477111.1880000001</v>
      </c>
    </row>
    <row r="21" spans="1:11" ht="12.75" thickBot="1" x14ac:dyDescent="0.25">
      <c r="A21" s="208">
        <v>3</v>
      </c>
      <c r="B21" s="209">
        <v>3.5000000000000003E-2</v>
      </c>
      <c r="C21" s="209">
        <f>B21+C20</f>
        <v>0.09</v>
      </c>
      <c r="D21" s="210">
        <f t="shared" si="5"/>
        <v>628520.95600000012</v>
      </c>
      <c r="E21" s="211">
        <f t="shared" si="2"/>
        <v>6105632.1440000003</v>
      </c>
      <c r="F21" s="212">
        <f t="shared" si="6"/>
        <v>0.27199999999999996</v>
      </c>
      <c r="G21" s="213" t="s">
        <v>98</v>
      </c>
      <c r="H21" s="214">
        <f t="shared" si="0"/>
        <v>62852</v>
      </c>
      <c r="I21" s="215">
        <f t="shared" si="3"/>
        <v>62852</v>
      </c>
      <c r="J21" s="497">
        <f t="shared" si="4"/>
        <v>628520.95600000012</v>
      </c>
    </row>
    <row r="22" spans="1:11" ht="12.75" thickBot="1" x14ac:dyDescent="0.25">
      <c r="A22" s="208">
        <v>4</v>
      </c>
      <c r="B22" s="209">
        <v>3.5000000000000003E-2</v>
      </c>
      <c r="C22" s="209">
        <f t="shared" si="1"/>
        <v>0.125</v>
      </c>
      <c r="D22" s="210">
        <f t="shared" si="5"/>
        <v>628520.95600000012</v>
      </c>
      <c r="E22" s="211">
        <f t="shared" si="2"/>
        <v>6734153.1000000006</v>
      </c>
      <c r="F22" s="204">
        <f t="shared" si="6"/>
        <v>0.3</v>
      </c>
      <c r="G22" s="213" t="s">
        <v>99</v>
      </c>
      <c r="H22" s="214">
        <f t="shared" si="0"/>
        <v>62852</v>
      </c>
      <c r="I22" s="215">
        <f t="shared" si="3"/>
        <v>62852</v>
      </c>
      <c r="J22" s="497">
        <f t="shared" si="4"/>
        <v>628520.95600000012</v>
      </c>
      <c r="K22" s="217"/>
    </row>
    <row r="23" spans="1:11" ht="12.75" thickBot="1" x14ac:dyDescent="0.25">
      <c r="A23" s="208">
        <v>5</v>
      </c>
      <c r="B23" s="209">
        <v>0.04</v>
      </c>
      <c r="C23" s="209">
        <f t="shared" si="1"/>
        <v>0.16500000000000001</v>
      </c>
      <c r="D23" s="210">
        <f t="shared" si="5"/>
        <v>718309.66400000011</v>
      </c>
      <c r="E23" s="211">
        <f t="shared" si="2"/>
        <v>7452462.7640000004</v>
      </c>
      <c r="F23" s="212">
        <f t="shared" si="6"/>
        <v>0.33199999999999996</v>
      </c>
      <c r="G23" s="213" t="s">
        <v>100</v>
      </c>
      <c r="H23" s="214">
        <f t="shared" si="0"/>
        <v>71831</v>
      </c>
      <c r="I23" s="215">
        <f t="shared" si="3"/>
        <v>71831</v>
      </c>
      <c r="J23" s="497">
        <f t="shared" si="4"/>
        <v>718309.66400000011</v>
      </c>
      <c r="K23" s="217"/>
    </row>
    <row r="24" spans="1:11" ht="12.75" thickBot="1" x14ac:dyDescent="0.25">
      <c r="A24" s="208">
        <v>6</v>
      </c>
      <c r="B24" s="209">
        <v>4.4999999999999998E-2</v>
      </c>
      <c r="C24" s="209">
        <f t="shared" si="1"/>
        <v>0.21000000000000002</v>
      </c>
      <c r="D24" s="210">
        <f t="shared" si="5"/>
        <v>808098.37199999997</v>
      </c>
      <c r="E24" s="211">
        <f t="shared" si="2"/>
        <v>8260561.1359999999</v>
      </c>
      <c r="F24" s="204">
        <f t="shared" si="6"/>
        <v>0.36799999999999994</v>
      </c>
      <c r="G24" s="213" t="s">
        <v>101</v>
      </c>
      <c r="H24" s="214">
        <f t="shared" si="0"/>
        <v>80810</v>
      </c>
      <c r="I24" s="215">
        <f t="shared" si="3"/>
        <v>80810</v>
      </c>
      <c r="J24" s="497">
        <f t="shared" si="4"/>
        <v>808098.37199999997</v>
      </c>
      <c r="K24" s="217"/>
    </row>
    <row r="25" spans="1:11" ht="12.75" thickBot="1" x14ac:dyDescent="0.25">
      <c r="A25" s="208">
        <v>7</v>
      </c>
      <c r="B25" s="209">
        <v>4.4999999999999998E-2</v>
      </c>
      <c r="C25" s="209">
        <f t="shared" si="1"/>
        <v>0.255</v>
      </c>
      <c r="D25" s="210">
        <f t="shared" si="5"/>
        <v>808098.37199999997</v>
      </c>
      <c r="E25" s="211">
        <f t="shared" si="2"/>
        <v>9068659.5079999994</v>
      </c>
      <c r="F25" s="212">
        <f t="shared" si="6"/>
        <v>0.40399999999999991</v>
      </c>
      <c r="G25" s="213" t="s">
        <v>102</v>
      </c>
      <c r="H25" s="214">
        <f t="shared" si="0"/>
        <v>80810</v>
      </c>
      <c r="I25" s="215">
        <f t="shared" si="3"/>
        <v>80810</v>
      </c>
      <c r="J25" s="497">
        <f t="shared" si="4"/>
        <v>808098.37199999997</v>
      </c>
      <c r="K25" s="218"/>
    </row>
    <row r="26" spans="1:11" ht="12.75" thickBot="1" x14ac:dyDescent="0.25">
      <c r="A26" s="208">
        <v>8</v>
      </c>
      <c r="B26" s="209">
        <v>0.05</v>
      </c>
      <c r="C26" s="209">
        <f t="shared" si="1"/>
        <v>0.30499999999999999</v>
      </c>
      <c r="D26" s="210">
        <f t="shared" si="5"/>
        <v>897887.08</v>
      </c>
      <c r="E26" s="211">
        <f t="shared" si="2"/>
        <v>9966546.5879999995</v>
      </c>
      <c r="F26" s="204">
        <f t="shared" si="6"/>
        <v>0.44399999999999989</v>
      </c>
      <c r="G26" s="213" t="s">
        <v>103</v>
      </c>
      <c r="H26" s="214">
        <f t="shared" si="0"/>
        <v>89789</v>
      </c>
      <c r="I26" s="215">
        <f t="shared" si="3"/>
        <v>89789</v>
      </c>
      <c r="J26" s="497">
        <f t="shared" si="4"/>
        <v>897887.08</v>
      </c>
      <c r="K26" s="217"/>
    </row>
    <row r="27" spans="1:11" ht="12.75" thickBot="1" x14ac:dyDescent="0.25">
      <c r="A27" s="208">
        <v>9</v>
      </c>
      <c r="B27" s="209">
        <v>5.5E-2</v>
      </c>
      <c r="C27" s="209">
        <f t="shared" si="1"/>
        <v>0.36</v>
      </c>
      <c r="D27" s="210">
        <f t="shared" si="5"/>
        <v>987675.78800000018</v>
      </c>
      <c r="E27" s="211">
        <f t="shared" si="2"/>
        <v>10954222.376</v>
      </c>
      <c r="F27" s="212">
        <f t="shared" si="6"/>
        <v>0.48799999999999993</v>
      </c>
      <c r="G27" s="213" t="s">
        <v>104</v>
      </c>
      <c r="H27" s="214">
        <f t="shared" si="0"/>
        <v>98768</v>
      </c>
      <c r="I27" s="215">
        <f t="shared" si="3"/>
        <v>98768</v>
      </c>
      <c r="J27" s="497">
        <f t="shared" si="4"/>
        <v>987675.78800000018</v>
      </c>
      <c r="K27" s="217"/>
    </row>
    <row r="28" spans="1:11" ht="12.75" thickBot="1" x14ac:dyDescent="0.25">
      <c r="A28" s="208">
        <v>10</v>
      </c>
      <c r="B28" s="209">
        <v>5.5E-2</v>
      </c>
      <c r="C28" s="209">
        <f t="shared" si="1"/>
        <v>0.41499999999999998</v>
      </c>
      <c r="D28" s="210">
        <f t="shared" si="5"/>
        <v>987675.78800000018</v>
      </c>
      <c r="E28" s="211">
        <f t="shared" si="2"/>
        <v>11941898.164000001</v>
      </c>
      <c r="F28" s="204">
        <f t="shared" si="6"/>
        <v>0.53199999999999992</v>
      </c>
      <c r="G28" s="213" t="s">
        <v>105</v>
      </c>
      <c r="H28" s="214">
        <f t="shared" si="0"/>
        <v>98768</v>
      </c>
      <c r="I28" s="215">
        <f t="shared" si="3"/>
        <v>98768</v>
      </c>
      <c r="J28" s="497">
        <f t="shared" si="4"/>
        <v>987675.78800000018</v>
      </c>
      <c r="K28" s="217"/>
    </row>
    <row r="29" spans="1:11" ht="12.75" thickBot="1" x14ac:dyDescent="0.25">
      <c r="A29" s="208">
        <v>11</v>
      </c>
      <c r="B29" s="209">
        <v>5.5E-2</v>
      </c>
      <c r="C29" s="209">
        <f t="shared" si="1"/>
        <v>0.47</v>
      </c>
      <c r="D29" s="210">
        <f t="shared" si="5"/>
        <v>987675.78800000018</v>
      </c>
      <c r="E29" s="211">
        <f t="shared" si="2"/>
        <v>12929573.952000001</v>
      </c>
      <c r="F29" s="212">
        <f t="shared" si="6"/>
        <v>0.57599999999999996</v>
      </c>
      <c r="G29" s="213" t="s">
        <v>106</v>
      </c>
      <c r="H29" s="214">
        <f t="shared" si="0"/>
        <v>98768</v>
      </c>
      <c r="I29" s="215">
        <f t="shared" si="3"/>
        <v>98768</v>
      </c>
      <c r="J29" s="497">
        <f t="shared" si="4"/>
        <v>987675.78800000018</v>
      </c>
      <c r="K29" s="217"/>
    </row>
    <row r="30" spans="1:11" ht="12.75" thickBot="1" x14ac:dyDescent="0.25">
      <c r="A30" s="208">
        <v>12</v>
      </c>
      <c r="B30" s="209">
        <v>0.06</v>
      </c>
      <c r="C30" s="209">
        <f t="shared" si="1"/>
        <v>0.53</v>
      </c>
      <c r="D30" s="210">
        <f t="shared" si="5"/>
        <v>1077464.496</v>
      </c>
      <c r="E30" s="211">
        <f t="shared" si="2"/>
        <v>14007038.448000001</v>
      </c>
      <c r="F30" s="204">
        <f t="shared" si="6"/>
        <v>0.62399999999999989</v>
      </c>
      <c r="G30" s="213" t="s">
        <v>107</v>
      </c>
      <c r="H30" s="214">
        <f t="shared" si="0"/>
        <v>107746</v>
      </c>
      <c r="I30" s="215">
        <f t="shared" si="3"/>
        <v>107750</v>
      </c>
      <c r="J30" s="497">
        <f t="shared" si="4"/>
        <v>1077464.496</v>
      </c>
      <c r="K30" s="217"/>
    </row>
    <row r="31" spans="1:11" ht="12.75" thickBot="1" x14ac:dyDescent="0.25">
      <c r="A31" s="208">
        <v>13</v>
      </c>
      <c r="B31" s="209">
        <v>7.0000000000000007E-2</v>
      </c>
      <c r="C31" s="209">
        <f t="shared" si="1"/>
        <v>0.60000000000000009</v>
      </c>
      <c r="D31" s="210">
        <f t="shared" si="5"/>
        <v>1257041.9120000002</v>
      </c>
      <c r="E31" s="211">
        <f t="shared" si="2"/>
        <v>15264080.360000001</v>
      </c>
      <c r="F31" s="212">
        <f t="shared" si="6"/>
        <v>0.67999999999999994</v>
      </c>
      <c r="G31" s="213" t="s">
        <v>108</v>
      </c>
      <c r="H31" s="214">
        <f t="shared" si="0"/>
        <v>125704</v>
      </c>
      <c r="I31" s="215">
        <f t="shared" si="3"/>
        <v>125710</v>
      </c>
      <c r="J31" s="497">
        <f t="shared" si="4"/>
        <v>1257041.9120000002</v>
      </c>
      <c r="K31" s="217"/>
    </row>
    <row r="32" spans="1:11" ht="12.75" thickBot="1" x14ac:dyDescent="0.25">
      <c r="A32" s="208">
        <v>14</v>
      </c>
      <c r="B32" s="209">
        <v>7.0000000000000007E-2</v>
      </c>
      <c r="C32" s="209">
        <f t="shared" si="1"/>
        <v>0.67000000000000015</v>
      </c>
      <c r="D32" s="210">
        <f t="shared" si="5"/>
        <v>1257041.9120000002</v>
      </c>
      <c r="E32" s="211">
        <f t="shared" si="2"/>
        <v>16521122.272000002</v>
      </c>
      <c r="F32" s="204">
        <f t="shared" si="6"/>
        <v>0.73599999999999999</v>
      </c>
      <c r="G32" s="213" t="s">
        <v>109</v>
      </c>
      <c r="H32" s="214">
        <f t="shared" si="0"/>
        <v>125704</v>
      </c>
      <c r="I32" s="215">
        <f t="shared" si="3"/>
        <v>125710</v>
      </c>
      <c r="J32" s="497">
        <f t="shared" si="4"/>
        <v>1257041.9120000002</v>
      </c>
      <c r="K32" s="219">
        <f>+SUM(J21:J32)</f>
        <v>11044011.084000003</v>
      </c>
    </row>
    <row r="33" spans="1:11" ht="12.75" thickBot="1" x14ac:dyDescent="0.25">
      <c r="A33" s="208">
        <v>15</v>
      </c>
      <c r="B33" s="209">
        <v>6.5000000000000002E-2</v>
      </c>
      <c r="C33" s="209">
        <f t="shared" si="1"/>
        <v>0.7350000000000001</v>
      </c>
      <c r="D33" s="210">
        <f t="shared" si="5"/>
        <v>1167253.2040000001</v>
      </c>
      <c r="E33" s="211">
        <f t="shared" si="2"/>
        <v>17688375.476000004</v>
      </c>
      <c r="F33" s="212">
        <f t="shared" si="6"/>
        <v>0.78800000000000003</v>
      </c>
      <c r="G33" s="213" t="s">
        <v>110</v>
      </c>
      <c r="H33" s="214">
        <f t="shared" si="0"/>
        <v>116725</v>
      </c>
      <c r="I33" s="215">
        <f t="shared" si="3"/>
        <v>116730</v>
      </c>
      <c r="J33" s="497">
        <f t="shared" si="4"/>
        <v>1167253.2040000001</v>
      </c>
      <c r="K33" s="217"/>
    </row>
    <row r="34" spans="1:11" ht="12.75" thickBot="1" x14ac:dyDescent="0.25">
      <c r="A34" s="208">
        <v>16</v>
      </c>
      <c r="B34" s="209">
        <v>6.5000000000000002E-2</v>
      </c>
      <c r="C34" s="209">
        <f t="shared" si="1"/>
        <v>0.8</v>
      </c>
      <c r="D34" s="210">
        <f t="shared" si="5"/>
        <v>1167253.2040000001</v>
      </c>
      <c r="E34" s="211">
        <f>E33+D34</f>
        <v>18855628.680000003</v>
      </c>
      <c r="F34" s="204">
        <f t="shared" si="6"/>
        <v>0.84</v>
      </c>
      <c r="G34" s="213" t="s">
        <v>111</v>
      </c>
      <c r="H34" s="214">
        <f>ROUND(D34*0.1,0)</f>
        <v>116725</v>
      </c>
      <c r="I34" s="215">
        <f t="shared" si="3"/>
        <v>116730</v>
      </c>
      <c r="J34" s="497">
        <f t="shared" si="4"/>
        <v>1167253.2040000001</v>
      </c>
      <c r="K34" s="217"/>
    </row>
    <row r="35" spans="1:11" ht="12.75" thickBot="1" x14ac:dyDescent="0.25">
      <c r="A35" s="208">
        <v>17</v>
      </c>
      <c r="B35" s="209">
        <v>0.05</v>
      </c>
      <c r="C35" s="209">
        <f t="shared" si="1"/>
        <v>0.85000000000000009</v>
      </c>
      <c r="D35" s="210">
        <f t="shared" si="5"/>
        <v>897887.08</v>
      </c>
      <c r="E35" s="211">
        <f>E34+D35</f>
        <v>19753515.760000002</v>
      </c>
      <c r="F35" s="212">
        <f t="shared" si="6"/>
        <v>0.87999999999999989</v>
      </c>
      <c r="G35" s="213" t="s">
        <v>112</v>
      </c>
      <c r="H35" s="214">
        <f>ROUND(D35*0.1,0)</f>
        <v>89789</v>
      </c>
      <c r="I35" s="215">
        <f t="shared" si="3"/>
        <v>89789</v>
      </c>
      <c r="J35" s="497">
        <f t="shared" si="4"/>
        <v>897887.08</v>
      </c>
      <c r="K35" s="217"/>
    </row>
    <row r="36" spans="1:11" ht="12.75" thickBot="1" x14ac:dyDescent="0.25">
      <c r="A36" s="220">
        <v>18</v>
      </c>
      <c r="B36" s="209">
        <v>0.05</v>
      </c>
      <c r="C36" s="209">
        <f t="shared" si="1"/>
        <v>0.90000000000000013</v>
      </c>
      <c r="D36" s="210">
        <f t="shared" si="5"/>
        <v>897887.08</v>
      </c>
      <c r="E36" s="222">
        <f>E35+D36</f>
        <v>20651402.84</v>
      </c>
      <c r="F36" s="204">
        <f t="shared" si="6"/>
        <v>0.91999999999999982</v>
      </c>
      <c r="G36" s="224" t="s">
        <v>113</v>
      </c>
      <c r="H36" s="225">
        <f>ROUND(D36*0.1,0)</f>
        <v>89789</v>
      </c>
      <c r="I36" s="215">
        <f t="shared" si="3"/>
        <v>89789</v>
      </c>
      <c r="J36" s="497">
        <f t="shared" si="4"/>
        <v>897887.08</v>
      </c>
      <c r="K36" s="219">
        <f>+SUM(J33:J36)</f>
        <v>4130280.5680000004</v>
      </c>
    </row>
    <row r="37" spans="1:11" ht="12.75" thickBot="1" x14ac:dyDescent="0.25">
      <c r="A37" s="208">
        <v>19</v>
      </c>
      <c r="B37" s="209">
        <v>0.04</v>
      </c>
      <c r="C37" s="209">
        <f t="shared" si="1"/>
        <v>0.94000000000000017</v>
      </c>
      <c r="D37" s="210">
        <f t="shared" si="5"/>
        <v>718309.66400000011</v>
      </c>
      <c r="E37" s="211">
        <f t="shared" ref="E37:E42" si="7">E36+D37</f>
        <v>21369712.504000001</v>
      </c>
      <c r="F37" s="212">
        <f t="shared" si="6"/>
        <v>0.95199999999999985</v>
      </c>
      <c r="G37" s="213" t="s">
        <v>114</v>
      </c>
      <c r="H37" s="214">
        <f t="shared" ref="H37:H42" si="8">ROUND(D37*0.1,0)</f>
        <v>71831</v>
      </c>
      <c r="I37" s="215">
        <f t="shared" si="3"/>
        <v>71831</v>
      </c>
      <c r="J37" s="497">
        <f t="shared" si="4"/>
        <v>718309.66400000011</v>
      </c>
      <c r="K37" s="219"/>
    </row>
    <row r="38" spans="1:11" ht="12.75" thickBot="1" x14ac:dyDescent="0.25">
      <c r="A38" s="220">
        <v>20</v>
      </c>
      <c r="B38" s="209">
        <v>0.02</v>
      </c>
      <c r="C38" s="209">
        <f t="shared" si="1"/>
        <v>0.96000000000000019</v>
      </c>
      <c r="D38" s="210">
        <f t="shared" si="5"/>
        <v>359154.83200000005</v>
      </c>
      <c r="E38" s="222">
        <f t="shared" si="7"/>
        <v>21728867.335999999</v>
      </c>
      <c r="F38" s="204">
        <f t="shared" si="6"/>
        <v>0.96799999999999975</v>
      </c>
      <c r="G38" s="224" t="s">
        <v>115</v>
      </c>
      <c r="H38" s="225">
        <f t="shared" si="8"/>
        <v>35915</v>
      </c>
      <c r="I38" s="215">
        <f t="shared" si="3"/>
        <v>35915</v>
      </c>
      <c r="J38" s="497">
        <f t="shared" si="4"/>
        <v>359154.83200000005</v>
      </c>
      <c r="K38" s="219"/>
    </row>
    <row r="39" spans="1:11" ht="12.75" thickBot="1" x14ac:dyDescent="0.25">
      <c r="A39" s="208">
        <v>21</v>
      </c>
      <c r="B39" s="238">
        <v>0.01</v>
      </c>
      <c r="C39" s="209">
        <f t="shared" si="1"/>
        <v>0.9700000000000002</v>
      </c>
      <c r="D39" s="210">
        <f t="shared" si="5"/>
        <v>179577.41600000003</v>
      </c>
      <c r="E39" s="211">
        <f t="shared" si="7"/>
        <v>21908444.752</v>
      </c>
      <c r="F39" s="212">
        <f t="shared" si="6"/>
        <v>0.97599999999999987</v>
      </c>
      <c r="G39" s="213" t="s">
        <v>116</v>
      </c>
      <c r="H39" s="214">
        <f t="shared" si="8"/>
        <v>17958</v>
      </c>
      <c r="I39" s="226">
        <f>ROUNDUP((D39+H39-J39),-(LEN(D39)-$I$15))</f>
        <v>17958</v>
      </c>
      <c r="J39" s="497">
        <f t="shared" si="4"/>
        <v>179577.41600000003</v>
      </c>
      <c r="K39" s="219"/>
    </row>
    <row r="40" spans="1:11" ht="12.75" thickBot="1" x14ac:dyDescent="0.25">
      <c r="A40" s="220">
        <v>22</v>
      </c>
      <c r="B40" s="209">
        <v>0.01</v>
      </c>
      <c r="C40" s="209">
        <f t="shared" si="1"/>
        <v>0.9800000000000002</v>
      </c>
      <c r="D40" s="210">
        <f t="shared" si="5"/>
        <v>179577.41600000003</v>
      </c>
      <c r="E40" s="222">
        <f t="shared" si="7"/>
        <v>22088022.168000001</v>
      </c>
      <c r="F40" s="204">
        <f t="shared" si="6"/>
        <v>0.98399999999999987</v>
      </c>
      <c r="G40" s="224" t="s">
        <v>117</v>
      </c>
      <c r="H40" s="225">
        <f t="shared" si="8"/>
        <v>17958</v>
      </c>
      <c r="I40" s="215">
        <f t="shared" si="3"/>
        <v>17958</v>
      </c>
      <c r="J40" s="497">
        <f t="shared" si="4"/>
        <v>179577.41600000003</v>
      </c>
      <c r="K40" s="219"/>
    </row>
    <row r="41" spans="1:11" ht="12.75" thickBot="1" x14ac:dyDescent="0.25">
      <c r="A41" s="208">
        <v>23</v>
      </c>
      <c r="B41" s="209">
        <v>0.01</v>
      </c>
      <c r="C41" s="209">
        <f t="shared" si="1"/>
        <v>0.99000000000000021</v>
      </c>
      <c r="D41" s="210">
        <f t="shared" si="5"/>
        <v>179577.41600000003</v>
      </c>
      <c r="E41" s="211">
        <f t="shared" si="7"/>
        <v>22267599.584000003</v>
      </c>
      <c r="F41" s="212">
        <f t="shared" si="6"/>
        <v>0.99199999999999999</v>
      </c>
      <c r="G41" s="213" t="s">
        <v>118</v>
      </c>
      <c r="H41" s="214">
        <f t="shared" si="8"/>
        <v>17958</v>
      </c>
      <c r="I41" s="215">
        <f t="shared" si="3"/>
        <v>17958</v>
      </c>
      <c r="J41" s="497">
        <f t="shared" si="4"/>
        <v>179577.41600000003</v>
      </c>
      <c r="K41" s="219"/>
    </row>
    <row r="42" spans="1:11" ht="12.75" thickBot="1" x14ac:dyDescent="0.25">
      <c r="A42" s="220">
        <v>24</v>
      </c>
      <c r="B42" s="221">
        <v>0.01</v>
      </c>
      <c r="C42" s="209">
        <f t="shared" si="1"/>
        <v>1.0000000000000002</v>
      </c>
      <c r="D42" s="210">
        <f t="shared" si="5"/>
        <v>179577.41600000003</v>
      </c>
      <c r="E42" s="222">
        <f t="shared" si="7"/>
        <v>22447177.000000004</v>
      </c>
      <c r="F42" s="204">
        <f t="shared" si="6"/>
        <v>1</v>
      </c>
      <c r="G42" s="224" t="s">
        <v>119</v>
      </c>
      <c r="H42" s="225">
        <f t="shared" si="8"/>
        <v>17958</v>
      </c>
      <c r="I42" s="226">
        <f t="shared" si="3"/>
        <v>17958</v>
      </c>
      <c r="J42" s="497">
        <f t="shared" si="4"/>
        <v>179577.41600000003</v>
      </c>
      <c r="K42" s="219"/>
    </row>
    <row r="43" spans="1:11" ht="20.25" customHeight="1" thickBot="1" x14ac:dyDescent="0.25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22447177.000000004</v>
      </c>
      <c r="E43" s="168"/>
      <c r="H43" s="168"/>
      <c r="I43" s="231">
        <f>SUM(I18:I36)</f>
        <v>2065167</v>
      </c>
      <c r="J43" s="231">
        <f>SUM(J18:J42)</f>
        <v>22447177.000000004</v>
      </c>
      <c r="K43" s="217"/>
    </row>
    <row r="44" spans="1:11" ht="15" customHeight="1" x14ac:dyDescent="0.2">
      <c r="A44" s="173"/>
      <c r="F44" s="176"/>
      <c r="G44" s="176"/>
      <c r="H44" s="179" t="s">
        <v>206</v>
      </c>
      <c r="I44" s="696">
        <f>I43+J43</f>
        <v>24512344.000000004</v>
      </c>
      <c r="J44" s="697"/>
    </row>
    <row r="45" spans="1:11" x14ac:dyDescent="0.2">
      <c r="A45" s="172" t="s">
        <v>207</v>
      </c>
      <c r="B45" s="172"/>
      <c r="C45" s="172"/>
      <c r="H45" s="179" t="s">
        <v>208</v>
      </c>
      <c r="I45" s="190">
        <f>I44/1.1-D11</f>
        <v>-163227.90909090638</v>
      </c>
    </row>
    <row r="46" spans="1:11" x14ac:dyDescent="0.2">
      <c r="B46" s="232"/>
    </row>
    <row r="47" spans="1:11" x14ac:dyDescent="0.2">
      <c r="B47" s="232"/>
    </row>
    <row r="49" spans="1:27" s="235" customFormat="1" ht="12.75" customHeight="1" x14ac:dyDescent="0.2">
      <c r="A49" s="233"/>
      <c r="B49" s="234" t="s">
        <v>209</v>
      </c>
      <c r="C49" s="234" t="s">
        <v>96</v>
      </c>
      <c r="D49" s="234" t="s">
        <v>97</v>
      </c>
      <c r="E49" s="234" t="s">
        <v>98</v>
      </c>
      <c r="F49" s="234" t="s">
        <v>99</v>
      </c>
      <c r="G49" s="234" t="s">
        <v>100</v>
      </c>
      <c r="H49" s="234" t="s">
        <v>101</v>
      </c>
      <c r="I49" s="234" t="s">
        <v>102</v>
      </c>
      <c r="J49" s="234" t="s">
        <v>103</v>
      </c>
      <c r="K49" s="234" t="s">
        <v>104</v>
      </c>
      <c r="L49" s="234" t="s">
        <v>105</v>
      </c>
      <c r="M49" s="234" t="s">
        <v>106</v>
      </c>
      <c r="N49" s="234" t="s">
        <v>107</v>
      </c>
      <c r="O49" s="234" t="s">
        <v>108</v>
      </c>
      <c r="P49" s="234" t="s">
        <v>109</v>
      </c>
      <c r="Q49" s="234" t="s">
        <v>110</v>
      </c>
      <c r="R49" s="234" t="s">
        <v>111</v>
      </c>
      <c r="S49" s="234" t="s">
        <v>112</v>
      </c>
      <c r="T49" s="234" t="s">
        <v>113</v>
      </c>
      <c r="U49" s="234" t="s">
        <v>114</v>
      </c>
      <c r="V49" s="234" t="s">
        <v>115</v>
      </c>
      <c r="W49" s="234" t="s">
        <v>116</v>
      </c>
      <c r="X49" s="234" t="s">
        <v>117</v>
      </c>
      <c r="Y49" s="234" t="s">
        <v>118</v>
      </c>
      <c r="Z49" s="234" t="s">
        <v>119</v>
      </c>
    </row>
    <row r="50" spans="1:27" x14ac:dyDescent="0.2">
      <c r="A50" s="236" t="s">
        <v>210</v>
      </c>
      <c r="B50" s="210">
        <v>0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176">
        <f>SUM(B50:T50)</f>
        <v>0</v>
      </c>
      <c r="V50" s="176">
        <f t="shared" ref="V50:AA50" si="9">SUM(C50:U50)</f>
        <v>0</v>
      </c>
      <c r="W50" s="176">
        <f t="shared" si="9"/>
        <v>0</v>
      </c>
      <c r="X50" s="176">
        <f t="shared" si="9"/>
        <v>0</v>
      </c>
      <c r="Y50" s="176">
        <f t="shared" si="9"/>
        <v>0</v>
      </c>
      <c r="Z50" s="176">
        <f t="shared" si="9"/>
        <v>0</v>
      </c>
      <c r="AA50" s="176">
        <f t="shared" si="9"/>
        <v>0</v>
      </c>
    </row>
    <row r="51" spans="1:27" x14ac:dyDescent="0.2">
      <c r="A51" s="236" t="s">
        <v>211</v>
      </c>
      <c r="B51" s="210">
        <f>$J18</f>
        <v>4489435.4000000004</v>
      </c>
      <c r="C51" s="210">
        <f>$J19</f>
        <v>448943.54</v>
      </c>
      <c r="D51" s="210">
        <f>$J20</f>
        <v>538732.24800000002</v>
      </c>
      <c r="E51" s="210">
        <f>$J21</f>
        <v>628520.95600000012</v>
      </c>
      <c r="F51" s="210">
        <f>$J22</f>
        <v>628520.95600000012</v>
      </c>
      <c r="G51" s="210">
        <f>$J23</f>
        <v>718309.66400000011</v>
      </c>
      <c r="H51" s="210">
        <f>$J24</f>
        <v>808098.37199999997</v>
      </c>
      <c r="I51" s="210">
        <f>$J25</f>
        <v>808098.37199999997</v>
      </c>
      <c r="J51" s="210">
        <f>$J26</f>
        <v>897887.08</v>
      </c>
      <c r="K51" s="210">
        <f>$J27</f>
        <v>987675.78800000018</v>
      </c>
      <c r="L51" s="210">
        <f>$J28</f>
        <v>987675.78800000018</v>
      </c>
      <c r="M51" s="210">
        <f>$J29</f>
        <v>987675.78800000018</v>
      </c>
      <c r="N51" s="210">
        <f>$J30</f>
        <v>1077464.496</v>
      </c>
      <c r="O51" s="210">
        <f>$J31</f>
        <v>1257041.9120000002</v>
      </c>
      <c r="P51" s="210">
        <f>$J32</f>
        <v>1257041.9120000002</v>
      </c>
      <c r="Q51" s="210">
        <f>$J33</f>
        <v>1167253.2040000001</v>
      </c>
      <c r="R51" s="210">
        <f>$J34</f>
        <v>1167253.2040000001</v>
      </c>
      <c r="S51" s="210">
        <f>$J35</f>
        <v>897887.08</v>
      </c>
      <c r="T51" s="210">
        <f>$J36</f>
        <v>897887.08</v>
      </c>
      <c r="U51" s="210">
        <f>$J37</f>
        <v>718309.66400000011</v>
      </c>
      <c r="V51" s="210">
        <f>$J38</f>
        <v>359154.83200000005</v>
      </c>
      <c r="W51" s="210">
        <f>$J39</f>
        <v>179577.41600000003</v>
      </c>
      <c r="X51" s="210">
        <f>$J40</f>
        <v>179577.41600000003</v>
      </c>
      <c r="Y51" s="210">
        <f>$J41</f>
        <v>179577.41600000003</v>
      </c>
      <c r="Z51" s="210">
        <f>$J42</f>
        <v>179577.41600000003</v>
      </c>
      <c r="AA51" s="176">
        <f>SUM(B51:Z51)</f>
        <v>22447177.000000004</v>
      </c>
    </row>
    <row r="52" spans="1:27" x14ac:dyDescent="0.2">
      <c r="B52" s="210">
        <f>B50+B51</f>
        <v>4489435.4000000004</v>
      </c>
      <c r="C52" s="210">
        <f t="shared" ref="C52:Z52" si="10">C50+C51</f>
        <v>448943.54</v>
      </c>
      <c r="D52" s="210">
        <f t="shared" si="10"/>
        <v>538732.24800000002</v>
      </c>
      <c r="E52" s="210">
        <f t="shared" si="10"/>
        <v>628520.95600000012</v>
      </c>
      <c r="F52" s="210">
        <f t="shared" si="10"/>
        <v>628520.95600000012</v>
      </c>
      <c r="G52" s="210">
        <f t="shared" si="10"/>
        <v>718309.66400000011</v>
      </c>
      <c r="H52" s="210">
        <f t="shared" si="10"/>
        <v>808098.37199999997</v>
      </c>
      <c r="I52" s="210">
        <f t="shared" si="10"/>
        <v>808098.37199999997</v>
      </c>
      <c r="J52" s="210">
        <f t="shared" si="10"/>
        <v>897887.08</v>
      </c>
      <c r="K52" s="210">
        <f t="shared" si="10"/>
        <v>987675.78800000018</v>
      </c>
      <c r="L52" s="210">
        <f t="shared" si="10"/>
        <v>987675.78800000018</v>
      </c>
      <c r="M52" s="210">
        <f t="shared" si="10"/>
        <v>987675.78800000018</v>
      </c>
      <c r="N52" s="210">
        <f t="shared" si="10"/>
        <v>1077464.496</v>
      </c>
      <c r="O52" s="210">
        <f t="shared" si="10"/>
        <v>1257041.9120000002</v>
      </c>
      <c r="P52" s="210">
        <f t="shared" si="10"/>
        <v>1257041.9120000002</v>
      </c>
      <c r="Q52" s="210">
        <f t="shared" si="10"/>
        <v>1167253.2040000001</v>
      </c>
      <c r="R52" s="210">
        <f t="shared" si="10"/>
        <v>1167253.2040000001</v>
      </c>
      <c r="S52" s="210">
        <f t="shared" si="10"/>
        <v>897887.08</v>
      </c>
      <c r="T52" s="210">
        <f t="shared" si="10"/>
        <v>897887.08</v>
      </c>
      <c r="U52" s="210">
        <f t="shared" si="10"/>
        <v>718309.66400000011</v>
      </c>
      <c r="V52" s="210">
        <f t="shared" si="10"/>
        <v>359154.83200000005</v>
      </c>
      <c r="W52" s="210">
        <f t="shared" si="10"/>
        <v>179577.41600000003</v>
      </c>
      <c r="X52" s="210">
        <f t="shared" si="10"/>
        <v>179577.41600000003</v>
      </c>
      <c r="Y52" s="210">
        <f t="shared" si="10"/>
        <v>179577.41600000003</v>
      </c>
      <c r="Z52" s="210">
        <f t="shared" si="10"/>
        <v>179577.41600000003</v>
      </c>
      <c r="AA52" s="495">
        <f>U50+AA51</f>
        <v>22447177.000000004</v>
      </c>
    </row>
    <row r="53" spans="1:27" x14ac:dyDescent="0.2">
      <c r="B53" s="496">
        <f>SUM(B52:Z52)</f>
        <v>22447177.000000004</v>
      </c>
    </row>
    <row r="56" spans="1:27" x14ac:dyDescent="0.2">
      <c r="E56" s="176">
        <v>24034162</v>
      </c>
      <c r="F56" s="176">
        <v>25621147.000000022</v>
      </c>
      <c r="G56" s="617">
        <f>-F56+E56</f>
        <v>-1586985.0000000224</v>
      </c>
    </row>
    <row r="57" spans="1:27" x14ac:dyDescent="0.2">
      <c r="E57" s="176">
        <v>1586985</v>
      </c>
    </row>
    <row r="58" spans="1:27" x14ac:dyDescent="0.2">
      <c r="E58" s="176">
        <f>+E56-E57</f>
        <v>22447177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E7E3-5571-4A30-8789-D8562F0C7327}">
  <sheetPr>
    <pageSetUpPr fitToPage="1"/>
  </sheetPr>
  <dimension ref="A1:AA55"/>
  <sheetViews>
    <sheetView showGridLines="0" topLeftCell="A32" zoomScale="154" zoomScaleNormal="154" workbookViewId="0">
      <selection activeCell="C54" sqref="C54"/>
    </sheetView>
  </sheetViews>
  <sheetFormatPr defaultColWidth="9.140625" defaultRowHeight="12" x14ac:dyDescent="0.2"/>
  <cols>
    <col min="1" max="1" width="8.42578125" style="168" customWidth="1"/>
    <col min="2" max="2" width="23.140625" style="178" customWidth="1"/>
    <col min="3" max="3" width="15.42578125" style="176" customWidth="1"/>
    <col min="4" max="4" width="16.42578125" style="176" customWidth="1"/>
    <col min="5" max="5" width="16.140625" style="176" customWidth="1"/>
    <col min="6" max="6" width="13.7109375" style="168" customWidth="1"/>
    <col min="7" max="7" width="18.85546875" style="168" customWidth="1"/>
    <col min="8" max="8" width="15.7109375" style="173" customWidth="1"/>
    <col min="9" max="9" width="18" style="168" customWidth="1"/>
    <col min="10" max="10" width="22.7109375" style="168" customWidth="1"/>
    <col min="11" max="11" width="13.140625" style="168" bestFit="1" customWidth="1"/>
    <col min="12" max="12" width="13.42578125" style="168" customWidth="1"/>
    <col min="13" max="13" width="14.7109375" style="168" customWidth="1"/>
    <col min="14" max="14" width="14.7109375" style="168" bestFit="1" customWidth="1"/>
    <col min="15" max="19" width="14.42578125" style="168" customWidth="1"/>
    <col min="20" max="20" width="14.85546875" style="168" bestFit="1" customWidth="1"/>
    <col min="21" max="21" width="10.85546875" style="168" bestFit="1" customWidth="1"/>
    <col min="22" max="22" width="9.140625" style="168"/>
    <col min="23" max="23" width="10.28515625" style="168" bestFit="1" customWidth="1"/>
    <col min="24" max="26" width="9.140625" style="168"/>
    <col min="27" max="27" width="15.5703125" style="168" customWidth="1"/>
    <col min="28" max="256" width="9.140625" style="168"/>
    <col min="257" max="257" width="8.42578125" style="168" customWidth="1"/>
    <col min="258" max="258" width="14.42578125" style="168" customWidth="1"/>
    <col min="259" max="259" width="15.42578125" style="168" customWidth="1"/>
    <col min="260" max="260" width="16.42578125" style="168" customWidth="1"/>
    <col min="261" max="261" width="16.140625" style="168" customWidth="1"/>
    <col min="262" max="262" width="13.7109375" style="168" customWidth="1"/>
    <col min="263" max="263" width="18.85546875" style="168" customWidth="1"/>
    <col min="264" max="264" width="15.7109375" style="168" customWidth="1"/>
    <col min="265" max="266" width="16.5703125" style="168" customWidth="1"/>
    <col min="267" max="267" width="13.140625" style="168" bestFit="1" customWidth="1"/>
    <col min="268" max="268" width="13.42578125" style="168" customWidth="1"/>
    <col min="269" max="269" width="14.7109375" style="168" customWidth="1"/>
    <col min="270" max="270" width="14.7109375" style="168" bestFit="1" customWidth="1"/>
    <col min="271" max="275" width="14.42578125" style="168" customWidth="1"/>
    <col min="276" max="276" width="14.85546875" style="168" bestFit="1" customWidth="1"/>
    <col min="277" max="277" width="10.85546875" style="168" bestFit="1" customWidth="1"/>
    <col min="278" max="512" width="9.140625" style="168"/>
    <col min="513" max="513" width="8.42578125" style="168" customWidth="1"/>
    <col min="514" max="514" width="14.42578125" style="168" customWidth="1"/>
    <col min="515" max="515" width="15.42578125" style="168" customWidth="1"/>
    <col min="516" max="516" width="16.42578125" style="168" customWidth="1"/>
    <col min="517" max="517" width="16.140625" style="168" customWidth="1"/>
    <col min="518" max="518" width="13.7109375" style="168" customWidth="1"/>
    <col min="519" max="519" width="18.85546875" style="168" customWidth="1"/>
    <col min="520" max="520" width="15.7109375" style="168" customWidth="1"/>
    <col min="521" max="522" width="16.5703125" style="168" customWidth="1"/>
    <col min="523" max="523" width="13.140625" style="168" bestFit="1" customWidth="1"/>
    <col min="524" max="524" width="13.42578125" style="168" customWidth="1"/>
    <col min="525" max="525" width="14.7109375" style="168" customWidth="1"/>
    <col min="526" max="526" width="14.7109375" style="168" bestFit="1" customWidth="1"/>
    <col min="527" max="531" width="14.42578125" style="168" customWidth="1"/>
    <col min="532" max="532" width="14.85546875" style="168" bestFit="1" customWidth="1"/>
    <col min="533" max="533" width="10.85546875" style="168" bestFit="1" customWidth="1"/>
    <col min="534" max="768" width="9.140625" style="168"/>
    <col min="769" max="769" width="8.42578125" style="168" customWidth="1"/>
    <col min="770" max="770" width="14.42578125" style="168" customWidth="1"/>
    <col min="771" max="771" width="15.42578125" style="168" customWidth="1"/>
    <col min="772" max="772" width="16.42578125" style="168" customWidth="1"/>
    <col min="773" max="773" width="16.140625" style="168" customWidth="1"/>
    <col min="774" max="774" width="13.7109375" style="168" customWidth="1"/>
    <col min="775" max="775" width="18.85546875" style="168" customWidth="1"/>
    <col min="776" max="776" width="15.7109375" style="168" customWidth="1"/>
    <col min="777" max="778" width="16.5703125" style="168" customWidth="1"/>
    <col min="779" max="779" width="13.140625" style="168" bestFit="1" customWidth="1"/>
    <col min="780" max="780" width="13.42578125" style="168" customWidth="1"/>
    <col min="781" max="781" width="14.7109375" style="168" customWidth="1"/>
    <col min="782" max="782" width="14.7109375" style="168" bestFit="1" customWidth="1"/>
    <col min="783" max="787" width="14.42578125" style="168" customWidth="1"/>
    <col min="788" max="788" width="14.85546875" style="168" bestFit="1" customWidth="1"/>
    <col min="789" max="789" width="10.85546875" style="168" bestFit="1" customWidth="1"/>
    <col min="790" max="1024" width="9.140625" style="168"/>
    <col min="1025" max="1025" width="8.42578125" style="168" customWidth="1"/>
    <col min="1026" max="1026" width="14.42578125" style="168" customWidth="1"/>
    <col min="1027" max="1027" width="15.42578125" style="168" customWidth="1"/>
    <col min="1028" max="1028" width="16.42578125" style="168" customWidth="1"/>
    <col min="1029" max="1029" width="16.140625" style="168" customWidth="1"/>
    <col min="1030" max="1030" width="13.7109375" style="168" customWidth="1"/>
    <col min="1031" max="1031" width="18.85546875" style="168" customWidth="1"/>
    <col min="1032" max="1032" width="15.7109375" style="168" customWidth="1"/>
    <col min="1033" max="1034" width="16.5703125" style="168" customWidth="1"/>
    <col min="1035" max="1035" width="13.140625" style="168" bestFit="1" customWidth="1"/>
    <col min="1036" max="1036" width="13.42578125" style="168" customWidth="1"/>
    <col min="1037" max="1037" width="14.7109375" style="168" customWidth="1"/>
    <col min="1038" max="1038" width="14.7109375" style="168" bestFit="1" customWidth="1"/>
    <col min="1039" max="1043" width="14.42578125" style="168" customWidth="1"/>
    <col min="1044" max="1044" width="14.85546875" style="168" bestFit="1" customWidth="1"/>
    <col min="1045" max="1045" width="10.85546875" style="168" bestFit="1" customWidth="1"/>
    <col min="1046" max="1280" width="9.140625" style="168"/>
    <col min="1281" max="1281" width="8.42578125" style="168" customWidth="1"/>
    <col min="1282" max="1282" width="14.42578125" style="168" customWidth="1"/>
    <col min="1283" max="1283" width="15.42578125" style="168" customWidth="1"/>
    <col min="1284" max="1284" width="16.42578125" style="168" customWidth="1"/>
    <col min="1285" max="1285" width="16.140625" style="168" customWidth="1"/>
    <col min="1286" max="1286" width="13.7109375" style="168" customWidth="1"/>
    <col min="1287" max="1287" width="18.85546875" style="168" customWidth="1"/>
    <col min="1288" max="1288" width="15.7109375" style="168" customWidth="1"/>
    <col min="1289" max="1290" width="16.5703125" style="168" customWidth="1"/>
    <col min="1291" max="1291" width="13.140625" style="168" bestFit="1" customWidth="1"/>
    <col min="1292" max="1292" width="13.42578125" style="168" customWidth="1"/>
    <col min="1293" max="1293" width="14.7109375" style="168" customWidth="1"/>
    <col min="1294" max="1294" width="14.7109375" style="168" bestFit="1" customWidth="1"/>
    <col min="1295" max="1299" width="14.42578125" style="168" customWidth="1"/>
    <col min="1300" max="1300" width="14.85546875" style="168" bestFit="1" customWidth="1"/>
    <col min="1301" max="1301" width="10.85546875" style="168" bestFit="1" customWidth="1"/>
    <col min="1302" max="1536" width="9.140625" style="168"/>
    <col min="1537" max="1537" width="8.42578125" style="168" customWidth="1"/>
    <col min="1538" max="1538" width="14.42578125" style="168" customWidth="1"/>
    <col min="1539" max="1539" width="15.42578125" style="168" customWidth="1"/>
    <col min="1540" max="1540" width="16.42578125" style="168" customWidth="1"/>
    <col min="1541" max="1541" width="16.140625" style="168" customWidth="1"/>
    <col min="1542" max="1542" width="13.7109375" style="168" customWidth="1"/>
    <col min="1543" max="1543" width="18.85546875" style="168" customWidth="1"/>
    <col min="1544" max="1544" width="15.7109375" style="168" customWidth="1"/>
    <col min="1545" max="1546" width="16.5703125" style="168" customWidth="1"/>
    <col min="1547" max="1547" width="13.140625" style="168" bestFit="1" customWidth="1"/>
    <col min="1548" max="1548" width="13.42578125" style="168" customWidth="1"/>
    <col min="1549" max="1549" width="14.7109375" style="168" customWidth="1"/>
    <col min="1550" max="1550" width="14.7109375" style="168" bestFit="1" customWidth="1"/>
    <col min="1551" max="1555" width="14.42578125" style="168" customWidth="1"/>
    <col min="1556" max="1556" width="14.85546875" style="168" bestFit="1" customWidth="1"/>
    <col min="1557" max="1557" width="10.85546875" style="168" bestFit="1" customWidth="1"/>
    <col min="1558" max="1792" width="9.140625" style="168"/>
    <col min="1793" max="1793" width="8.42578125" style="168" customWidth="1"/>
    <col min="1794" max="1794" width="14.42578125" style="168" customWidth="1"/>
    <col min="1795" max="1795" width="15.42578125" style="168" customWidth="1"/>
    <col min="1796" max="1796" width="16.42578125" style="168" customWidth="1"/>
    <col min="1797" max="1797" width="16.140625" style="168" customWidth="1"/>
    <col min="1798" max="1798" width="13.7109375" style="168" customWidth="1"/>
    <col min="1799" max="1799" width="18.85546875" style="168" customWidth="1"/>
    <col min="1800" max="1800" width="15.7109375" style="168" customWidth="1"/>
    <col min="1801" max="1802" width="16.5703125" style="168" customWidth="1"/>
    <col min="1803" max="1803" width="13.140625" style="168" bestFit="1" customWidth="1"/>
    <col min="1804" max="1804" width="13.42578125" style="168" customWidth="1"/>
    <col min="1805" max="1805" width="14.7109375" style="168" customWidth="1"/>
    <col min="1806" max="1806" width="14.7109375" style="168" bestFit="1" customWidth="1"/>
    <col min="1807" max="1811" width="14.42578125" style="168" customWidth="1"/>
    <col min="1812" max="1812" width="14.85546875" style="168" bestFit="1" customWidth="1"/>
    <col min="1813" max="1813" width="10.85546875" style="168" bestFit="1" customWidth="1"/>
    <col min="1814" max="2048" width="9.140625" style="168"/>
    <col min="2049" max="2049" width="8.42578125" style="168" customWidth="1"/>
    <col min="2050" max="2050" width="14.42578125" style="168" customWidth="1"/>
    <col min="2051" max="2051" width="15.42578125" style="168" customWidth="1"/>
    <col min="2052" max="2052" width="16.42578125" style="168" customWidth="1"/>
    <col min="2053" max="2053" width="16.140625" style="168" customWidth="1"/>
    <col min="2054" max="2054" width="13.7109375" style="168" customWidth="1"/>
    <col min="2055" max="2055" width="18.85546875" style="168" customWidth="1"/>
    <col min="2056" max="2056" width="15.7109375" style="168" customWidth="1"/>
    <col min="2057" max="2058" width="16.5703125" style="168" customWidth="1"/>
    <col min="2059" max="2059" width="13.140625" style="168" bestFit="1" customWidth="1"/>
    <col min="2060" max="2060" width="13.42578125" style="168" customWidth="1"/>
    <col min="2061" max="2061" width="14.7109375" style="168" customWidth="1"/>
    <col min="2062" max="2062" width="14.7109375" style="168" bestFit="1" customWidth="1"/>
    <col min="2063" max="2067" width="14.42578125" style="168" customWidth="1"/>
    <col min="2068" max="2068" width="14.85546875" style="168" bestFit="1" customWidth="1"/>
    <col min="2069" max="2069" width="10.85546875" style="168" bestFit="1" customWidth="1"/>
    <col min="2070" max="2304" width="9.140625" style="168"/>
    <col min="2305" max="2305" width="8.42578125" style="168" customWidth="1"/>
    <col min="2306" max="2306" width="14.42578125" style="168" customWidth="1"/>
    <col min="2307" max="2307" width="15.42578125" style="168" customWidth="1"/>
    <col min="2308" max="2308" width="16.42578125" style="168" customWidth="1"/>
    <col min="2309" max="2309" width="16.140625" style="168" customWidth="1"/>
    <col min="2310" max="2310" width="13.7109375" style="168" customWidth="1"/>
    <col min="2311" max="2311" width="18.85546875" style="168" customWidth="1"/>
    <col min="2312" max="2312" width="15.7109375" style="168" customWidth="1"/>
    <col min="2313" max="2314" width="16.5703125" style="168" customWidth="1"/>
    <col min="2315" max="2315" width="13.140625" style="168" bestFit="1" customWidth="1"/>
    <col min="2316" max="2316" width="13.42578125" style="168" customWidth="1"/>
    <col min="2317" max="2317" width="14.7109375" style="168" customWidth="1"/>
    <col min="2318" max="2318" width="14.7109375" style="168" bestFit="1" customWidth="1"/>
    <col min="2319" max="2323" width="14.42578125" style="168" customWidth="1"/>
    <col min="2324" max="2324" width="14.85546875" style="168" bestFit="1" customWidth="1"/>
    <col min="2325" max="2325" width="10.85546875" style="168" bestFit="1" customWidth="1"/>
    <col min="2326" max="2560" width="9.140625" style="168"/>
    <col min="2561" max="2561" width="8.42578125" style="168" customWidth="1"/>
    <col min="2562" max="2562" width="14.42578125" style="168" customWidth="1"/>
    <col min="2563" max="2563" width="15.42578125" style="168" customWidth="1"/>
    <col min="2564" max="2564" width="16.42578125" style="168" customWidth="1"/>
    <col min="2565" max="2565" width="16.140625" style="168" customWidth="1"/>
    <col min="2566" max="2566" width="13.7109375" style="168" customWidth="1"/>
    <col min="2567" max="2567" width="18.85546875" style="168" customWidth="1"/>
    <col min="2568" max="2568" width="15.7109375" style="168" customWidth="1"/>
    <col min="2569" max="2570" width="16.5703125" style="168" customWidth="1"/>
    <col min="2571" max="2571" width="13.140625" style="168" bestFit="1" customWidth="1"/>
    <col min="2572" max="2572" width="13.42578125" style="168" customWidth="1"/>
    <col min="2573" max="2573" width="14.7109375" style="168" customWidth="1"/>
    <col min="2574" max="2574" width="14.7109375" style="168" bestFit="1" customWidth="1"/>
    <col min="2575" max="2579" width="14.42578125" style="168" customWidth="1"/>
    <col min="2580" max="2580" width="14.85546875" style="168" bestFit="1" customWidth="1"/>
    <col min="2581" max="2581" width="10.85546875" style="168" bestFit="1" customWidth="1"/>
    <col min="2582" max="2816" width="9.140625" style="168"/>
    <col min="2817" max="2817" width="8.42578125" style="168" customWidth="1"/>
    <col min="2818" max="2818" width="14.42578125" style="168" customWidth="1"/>
    <col min="2819" max="2819" width="15.42578125" style="168" customWidth="1"/>
    <col min="2820" max="2820" width="16.42578125" style="168" customWidth="1"/>
    <col min="2821" max="2821" width="16.140625" style="168" customWidth="1"/>
    <col min="2822" max="2822" width="13.7109375" style="168" customWidth="1"/>
    <col min="2823" max="2823" width="18.85546875" style="168" customWidth="1"/>
    <col min="2824" max="2824" width="15.7109375" style="168" customWidth="1"/>
    <col min="2825" max="2826" width="16.5703125" style="168" customWidth="1"/>
    <col min="2827" max="2827" width="13.140625" style="168" bestFit="1" customWidth="1"/>
    <col min="2828" max="2828" width="13.42578125" style="168" customWidth="1"/>
    <col min="2829" max="2829" width="14.7109375" style="168" customWidth="1"/>
    <col min="2830" max="2830" width="14.7109375" style="168" bestFit="1" customWidth="1"/>
    <col min="2831" max="2835" width="14.42578125" style="168" customWidth="1"/>
    <col min="2836" max="2836" width="14.85546875" style="168" bestFit="1" customWidth="1"/>
    <col min="2837" max="2837" width="10.85546875" style="168" bestFit="1" customWidth="1"/>
    <col min="2838" max="3072" width="9.140625" style="168"/>
    <col min="3073" max="3073" width="8.42578125" style="168" customWidth="1"/>
    <col min="3074" max="3074" width="14.42578125" style="168" customWidth="1"/>
    <col min="3075" max="3075" width="15.42578125" style="168" customWidth="1"/>
    <col min="3076" max="3076" width="16.42578125" style="168" customWidth="1"/>
    <col min="3077" max="3077" width="16.140625" style="168" customWidth="1"/>
    <col min="3078" max="3078" width="13.7109375" style="168" customWidth="1"/>
    <col min="3079" max="3079" width="18.85546875" style="168" customWidth="1"/>
    <col min="3080" max="3080" width="15.7109375" style="168" customWidth="1"/>
    <col min="3081" max="3082" width="16.5703125" style="168" customWidth="1"/>
    <col min="3083" max="3083" width="13.140625" style="168" bestFit="1" customWidth="1"/>
    <col min="3084" max="3084" width="13.42578125" style="168" customWidth="1"/>
    <col min="3085" max="3085" width="14.7109375" style="168" customWidth="1"/>
    <col min="3086" max="3086" width="14.7109375" style="168" bestFit="1" customWidth="1"/>
    <col min="3087" max="3091" width="14.42578125" style="168" customWidth="1"/>
    <col min="3092" max="3092" width="14.85546875" style="168" bestFit="1" customWidth="1"/>
    <col min="3093" max="3093" width="10.85546875" style="168" bestFit="1" customWidth="1"/>
    <col min="3094" max="3328" width="9.140625" style="168"/>
    <col min="3329" max="3329" width="8.42578125" style="168" customWidth="1"/>
    <col min="3330" max="3330" width="14.42578125" style="168" customWidth="1"/>
    <col min="3331" max="3331" width="15.42578125" style="168" customWidth="1"/>
    <col min="3332" max="3332" width="16.42578125" style="168" customWidth="1"/>
    <col min="3333" max="3333" width="16.140625" style="168" customWidth="1"/>
    <col min="3334" max="3334" width="13.7109375" style="168" customWidth="1"/>
    <col min="3335" max="3335" width="18.85546875" style="168" customWidth="1"/>
    <col min="3336" max="3336" width="15.7109375" style="168" customWidth="1"/>
    <col min="3337" max="3338" width="16.5703125" style="168" customWidth="1"/>
    <col min="3339" max="3339" width="13.140625" style="168" bestFit="1" customWidth="1"/>
    <col min="3340" max="3340" width="13.42578125" style="168" customWidth="1"/>
    <col min="3341" max="3341" width="14.7109375" style="168" customWidth="1"/>
    <col min="3342" max="3342" width="14.7109375" style="168" bestFit="1" customWidth="1"/>
    <col min="3343" max="3347" width="14.42578125" style="168" customWidth="1"/>
    <col min="3348" max="3348" width="14.85546875" style="168" bestFit="1" customWidth="1"/>
    <col min="3349" max="3349" width="10.85546875" style="168" bestFit="1" customWidth="1"/>
    <col min="3350" max="3584" width="9.140625" style="168"/>
    <col min="3585" max="3585" width="8.42578125" style="168" customWidth="1"/>
    <col min="3586" max="3586" width="14.42578125" style="168" customWidth="1"/>
    <col min="3587" max="3587" width="15.42578125" style="168" customWidth="1"/>
    <col min="3588" max="3588" width="16.42578125" style="168" customWidth="1"/>
    <col min="3589" max="3589" width="16.140625" style="168" customWidth="1"/>
    <col min="3590" max="3590" width="13.7109375" style="168" customWidth="1"/>
    <col min="3591" max="3591" width="18.85546875" style="168" customWidth="1"/>
    <col min="3592" max="3592" width="15.7109375" style="168" customWidth="1"/>
    <col min="3593" max="3594" width="16.5703125" style="168" customWidth="1"/>
    <col min="3595" max="3595" width="13.140625" style="168" bestFit="1" customWidth="1"/>
    <col min="3596" max="3596" width="13.42578125" style="168" customWidth="1"/>
    <col min="3597" max="3597" width="14.7109375" style="168" customWidth="1"/>
    <col min="3598" max="3598" width="14.7109375" style="168" bestFit="1" customWidth="1"/>
    <col min="3599" max="3603" width="14.42578125" style="168" customWidth="1"/>
    <col min="3604" max="3604" width="14.85546875" style="168" bestFit="1" customWidth="1"/>
    <col min="3605" max="3605" width="10.85546875" style="168" bestFit="1" customWidth="1"/>
    <col min="3606" max="3840" width="9.140625" style="168"/>
    <col min="3841" max="3841" width="8.42578125" style="168" customWidth="1"/>
    <col min="3842" max="3842" width="14.42578125" style="168" customWidth="1"/>
    <col min="3843" max="3843" width="15.42578125" style="168" customWidth="1"/>
    <col min="3844" max="3844" width="16.42578125" style="168" customWidth="1"/>
    <col min="3845" max="3845" width="16.140625" style="168" customWidth="1"/>
    <col min="3846" max="3846" width="13.7109375" style="168" customWidth="1"/>
    <col min="3847" max="3847" width="18.85546875" style="168" customWidth="1"/>
    <col min="3848" max="3848" width="15.7109375" style="168" customWidth="1"/>
    <col min="3849" max="3850" width="16.5703125" style="168" customWidth="1"/>
    <col min="3851" max="3851" width="13.140625" style="168" bestFit="1" customWidth="1"/>
    <col min="3852" max="3852" width="13.42578125" style="168" customWidth="1"/>
    <col min="3853" max="3853" width="14.7109375" style="168" customWidth="1"/>
    <col min="3854" max="3854" width="14.7109375" style="168" bestFit="1" customWidth="1"/>
    <col min="3855" max="3859" width="14.42578125" style="168" customWidth="1"/>
    <col min="3860" max="3860" width="14.85546875" style="168" bestFit="1" customWidth="1"/>
    <col min="3861" max="3861" width="10.85546875" style="168" bestFit="1" customWidth="1"/>
    <col min="3862" max="4096" width="9.140625" style="168"/>
    <col min="4097" max="4097" width="8.42578125" style="168" customWidth="1"/>
    <col min="4098" max="4098" width="14.42578125" style="168" customWidth="1"/>
    <col min="4099" max="4099" width="15.42578125" style="168" customWidth="1"/>
    <col min="4100" max="4100" width="16.42578125" style="168" customWidth="1"/>
    <col min="4101" max="4101" width="16.140625" style="168" customWidth="1"/>
    <col min="4102" max="4102" width="13.7109375" style="168" customWidth="1"/>
    <col min="4103" max="4103" width="18.85546875" style="168" customWidth="1"/>
    <col min="4104" max="4104" width="15.7109375" style="168" customWidth="1"/>
    <col min="4105" max="4106" width="16.5703125" style="168" customWidth="1"/>
    <col min="4107" max="4107" width="13.140625" style="168" bestFit="1" customWidth="1"/>
    <col min="4108" max="4108" width="13.42578125" style="168" customWidth="1"/>
    <col min="4109" max="4109" width="14.7109375" style="168" customWidth="1"/>
    <col min="4110" max="4110" width="14.7109375" style="168" bestFit="1" customWidth="1"/>
    <col min="4111" max="4115" width="14.42578125" style="168" customWidth="1"/>
    <col min="4116" max="4116" width="14.85546875" style="168" bestFit="1" customWidth="1"/>
    <col min="4117" max="4117" width="10.85546875" style="168" bestFit="1" customWidth="1"/>
    <col min="4118" max="4352" width="9.140625" style="168"/>
    <col min="4353" max="4353" width="8.42578125" style="168" customWidth="1"/>
    <col min="4354" max="4354" width="14.42578125" style="168" customWidth="1"/>
    <col min="4355" max="4355" width="15.42578125" style="168" customWidth="1"/>
    <col min="4356" max="4356" width="16.42578125" style="168" customWidth="1"/>
    <col min="4357" max="4357" width="16.140625" style="168" customWidth="1"/>
    <col min="4358" max="4358" width="13.7109375" style="168" customWidth="1"/>
    <col min="4359" max="4359" width="18.85546875" style="168" customWidth="1"/>
    <col min="4360" max="4360" width="15.7109375" style="168" customWidth="1"/>
    <col min="4361" max="4362" width="16.5703125" style="168" customWidth="1"/>
    <col min="4363" max="4363" width="13.140625" style="168" bestFit="1" customWidth="1"/>
    <col min="4364" max="4364" width="13.42578125" style="168" customWidth="1"/>
    <col min="4365" max="4365" width="14.7109375" style="168" customWidth="1"/>
    <col min="4366" max="4366" width="14.7109375" style="168" bestFit="1" customWidth="1"/>
    <col min="4367" max="4371" width="14.42578125" style="168" customWidth="1"/>
    <col min="4372" max="4372" width="14.85546875" style="168" bestFit="1" customWidth="1"/>
    <col min="4373" max="4373" width="10.85546875" style="168" bestFit="1" customWidth="1"/>
    <col min="4374" max="4608" width="9.140625" style="168"/>
    <col min="4609" max="4609" width="8.42578125" style="168" customWidth="1"/>
    <col min="4610" max="4610" width="14.42578125" style="168" customWidth="1"/>
    <col min="4611" max="4611" width="15.42578125" style="168" customWidth="1"/>
    <col min="4612" max="4612" width="16.42578125" style="168" customWidth="1"/>
    <col min="4613" max="4613" width="16.140625" style="168" customWidth="1"/>
    <col min="4614" max="4614" width="13.7109375" style="168" customWidth="1"/>
    <col min="4615" max="4615" width="18.85546875" style="168" customWidth="1"/>
    <col min="4616" max="4616" width="15.7109375" style="168" customWidth="1"/>
    <col min="4617" max="4618" width="16.5703125" style="168" customWidth="1"/>
    <col min="4619" max="4619" width="13.140625" style="168" bestFit="1" customWidth="1"/>
    <col min="4620" max="4620" width="13.42578125" style="168" customWidth="1"/>
    <col min="4621" max="4621" width="14.7109375" style="168" customWidth="1"/>
    <col min="4622" max="4622" width="14.7109375" style="168" bestFit="1" customWidth="1"/>
    <col min="4623" max="4627" width="14.42578125" style="168" customWidth="1"/>
    <col min="4628" max="4628" width="14.85546875" style="168" bestFit="1" customWidth="1"/>
    <col min="4629" max="4629" width="10.85546875" style="168" bestFit="1" customWidth="1"/>
    <col min="4630" max="4864" width="9.140625" style="168"/>
    <col min="4865" max="4865" width="8.42578125" style="168" customWidth="1"/>
    <col min="4866" max="4866" width="14.42578125" style="168" customWidth="1"/>
    <col min="4867" max="4867" width="15.42578125" style="168" customWidth="1"/>
    <col min="4868" max="4868" width="16.42578125" style="168" customWidth="1"/>
    <col min="4869" max="4869" width="16.140625" style="168" customWidth="1"/>
    <col min="4870" max="4870" width="13.7109375" style="168" customWidth="1"/>
    <col min="4871" max="4871" width="18.85546875" style="168" customWidth="1"/>
    <col min="4872" max="4872" width="15.7109375" style="168" customWidth="1"/>
    <col min="4873" max="4874" width="16.5703125" style="168" customWidth="1"/>
    <col min="4875" max="4875" width="13.140625" style="168" bestFit="1" customWidth="1"/>
    <col min="4876" max="4876" width="13.42578125" style="168" customWidth="1"/>
    <col min="4877" max="4877" width="14.7109375" style="168" customWidth="1"/>
    <col min="4878" max="4878" width="14.7109375" style="168" bestFit="1" customWidth="1"/>
    <col min="4879" max="4883" width="14.42578125" style="168" customWidth="1"/>
    <col min="4884" max="4884" width="14.85546875" style="168" bestFit="1" customWidth="1"/>
    <col min="4885" max="4885" width="10.85546875" style="168" bestFit="1" customWidth="1"/>
    <col min="4886" max="5120" width="9.140625" style="168"/>
    <col min="5121" max="5121" width="8.42578125" style="168" customWidth="1"/>
    <col min="5122" max="5122" width="14.42578125" style="168" customWidth="1"/>
    <col min="5123" max="5123" width="15.42578125" style="168" customWidth="1"/>
    <col min="5124" max="5124" width="16.42578125" style="168" customWidth="1"/>
    <col min="5125" max="5125" width="16.140625" style="168" customWidth="1"/>
    <col min="5126" max="5126" width="13.7109375" style="168" customWidth="1"/>
    <col min="5127" max="5127" width="18.85546875" style="168" customWidth="1"/>
    <col min="5128" max="5128" width="15.7109375" style="168" customWidth="1"/>
    <col min="5129" max="5130" width="16.5703125" style="168" customWidth="1"/>
    <col min="5131" max="5131" width="13.140625" style="168" bestFit="1" customWidth="1"/>
    <col min="5132" max="5132" width="13.42578125" style="168" customWidth="1"/>
    <col min="5133" max="5133" width="14.7109375" style="168" customWidth="1"/>
    <col min="5134" max="5134" width="14.7109375" style="168" bestFit="1" customWidth="1"/>
    <col min="5135" max="5139" width="14.42578125" style="168" customWidth="1"/>
    <col min="5140" max="5140" width="14.85546875" style="168" bestFit="1" customWidth="1"/>
    <col min="5141" max="5141" width="10.85546875" style="168" bestFit="1" customWidth="1"/>
    <col min="5142" max="5376" width="9.140625" style="168"/>
    <col min="5377" max="5377" width="8.42578125" style="168" customWidth="1"/>
    <col min="5378" max="5378" width="14.42578125" style="168" customWidth="1"/>
    <col min="5379" max="5379" width="15.42578125" style="168" customWidth="1"/>
    <col min="5380" max="5380" width="16.42578125" style="168" customWidth="1"/>
    <col min="5381" max="5381" width="16.140625" style="168" customWidth="1"/>
    <col min="5382" max="5382" width="13.7109375" style="168" customWidth="1"/>
    <col min="5383" max="5383" width="18.85546875" style="168" customWidth="1"/>
    <col min="5384" max="5384" width="15.7109375" style="168" customWidth="1"/>
    <col min="5385" max="5386" width="16.5703125" style="168" customWidth="1"/>
    <col min="5387" max="5387" width="13.140625" style="168" bestFit="1" customWidth="1"/>
    <col min="5388" max="5388" width="13.42578125" style="168" customWidth="1"/>
    <col min="5389" max="5389" width="14.7109375" style="168" customWidth="1"/>
    <col min="5390" max="5390" width="14.7109375" style="168" bestFit="1" customWidth="1"/>
    <col min="5391" max="5395" width="14.42578125" style="168" customWidth="1"/>
    <col min="5396" max="5396" width="14.85546875" style="168" bestFit="1" customWidth="1"/>
    <col min="5397" max="5397" width="10.85546875" style="168" bestFit="1" customWidth="1"/>
    <col min="5398" max="5632" width="9.140625" style="168"/>
    <col min="5633" max="5633" width="8.42578125" style="168" customWidth="1"/>
    <col min="5634" max="5634" width="14.42578125" style="168" customWidth="1"/>
    <col min="5635" max="5635" width="15.42578125" style="168" customWidth="1"/>
    <col min="5636" max="5636" width="16.42578125" style="168" customWidth="1"/>
    <col min="5637" max="5637" width="16.140625" style="168" customWidth="1"/>
    <col min="5638" max="5638" width="13.7109375" style="168" customWidth="1"/>
    <col min="5639" max="5639" width="18.85546875" style="168" customWidth="1"/>
    <col min="5640" max="5640" width="15.7109375" style="168" customWidth="1"/>
    <col min="5641" max="5642" width="16.5703125" style="168" customWidth="1"/>
    <col min="5643" max="5643" width="13.140625" style="168" bestFit="1" customWidth="1"/>
    <col min="5644" max="5644" width="13.42578125" style="168" customWidth="1"/>
    <col min="5645" max="5645" width="14.7109375" style="168" customWidth="1"/>
    <col min="5646" max="5646" width="14.7109375" style="168" bestFit="1" customWidth="1"/>
    <col min="5647" max="5651" width="14.42578125" style="168" customWidth="1"/>
    <col min="5652" max="5652" width="14.85546875" style="168" bestFit="1" customWidth="1"/>
    <col min="5653" max="5653" width="10.85546875" style="168" bestFit="1" customWidth="1"/>
    <col min="5654" max="5888" width="9.140625" style="168"/>
    <col min="5889" max="5889" width="8.42578125" style="168" customWidth="1"/>
    <col min="5890" max="5890" width="14.42578125" style="168" customWidth="1"/>
    <col min="5891" max="5891" width="15.42578125" style="168" customWidth="1"/>
    <col min="5892" max="5892" width="16.42578125" style="168" customWidth="1"/>
    <col min="5893" max="5893" width="16.140625" style="168" customWidth="1"/>
    <col min="5894" max="5894" width="13.7109375" style="168" customWidth="1"/>
    <col min="5895" max="5895" width="18.85546875" style="168" customWidth="1"/>
    <col min="5896" max="5896" width="15.7109375" style="168" customWidth="1"/>
    <col min="5897" max="5898" width="16.5703125" style="168" customWidth="1"/>
    <col min="5899" max="5899" width="13.140625" style="168" bestFit="1" customWidth="1"/>
    <col min="5900" max="5900" width="13.42578125" style="168" customWidth="1"/>
    <col min="5901" max="5901" width="14.7109375" style="168" customWidth="1"/>
    <col min="5902" max="5902" width="14.7109375" style="168" bestFit="1" customWidth="1"/>
    <col min="5903" max="5907" width="14.42578125" style="168" customWidth="1"/>
    <col min="5908" max="5908" width="14.85546875" style="168" bestFit="1" customWidth="1"/>
    <col min="5909" max="5909" width="10.85546875" style="168" bestFit="1" customWidth="1"/>
    <col min="5910" max="6144" width="9.140625" style="168"/>
    <col min="6145" max="6145" width="8.42578125" style="168" customWidth="1"/>
    <col min="6146" max="6146" width="14.42578125" style="168" customWidth="1"/>
    <col min="6147" max="6147" width="15.42578125" style="168" customWidth="1"/>
    <col min="6148" max="6148" width="16.42578125" style="168" customWidth="1"/>
    <col min="6149" max="6149" width="16.140625" style="168" customWidth="1"/>
    <col min="6150" max="6150" width="13.7109375" style="168" customWidth="1"/>
    <col min="6151" max="6151" width="18.85546875" style="168" customWidth="1"/>
    <col min="6152" max="6152" width="15.7109375" style="168" customWidth="1"/>
    <col min="6153" max="6154" width="16.5703125" style="168" customWidth="1"/>
    <col min="6155" max="6155" width="13.140625" style="168" bestFit="1" customWidth="1"/>
    <col min="6156" max="6156" width="13.42578125" style="168" customWidth="1"/>
    <col min="6157" max="6157" width="14.7109375" style="168" customWidth="1"/>
    <col min="6158" max="6158" width="14.7109375" style="168" bestFit="1" customWidth="1"/>
    <col min="6159" max="6163" width="14.42578125" style="168" customWidth="1"/>
    <col min="6164" max="6164" width="14.85546875" style="168" bestFit="1" customWidth="1"/>
    <col min="6165" max="6165" width="10.85546875" style="168" bestFit="1" customWidth="1"/>
    <col min="6166" max="6400" width="9.140625" style="168"/>
    <col min="6401" max="6401" width="8.42578125" style="168" customWidth="1"/>
    <col min="6402" max="6402" width="14.42578125" style="168" customWidth="1"/>
    <col min="6403" max="6403" width="15.42578125" style="168" customWidth="1"/>
    <col min="6404" max="6404" width="16.42578125" style="168" customWidth="1"/>
    <col min="6405" max="6405" width="16.140625" style="168" customWidth="1"/>
    <col min="6406" max="6406" width="13.7109375" style="168" customWidth="1"/>
    <col min="6407" max="6407" width="18.85546875" style="168" customWidth="1"/>
    <col min="6408" max="6408" width="15.7109375" style="168" customWidth="1"/>
    <col min="6409" max="6410" width="16.5703125" style="168" customWidth="1"/>
    <col min="6411" max="6411" width="13.140625" style="168" bestFit="1" customWidth="1"/>
    <col min="6412" max="6412" width="13.42578125" style="168" customWidth="1"/>
    <col min="6413" max="6413" width="14.7109375" style="168" customWidth="1"/>
    <col min="6414" max="6414" width="14.7109375" style="168" bestFit="1" customWidth="1"/>
    <col min="6415" max="6419" width="14.42578125" style="168" customWidth="1"/>
    <col min="6420" max="6420" width="14.85546875" style="168" bestFit="1" customWidth="1"/>
    <col min="6421" max="6421" width="10.85546875" style="168" bestFit="1" customWidth="1"/>
    <col min="6422" max="6656" width="9.140625" style="168"/>
    <col min="6657" max="6657" width="8.42578125" style="168" customWidth="1"/>
    <col min="6658" max="6658" width="14.42578125" style="168" customWidth="1"/>
    <col min="6659" max="6659" width="15.42578125" style="168" customWidth="1"/>
    <col min="6660" max="6660" width="16.42578125" style="168" customWidth="1"/>
    <col min="6661" max="6661" width="16.140625" style="168" customWidth="1"/>
    <col min="6662" max="6662" width="13.7109375" style="168" customWidth="1"/>
    <col min="6663" max="6663" width="18.85546875" style="168" customWidth="1"/>
    <col min="6664" max="6664" width="15.7109375" style="168" customWidth="1"/>
    <col min="6665" max="6666" width="16.5703125" style="168" customWidth="1"/>
    <col min="6667" max="6667" width="13.140625" style="168" bestFit="1" customWidth="1"/>
    <col min="6668" max="6668" width="13.42578125" style="168" customWidth="1"/>
    <col min="6669" max="6669" width="14.7109375" style="168" customWidth="1"/>
    <col min="6670" max="6670" width="14.7109375" style="168" bestFit="1" customWidth="1"/>
    <col min="6671" max="6675" width="14.42578125" style="168" customWidth="1"/>
    <col min="6676" max="6676" width="14.85546875" style="168" bestFit="1" customWidth="1"/>
    <col min="6677" max="6677" width="10.85546875" style="168" bestFit="1" customWidth="1"/>
    <col min="6678" max="6912" width="9.140625" style="168"/>
    <col min="6913" max="6913" width="8.42578125" style="168" customWidth="1"/>
    <col min="6914" max="6914" width="14.42578125" style="168" customWidth="1"/>
    <col min="6915" max="6915" width="15.42578125" style="168" customWidth="1"/>
    <col min="6916" max="6916" width="16.42578125" style="168" customWidth="1"/>
    <col min="6917" max="6917" width="16.140625" style="168" customWidth="1"/>
    <col min="6918" max="6918" width="13.7109375" style="168" customWidth="1"/>
    <col min="6919" max="6919" width="18.85546875" style="168" customWidth="1"/>
    <col min="6920" max="6920" width="15.7109375" style="168" customWidth="1"/>
    <col min="6921" max="6922" width="16.5703125" style="168" customWidth="1"/>
    <col min="6923" max="6923" width="13.140625" style="168" bestFit="1" customWidth="1"/>
    <col min="6924" max="6924" width="13.42578125" style="168" customWidth="1"/>
    <col min="6925" max="6925" width="14.7109375" style="168" customWidth="1"/>
    <col min="6926" max="6926" width="14.7109375" style="168" bestFit="1" customWidth="1"/>
    <col min="6927" max="6931" width="14.42578125" style="168" customWidth="1"/>
    <col min="6932" max="6932" width="14.85546875" style="168" bestFit="1" customWidth="1"/>
    <col min="6933" max="6933" width="10.85546875" style="168" bestFit="1" customWidth="1"/>
    <col min="6934" max="7168" width="9.140625" style="168"/>
    <col min="7169" max="7169" width="8.42578125" style="168" customWidth="1"/>
    <col min="7170" max="7170" width="14.42578125" style="168" customWidth="1"/>
    <col min="7171" max="7171" width="15.42578125" style="168" customWidth="1"/>
    <col min="7172" max="7172" width="16.42578125" style="168" customWidth="1"/>
    <col min="7173" max="7173" width="16.140625" style="168" customWidth="1"/>
    <col min="7174" max="7174" width="13.7109375" style="168" customWidth="1"/>
    <col min="7175" max="7175" width="18.85546875" style="168" customWidth="1"/>
    <col min="7176" max="7176" width="15.7109375" style="168" customWidth="1"/>
    <col min="7177" max="7178" width="16.5703125" style="168" customWidth="1"/>
    <col min="7179" max="7179" width="13.140625" style="168" bestFit="1" customWidth="1"/>
    <col min="7180" max="7180" width="13.42578125" style="168" customWidth="1"/>
    <col min="7181" max="7181" width="14.7109375" style="168" customWidth="1"/>
    <col min="7182" max="7182" width="14.7109375" style="168" bestFit="1" customWidth="1"/>
    <col min="7183" max="7187" width="14.42578125" style="168" customWidth="1"/>
    <col min="7188" max="7188" width="14.85546875" style="168" bestFit="1" customWidth="1"/>
    <col min="7189" max="7189" width="10.85546875" style="168" bestFit="1" customWidth="1"/>
    <col min="7190" max="7424" width="9.140625" style="168"/>
    <col min="7425" max="7425" width="8.42578125" style="168" customWidth="1"/>
    <col min="7426" max="7426" width="14.42578125" style="168" customWidth="1"/>
    <col min="7427" max="7427" width="15.42578125" style="168" customWidth="1"/>
    <col min="7428" max="7428" width="16.42578125" style="168" customWidth="1"/>
    <col min="7429" max="7429" width="16.140625" style="168" customWidth="1"/>
    <col min="7430" max="7430" width="13.7109375" style="168" customWidth="1"/>
    <col min="7431" max="7431" width="18.85546875" style="168" customWidth="1"/>
    <col min="7432" max="7432" width="15.7109375" style="168" customWidth="1"/>
    <col min="7433" max="7434" width="16.5703125" style="168" customWidth="1"/>
    <col min="7435" max="7435" width="13.140625" style="168" bestFit="1" customWidth="1"/>
    <col min="7436" max="7436" width="13.42578125" style="168" customWidth="1"/>
    <col min="7437" max="7437" width="14.7109375" style="168" customWidth="1"/>
    <col min="7438" max="7438" width="14.7109375" style="168" bestFit="1" customWidth="1"/>
    <col min="7439" max="7443" width="14.42578125" style="168" customWidth="1"/>
    <col min="7444" max="7444" width="14.85546875" style="168" bestFit="1" customWidth="1"/>
    <col min="7445" max="7445" width="10.85546875" style="168" bestFit="1" customWidth="1"/>
    <col min="7446" max="7680" width="9.140625" style="168"/>
    <col min="7681" max="7681" width="8.42578125" style="168" customWidth="1"/>
    <col min="7682" max="7682" width="14.42578125" style="168" customWidth="1"/>
    <col min="7683" max="7683" width="15.42578125" style="168" customWidth="1"/>
    <col min="7684" max="7684" width="16.42578125" style="168" customWidth="1"/>
    <col min="7685" max="7685" width="16.140625" style="168" customWidth="1"/>
    <col min="7686" max="7686" width="13.7109375" style="168" customWidth="1"/>
    <col min="7687" max="7687" width="18.85546875" style="168" customWidth="1"/>
    <col min="7688" max="7688" width="15.7109375" style="168" customWidth="1"/>
    <col min="7689" max="7690" width="16.5703125" style="168" customWidth="1"/>
    <col min="7691" max="7691" width="13.140625" style="168" bestFit="1" customWidth="1"/>
    <col min="7692" max="7692" width="13.42578125" style="168" customWidth="1"/>
    <col min="7693" max="7693" width="14.7109375" style="168" customWidth="1"/>
    <col min="7694" max="7694" width="14.7109375" style="168" bestFit="1" customWidth="1"/>
    <col min="7695" max="7699" width="14.42578125" style="168" customWidth="1"/>
    <col min="7700" max="7700" width="14.85546875" style="168" bestFit="1" customWidth="1"/>
    <col min="7701" max="7701" width="10.85546875" style="168" bestFit="1" customWidth="1"/>
    <col min="7702" max="7936" width="9.140625" style="168"/>
    <col min="7937" max="7937" width="8.42578125" style="168" customWidth="1"/>
    <col min="7938" max="7938" width="14.42578125" style="168" customWidth="1"/>
    <col min="7939" max="7939" width="15.42578125" style="168" customWidth="1"/>
    <col min="7940" max="7940" width="16.42578125" style="168" customWidth="1"/>
    <col min="7941" max="7941" width="16.140625" style="168" customWidth="1"/>
    <col min="7942" max="7942" width="13.7109375" style="168" customWidth="1"/>
    <col min="7943" max="7943" width="18.85546875" style="168" customWidth="1"/>
    <col min="7944" max="7944" width="15.7109375" style="168" customWidth="1"/>
    <col min="7945" max="7946" width="16.5703125" style="168" customWidth="1"/>
    <col min="7947" max="7947" width="13.140625" style="168" bestFit="1" customWidth="1"/>
    <col min="7948" max="7948" width="13.42578125" style="168" customWidth="1"/>
    <col min="7949" max="7949" width="14.7109375" style="168" customWidth="1"/>
    <col min="7950" max="7950" width="14.7109375" style="168" bestFit="1" customWidth="1"/>
    <col min="7951" max="7955" width="14.42578125" style="168" customWidth="1"/>
    <col min="7956" max="7956" width="14.85546875" style="168" bestFit="1" customWidth="1"/>
    <col min="7957" max="7957" width="10.85546875" style="168" bestFit="1" customWidth="1"/>
    <col min="7958" max="8192" width="9.140625" style="168"/>
    <col min="8193" max="8193" width="8.42578125" style="168" customWidth="1"/>
    <col min="8194" max="8194" width="14.42578125" style="168" customWidth="1"/>
    <col min="8195" max="8195" width="15.42578125" style="168" customWidth="1"/>
    <col min="8196" max="8196" width="16.42578125" style="168" customWidth="1"/>
    <col min="8197" max="8197" width="16.140625" style="168" customWidth="1"/>
    <col min="8198" max="8198" width="13.7109375" style="168" customWidth="1"/>
    <col min="8199" max="8199" width="18.85546875" style="168" customWidth="1"/>
    <col min="8200" max="8200" width="15.7109375" style="168" customWidth="1"/>
    <col min="8201" max="8202" width="16.5703125" style="168" customWidth="1"/>
    <col min="8203" max="8203" width="13.140625" style="168" bestFit="1" customWidth="1"/>
    <col min="8204" max="8204" width="13.42578125" style="168" customWidth="1"/>
    <col min="8205" max="8205" width="14.7109375" style="168" customWidth="1"/>
    <col min="8206" max="8206" width="14.7109375" style="168" bestFit="1" customWidth="1"/>
    <col min="8207" max="8211" width="14.42578125" style="168" customWidth="1"/>
    <col min="8212" max="8212" width="14.85546875" style="168" bestFit="1" customWidth="1"/>
    <col min="8213" max="8213" width="10.85546875" style="168" bestFit="1" customWidth="1"/>
    <col min="8214" max="8448" width="9.140625" style="168"/>
    <col min="8449" max="8449" width="8.42578125" style="168" customWidth="1"/>
    <col min="8450" max="8450" width="14.42578125" style="168" customWidth="1"/>
    <col min="8451" max="8451" width="15.42578125" style="168" customWidth="1"/>
    <col min="8452" max="8452" width="16.42578125" style="168" customWidth="1"/>
    <col min="8453" max="8453" width="16.140625" style="168" customWidth="1"/>
    <col min="8454" max="8454" width="13.7109375" style="168" customWidth="1"/>
    <col min="8455" max="8455" width="18.85546875" style="168" customWidth="1"/>
    <col min="8456" max="8456" width="15.7109375" style="168" customWidth="1"/>
    <col min="8457" max="8458" width="16.5703125" style="168" customWidth="1"/>
    <col min="8459" max="8459" width="13.140625" style="168" bestFit="1" customWidth="1"/>
    <col min="8460" max="8460" width="13.42578125" style="168" customWidth="1"/>
    <col min="8461" max="8461" width="14.7109375" style="168" customWidth="1"/>
    <col min="8462" max="8462" width="14.7109375" style="168" bestFit="1" customWidth="1"/>
    <col min="8463" max="8467" width="14.42578125" style="168" customWidth="1"/>
    <col min="8468" max="8468" width="14.85546875" style="168" bestFit="1" customWidth="1"/>
    <col min="8469" max="8469" width="10.85546875" style="168" bestFit="1" customWidth="1"/>
    <col min="8470" max="8704" width="9.140625" style="168"/>
    <col min="8705" max="8705" width="8.42578125" style="168" customWidth="1"/>
    <col min="8706" max="8706" width="14.42578125" style="168" customWidth="1"/>
    <col min="8707" max="8707" width="15.42578125" style="168" customWidth="1"/>
    <col min="8708" max="8708" width="16.42578125" style="168" customWidth="1"/>
    <col min="8709" max="8709" width="16.140625" style="168" customWidth="1"/>
    <col min="8710" max="8710" width="13.7109375" style="168" customWidth="1"/>
    <col min="8711" max="8711" width="18.85546875" style="168" customWidth="1"/>
    <col min="8712" max="8712" width="15.7109375" style="168" customWidth="1"/>
    <col min="8713" max="8714" width="16.5703125" style="168" customWidth="1"/>
    <col min="8715" max="8715" width="13.140625" style="168" bestFit="1" customWidth="1"/>
    <col min="8716" max="8716" width="13.42578125" style="168" customWidth="1"/>
    <col min="8717" max="8717" width="14.7109375" style="168" customWidth="1"/>
    <col min="8718" max="8718" width="14.7109375" style="168" bestFit="1" customWidth="1"/>
    <col min="8719" max="8723" width="14.42578125" style="168" customWidth="1"/>
    <col min="8724" max="8724" width="14.85546875" style="168" bestFit="1" customWidth="1"/>
    <col min="8725" max="8725" width="10.85546875" style="168" bestFit="1" customWidth="1"/>
    <col min="8726" max="8960" width="9.140625" style="168"/>
    <col min="8961" max="8961" width="8.42578125" style="168" customWidth="1"/>
    <col min="8962" max="8962" width="14.42578125" style="168" customWidth="1"/>
    <col min="8963" max="8963" width="15.42578125" style="168" customWidth="1"/>
    <col min="8964" max="8964" width="16.42578125" style="168" customWidth="1"/>
    <col min="8965" max="8965" width="16.140625" style="168" customWidth="1"/>
    <col min="8966" max="8966" width="13.7109375" style="168" customWidth="1"/>
    <col min="8967" max="8967" width="18.85546875" style="168" customWidth="1"/>
    <col min="8968" max="8968" width="15.7109375" style="168" customWidth="1"/>
    <col min="8969" max="8970" width="16.5703125" style="168" customWidth="1"/>
    <col min="8971" max="8971" width="13.140625" style="168" bestFit="1" customWidth="1"/>
    <col min="8972" max="8972" width="13.42578125" style="168" customWidth="1"/>
    <col min="8973" max="8973" width="14.7109375" style="168" customWidth="1"/>
    <col min="8974" max="8974" width="14.7109375" style="168" bestFit="1" customWidth="1"/>
    <col min="8975" max="8979" width="14.42578125" style="168" customWidth="1"/>
    <col min="8980" max="8980" width="14.85546875" style="168" bestFit="1" customWidth="1"/>
    <col min="8981" max="8981" width="10.85546875" style="168" bestFit="1" customWidth="1"/>
    <col min="8982" max="9216" width="9.140625" style="168"/>
    <col min="9217" max="9217" width="8.42578125" style="168" customWidth="1"/>
    <col min="9218" max="9218" width="14.42578125" style="168" customWidth="1"/>
    <col min="9219" max="9219" width="15.42578125" style="168" customWidth="1"/>
    <col min="9220" max="9220" width="16.42578125" style="168" customWidth="1"/>
    <col min="9221" max="9221" width="16.140625" style="168" customWidth="1"/>
    <col min="9222" max="9222" width="13.7109375" style="168" customWidth="1"/>
    <col min="9223" max="9223" width="18.85546875" style="168" customWidth="1"/>
    <col min="9224" max="9224" width="15.7109375" style="168" customWidth="1"/>
    <col min="9225" max="9226" width="16.5703125" style="168" customWidth="1"/>
    <col min="9227" max="9227" width="13.140625" style="168" bestFit="1" customWidth="1"/>
    <col min="9228" max="9228" width="13.42578125" style="168" customWidth="1"/>
    <col min="9229" max="9229" width="14.7109375" style="168" customWidth="1"/>
    <col min="9230" max="9230" width="14.7109375" style="168" bestFit="1" customWidth="1"/>
    <col min="9231" max="9235" width="14.42578125" style="168" customWidth="1"/>
    <col min="9236" max="9236" width="14.85546875" style="168" bestFit="1" customWidth="1"/>
    <col min="9237" max="9237" width="10.85546875" style="168" bestFit="1" customWidth="1"/>
    <col min="9238" max="9472" width="9.140625" style="168"/>
    <col min="9473" max="9473" width="8.42578125" style="168" customWidth="1"/>
    <col min="9474" max="9474" width="14.42578125" style="168" customWidth="1"/>
    <col min="9475" max="9475" width="15.42578125" style="168" customWidth="1"/>
    <col min="9476" max="9476" width="16.42578125" style="168" customWidth="1"/>
    <col min="9477" max="9477" width="16.140625" style="168" customWidth="1"/>
    <col min="9478" max="9478" width="13.7109375" style="168" customWidth="1"/>
    <col min="9479" max="9479" width="18.85546875" style="168" customWidth="1"/>
    <col min="9480" max="9480" width="15.7109375" style="168" customWidth="1"/>
    <col min="9481" max="9482" width="16.5703125" style="168" customWidth="1"/>
    <col min="9483" max="9483" width="13.140625" style="168" bestFit="1" customWidth="1"/>
    <col min="9484" max="9484" width="13.42578125" style="168" customWidth="1"/>
    <col min="9485" max="9485" width="14.7109375" style="168" customWidth="1"/>
    <col min="9486" max="9486" width="14.7109375" style="168" bestFit="1" customWidth="1"/>
    <col min="9487" max="9491" width="14.42578125" style="168" customWidth="1"/>
    <col min="9492" max="9492" width="14.85546875" style="168" bestFit="1" customWidth="1"/>
    <col min="9493" max="9493" width="10.85546875" style="168" bestFit="1" customWidth="1"/>
    <col min="9494" max="9728" width="9.140625" style="168"/>
    <col min="9729" max="9729" width="8.42578125" style="168" customWidth="1"/>
    <col min="9730" max="9730" width="14.42578125" style="168" customWidth="1"/>
    <col min="9731" max="9731" width="15.42578125" style="168" customWidth="1"/>
    <col min="9732" max="9732" width="16.42578125" style="168" customWidth="1"/>
    <col min="9733" max="9733" width="16.140625" style="168" customWidth="1"/>
    <col min="9734" max="9734" width="13.7109375" style="168" customWidth="1"/>
    <col min="9735" max="9735" width="18.85546875" style="168" customWidth="1"/>
    <col min="9736" max="9736" width="15.7109375" style="168" customWidth="1"/>
    <col min="9737" max="9738" width="16.5703125" style="168" customWidth="1"/>
    <col min="9739" max="9739" width="13.140625" style="168" bestFit="1" customWidth="1"/>
    <col min="9740" max="9740" width="13.42578125" style="168" customWidth="1"/>
    <col min="9741" max="9741" width="14.7109375" style="168" customWidth="1"/>
    <col min="9742" max="9742" width="14.7109375" style="168" bestFit="1" customWidth="1"/>
    <col min="9743" max="9747" width="14.42578125" style="168" customWidth="1"/>
    <col min="9748" max="9748" width="14.85546875" style="168" bestFit="1" customWidth="1"/>
    <col min="9749" max="9749" width="10.85546875" style="168" bestFit="1" customWidth="1"/>
    <col min="9750" max="9984" width="9.140625" style="168"/>
    <col min="9985" max="9985" width="8.42578125" style="168" customWidth="1"/>
    <col min="9986" max="9986" width="14.42578125" style="168" customWidth="1"/>
    <col min="9987" max="9987" width="15.42578125" style="168" customWidth="1"/>
    <col min="9988" max="9988" width="16.42578125" style="168" customWidth="1"/>
    <col min="9989" max="9989" width="16.140625" style="168" customWidth="1"/>
    <col min="9990" max="9990" width="13.7109375" style="168" customWidth="1"/>
    <col min="9991" max="9991" width="18.85546875" style="168" customWidth="1"/>
    <col min="9992" max="9992" width="15.7109375" style="168" customWidth="1"/>
    <col min="9993" max="9994" width="16.5703125" style="168" customWidth="1"/>
    <col min="9995" max="9995" width="13.140625" style="168" bestFit="1" customWidth="1"/>
    <col min="9996" max="9996" width="13.42578125" style="168" customWidth="1"/>
    <col min="9997" max="9997" width="14.7109375" style="168" customWidth="1"/>
    <col min="9998" max="9998" width="14.7109375" style="168" bestFit="1" customWidth="1"/>
    <col min="9999" max="10003" width="14.42578125" style="168" customWidth="1"/>
    <col min="10004" max="10004" width="14.85546875" style="168" bestFit="1" customWidth="1"/>
    <col min="10005" max="10005" width="10.85546875" style="168" bestFit="1" customWidth="1"/>
    <col min="10006" max="10240" width="9.140625" style="168"/>
    <col min="10241" max="10241" width="8.42578125" style="168" customWidth="1"/>
    <col min="10242" max="10242" width="14.42578125" style="168" customWidth="1"/>
    <col min="10243" max="10243" width="15.42578125" style="168" customWidth="1"/>
    <col min="10244" max="10244" width="16.42578125" style="168" customWidth="1"/>
    <col min="10245" max="10245" width="16.140625" style="168" customWidth="1"/>
    <col min="10246" max="10246" width="13.7109375" style="168" customWidth="1"/>
    <col min="10247" max="10247" width="18.85546875" style="168" customWidth="1"/>
    <col min="10248" max="10248" width="15.7109375" style="168" customWidth="1"/>
    <col min="10249" max="10250" width="16.5703125" style="168" customWidth="1"/>
    <col min="10251" max="10251" width="13.140625" style="168" bestFit="1" customWidth="1"/>
    <col min="10252" max="10252" width="13.42578125" style="168" customWidth="1"/>
    <col min="10253" max="10253" width="14.7109375" style="168" customWidth="1"/>
    <col min="10254" max="10254" width="14.7109375" style="168" bestFit="1" customWidth="1"/>
    <col min="10255" max="10259" width="14.42578125" style="168" customWidth="1"/>
    <col min="10260" max="10260" width="14.85546875" style="168" bestFit="1" customWidth="1"/>
    <col min="10261" max="10261" width="10.85546875" style="168" bestFit="1" customWidth="1"/>
    <col min="10262" max="10496" width="9.140625" style="168"/>
    <col min="10497" max="10497" width="8.42578125" style="168" customWidth="1"/>
    <col min="10498" max="10498" width="14.42578125" style="168" customWidth="1"/>
    <col min="10499" max="10499" width="15.42578125" style="168" customWidth="1"/>
    <col min="10500" max="10500" width="16.42578125" style="168" customWidth="1"/>
    <col min="10501" max="10501" width="16.140625" style="168" customWidth="1"/>
    <col min="10502" max="10502" width="13.7109375" style="168" customWidth="1"/>
    <col min="10503" max="10503" width="18.85546875" style="168" customWidth="1"/>
    <col min="10504" max="10504" width="15.7109375" style="168" customWidth="1"/>
    <col min="10505" max="10506" width="16.5703125" style="168" customWidth="1"/>
    <col min="10507" max="10507" width="13.140625" style="168" bestFit="1" customWidth="1"/>
    <col min="10508" max="10508" width="13.42578125" style="168" customWidth="1"/>
    <col min="10509" max="10509" width="14.7109375" style="168" customWidth="1"/>
    <col min="10510" max="10510" width="14.7109375" style="168" bestFit="1" customWidth="1"/>
    <col min="10511" max="10515" width="14.42578125" style="168" customWidth="1"/>
    <col min="10516" max="10516" width="14.85546875" style="168" bestFit="1" customWidth="1"/>
    <col min="10517" max="10517" width="10.85546875" style="168" bestFit="1" customWidth="1"/>
    <col min="10518" max="10752" width="9.140625" style="168"/>
    <col min="10753" max="10753" width="8.42578125" style="168" customWidth="1"/>
    <col min="10754" max="10754" width="14.42578125" style="168" customWidth="1"/>
    <col min="10755" max="10755" width="15.42578125" style="168" customWidth="1"/>
    <col min="10756" max="10756" width="16.42578125" style="168" customWidth="1"/>
    <col min="10757" max="10757" width="16.140625" style="168" customWidth="1"/>
    <col min="10758" max="10758" width="13.7109375" style="168" customWidth="1"/>
    <col min="10759" max="10759" width="18.85546875" style="168" customWidth="1"/>
    <col min="10760" max="10760" width="15.7109375" style="168" customWidth="1"/>
    <col min="10761" max="10762" width="16.5703125" style="168" customWidth="1"/>
    <col min="10763" max="10763" width="13.140625" style="168" bestFit="1" customWidth="1"/>
    <col min="10764" max="10764" width="13.42578125" style="168" customWidth="1"/>
    <col min="10765" max="10765" width="14.7109375" style="168" customWidth="1"/>
    <col min="10766" max="10766" width="14.7109375" style="168" bestFit="1" customWidth="1"/>
    <col min="10767" max="10771" width="14.42578125" style="168" customWidth="1"/>
    <col min="10772" max="10772" width="14.85546875" style="168" bestFit="1" customWidth="1"/>
    <col min="10773" max="10773" width="10.85546875" style="168" bestFit="1" customWidth="1"/>
    <col min="10774" max="11008" width="9.140625" style="168"/>
    <col min="11009" max="11009" width="8.42578125" style="168" customWidth="1"/>
    <col min="11010" max="11010" width="14.42578125" style="168" customWidth="1"/>
    <col min="11011" max="11011" width="15.42578125" style="168" customWidth="1"/>
    <col min="11012" max="11012" width="16.42578125" style="168" customWidth="1"/>
    <col min="11013" max="11013" width="16.140625" style="168" customWidth="1"/>
    <col min="11014" max="11014" width="13.7109375" style="168" customWidth="1"/>
    <col min="11015" max="11015" width="18.85546875" style="168" customWidth="1"/>
    <col min="11016" max="11016" width="15.7109375" style="168" customWidth="1"/>
    <col min="11017" max="11018" width="16.5703125" style="168" customWidth="1"/>
    <col min="11019" max="11019" width="13.140625" style="168" bestFit="1" customWidth="1"/>
    <col min="11020" max="11020" width="13.42578125" style="168" customWidth="1"/>
    <col min="11021" max="11021" width="14.7109375" style="168" customWidth="1"/>
    <col min="11022" max="11022" width="14.7109375" style="168" bestFit="1" customWidth="1"/>
    <col min="11023" max="11027" width="14.42578125" style="168" customWidth="1"/>
    <col min="11028" max="11028" width="14.85546875" style="168" bestFit="1" customWidth="1"/>
    <col min="11029" max="11029" width="10.85546875" style="168" bestFit="1" customWidth="1"/>
    <col min="11030" max="11264" width="9.140625" style="168"/>
    <col min="11265" max="11265" width="8.42578125" style="168" customWidth="1"/>
    <col min="11266" max="11266" width="14.42578125" style="168" customWidth="1"/>
    <col min="11267" max="11267" width="15.42578125" style="168" customWidth="1"/>
    <col min="11268" max="11268" width="16.42578125" style="168" customWidth="1"/>
    <col min="11269" max="11269" width="16.140625" style="168" customWidth="1"/>
    <col min="11270" max="11270" width="13.7109375" style="168" customWidth="1"/>
    <col min="11271" max="11271" width="18.85546875" style="168" customWidth="1"/>
    <col min="11272" max="11272" width="15.7109375" style="168" customWidth="1"/>
    <col min="11273" max="11274" width="16.5703125" style="168" customWidth="1"/>
    <col min="11275" max="11275" width="13.140625" style="168" bestFit="1" customWidth="1"/>
    <col min="11276" max="11276" width="13.42578125" style="168" customWidth="1"/>
    <col min="11277" max="11277" width="14.7109375" style="168" customWidth="1"/>
    <col min="11278" max="11278" width="14.7109375" style="168" bestFit="1" customWidth="1"/>
    <col min="11279" max="11283" width="14.42578125" style="168" customWidth="1"/>
    <col min="11284" max="11284" width="14.85546875" style="168" bestFit="1" customWidth="1"/>
    <col min="11285" max="11285" width="10.85546875" style="168" bestFit="1" customWidth="1"/>
    <col min="11286" max="11520" width="9.140625" style="168"/>
    <col min="11521" max="11521" width="8.42578125" style="168" customWidth="1"/>
    <col min="11522" max="11522" width="14.42578125" style="168" customWidth="1"/>
    <col min="11523" max="11523" width="15.42578125" style="168" customWidth="1"/>
    <col min="11524" max="11524" width="16.42578125" style="168" customWidth="1"/>
    <col min="11525" max="11525" width="16.140625" style="168" customWidth="1"/>
    <col min="11526" max="11526" width="13.7109375" style="168" customWidth="1"/>
    <col min="11527" max="11527" width="18.85546875" style="168" customWidth="1"/>
    <col min="11528" max="11528" width="15.7109375" style="168" customWidth="1"/>
    <col min="11529" max="11530" width="16.5703125" style="168" customWidth="1"/>
    <col min="11531" max="11531" width="13.140625" style="168" bestFit="1" customWidth="1"/>
    <col min="11532" max="11532" width="13.42578125" style="168" customWidth="1"/>
    <col min="11533" max="11533" width="14.7109375" style="168" customWidth="1"/>
    <col min="11534" max="11534" width="14.7109375" style="168" bestFit="1" customWidth="1"/>
    <col min="11535" max="11539" width="14.42578125" style="168" customWidth="1"/>
    <col min="11540" max="11540" width="14.85546875" style="168" bestFit="1" customWidth="1"/>
    <col min="11541" max="11541" width="10.85546875" style="168" bestFit="1" customWidth="1"/>
    <col min="11542" max="11776" width="9.140625" style="168"/>
    <col min="11777" max="11777" width="8.42578125" style="168" customWidth="1"/>
    <col min="11778" max="11778" width="14.42578125" style="168" customWidth="1"/>
    <col min="11779" max="11779" width="15.42578125" style="168" customWidth="1"/>
    <col min="11780" max="11780" width="16.42578125" style="168" customWidth="1"/>
    <col min="11781" max="11781" width="16.140625" style="168" customWidth="1"/>
    <col min="11782" max="11782" width="13.7109375" style="168" customWidth="1"/>
    <col min="11783" max="11783" width="18.85546875" style="168" customWidth="1"/>
    <col min="11784" max="11784" width="15.7109375" style="168" customWidth="1"/>
    <col min="11785" max="11786" width="16.5703125" style="168" customWidth="1"/>
    <col min="11787" max="11787" width="13.140625" style="168" bestFit="1" customWidth="1"/>
    <col min="11788" max="11788" width="13.42578125" style="168" customWidth="1"/>
    <col min="11789" max="11789" width="14.7109375" style="168" customWidth="1"/>
    <col min="11790" max="11790" width="14.7109375" style="168" bestFit="1" customWidth="1"/>
    <col min="11791" max="11795" width="14.42578125" style="168" customWidth="1"/>
    <col min="11796" max="11796" width="14.85546875" style="168" bestFit="1" customWidth="1"/>
    <col min="11797" max="11797" width="10.85546875" style="168" bestFit="1" customWidth="1"/>
    <col min="11798" max="12032" width="9.140625" style="168"/>
    <col min="12033" max="12033" width="8.42578125" style="168" customWidth="1"/>
    <col min="12034" max="12034" width="14.42578125" style="168" customWidth="1"/>
    <col min="12035" max="12035" width="15.42578125" style="168" customWidth="1"/>
    <col min="12036" max="12036" width="16.42578125" style="168" customWidth="1"/>
    <col min="12037" max="12037" width="16.140625" style="168" customWidth="1"/>
    <col min="12038" max="12038" width="13.7109375" style="168" customWidth="1"/>
    <col min="12039" max="12039" width="18.85546875" style="168" customWidth="1"/>
    <col min="12040" max="12040" width="15.7109375" style="168" customWidth="1"/>
    <col min="12041" max="12042" width="16.5703125" style="168" customWidth="1"/>
    <col min="12043" max="12043" width="13.140625" style="168" bestFit="1" customWidth="1"/>
    <col min="12044" max="12044" width="13.42578125" style="168" customWidth="1"/>
    <col min="12045" max="12045" width="14.7109375" style="168" customWidth="1"/>
    <col min="12046" max="12046" width="14.7109375" style="168" bestFit="1" customWidth="1"/>
    <col min="12047" max="12051" width="14.42578125" style="168" customWidth="1"/>
    <col min="12052" max="12052" width="14.85546875" style="168" bestFit="1" customWidth="1"/>
    <col min="12053" max="12053" width="10.85546875" style="168" bestFit="1" customWidth="1"/>
    <col min="12054" max="12288" width="9.140625" style="168"/>
    <col min="12289" max="12289" width="8.42578125" style="168" customWidth="1"/>
    <col min="12290" max="12290" width="14.42578125" style="168" customWidth="1"/>
    <col min="12291" max="12291" width="15.42578125" style="168" customWidth="1"/>
    <col min="12292" max="12292" width="16.42578125" style="168" customWidth="1"/>
    <col min="12293" max="12293" width="16.140625" style="168" customWidth="1"/>
    <col min="12294" max="12294" width="13.7109375" style="168" customWidth="1"/>
    <col min="12295" max="12295" width="18.85546875" style="168" customWidth="1"/>
    <col min="12296" max="12296" width="15.7109375" style="168" customWidth="1"/>
    <col min="12297" max="12298" width="16.5703125" style="168" customWidth="1"/>
    <col min="12299" max="12299" width="13.140625" style="168" bestFit="1" customWidth="1"/>
    <col min="12300" max="12300" width="13.42578125" style="168" customWidth="1"/>
    <col min="12301" max="12301" width="14.7109375" style="168" customWidth="1"/>
    <col min="12302" max="12302" width="14.7109375" style="168" bestFit="1" customWidth="1"/>
    <col min="12303" max="12307" width="14.42578125" style="168" customWidth="1"/>
    <col min="12308" max="12308" width="14.85546875" style="168" bestFit="1" customWidth="1"/>
    <col min="12309" max="12309" width="10.85546875" style="168" bestFit="1" customWidth="1"/>
    <col min="12310" max="12544" width="9.140625" style="168"/>
    <col min="12545" max="12545" width="8.42578125" style="168" customWidth="1"/>
    <col min="12546" max="12546" width="14.42578125" style="168" customWidth="1"/>
    <col min="12547" max="12547" width="15.42578125" style="168" customWidth="1"/>
    <col min="12548" max="12548" width="16.42578125" style="168" customWidth="1"/>
    <col min="12549" max="12549" width="16.140625" style="168" customWidth="1"/>
    <col min="12550" max="12550" width="13.7109375" style="168" customWidth="1"/>
    <col min="12551" max="12551" width="18.85546875" style="168" customWidth="1"/>
    <col min="12552" max="12552" width="15.7109375" style="168" customWidth="1"/>
    <col min="12553" max="12554" width="16.5703125" style="168" customWidth="1"/>
    <col min="12555" max="12555" width="13.140625" style="168" bestFit="1" customWidth="1"/>
    <col min="12556" max="12556" width="13.42578125" style="168" customWidth="1"/>
    <col min="12557" max="12557" width="14.7109375" style="168" customWidth="1"/>
    <col min="12558" max="12558" width="14.7109375" style="168" bestFit="1" customWidth="1"/>
    <col min="12559" max="12563" width="14.42578125" style="168" customWidth="1"/>
    <col min="12564" max="12564" width="14.85546875" style="168" bestFit="1" customWidth="1"/>
    <col min="12565" max="12565" width="10.85546875" style="168" bestFit="1" customWidth="1"/>
    <col min="12566" max="12800" width="9.140625" style="168"/>
    <col min="12801" max="12801" width="8.42578125" style="168" customWidth="1"/>
    <col min="12802" max="12802" width="14.42578125" style="168" customWidth="1"/>
    <col min="12803" max="12803" width="15.42578125" style="168" customWidth="1"/>
    <col min="12804" max="12804" width="16.42578125" style="168" customWidth="1"/>
    <col min="12805" max="12805" width="16.140625" style="168" customWidth="1"/>
    <col min="12806" max="12806" width="13.7109375" style="168" customWidth="1"/>
    <col min="12807" max="12807" width="18.85546875" style="168" customWidth="1"/>
    <col min="12808" max="12808" width="15.7109375" style="168" customWidth="1"/>
    <col min="12809" max="12810" width="16.5703125" style="168" customWidth="1"/>
    <col min="12811" max="12811" width="13.140625" style="168" bestFit="1" customWidth="1"/>
    <col min="12812" max="12812" width="13.42578125" style="168" customWidth="1"/>
    <col min="12813" max="12813" width="14.7109375" style="168" customWidth="1"/>
    <col min="12814" max="12814" width="14.7109375" style="168" bestFit="1" customWidth="1"/>
    <col min="12815" max="12819" width="14.42578125" style="168" customWidth="1"/>
    <col min="12820" max="12820" width="14.85546875" style="168" bestFit="1" customWidth="1"/>
    <col min="12821" max="12821" width="10.85546875" style="168" bestFit="1" customWidth="1"/>
    <col min="12822" max="13056" width="9.140625" style="168"/>
    <col min="13057" max="13057" width="8.42578125" style="168" customWidth="1"/>
    <col min="13058" max="13058" width="14.42578125" style="168" customWidth="1"/>
    <col min="13059" max="13059" width="15.42578125" style="168" customWidth="1"/>
    <col min="13060" max="13060" width="16.42578125" style="168" customWidth="1"/>
    <col min="13061" max="13061" width="16.140625" style="168" customWidth="1"/>
    <col min="13062" max="13062" width="13.7109375" style="168" customWidth="1"/>
    <col min="13063" max="13063" width="18.85546875" style="168" customWidth="1"/>
    <col min="13064" max="13064" width="15.7109375" style="168" customWidth="1"/>
    <col min="13065" max="13066" width="16.5703125" style="168" customWidth="1"/>
    <col min="13067" max="13067" width="13.140625" style="168" bestFit="1" customWidth="1"/>
    <col min="13068" max="13068" width="13.42578125" style="168" customWidth="1"/>
    <col min="13069" max="13069" width="14.7109375" style="168" customWidth="1"/>
    <col min="13070" max="13070" width="14.7109375" style="168" bestFit="1" customWidth="1"/>
    <col min="13071" max="13075" width="14.42578125" style="168" customWidth="1"/>
    <col min="13076" max="13076" width="14.85546875" style="168" bestFit="1" customWidth="1"/>
    <col min="13077" max="13077" width="10.85546875" style="168" bestFit="1" customWidth="1"/>
    <col min="13078" max="13312" width="9.140625" style="168"/>
    <col min="13313" max="13313" width="8.42578125" style="168" customWidth="1"/>
    <col min="13314" max="13314" width="14.42578125" style="168" customWidth="1"/>
    <col min="13315" max="13315" width="15.42578125" style="168" customWidth="1"/>
    <col min="13316" max="13316" width="16.42578125" style="168" customWidth="1"/>
    <col min="13317" max="13317" width="16.140625" style="168" customWidth="1"/>
    <col min="13318" max="13318" width="13.7109375" style="168" customWidth="1"/>
    <col min="13319" max="13319" width="18.85546875" style="168" customWidth="1"/>
    <col min="13320" max="13320" width="15.7109375" style="168" customWidth="1"/>
    <col min="13321" max="13322" width="16.5703125" style="168" customWidth="1"/>
    <col min="13323" max="13323" width="13.140625" style="168" bestFit="1" customWidth="1"/>
    <col min="13324" max="13324" width="13.42578125" style="168" customWidth="1"/>
    <col min="13325" max="13325" width="14.7109375" style="168" customWidth="1"/>
    <col min="13326" max="13326" width="14.7109375" style="168" bestFit="1" customWidth="1"/>
    <col min="13327" max="13331" width="14.42578125" style="168" customWidth="1"/>
    <col min="13332" max="13332" width="14.85546875" style="168" bestFit="1" customWidth="1"/>
    <col min="13333" max="13333" width="10.85546875" style="168" bestFit="1" customWidth="1"/>
    <col min="13334" max="13568" width="9.140625" style="168"/>
    <col min="13569" max="13569" width="8.42578125" style="168" customWidth="1"/>
    <col min="13570" max="13570" width="14.42578125" style="168" customWidth="1"/>
    <col min="13571" max="13571" width="15.42578125" style="168" customWidth="1"/>
    <col min="13572" max="13572" width="16.42578125" style="168" customWidth="1"/>
    <col min="13573" max="13573" width="16.140625" style="168" customWidth="1"/>
    <col min="13574" max="13574" width="13.7109375" style="168" customWidth="1"/>
    <col min="13575" max="13575" width="18.85546875" style="168" customWidth="1"/>
    <col min="13576" max="13576" width="15.7109375" style="168" customWidth="1"/>
    <col min="13577" max="13578" width="16.5703125" style="168" customWidth="1"/>
    <col min="13579" max="13579" width="13.140625" style="168" bestFit="1" customWidth="1"/>
    <col min="13580" max="13580" width="13.42578125" style="168" customWidth="1"/>
    <col min="13581" max="13581" width="14.7109375" style="168" customWidth="1"/>
    <col min="13582" max="13582" width="14.7109375" style="168" bestFit="1" customWidth="1"/>
    <col min="13583" max="13587" width="14.42578125" style="168" customWidth="1"/>
    <col min="13588" max="13588" width="14.85546875" style="168" bestFit="1" customWidth="1"/>
    <col min="13589" max="13589" width="10.85546875" style="168" bestFit="1" customWidth="1"/>
    <col min="13590" max="13824" width="9.140625" style="168"/>
    <col min="13825" max="13825" width="8.42578125" style="168" customWidth="1"/>
    <col min="13826" max="13826" width="14.42578125" style="168" customWidth="1"/>
    <col min="13827" max="13827" width="15.42578125" style="168" customWidth="1"/>
    <col min="13828" max="13828" width="16.42578125" style="168" customWidth="1"/>
    <col min="13829" max="13829" width="16.140625" style="168" customWidth="1"/>
    <col min="13830" max="13830" width="13.7109375" style="168" customWidth="1"/>
    <col min="13831" max="13831" width="18.85546875" style="168" customWidth="1"/>
    <col min="13832" max="13832" width="15.7109375" style="168" customWidth="1"/>
    <col min="13833" max="13834" width="16.5703125" style="168" customWidth="1"/>
    <col min="13835" max="13835" width="13.140625" style="168" bestFit="1" customWidth="1"/>
    <col min="13836" max="13836" width="13.42578125" style="168" customWidth="1"/>
    <col min="13837" max="13837" width="14.7109375" style="168" customWidth="1"/>
    <col min="13838" max="13838" width="14.7109375" style="168" bestFit="1" customWidth="1"/>
    <col min="13839" max="13843" width="14.42578125" style="168" customWidth="1"/>
    <col min="13844" max="13844" width="14.85546875" style="168" bestFit="1" customWidth="1"/>
    <col min="13845" max="13845" width="10.85546875" style="168" bestFit="1" customWidth="1"/>
    <col min="13846" max="14080" width="9.140625" style="168"/>
    <col min="14081" max="14081" width="8.42578125" style="168" customWidth="1"/>
    <col min="14082" max="14082" width="14.42578125" style="168" customWidth="1"/>
    <col min="14083" max="14083" width="15.42578125" style="168" customWidth="1"/>
    <col min="14084" max="14084" width="16.42578125" style="168" customWidth="1"/>
    <col min="14085" max="14085" width="16.140625" style="168" customWidth="1"/>
    <col min="14086" max="14086" width="13.7109375" style="168" customWidth="1"/>
    <col min="14087" max="14087" width="18.85546875" style="168" customWidth="1"/>
    <col min="14088" max="14088" width="15.7109375" style="168" customWidth="1"/>
    <col min="14089" max="14090" width="16.5703125" style="168" customWidth="1"/>
    <col min="14091" max="14091" width="13.140625" style="168" bestFit="1" customWidth="1"/>
    <col min="14092" max="14092" width="13.42578125" style="168" customWidth="1"/>
    <col min="14093" max="14093" width="14.7109375" style="168" customWidth="1"/>
    <col min="14094" max="14094" width="14.7109375" style="168" bestFit="1" customWidth="1"/>
    <col min="14095" max="14099" width="14.42578125" style="168" customWidth="1"/>
    <col min="14100" max="14100" width="14.85546875" style="168" bestFit="1" customWidth="1"/>
    <col min="14101" max="14101" width="10.85546875" style="168" bestFit="1" customWidth="1"/>
    <col min="14102" max="14336" width="9.140625" style="168"/>
    <col min="14337" max="14337" width="8.42578125" style="168" customWidth="1"/>
    <col min="14338" max="14338" width="14.42578125" style="168" customWidth="1"/>
    <col min="14339" max="14339" width="15.42578125" style="168" customWidth="1"/>
    <col min="14340" max="14340" width="16.42578125" style="168" customWidth="1"/>
    <col min="14341" max="14341" width="16.140625" style="168" customWidth="1"/>
    <col min="14342" max="14342" width="13.7109375" style="168" customWidth="1"/>
    <col min="14343" max="14343" width="18.85546875" style="168" customWidth="1"/>
    <col min="14344" max="14344" width="15.7109375" style="168" customWidth="1"/>
    <col min="14345" max="14346" width="16.5703125" style="168" customWidth="1"/>
    <col min="14347" max="14347" width="13.140625" style="168" bestFit="1" customWidth="1"/>
    <col min="14348" max="14348" width="13.42578125" style="168" customWidth="1"/>
    <col min="14349" max="14349" width="14.7109375" style="168" customWidth="1"/>
    <col min="14350" max="14350" width="14.7109375" style="168" bestFit="1" customWidth="1"/>
    <col min="14351" max="14355" width="14.42578125" style="168" customWidth="1"/>
    <col min="14356" max="14356" width="14.85546875" style="168" bestFit="1" customWidth="1"/>
    <col min="14357" max="14357" width="10.85546875" style="168" bestFit="1" customWidth="1"/>
    <col min="14358" max="14592" width="9.140625" style="168"/>
    <col min="14593" max="14593" width="8.42578125" style="168" customWidth="1"/>
    <col min="14594" max="14594" width="14.42578125" style="168" customWidth="1"/>
    <col min="14595" max="14595" width="15.42578125" style="168" customWidth="1"/>
    <col min="14596" max="14596" width="16.42578125" style="168" customWidth="1"/>
    <col min="14597" max="14597" width="16.140625" style="168" customWidth="1"/>
    <col min="14598" max="14598" width="13.7109375" style="168" customWidth="1"/>
    <col min="14599" max="14599" width="18.85546875" style="168" customWidth="1"/>
    <col min="14600" max="14600" width="15.7109375" style="168" customWidth="1"/>
    <col min="14601" max="14602" width="16.5703125" style="168" customWidth="1"/>
    <col min="14603" max="14603" width="13.140625" style="168" bestFit="1" customWidth="1"/>
    <col min="14604" max="14604" width="13.42578125" style="168" customWidth="1"/>
    <col min="14605" max="14605" width="14.7109375" style="168" customWidth="1"/>
    <col min="14606" max="14606" width="14.7109375" style="168" bestFit="1" customWidth="1"/>
    <col min="14607" max="14611" width="14.42578125" style="168" customWidth="1"/>
    <col min="14612" max="14612" width="14.85546875" style="168" bestFit="1" customWidth="1"/>
    <col min="14613" max="14613" width="10.85546875" style="168" bestFit="1" customWidth="1"/>
    <col min="14614" max="14848" width="9.140625" style="168"/>
    <col min="14849" max="14849" width="8.42578125" style="168" customWidth="1"/>
    <col min="14850" max="14850" width="14.42578125" style="168" customWidth="1"/>
    <col min="14851" max="14851" width="15.42578125" style="168" customWidth="1"/>
    <col min="14852" max="14852" width="16.42578125" style="168" customWidth="1"/>
    <col min="14853" max="14853" width="16.140625" style="168" customWidth="1"/>
    <col min="14854" max="14854" width="13.7109375" style="168" customWidth="1"/>
    <col min="14855" max="14855" width="18.85546875" style="168" customWidth="1"/>
    <col min="14856" max="14856" width="15.7109375" style="168" customWidth="1"/>
    <col min="14857" max="14858" width="16.5703125" style="168" customWidth="1"/>
    <col min="14859" max="14859" width="13.140625" style="168" bestFit="1" customWidth="1"/>
    <col min="14860" max="14860" width="13.42578125" style="168" customWidth="1"/>
    <col min="14861" max="14861" width="14.7109375" style="168" customWidth="1"/>
    <col min="14862" max="14862" width="14.7109375" style="168" bestFit="1" customWidth="1"/>
    <col min="14863" max="14867" width="14.42578125" style="168" customWidth="1"/>
    <col min="14868" max="14868" width="14.85546875" style="168" bestFit="1" customWidth="1"/>
    <col min="14869" max="14869" width="10.85546875" style="168" bestFit="1" customWidth="1"/>
    <col min="14870" max="15104" width="9.140625" style="168"/>
    <col min="15105" max="15105" width="8.42578125" style="168" customWidth="1"/>
    <col min="15106" max="15106" width="14.42578125" style="168" customWidth="1"/>
    <col min="15107" max="15107" width="15.42578125" style="168" customWidth="1"/>
    <col min="15108" max="15108" width="16.42578125" style="168" customWidth="1"/>
    <col min="15109" max="15109" width="16.140625" style="168" customWidth="1"/>
    <col min="15110" max="15110" width="13.7109375" style="168" customWidth="1"/>
    <col min="15111" max="15111" width="18.85546875" style="168" customWidth="1"/>
    <col min="15112" max="15112" width="15.7109375" style="168" customWidth="1"/>
    <col min="15113" max="15114" width="16.5703125" style="168" customWidth="1"/>
    <col min="15115" max="15115" width="13.140625" style="168" bestFit="1" customWidth="1"/>
    <col min="15116" max="15116" width="13.42578125" style="168" customWidth="1"/>
    <col min="15117" max="15117" width="14.7109375" style="168" customWidth="1"/>
    <col min="15118" max="15118" width="14.7109375" style="168" bestFit="1" customWidth="1"/>
    <col min="15119" max="15123" width="14.42578125" style="168" customWidth="1"/>
    <col min="15124" max="15124" width="14.85546875" style="168" bestFit="1" customWidth="1"/>
    <col min="15125" max="15125" width="10.85546875" style="168" bestFit="1" customWidth="1"/>
    <col min="15126" max="15360" width="9.140625" style="168"/>
    <col min="15361" max="15361" width="8.42578125" style="168" customWidth="1"/>
    <col min="15362" max="15362" width="14.42578125" style="168" customWidth="1"/>
    <col min="15363" max="15363" width="15.42578125" style="168" customWidth="1"/>
    <col min="15364" max="15364" width="16.42578125" style="168" customWidth="1"/>
    <col min="15365" max="15365" width="16.140625" style="168" customWidth="1"/>
    <col min="15366" max="15366" width="13.7109375" style="168" customWidth="1"/>
    <col min="15367" max="15367" width="18.85546875" style="168" customWidth="1"/>
    <col min="15368" max="15368" width="15.7109375" style="168" customWidth="1"/>
    <col min="15369" max="15370" width="16.5703125" style="168" customWidth="1"/>
    <col min="15371" max="15371" width="13.140625" style="168" bestFit="1" customWidth="1"/>
    <col min="15372" max="15372" width="13.42578125" style="168" customWidth="1"/>
    <col min="15373" max="15373" width="14.7109375" style="168" customWidth="1"/>
    <col min="15374" max="15374" width="14.7109375" style="168" bestFit="1" customWidth="1"/>
    <col min="15375" max="15379" width="14.42578125" style="168" customWidth="1"/>
    <col min="15380" max="15380" width="14.85546875" style="168" bestFit="1" customWidth="1"/>
    <col min="15381" max="15381" width="10.85546875" style="168" bestFit="1" customWidth="1"/>
    <col min="15382" max="15616" width="9.140625" style="168"/>
    <col min="15617" max="15617" width="8.42578125" style="168" customWidth="1"/>
    <col min="15618" max="15618" width="14.42578125" style="168" customWidth="1"/>
    <col min="15619" max="15619" width="15.42578125" style="168" customWidth="1"/>
    <col min="15620" max="15620" width="16.42578125" style="168" customWidth="1"/>
    <col min="15621" max="15621" width="16.140625" style="168" customWidth="1"/>
    <col min="15622" max="15622" width="13.7109375" style="168" customWidth="1"/>
    <col min="15623" max="15623" width="18.85546875" style="168" customWidth="1"/>
    <col min="15624" max="15624" width="15.7109375" style="168" customWidth="1"/>
    <col min="15625" max="15626" width="16.5703125" style="168" customWidth="1"/>
    <col min="15627" max="15627" width="13.140625" style="168" bestFit="1" customWidth="1"/>
    <col min="15628" max="15628" width="13.42578125" style="168" customWidth="1"/>
    <col min="15629" max="15629" width="14.7109375" style="168" customWidth="1"/>
    <col min="15630" max="15630" width="14.7109375" style="168" bestFit="1" customWidth="1"/>
    <col min="15631" max="15635" width="14.42578125" style="168" customWidth="1"/>
    <col min="15636" max="15636" width="14.85546875" style="168" bestFit="1" customWidth="1"/>
    <col min="15637" max="15637" width="10.85546875" style="168" bestFit="1" customWidth="1"/>
    <col min="15638" max="15872" width="9.140625" style="168"/>
    <col min="15873" max="15873" width="8.42578125" style="168" customWidth="1"/>
    <col min="15874" max="15874" width="14.42578125" style="168" customWidth="1"/>
    <col min="15875" max="15875" width="15.42578125" style="168" customWidth="1"/>
    <col min="15876" max="15876" width="16.42578125" style="168" customWidth="1"/>
    <col min="15877" max="15877" width="16.140625" style="168" customWidth="1"/>
    <col min="15878" max="15878" width="13.7109375" style="168" customWidth="1"/>
    <col min="15879" max="15879" width="18.85546875" style="168" customWidth="1"/>
    <col min="15880" max="15880" width="15.7109375" style="168" customWidth="1"/>
    <col min="15881" max="15882" width="16.5703125" style="168" customWidth="1"/>
    <col min="15883" max="15883" width="13.140625" style="168" bestFit="1" customWidth="1"/>
    <col min="15884" max="15884" width="13.42578125" style="168" customWidth="1"/>
    <col min="15885" max="15885" width="14.7109375" style="168" customWidth="1"/>
    <col min="15886" max="15886" width="14.7109375" style="168" bestFit="1" customWidth="1"/>
    <col min="15887" max="15891" width="14.42578125" style="168" customWidth="1"/>
    <col min="15892" max="15892" width="14.85546875" style="168" bestFit="1" customWidth="1"/>
    <col min="15893" max="15893" width="10.85546875" style="168" bestFit="1" customWidth="1"/>
    <col min="15894" max="16128" width="9.140625" style="168"/>
    <col min="16129" max="16129" width="8.42578125" style="168" customWidth="1"/>
    <col min="16130" max="16130" width="14.42578125" style="168" customWidth="1"/>
    <col min="16131" max="16131" width="15.42578125" style="168" customWidth="1"/>
    <col min="16132" max="16132" width="16.42578125" style="168" customWidth="1"/>
    <col min="16133" max="16133" width="16.140625" style="168" customWidth="1"/>
    <col min="16134" max="16134" width="13.7109375" style="168" customWidth="1"/>
    <col min="16135" max="16135" width="18.85546875" style="168" customWidth="1"/>
    <col min="16136" max="16136" width="15.7109375" style="168" customWidth="1"/>
    <col min="16137" max="16138" width="16.5703125" style="168" customWidth="1"/>
    <col min="16139" max="16139" width="13.140625" style="168" bestFit="1" customWidth="1"/>
    <col min="16140" max="16140" width="13.42578125" style="168" customWidth="1"/>
    <col min="16141" max="16141" width="14.7109375" style="168" customWidth="1"/>
    <col min="16142" max="16142" width="14.7109375" style="168" bestFit="1" customWidth="1"/>
    <col min="16143" max="16147" width="14.42578125" style="168" customWidth="1"/>
    <col min="16148" max="16148" width="14.85546875" style="168" bestFit="1" customWidth="1"/>
    <col min="16149" max="16149" width="10.85546875" style="168" bestFit="1" customWidth="1"/>
    <col min="16150" max="16384" width="9.140625" style="168"/>
  </cols>
  <sheetData>
    <row r="1" spans="1:10" ht="18" customHeight="1" x14ac:dyDescent="0.2">
      <c r="A1" s="698" t="s">
        <v>181</v>
      </c>
      <c r="B1" s="698"/>
      <c r="C1" s="698"/>
      <c r="D1" s="698"/>
      <c r="E1" s="698"/>
      <c r="F1" s="698"/>
      <c r="G1" s="698"/>
      <c r="H1" s="698"/>
      <c r="I1" s="698"/>
      <c r="J1" s="698"/>
    </row>
    <row r="2" spans="1:10" x14ac:dyDescent="0.2">
      <c r="A2" s="169"/>
      <c r="B2" s="170"/>
      <c r="C2" s="171"/>
      <c r="D2" s="171"/>
      <c r="E2" s="172"/>
      <c r="F2" s="172"/>
    </row>
    <row r="3" spans="1:10" x14ac:dyDescent="0.2">
      <c r="A3" s="169" t="s">
        <v>182</v>
      </c>
      <c r="B3" s="699" t="s">
        <v>350</v>
      </c>
      <c r="C3" s="699"/>
      <c r="D3" s="699"/>
      <c r="E3" s="699"/>
      <c r="F3" s="699"/>
      <c r="G3" s="699"/>
      <c r="H3" s="699"/>
      <c r="I3" s="699"/>
      <c r="J3" s="174"/>
    </row>
    <row r="4" spans="1:10" x14ac:dyDescent="0.2">
      <c r="A4" s="175"/>
      <c r="B4" s="699"/>
      <c r="C4" s="699"/>
      <c r="D4" s="699"/>
      <c r="E4" s="699"/>
      <c r="F4" s="699"/>
      <c r="G4" s="699"/>
      <c r="H4" s="699"/>
      <c r="I4" s="699"/>
      <c r="J4" s="174"/>
    </row>
    <row r="5" spans="1:10" ht="15" customHeight="1" x14ac:dyDescent="0.2">
      <c r="A5" s="700" t="str">
        <f>CONCATENATE("PLAZO: ",A42," MESES (",A43,")")</f>
        <v>PLAZO: 24 MESES (720 dias)</v>
      </c>
      <c r="B5" s="700"/>
      <c r="C5" s="700"/>
      <c r="E5" s="177" t="s">
        <v>183</v>
      </c>
    </row>
    <row r="7" spans="1:10" x14ac:dyDescent="0.2">
      <c r="C7" s="179" t="s">
        <v>185</v>
      </c>
      <c r="D7" s="701"/>
      <c r="E7" s="701"/>
      <c r="F7" s="701"/>
      <c r="H7" s="179" t="s">
        <v>186</v>
      </c>
      <c r="I7" s="180">
        <f ca="1">NOW()</f>
        <v>43703.768187731483</v>
      </c>
    </row>
    <row r="8" spans="1:10" x14ac:dyDescent="0.2">
      <c r="C8" s="179" t="str">
        <f>IF(D7=0,"MONTO ESTIMADO CON IVA:","MONTO DE CONTRATO CON IVA:")</f>
        <v>MONTO ESTIMADO CON IVA:</v>
      </c>
      <c r="D8" s="185"/>
      <c r="E8" s="182" t="s">
        <v>187</v>
      </c>
      <c r="F8" s="168" t="s">
        <v>188</v>
      </c>
      <c r="H8" s="173" t="s">
        <v>189</v>
      </c>
      <c r="I8" s="183">
        <v>1</v>
      </c>
    </row>
    <row r="9" spans="1:10" hidden="1" x14ac:dyDescent="0.2">
      <c r="C9" s="179"/>
      <c r="D9" s="181"/>
      <c r="E9" s="176" t="s">
        <v>190</v>
      </c>
      <c r="I9" s="184"/>
    </row>
    <row r="10" spans="1:10" hidden="1" x14ac:dyDescent="0.2">
      <c r="C10" s="179"/>
      <c r="D10" s="181"/>
      <c r="E10" s="176" t="s">
        <v>187</v>
      </c>
      <c r="I10" s="184"/>
    </row>
    <row r="11" spans="1:10" x14ac:dyDescent="0.2">
      <c r="B11" s="168"/>
      <c r="C11" s="179" t="str">
        <f>IF(D7=0,"MONTO ESTIMADO SIN IVA:","MONTO DE CONTRATO SIN IVA:")</f>
        <v>MONTO ESTIMADO SIN IVA:</v>
      </c>
      <c r="D11" s="185">
        <v>14156765.5</v>
      </c>
      <c r="E11" s="186" t="s">
        <v>190</v>
      </c>
      <c r="F11" s="176"/>
    </row>
    <row r="12" spans="1:10" x14ac:dyDescent="0.2">
      <c r="B12" s="168"/>
      <c r="C12" s="179" t="s">
        <v>191</v>
      </c>
      <c r="D12" s="183">
        <v>100</v>
      </c>
      <c r="F12" s="176" t="s">
        <v>192</v>
      </c>
    </row>
    <row r="13" spans="1:10" x14ac:dyDescent="0.2">
      <c r="B13" s="168"/>
      <c r="C13" s="179" t="s">
        <v>193</v>
      </c>
      <c r="D13" s="187">
        <f>100-D12</f>
        <v>0</v>
      </c>
      <c r="F13" s="176"/>
    </row>
    <row r="14" spans="1:10" x14ac:dyDescent="0.2">
      <c r="B14" s="168"/>
      <c r="C14" s="179" t="s">
        <v>194</v>
      </c>
      <c r="D14" s="184">
        <v>20</v>
      </c>
      <c r="F14" s="176"/>
    </row>
    <row r="15" spans="1:10" x14ac:dyDescent="0.2">
      <c r="B15" s="179" t="s">
        <v>195</v>
      </c>
      <c r="C15" s="702"/>
      <c r="D15" s="702"/>
      <c r="E15" s="605" t="s">
        <v>196</v>
      </c>
      <c r="F15" s="606"/>
      <c r="H15" s="190" t="s">
        <v>197</v>
      </c>
      <c r="I15" s="183">
        <v>10</v>
      </c>
    </row>
    <row r="16" spans="1:10" ht="12.75" thickBot="1" x14ac:dyDescent="0.25">
      <c r="F16" s="191"/>
    </row>
    <row r="17" spans="1:11" ht="42" customHeight="1" thickBot="1" x14ac:dyDescent="0.25">
      <c r="A17" s="192" t="s">
        <v>198</v>
      </c>
      <c r="B17" s="193" t="s">
        <v>199</v>
      </c>
      <c r="C17" s="193" t="s">
        <v>200</v>
      </c>
      <c r="D17" s="194" t="str">
        <f>CONCATENATE("MONTO MENSUAL DESCONTADO ",ROUND(D14,0),"% ANTICIPO")</f>
        <v>MONTO MENSUAL DESCONTADO 20% ANTICIPO</v>
      </c>
      <c r="E17" s="195" t="s">
        <v>201</v>
      </c>
      <c r="F17" s="196" t="s">
        <v>202</v>
      </c>
      <c r="G17" s="197" t="s">
        <v>203</v>
      </c>
      <c r="H17" s="198" t="s">
        <v>204</v>
      </c>
      <c r="I17" s="199" t="str">
        <f>CONCATENATE("DESEMBOLSOS FONDO LOCAL (",ROUND(D13,0),"%) + IVA")</f>
        <v>DESEMBOLSOS FONDO LOCAL (0%) + IVA</v>
      </c>
      <c r="J17" s="199" t="str">
        <f>CONCATENATE("DESEMBOLSOS FONDO EXTERNO (",ROUND(D12,0),"%)")</f>
        <v>DESEMBOLSOS FONDO EXTERNO (100%)</v>
      </c>
    </row>
    <row r="18" spans="1:11" ht="12.75" customHeight="1" thickBot="1" x14ac:dyDescent="0.25">
      <c r="A18" s="200">
        <v>0</v>
      </c>
      <c r="B18" s="201">
        <f>D14/100</f>
        <v>0.2</v>
      </c>
      <c r="C18" s="201">
        <v>0</v>
      </c>
      <c r="D18" s="202">
        <f>B18*D11</f>
        <v>2831353.1</v>
      </c>
      <c r="E18" s="203">
        <f>D18</f>
        <v>2831353.1</v>
      </c>
      <c r="F18" s="204">
        <f>E18/$E$42</f>
        <v>0.2</v>
      </c>
      <c r="G18" s="205" t="s">
        <v>205</v>
      </c>
      <c r="H18" s="206">
        <f t="shared" ref="H18:H33" si="0">ROUND(D18*0.1,0)</f>
        <v>283135</v>
      </c>
      <c r="I18" s="207">
        <f>ROUNDUP((D18+H18-J18),-(LEN(D18)-$I$15))</f>
        <v>283135</v>
      </c>
      <c r="J18" s="497">
        <f>(D18*$D$12/100)</f>
        <v>2831353.1</v>
      </c>
    </row>
    <row r="19" spans="1:11" ht="12.75" thickBot="1" x14ac:dyDescent="0.25">
      <c r="A19" s="208">
        <v>1</v>
      </c>
      <c r="B19" s="209">
        <v>2.5000000000000001E-2</v>
      </c>
      <c r="C19" s="209">
        <f t="shared" ref="C19:C42" si="1">B19+C18</f>
        <v>2.5000000000000001E-2</v>
      </c>
      <c r="D19" s="210">
        <f>(B19*$D$11*(100-$D$14)/100)</f>
        <v>283135.31</v>
      </c>
      <c r="E19" s="211">
        <f t="shared" ref="E19:E33" si="2">E18+D19</f>
        <v>3114488.41</v>
      </c>
      <c r="F19" s="212">
        <f>E19/$E$42</f>
        <v>0.22</v>
      </c>
      <c r="G19" s="213" t="s">
        <v>96</v>
      </c>
      <c r="H19" s="214">
        <f t="shared" si="0"/>
        <v>28314</v>
      </c>
      <c r="I19" s="215">
        <f t="shared" ref="I19:I42" si="3">ROUNDUP((D19+H19-J19),-(LEN(D19)-$I$15))</f>
        <v>28314</v>
      </c>
      <c r="J19" s="497">
        <f t="shared" ref="J19:J42" si="4">(D19*$D$12/100)</f>
        <v>283135.31</v>
      </c>
    </row>
    <row r="20" spans="1:11" ht="12.75" thickBot="1" x14ac:dyDescent="0.25">
      <c r="A20" s="208">
        <v>2</v>
      </c>
      <c r="B20" s="209">
        <v>0.03</v>
      </c>
      <c r="C20" s="209">
        <f t="shared" si="1"/>
        <v>5.5E-2</v>
      </c>
      <c r="D20" s="210">
        <f t="shared" ref="D20:D42" si="5">(B20*$D$11*(100-$D$14)/100)</f>
        <v>339762.37199999997</v>
      </c>
      <c r="E20" s="211">
        <f t="shared" si="2"/>
        <v>3454250.7820000001</v>
      </c>
      <c r="F20" s="204">
        <f t="shared" ref="F20:F42" si="6">E20/$E$42</f>
        <v>0.24400000000000002</v>
      </c>
      <c r="G20" s="213" t="s">
        <v>97</v>
      </c>
      <c r="H20" s="214">
        <f t="shared" si="0"/>
        <v>33976</v>
      </c>
      <c r="I20" s="215">
        <f t="shared" si="3"/>
        <v>33976</v>
      </c>
      <c r="J20" s="497">
        <f t="shared" si="4"/>
        <v>339762.37199999997</v>
      </c>
      <c r="K20" s="216">
        <f>+SUM(J18:J20)</f>
        <v>3454250.7820000001</v>
      </c>
    </row>
    <row r="21" spans="1:11" ht="12.75" thickBot="1" x14ac:dyDescent="0.25">
      <c r="A21" s="208">
        <v>3</v>
      </c>
      <c r="B21" s="209">
        <v>3.5000000000000003E-2</v>
      </c>
      <c r="C21" s="209">
        <f>B21+C20</f>
        <v>0.09</v>
      </c>
      <c r="D21" s="210">
        <f t="shared" si="5"/>
        <v>396389.43400000007</v>
      </c>
      <c r="E21" s="211">
        <f t="shared" si="2"/>
        <v>3850640.216</v>
      </c>
      <c r="F21" s="212">
        <f t="shared" si="6"/>
        <v>0.27200000000000002</v>
      </c>
      <c r="G21" s="213" t="s">
        <v>98</v>
      </c>
      <c r="H21" s="214">
        <f t="shared" si="0"/>
        <v>39639</v>
      </c>
      <c r="I21" s="215">
        <f t="shared" si="3"/>
        <v>39639</v>
      </c>
      <c r="J21" s="497">
        <f t="shared" si="4"/>
        <v>396389.43400000007</v>
      </c>
    </row>
    <row r="22" spans="1:11" ht="12.75" thickBot="1" x14ac:dyDescent="0.25">
      <c r="A22" s="208">
        <v>4</v>
      </c>
      <c r="B22" s="209">
        <v>3.5000000000000003E-2</v>
      </c>
      <c r="C22" s="209">
        <f t="shared" si="1"/>
        <v>0.125</v>
      </c>
      <c r="D22" s="210">
        <f t="shared" si="5"/>
        <v>396389.43400000007</v>
      </c>
      <c r="E22" s="211">
        <f t="shared" si="2"/>
        <v>4247029.6500000004</v>
      </c>
      <c r="F22" s="204">
        <f t="shared" si="6"/>
        <v>0.30000000000000004</v>
      </c>
      <c r="G22" s="213" t="s">
        <v>99</v>
      </c>
      <c r="H22" s="214">
        <f t="shared" si="0"/>
        <v>39639</v>
      </c>
      <c r="I22" s="215">
        <f t="shared" si="3"/>
        <v>39639</v>
      </c>
      <c r="J22" s="497">
        <f t="shared" si="4"/>
        <v>396389.43400000007</v>
      </c>
      <c r="K22" s="217"/>
    </row>
    <row r="23" spans="1:11" ht="12.75" thickBot="1" x14ac:dyDescent="0.25">
      <c r="A23" s="208">
        <v>5</v>
      </c>
      <c r="B23" s="209">
        <v>0.04</v>
      </c>
      <c r="C23" s="209">
        <f t="shared" si="1"/>
        <v>0.16500000000000001</v>
      </c>
      <c r="D23" s="210">
        <f t="shared" si="5"/>
        <v>453016.49600000004</v>
      </c>
      <c r="E23" s="211">
        <f t="shared" si="2"/>
        <v>4700046.1460000006</v>
      </c>
      <c r="F23" s="212">
        <f t="shared" si="6"/>
        <v>0.33200000000000007</v>
      </c>
      <c r="G23" s="213" t="s">
        <v>100</v>
      </c>
      <c r="H23" s="214">
        <f t="shared" si="0"/>
        <v>45302</v>
      </c>
      <c r="I23" s="215">
        <f t="shared" si="3"/>
        <v>45302</v>
      </c>
      <c r="J23" s="497">
        <f t="shared" si="4"/>
        <v>453016.49600000004</v>
      </c>
      <c r="K23" s="217"/>
    </row>
    <row r="24" spans="1:11" ht="12.75" thickBot="1" x14ac:dyDescent="0.25">
      <c r="A24" s="208">
        <v>6</v>
      </c>
      <c r="B24" s="209">
        <v>4.4999999999999998E-2</v>
      </c>
      <c r="C24" s="209">
        <f t="shared" si="1"/>
        <v>0.21000000000000002</v>
      </c>
      <c r="D24" s="210">
        <f t="shared" si="5"/>
        <v>509643.55799999996</v>
      </c>
      <c r="E24" s="211">
        <f t="shared" si="2"/>
        <v>5209689.7040000008</v>
      </c>
      <c r="F24" s="204">
        <f t="shared" si="6"/>
        <v>0.36800000000000005</v>
      </c>
      <c r="G24" s="213" t="s">
        <v>101</v>
      </c>
      <c r="H24" s="214">
        <f t="shared" si="0"/>
        <v>50964</v>
      </c>
      <c r="I24" s="215">
        <f t="shared" si="3"/>
        <v>50964</v>
      </c>
      <c r="J24" s="497">
        <f t="shared" si="4"/>
        <v>509643.55799999996</v>
      </c>
      <c r="K24" s="217"/>
    </row>
    <row r="25" spans="1:11" ht="12.75" thickBot="1" x14ac:dyDescent="0.25">
      <c r="A25" s="208">
        <v>7</v>
      </c>
      <c r="B25" s="209">
        <v>4.4999999999999998E-2</v>
      </c>
      <c r="C25" s="209">
        <f t="shared" si="1"/>
        <v>0.255</v>
      </c>
      <c r="D25" s="210">
        <f t="shared" si="5"/>
        <v>509643.55799999996</v>
      </c>
      <c r="E25" s="211">
        <f t="shared" si="2"/>
        <v>5719333.262000001</v>
      </c>
      <c r="F25" s="212">
        <f t="shared" si="6"/>
        <v>0.40400000000000008</v>
      </c>
      <c r="G25" s="213" t="s">
        <v>102</v>
      </c>
      <c r="H25" s="214">
        <f t="shared" si="0"/>
        <v>50964</v>
      </c>
      <c r="I25" s="215">
        <f t="shared" si="3"/>
        <v>50964</v>
      </c>
      <c r="J25" s="497">
        <f t="shared" si="4"/>
        <v>509643.55799999996</v>
      </c>
      <c r="K25" s="218"/>
    </row>
    <row r="26" spans="1:11" ht="12.75" thickBot="1" x14ac:dyDescent="0.25">
      <c r="A26" s="208">
        <v>8</v>
      </c>
      <c r="B26" s="209">
        <v>0.05</v>
      </c>
      <c r="C26" s="209">
        <f t="shared" si="1"/>
        <v>0.30499999999999999</v>
      </c>
      <c r="D26" s="210">
        <f t="shared" si="5"/>
        <v>566270.62</v>
      </c>
      <c r="E26" s="211">
        <f t="shared" si="2"/>
        <v>6285603.8820000011</v>
      </c>
      <c r="F26" s="204">
        <f t="shared" si="6"/>
        <v>0.44400000000000006</v>
      </c>
      <c r="G26" s="213" t="s">
        <v>103</v>
      </c>
      <c r="H26" s="214">
        <f t="shared" si="0"/>
        <v>56627</v>
      </c>
      <c r="I26" s="215">
        <f t="shared" si="3"/>
        <v>56627</v>
      </c>
      <c r="J26" s="497">
        <f t="shared" si="4"/>
        <v>566270.62</v>
      </c>
      <c r="K26" s="217"/>
    </row>
    <row r="27" spans="1:11" ht="12.75" thickBot="1" x14ac:dyDescent="0.25">
      <c r="A27" s="208">
        <v>9</v>
      </c>
      <c r="B27" s="209">
        <v>5.5E-2</v>
      </c>
      <c r="C27" s="209">
        <f t="shared" si="1"/>
        <v>0.36</v>
      </c>
      <c r="D27" s="210">
        <f t="shared" si="5"/>
        <v>622897.68200000003</v>
      </c>
      <c r="E27" s="211">
        <f t="shared" si="2"/>
        <v>6908501.5640000012</v>
      </c>
      <c r="F27" s="212">
        <f t="shared" si="6"/>
        <v>0.4880000000000001</v>
      </c>
      <c r="G27" s="213" t="s">
        <v>104</v>
      </c>
      <c r="H27" s="214">
        <f t="shared" si="0"/>
        <v>62290</v>
      </c>
      <c r="I27" s="215">
        <f t="shared" si="3"/>
        <v>62290</v>
      </c>
      <c r="J27" s="497">
        <f t="shared" si="4"/>
        <v>622897.68200000003</v>
      </c>
      <c r="K27" s="217"/>
    </row>
    <row r="28" spans="1:11" ht="12.75" thickBot="1" x14ac:dyDescent="0.25">
      <c r="A28" s="208">
        <v>10</v>
      </c>
      <c r="B28" s="209">
        <v>5.5E-2</v>
      </c>
      <c r="C28" s="209">
        <f t="shared" si="1"/>
        <v>0.41499999999999998</v>
      </c>
      <c r="D28" s="210">
        <f t="shared" si="5"/>
        <v>622897.68200000003</v>
      </c>
      <c r="E28" s="211">
        <f t="shared" si="2"/>
        <v>7531399.2460000012</v>
      </c>
      <c r="F28" s="204">
        <f t="shared" si="6"/>
        <v>0.53200000000000014</v>
      </c>
      <c r="G28" s="213" t="s">
        <v>105</v>
      </c>
      <c r="H28" s="214">
        <f t="shared" si="0"/>
        <v>62290</v>
      </c>
      <c r="I28" s="215">
        <f t="shared" si="3"/>
        <v>62290</v>
      </c>
      <c r="J28" s="497">
        <f t="shared" si="4"/>
        <v>622897.68200000003</v>
      </c>
      <c r="K28" s="217"/>
    </row>
    <row r="29" spans="1:11" ht="12.75" thickBot="1" x14ac:dyDescent="0.25">
      <c r="A29" s="208">
        <v>11</v>
      </c>
      <c r="B29" s="209">
        <v>5.5E-2</v>
      </c>
      <c r="C29" s="209">
        <f t="shared" si="1"/>
        <v>0.47</v>
      </c>
      <c r="D29" s="210">
        <f t="shared" si="5"/>
        <v>622897.68200000003</v>
      </c>
      <c r="E29" s="211">
        <f t="shared" si="2"/>
        <v>8154296.9280000012</v>
      </c>
      <c r="F29" s="212">
        <f t="shared" si="6"/>
        <v>0.57600000000000007</v>
      </c>
      <c r="G29" s="213" t="s">
        <v>106</v>
      </c>
      <c r="H29" s="214">
        <f t="shared" si="0"/>
        <v>62290</v>
      </c>
      <c r="I29" s="215">
        <f t="shared" si="3"/>
        <v>62290</v>
      </c>
      <c r="J29" s="497">
        <f t="shared" si="4"/>
        <v>622897.68200000003</v>
      </c>
      <c r="K29" s="217"/>
    </row>
    <row r="30" spans="1:11" ht="12.75" thickBot="1" x14ac:dyDescent="0.25">
      <c r="A30" s="208">
        <v>12</v>
      </c>
      <c r="B30" s="209">
        <v>0.06</v>
      </c>
      <c r="C30" s="209">
        <f t="shared" si="1"/>
        <v>0.53</v>
      </c>
      <c r="D30" s="210">
        <f t="shared" si="5"/>
        <v>679524.74399999995</v>
      </c>
      <c r="E30" s="211">
        <f t="shared" si="2"/>
        <v>8833821.6720000021</v>
      </c>
      <c r="F30" s="204">
        <f t="shared" si="6"/>
        <v>0.62400000000000011</v>
      </c>
      <c r="G30" s="213" t="s">
        <v>107</v>
      </c>
      <c r="H30" s="214">
        <f t="shared" si="0"/>
        <v>67952</v>
      </c>
      <c r="I30" s="215">
        <f t="shared" si="3"/>
        <v>67952</v>
      </c>
      <c r="J30" s="497">
        <f t="shared" si="4"/>
        <v>679524.74399999995</v>
      </c>
      <c r="K30" s="217"/>
    </row>
    <row r="31" spans="1:11" ht="12.75" thickBot="1" x14ac:dyDescent="0.25">
      <c r="A31" s="208">
        <v>13</v>
      </c>
      <c r="B31" s="209">
        <v>7.0000000000000007E-2</v>
      </c>
      <c r="C31" s="209">
        <f t="shared" si="1"/>
        <v>0.60000000000000009</v>
      </c>
      <c r="D31" s="210">
        <f t="shared" si="5"/>
        <v>792778.86800000013</v>
      </c>
      <c r="E31" s="211">
        <f t="shared" si="2"/>
        <v>9626600.5400000028</v>
      </c>
      <c r="F31" s="212">
        <f t="shared" si="6"/>
        <v>0.68000000000000016</v>
      </c>
      <c r="G31" s="213" t="s">
        <v>108</v>
      </c>
      <c r="H31" s="214">
        <f t="shared" si="0"/>
        <v>79278</v>
      </c>
      <c r="I31" s="215">
        <f t="shared" si="3"/>
        <v>79278</v>
      </c>
      <c r="J31" s="497">
        <f t="shared" si="4"/>
        <v>792778.86800000013</v>
      </c>
      <c r="K31" s="217"/>
    </row>
    <row r="32" spans="1:11" ht="12.75" thickBot="1" x14ac:dyDescent="0.25">
      <c r="A32" s="208">
        <v>14</v>
      </c>
      <c r="B32" s="209">
        <v>7.0000000000000007E-2</v>
      </c>
      <c r="C32" s="209">
        <f t="shared" si="1"/>
        <v>0.67000000000000015</v>
      </c>
      <c r="D32" s="210">
        <f t="shared" si="5"/>
        <v>792778.86800000013</v>
      </c>
      <c r="E32" s="211">
        <f t="shared" si="2"/>
        <v>10419379.408000004</v>
      </c>
      <c r="F32" s="204">
        <f t="shared" si="6"/>
        <v>0.73600000000000021</v>
      </c>
      <c r="G32" s="213" t="s">
        <v>109</v>
      </c>
      <c r="H32" s="214">
        <f t="shared" si="0"/>
        <v>79278</v>
      </c>
      <c r="I32" s="215">
        <f t="shared" si="3"/>
        <v>79278</v>
      </c>
      <c r="J32" s="497">
        <f t="shared" si="4"/>
        <v>792778.86800000013</v>
      </c>
      <c r="K32" s="219">
        <f>+SUM(J21:J32)</f>
        <v>6965128.6259999992</v>
      </c>
    </row>
    <row r="33" spans="1:11" ht="12.75" thickBot="1" x14ac:dyDescent="0.25">
      <c r="A33" s="208">
        <v>15</v>
      </c>
      <c r="B33" s="209">
        <v>6.5000000000000002E-2</v>
      </c>
      <c r="C33" s="209">
        <f t="shared" si="1"/>
        <v>0.7350000000000001</v>
      </c>
      <c r="D33" s="210">
        <f t="shared" si="5"/>
        <v>736151.8060000001</v>
      </c>
      <c r="E33" s="211">
        <f t="shared" si="2"/>
        <v>11155531.214000003</v>
      </c>
      <c r="F33" s="212">
        <f t="shared" si="6"/>
        <v>0.78800000000000026</v>
      </c>
      <c r="G33" s="213" t="s">
        <v>110</v>
      </c>
      <c r="H33" s="214">
        <f t="shared" si="0"/>
        <v>73615</v>
      </c>
      <c r="I33" s="215">
        <f t="shared" si="3"/>
        <v>73615</v>
      </c>
      <c r="J33" s="497">
        <f t="shared" si="4"/>
        <v>736151.8060000001</v>
      </c>
      <c r="K33" s="217"/>
    </row>
    <row r="34" spans="1:11" ht="12.75" thickBot="1" x14ac:dyDescent="0.25">
      <c r="A34" s="208">
        <v>16</v>
      </c>
      <c r="B34" s="209">
        <v>6.5000000000000002E-2</v>
      </c>
      <c r="C34" s="209">
        <f t="shared" si="1"/>
        <v>0.8</v>
      </c>
      <c r="D34" s="210">
        <f t="shared" si="5"/>
        <v>736151.8060000001</v>
      </c>
      <c r="E34" s="211">
        <f>E33+D34</f>
        <v>11891683.020000003</v>
      </c>
      <c r="F34" s="204">
        <f t="shared" si="6"/>
        <v>0.84000000000000019</v>
      </c>
      <c r="G34" s="213" t="s">
        <v>111</v>
      </c>
      <c r="H34" s="214">
        <f>ROUND(D34*0.1,0)</f>
        <v>73615</v>
      </c>
      <c r="I34" s="215">
        <f t="shared" si="3"/>
        <v>73615</v>
      </c>
      <c r="J34" s="497">
        <f t="shared" si="4"/>
        <v>736151.8060000001</v>
      </c>
      <c r="K34" s="217"/>
    </row>
    <row r="35" spans="1:11" ht="12.75" thickBot="1" x14ac:dyDescent="0.25">
      <c r="A35" s="208">
        <v>17</v>
      </c>
      <c r="B35" s="209">
        <v>0.05</v>
      </c>
      <c r="C35" s="209">
        <f t="shared" si="1"/>
        <v>0.85000000000000009</v>
      </c>
      <c r="D35" s="210">
        <f t="shared" si="5"/>
        <v>566270.62</v>
      </c>
      <c r="E35" s="211">
        <f>E34+D35</f>
        <v>12457953.640000002</v>
      </c>
      <c r="F35" s="212">
        <f t="shared" si="6"/>
        <v>0.88000000000000023</v>
      </c>
      <c r="G35" s="213" t="s">
        <v>112</v>
      </c>
      <c r="H35" s="214">
        <f>ROUND(D35*0.1,0)</f>
        <v>56627</v>
      </c>
      <c r="I35" s="215">
        <f t="shared" si="3"/>
        <v>56627</v>
      </c>
      <c r="J35" s="497">
        <f t="shared" si="4"/>
        <v>566270.62</v>
      </c>
      <c r="K35" s="217"/>
    </row>
    <row r="36" spans="1:11" ht="12.75" thickBot="1" x14ac:dyDescent="0.25">
      <c r="A36" s="220">
        <v>18</v>
      </c>
      <c r="B36" s="209">
        <v>0.05</v>
      </c>
      <c r="C36" s="209">
        <f t="shared" si="1"/>
        <v>0.90000000000000013</v>
      </c>
      <c r="D36" s="210">
        <f t="shared" si="5"/>
        <v>566270.62</v>
      </c>
      <c r="E36" s="222">
        <f>E35+D36</f>
        <v>13024224.260000002</v>
      </c>
      <c r="F36" s="204">
        <f t="shared" si="6"/>
        <v>0.92000000000000015</v>
      </c>
      <c r="G36" s="224" t="s">
        <v>113</v>
      </c>
      <c r="H36" s="225">
        <f>ROUND(D36*0.1,0)</f>
        <v>56627</v>
      </c>
      <c r="I36" s="215">
        <f t="shared" si="3"/>
        <v>56627</v>
      </c>
      <c r="J36" s="497">
        <f t="shared" si="4"/>
        <v>566270.62</v>
      </c>
      <c r="K36" s="219">
        <f>+SUM(J33:J36)</f>
        <v>2604844.8520000004</v>
      </c>
    </row>
    <row r="37" spans="1:11" ht="12.75" thickBot="1" x14ac:dyDescent="0.25">
      <c r="A37" s="208">
        <v>19</v>
      </c>
      <c r="B37" s="209">
        <v>0.04</v>
      </c>
      <c r="C37" s="209">
        <f t="shared" si="1"/>
        <v>0.94000000000000017</v>
      </c>
      <c r="D37" s="210">
        <f t="shared" si="5"/>
        <v>453016.49600000004</v>
      </c>
      <c r="E37" s="211">
        <f t="shared" ref="E37:E42" si="7">E36+D37</f>
        <v>13477240.756000001</v>
      </c>
      <c r="F37" s="212">
        <f t="shared" si="6"/>
        <v>0.95200000000000007</v>
      </c>
      <c r="G37" s="213" t="s">
        <v>114</v>
      </c>
      <c r="H37" s="214">
        <f t="shared" ref="H37:H42" si="8">ROUND(D37*0.1,0)</f>
        <v>45302</v>
      </c>
      <c r="I37" s="215">
        <f t="shared" si="3"/>
        <v>45302</v>
      </c>
      <c r="J37" s="497">
        <f t="shared" si="4"/>
        <v>453016.49600000004</v>
      </c>
      <c r="K37" s="219"/>
    </row>
    <row r="38" spans="1:11" ht="12.75" thickBot="1" x14ac:dyDescent="0.25">
      <c r="A38" s="220">
        <v>20</v>
      </c>
      <c r="B38" s="209">
        <v>0.02</v>
      </c>
      <c r="C38" s="209">
        <f t="shared" si="1"/>
        <v>0.96000000000000019</v>
      </c>
      <c r="D38" s="210">
        <f t="shared" si="5"/>
        <v>226508.24800000002</v>
      </c>
      <c r="E38" s="222">
        <f t="shared" si="7"/>
        <v>13703749.004000001</v>
      </c>
      <c r="F38" s="204">
        <f t="shared" si="6"/>
        <v>0.96800000000000008</v>
      </c>
      <c r="G38" s="224" t="s">
        <v>115</v>
      </c>
      <c r="H38" s="225">
        <f t="shared" si="8"/>
        <v>22651</v>
      </c>
      <c r="I38" s="215">
        <f t="shared" si="3"/>
        <v>22651</v>
      </c>
      <c r="J38" s="497">
        <f t="shared" si="4"/>
        <v>226508.24800000002</v>
      </c>
      <c r="K38" s="219"/>
    </row>
    <row r="39" spans="1:11" ht="12.75" thickBot="1" x14ac:dyDescent="0.25">
      <c r="A39" s="208">
        <v>21</v>
      </c>
      <c r="B39" s="238">
        <v>0.01</v>
      </c>
      <c r="C39" s="209">
        <f t="shared" si="1"/>
        <v>0.9700000000000002</v>
      </c>
      <c r="D39" s="210">
        <f t="shared" si="5"/>
        <v>113254.12400000001</v>
      </c>
      <c r="E39" s="211">
        <f t="shared" si="7"/>
        <v>13817003.128</v>
      </c>
      <c r="F39" s="212">
        <f t="shared" si="6"/>
        <v>0.97600000000000009</v>
      </c>
      <c r="G39" s="213" t="s">
        <v>116</v>
      </c>
      <c r="H39" s="214">
        <f t="shared" si="8"/>
        <v>11325</v>
      </c>
      <c r="I39" s="226">
        <f>ROUNDUP((D39+H39-J39),-(LEN(D39)-$I$15))</f>
        <v>11325</v>
      </c>
      <c r="J39" s="497">
        <f t="shared" si="4"/>
        <v>113254.12400000001</v>
      </c>
      <c r="K39" s="219"/>
    </row>
    <row r="40" spans="1:11" ht="12.75" thickBot="1" x14ac:dyDescent="0.25">
      <c r="A40" s="220">
        <v>22</v>
      </c>
      <c r="B40" s="209">
        <v>0.01</v>
      </c>
      <c r="C40" s="209">
        <f t="shared" si="1"/>
        <v>0.9800000000000002</v>
      </c>
      <c r="D40" s="210">
        <f t="shared" si="5"/>
        <v>113254.12400000001</v>
      </c>
      <c r="E40" s="222">
        <f t="shared" si="7"/>
        <v>13930257.252</v>
      </c>
      <c r="F40" s="204">
        <f t="shared" si="6"/>
        <v>0.98399999999999999</v>
      </c>
      <c r="G40" s="224" t="s">
        <v>117</v>
      </c>
      <c r="H40" s="225">
        <f t="shared" si="8"/>
        <v>11325</v>
      </c>
      <c r="I40" s="215">
        <f t="shared" si="3"/>
        <v>11325</v>
      </c>
      <c r="J40" s="497">
        <f t="shared" si="4"/>
        <v>113254.12400000001</v>
      </c>
      <c r="K40" s="219"/>
    </row>
    <row r="41" spans="1:11" ht="12.75" thickBot="1" x14ac:dyDescent="0.25">
      <c r="A41" s="208">
        <v>23</v>
      </c>
      <c r="B41" s="209">
        <v>0.01</v>
      </c>
      <c r="C41" s="209">
        <f t="shared" si="1"/>
        <v>0.99000000000000021</v>
      </c>
      <c r="D41" s="210">
        <f t="shared" si="5"/>
        <v>113254.12400000001</v>
      </c>
      <c r="E41" s="211">
        <f t="shared" si="7"/>
        <v>14043511.376</v>
      </c>
      <c r="F41" s="212">
        <f t="shared" si="6"/>
        <v>0.99199999999999999</v>
      </c>
      <c r="G41" s="213" t="s">
        <v>118</v>
      </c>
      <c r="H41" s="214">
        <f t="shared" si="8"/>
        <v>11325</v>
      </c>
      <c r="I41" s="215">
        <f t="shared" si="3"/>
        <v>11325</v>
      </c>
      <c r="J41" s="497">
        <f t="shared" si="4"/>
        <v>113254.12400000001</v>
      </c>
      <c r="K41" s="219"/>
    </row>
    <row r="42" spans="1:11" ht="12.75" thickBot="1" x14ac:dyDescent="0.25">
      <c r="A42" s="220">
        <v>24</v>
      </c>
      <c r="B42" s="221">
        <v>0.01</v>
      </c>
      <c r="C42" s="209">
        <f t="shared" si="1"/>
        <v>1.0000000000000002</v>
      </c>
      <c r="D42" s="210">
        <f t="shared" si="5"/>
        <v>113254.12400000001</v>
      </c>
      <c r="E42" s="222">
        <f t="shared" si="7"/>
        <v>14156765.5</v>
      </c>
      <c r="F42" s="204">
        <f t="shared" si="6"/>
        <v>1</v>
      </c>
      <c r="G42" s="224" t="s">
        <v>119</v>
      </c>
      <c r="H42" s="225">
        <f t="shared" si="8"/>
        <v>11325</v>
      </c>
      <c r="I42" s="226">
        <f t="shared" si="3"/>
        <v>11325</v>
      </c>
      <c r="J42" s="497">
        <f t="shared" si="4"/>
        <v>113254.12400000001</v>
      </c>
      <c r="K42" s="219"/>
    </row>
    <row r="43" spans="1:11" ht="20.25" customHeight="1" thickBot="1" x14ac:dyDescent="0.25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14156765.5</v>
      </c>
      <c r="E43" s="168"/>
      <c r="H43" s="168"/>
      <c r="I43" s="231">
        <f>SUM(I18:I36)</f>
        <v>1302422</v>
      </c>
      <c r="J43" s="231">
        <f>SUM(J18:J42)</f>
        <v>14156765.5</v>
      </c>
      <c r="K43" s="217"/>
    </row>
    <row r="44" spans="1:11" ht="15" customHeight="1" x14ac:dyDescent="0.2">
      <c r="A44" s="173"/>
      <c r="F44" s="176"/>
      <c r="G44" s="176"/>
      <c r="H44" s="179" t="s">
        <v>206</v>
      </c>
      <c r="I44" s="696">
        <f>I43+J43</f>
        <v>15459187.5</v>
      </c>
      <c r="J44" s="697"/>
    </row>
    <row r="45" spans="1:11" x14ac:dyDescent="0.2">
      <c r="A45" s="172" t="s">
        <v>207</v>
      </c>
      <c r="B45" s="172"/>
      <c r="C45" s="172"/>
      <c r="H45" s="179" t="s">
        <v>208</v>
      </c>
      <c r="I45" s="190">
        <f>I44/1.1-D11</f>
        <v>-102958.68181818351</v>
      </c>
    </row>
    <row r="46" spans="1:11" x14ac:dyDescent="0.2">
      <c r="B46" s="232"/>
    </row>
    <row r="47" spans="1:11" x14ac:dyDescent="0.2">
      <c r="B47" s="232"/>
    </row>
    <row r="49" spans="1:27" s="235" customFormat="1" ht="12.75" customHeight="1" x14ac:dyDescent="0.2">
      <c r="A49" s="233"/>
      <c r="B49" s="234" t="s">
        <v>209</v>
      </c>
      <c r="C49" s="234" t="s">
        <v>96</v>
      </c>
      <c r="D49" s="234" t="s">
        <v>97</v>
      </c>
      <c r="E49" s="234" t="s">
        <v>98</v>
      </c>
      <c r="F49" s="234" t="s">
        <v>99</v>
      </c>
      <c r="G49" s="234" t="s">
        <v>100</v>
      </c>
      <c r="H49" s="234" t="s">
        <v>101</v>
      </c>
      <c r="I49" s="234" t="s">
        <v>102</v>
      </c>
      <c r="J49" s="234" t="s">
        <v>103</v>
      </c>
      <c r="K49" s="234" t="s">
        <v>104</v>
      </c>
      <c r="L49" s="234" t="s">
        <v>105</v>
      </c>
      <c r="M49" s="234" t="s">
        <v>106</v>
      </c>
      <c r="N49" s="234" t="s">
        <v>107</v>
      </c>
      <c r="O49" s="234" t="s">
        <v>108</v>
      </c>
      <c r="P49" s="234" t="s">
        <v>109</v>
      </c>
      <c r="Q49" s="234" t="s">
        <v>110</v>
      </c>
      <c r="R49" s="234" t="s">
        <v>111</v>
      </c>
      <c r="S49" s="234" t="s">
        <v>112</v>
      </c>
      <c r="T49" s="234" t="s">
        <v>113</v>
      </c>
      <c r="U49" s="234" t="s">
        <v>114</v>
      </c>
      <c r="V49" s="234" t="s">
        <v>115</v>
      </c>
      <c r="W49" s="234" t="s">
        <v>116</v>
      </c>
      <c r="X49" s="234" t="s">
        <v>117</v>
      </c>
      <c r="Y49" s="234" t="s">
        <v>118</v>
      </c>
      <c r="Z49" s="234" t="s">
        <v>119</v>
      </c>
    </row>
    <row r="50" spans="1:27" x14ac:dyDescent="0.2">
      <c r="A50" s="236" t="s">
        <v>210</v>
      </c>
      <c r="B50" s="210">
        <v>0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176">
        <f>SUM(B50:T50)</f>
        <v>0</v>
      </c>
      <c r="V50" s="176">
        <f t="shared" ref="V50:AA50" si="9">SUM(C50:U50)</f>
        <v>0</v>
      </c>
      <c r="W50" s="176">
        <f t="shared" si="9"/>
        <v>0</v>
      </c>
      <c r="X50" s="176">
        <f t="shared" si="9"/>
        <v>0</v>
      </c>
      <c r="Y50" s="176">
        <f t="shared" si="9"/>
        <v>0</v>
      </c>
      <c r="Z50" s="176">
        <f t="shared" si="9"/>
        <v>0</v>
      </c>
      <c r="AA50" s="176">
        <f t="shared" si="9"/>
        <v>0</v>
      </c>
    </row>
    <row r="51" spans="1:27" x14ac:dyDescent="0.2">
      <c r="A51" s="236" t="s">
        <v>211</v>
      </c>
      <c r="B51" s="210">
        <f>$J18</f>
        <v>2831353.1</v>
      </c>
      <c r="C51" s="210">
        <f>$J19</f>
        <v>283135.31</v>
      </c>
      <c r="D51" s="210">
        <f>$J20</f>
        <v>339762.37199999997</v>
      </c>
      <c r="E51" s="210">
        <f>$J21</f>
        <v>396389.43400000007</v>
      </c>
      <c r="F51" s="210">
        <f>$J22</f>
        <v>396389.43400000007</v>
      </c>
      <c r="G51" s="210">
        <f>$J23</f>
        <v>453016.49600000004</v>
      </c>
      <c r="H51" s="210">
        <f>$J24</f>
        <v>509643.55799999996</v>
      </c>
      <c r="I51" s="210">
        <f>$J25</f>
        <v>509643.55799999996</v>
      </c>
      <c r="J51" s="210">
        <f>$J26</f>
        <v>566270.62</v>
      </c>
      <c r="K51" s="210">
        <f>$J27</f>
        <v>622897.68200000003</v>
      </c>
      <c r="L51" s="210">
        <f>$J28</f>
        <v>622897.68200000003</v>
      </c>
      <c r="M51" s="210">
        <f>$J29</f>
        <v>622897.68200000003</v>
      </c>
      <c r="N51" s="210">
        <f>$J30</f>
        <v>679524.74399999995</v>
      </c>
      <c r="O51" s="210">
        <f>$J31</f>
        <v>792778.86800000013</v>
      </c>
      <c r="P51" s="210">
        <f>$J32</f>
        <v>792778.86800000013</v>
      </c>
      <c r="Q51" s="210">
        <f>$J33</f>
        <v>736151.8060000001</v>
      </c>
      <c r="R51" s="210">
        <f>$J34</f>
        <v>736151.8060000001</v>
      </c>
      <c r="S51" s="210">
        <f>$J35</f>
        <v>566270.62</v>
      </c>
      <c r="T51" s="210">
        <f>$J36</f>
        <v>566270.62</v>
      </c>
      <c r="U51" s="210">
        <f>$J37</f>
        <v>453016.49600000004</v>
      </c>
      <c r="V51" s="210">
        <f>$J38</f>
        <v>226508.24800000002</v>
      </c>
      <c r="W51" s="210">
        <f>$J39</f>
        <v>113254.12400000001</v>
      </c>
      <c r="X51" s="210">
        <f>$J40</f>
        <v>113254.12400000001</v>
      </c>
      <c r="Y51" s="210">
        <f>$J41</f>
        <v>113254.12400000001</v>
      </c>
      <c r="Z51" s="210">
        <f>$J42</f>
        <v>113254.12400000001</v>
      </c>
      <c r="AA51" s="176">
        <f>SUM(B51:Z51)</f>
        <v>14156765.5</v>
      </c>
    </row>
    <row r="52" spans="1:27" x14ac:dyDescent="0.2">
      <c r="B52" s="210">
        <f>B50+B51</f>
        <v>2831353.1</v>
      </c>
      <c r="C52" s="210">
        <f t="shared" ref="C52:Z52" si="10">C50+C51</f>
        <v>283135.31</v>
      </c>
      <c r="D52" s="210">
        <f t="shared" si="10"/>
        <v>339762.37199999997</v>
      </c>
      <c r="E52" s="210">
        <f t="shared" si="10"/>
        <v>396389.43400000007</v>
      </c>
      <c r="F52" s="210">
        <f t="shared" si="10"/>
        <v>396389.43400000007</v>
      </c>
      <c r="G52" s="210">
        <f t="shared" si="10"/>
        <v>453016.49600000004</v>
      </c>
      <c r="H52" s="210">
        <f t="shared" si="10"/>
        <v>509643.55799999996</v>
      </c>
      <c r="I52" s="210">
        <f t="shared" si="10"/>
        <v>509643.55799999996</v>
      </c>
      <c r="J52" s="210">
        <f t="shared" si="10"/>
        <v>566270.62</v>
      </c>
      <c r="K52" s="210">
        <f t="shared" si="10"/>
        <v>622897.68200000003</v>
      </c>
      <c r="L52" s="210">
        <f t="shared" si="10"/>
        <v>622897.68200000003</v>
      </c>
      <c r="M52" s="210">
        <f t="shared" si="10"/>
        <v>622897.68200000003</v>
      </c>
      <c r="N52" s="210">
        <f t="shared" si="10"/>
        <v>679524.74399999995</v>
      </c>
      <c r="O52" s="210">
        <f t="shared" si="10"/>
        <v>792778.86800000013</v>
      </c>
      <c r="P52" s="210">
        <f t="shared" si="10"/>
        <v>792778.86800000013</v>
      </c>
      <c r="Q52" s="210">
        <f t="shared" si="10"/>
        <v>736151.8060000001</v>
      </c>
      <c r="R52" s="210">
        <f t="shared" si="10"/>
        <v>736151.8060000001</v>
      </c>
      <c r="S52" s="210">
        <f t="shared" si="10"/>
        <v>566270.62</v>
      </c>
      <c r="T52" s="210">
        <f t="shared" si="10"/>
        <v>566270.62</v>
      </c>
      <c r="U52" s="210">
        <f t="shared" si="10"/>
        <v>453016.49600000004</v>
      </c>
      <c r="V52" s="210">
        <f t="shared" si="10"/>
        <v>226508.24800000002</v>
      </c>
      <c r="W52" s="210">
        <f t="shared" si="10"/>
        <v>113254.12400000001</v>
      </c>
      <c r="X52" s="210">
        <f t="shared" si="10"/>
        <v>113254.12400000001</v>
      </c>
      <c r="Y52" s="210">
        <f t="shared" si="10"/>
        <v>113254.12400000001</v>
      </c>
      <c r="Z52" s="210">
        <f t="shared" si="10"/>
        <v>113254.12400000001</v>
      </c>
      <c r="AA52" s="495">
        <f>U50+AA51</f>
        <v>14156765.5</v>
      </c>
    </row>
    <row r="53" spans="1:27" x14ac:dyDescent="0.2">
      <c r="B53" s="496">
        <f>SUM(B52:Z52)</f>
        <v>14156765.5</v>
      </c>
    </row>
    <row r="54" spans="1:27" x14ac:dyDescent="0.2">
      <c r="B54" s="496">
        <f>1586985/2</f>
        <v>793492.5</v>
      </c>
      <c r="C54" s="176">
        <v>793492.5</v>
      </c>
    </row>
    <row r="55" spans="1:27" x14ac:dyDescent="0.2">
      <c r="B55" s="496">
        <v>14156765.5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53"/>
  <sheetViews>
    <sheetView showGridLines="0" zoomScale="70" zoomScaleNormal="70" workbookViewId="0">
      <selection activeCell="D8" sqref="D8"/>
    </sheetView>
  </sheetViews>
  <sheetFormatPr defaultColWidth="9.140625" defaultRowHeight="12" x14ac:dyDescent="0.2"/>
  <cols>
    <col min="1" max="1" width="8.42578125" style="168" customWidth="1"/>
    <col min="2" max="2" width="14.42578125" style="178" customWidth="1"/>
    <col min="3" max="3" width="15.42578125" style="176" customWidth="1"/>
    <col min="4" max="4" width="16.42578125" style="176" customWidth="1"/>
    <col min="5" max="5" width="16.140625" style="176" customWidth="1"/>
    <col min="6" max="6" width="13.7109375" style="168" customWidth="1"/>
    <col min="7" max="7" width="18.85546875" style="168" customWidth="1"/>
    <col min="8" max="8" width="15.7109375" style="173" customWidth="1"/>
    <col min="9" max="10" width="16.5703125" style="168" customWidth="1"/>
    <col min="11" max="11" width="13.140625" style="168" bestFit="1" customWidth="1"/>
    <col min="12" max="12" width="13.42578125" style="168" customWidth="1"/>
    <col min="13" max="13" width="14.7109375" style="168" customWidth="1"/>
    <col min="14" max="14" width="14.7109375" style="168" bestFit="1" customWidth="1"/>
    <col min="15" max="19" width="14.42578125" style="168" customWidth="1"/>
    <col min="20" max="20" width="14.85546875" style="168" bestFit="1" customWidth="1"/>
    <col min="21" max="21" width="10.85546875" style="168" bestFit="1" customWidth="1"/>
    <col min="22" max="22" width="9.140625" style="168"/>
    <col min="23" max="23" width="10.28515625" style="168" bestFit="1" customWidth="1"/>
    <col min="24" max="26" width="9.140625" style="168"/>
    <col min="27" max="27" width="10" style="168" bestFit="1" customWidth="1"/>
    <col min="28" max="256" width="9.140625" style="168"/>
    <col min="257" max="257" width="8.42578125" style="168" customWidth="1"/>
    <col min="258" max="258" width="14.42578125" style="168" customWidth="1"/>
    <col min="259" max="259" width="15.42578125" style="168" customWidth="1"/>
    <col min="260" max="260" width="16.42578125" style="168" customWidth="1"/>
    <col min="261" max="261" width="16.140625" style="168" customWidth="1"/>
    <col min="262" max="262" width="13.7109375" style="168" customWidth="1"/>
    <col min="263" max="263" width="18.85546875" style="168" customWidth="1"/>
    <col min="264" max="264" width="15.7109375" style="168" customWidth="1"/>
    <col min="265" max="266" width="16.5703125" style="168" customWidth="1"/>
    <col min="267" max="267" width="13.140625" style="168" bestFit="1" customWidth="1"/>
    <col min="268" max="268" width="13.42578125" style="168" customWidth="1"/>
    <col min="269" max="269" width="14.7109375" style="168" customWidth="1"/>
    <col min="270" max="270" width="14.7109375" style="168" bestFit="1" customWidth="1"/>
    <col min="271" max="275" width="14.42578125" style="168" customWidth="1"/>
    <col min="276" max="276" width="14.85546875" style="168" bestFit="1" customWidth="1"/>
    <col min="277" max="277" width="10.85546875" style="168" bestFit="1" customWidth="1"/>
    <col min="278" max="512" width="9.140625" style="168"/>
    <col min="513" max="513" width="8.42578125" style="168" customWidth="1"/>
    <col min="514" max="514" width="14.42578125" style="168" customWidth="1"/>
    <col min="515" max="515" width="15.42578125" style="168" customWidth="1"/>
    <col min="516" max="516" width="16.42578125" style="168" customWidth="1"/>
    <col min="517" max="517" width="16.140625" style="168" customWidth="1"/>
    <col min="518" max="518" width="13.7109375" style="168" customWidth="1"/>
    <col min="519" max="519" width="18.85546875" style="168" customWidth="1"/>
    <col min="520" max="520" width="15.7109375" style="168" customWidth="1"/>
    <col min="521" max="522" width="16.5703125" style="168" customWidth="1"/>
    <col min="523" max="523" width="13.140625" style="168" bestFit="1" customWidth="1"/>
    <col min="524" max="524" width="13.42578125" style="168" customWidth="1"/>
    <col min="525" max="525" width="14.7109375" style="168" customWidth="1"/>
    <col min="526" max="526" width="14.7109375" style="168" bestFit="1" customWidth="1"/>
    <col min="527" max="531" width="14.42578125" style="168" customWidth="1"/>
    <col min="532" max="532" width="14.85546875" style="168" bestFit="1" customWidth="1"/>
    <col min="533" max="533" width="10.85546875" style="168" bestFit="1" customWidth="1"/>
    <col min="534" max="768" width="9.140625" style="168"/>
    <col min="769" max="769" width="8.42578125" style="168" customWidth="1"/>
    <col min="770" max="770" width="14.42578125" style="168" customWidth="1"/>
    <col min="771" max="771" width="15.42578125" style="168" customWidth="1"/>
    <col min="772" max="772" width="16.42578125" style="168" customWidth="1"/>
    <col min="773" max="773" width="16.140625" style="168" customWidth="1"/>
    <col min="774" max="774" width="13.7109375" style="168" customWidth="1"/>
    <col min="775" max="775" width="18.85546875" style="168" customWidth="1"/>
    <col min="776" max="776" width="15.7109375" style="168" customWidth="1"/>
    <col min="777" max="778" width="16.5703125" style="168" customWidth="1"/>
    <col min="779" max="779" width="13.140625" style="168" bestFit="1" customWidth="1"/>
    <col min="780" max="780" width="13.42578125" style="168" customWidth="1"/>
    <col min="781" max="781" width="14.7109375" style="168" customWidth="1"/>
    <col min="782" max="782" width="14.7109375" style="168" bestFit="1" customWidth="1"/>
    <col min="783" max="787" width="14.42578125" style="168" customWidth="1"/>
    <col min="788" max="788" width="14.85546875" style="168" bestFit="1" customWidth="1"/>
    <col min="789" max="789" width="10.85546875" style="168" bestFit="1" customWidth="1"/>
    <col min="790" max="1024" width="9.140625" style="168"/>
    <col min="1025" max="1025" width="8.42578125" style="168" customWidth="1"/>
    <col min="1026" max="1026" width="14.42578125" style="168" customWidth="1"/>
    <col min="1027" max="1027" width="15.42578125" style="168" customWidth="1"/>
    <col min="1028" max="1028" width="16.42578125" style="168" customWidth="1"/>
    <col min="1029" max="1029" width="16.140625" style="168" customWidth="1"/>
    <col min="1030" max="1030" width="13.7109375" style="168" customWidth="1"/>
    <col min="1031" max="1031" width="18.85546875" style="168" customWidth="1"/>
    <col min="1032" max="1032" width="15.7109375" style="168" customWidth="1"/>
    <col min="1033" max="1034" width="16.5703125" style="168" customWidth="1"/>
    <col min="1035" max="1035" width="13.140625" style="168" bestFit="1" customWidth="1"/>
    <col min="1036" max="1036" width="13.42578125" style="168" customWidth="1"/>
    <col min="1037" max="1037" width="14.7109375" style="168" customWidth="1"/>
    <col min="1038" max="1038" width="14.7109375" style="168" bestFit="1" customWidth="1"/>
    <col min="1039" max="1043" width="14.42578125" style="168" customWidth="1"/>
    <col min="1044" max="1044" width="14.85546875" style="168" bestFit="1" customWidth="1"/>
    <col min="1045" max="1045" width="10.85546875" style="168" bestFit="1" customWidth="1"/>
    <col min="1046" max="1280" width="9.140625" style="168"/>
    <col min="1281" max="1281" width="8.42578125" style="168" customWidth="1"/>
    <col min="1282" max="1282" width="14.42578125" style="168" customWidth="1"/>
    <col min="1283" max="1283" width="15.42578125" style="168" customWidth="1"/>
    <col min="1284" max="1284" width="16.42578125" style="168" customWidth="1"/>
    <col min="1285" max="1285" width="16.140625" style="168" customWidth="1"/>
    <col min="1286" max="1286" width="13.7109375" style="168" customWidth="1"/>
    <col min="1287" max="1287" width="18.85546875" style="168" customWidth="1"/>
    <col min="1288" max="1288" width="15.7109375" style="168" customWidth="1"/>
    <col min="1289" max="1290" width="16.5703125" style="168" customWidth="1"/>
    <col min="1291" max="1291" width="13.140625" style="168" bestFit="1" customWidth="1"/>
    <col min="1292" max="1292" width="13.42578125" style="168" customWidth="1"/>
    <col min="1293" max="1293" width="14.7109375" style="168" customWidth="1"/>
    <col min="1294" max="1294" width="14.7109375" style="168" bestFit="1" customWidth="1"/>
    <col min="1295" max="1299" width="14.42578125" style="168" customWidth="1"/>
    <col min="1300" max="1300" width="14.85546875" style="168" bestFit="1" customWidth="1"/>
    <col min="1301" max="1301" width="10.85546875" style="168" bestFit="1" customWidth="1"/>
    <col min="1302" max="1536" width="9.140625" style="168"/>
    <col min="1537" max="1537" width="8.42578125" style="168" customWidth="1"/>
    <col min="1538" max="1538" width="14.42578125" style="168" customWidth="1"/>
    <col min="1539" max="1539" width="15.42578125" style="168" customWidth="1"/>
    <col min="1540" max="1540" width="16.42578125" style="168" customWidth="1"/>
    <col min="1541" max="1541" width="16.140625" style="168" customWidth="1"/>
    <col min="1542" max="1542" width="13.7109375" style="168" customWidth="1"/>
    <col min="1543" max="1543" width="18.85546875" style="168" customWidth="1"/>
    <col min="1544" max="1544" width="15.7109375" style="168" customWidth="1"/>
    <col min="1545" max="1546" width="16.5703125" style="168" customWidth="1"/>
    <col min="1547" max="1547" width="13.140625" style="168" bestFit="1" customWidth="1"/>
    <col min="1548" max="1548" width="13.42578125" style="168" customWidth="1"/>
    <col min="1549" max="1549" width="14.7109375" style="168" customWidth="1"/>
    <col min="1550" max="1550" width="14.7109375" style="168" bestFit="1" customWidth="1"/>
    <col min="1551" max="1555" width="14.42578125" style="168" customWidth="1"/>
    <col min="1556" max="1556" width="14.85546875" style="168" bestFit="1" customWidth="1"/>
    <col min="1557" max="1557" width="10.85546875" style="168" bestFit="1" customWidth="1"/>
    <col min="1558" max="1792" width="9.140625" style="168"/>
    <col min="1793" max="1793" width="8.42578125" style="168" customWidth="1"/>
    <col min="1794" max="1794" width="14.42578125" style="168" customWidth="1"/>
    <col min="1795" max="1795" width="15.42578125" style="168" customWidth="1"/>
    <col min="1796" max="1796" width="16.42578125" style="168" customWidth="1"/>
    <col min="1797" max="1797" width="16.140625" style="168" customWidth="1"/>
    <col min="1798" max="1798" width="13.7109375" style="168" customWidth="1"/>
    <col min="1799" max="1799" width="18.85546875" style="168" customWidth="1"/>
    <col min="1800" max="1800" width="15.7109375" style="168" customWidth="1"/>
    <col min="1801" max="1802" width="16.5703125" style="168" customWidth="1"/>
    <col min="1803" max="1803" width="13.140625" style="168" bestFit="1" customWidth="1"/>
    <col min="1804" max="1804" width="13.42578125" style="168" customWidth="1"/>
    <col min="1805" max="1805" width="14.7109375" style="168" customWidth="1"/>
    <col min="1806" max="1806" width="14.7109375" style="168" bestFit="1" customWidth="1"/>
    <col min="1807" max="1811" width="14.42578125" style="168" customWidth="1"/>
    <col min="1812" max="1812" width="14.85546875" style="168" bestFit="1" customWidth="1"/>
    <col min="1813" max="1813" width="10.85546875" style="168" bestFit="1" customWidth="1"/>
    <col min="1814" max="2048" width="9.140625" style="168"/>
    <col min="2049" max="2049" width="8.42578125" style="168" customWidth="1"/>
    <col min="2050" max="2050" width="14.42578125" style="168" customWidth="1"/>
    <col min="2051" max="2051" width="15.42578125" style="168" customWidth="1"/>
    <col min="2052" max="2052" width="16.42578125" style="168" customWidth="1"/>
    <col min="2053" max="2053" width="16.140625" style="168" customWidth="1"/>
    <col min="2054" max="2054" width="13.7109375" style="168" customWidth="1"/>
    <col min="2055" max="2055" width="18.85546875" style="168" customWidth="1"/>
    <col min="2056" max="2056" width="15.7109375" style="168" customWidth="1"/>
    <col min="2057" max="2058" width="16.5703125" style="168" customWidth="1"/>
    <col min="2059" max="2059" width="13.140625" style="168" bestFit="1" customWidth="1"/>
    <col min="2060" max="2060" width="13.42578125" style="168" customWidth="1"/>
    <col min="2061" max="2061" width="14.7109375" style="168" customWidth="1"/>
    <col min="2062" max="2062" width="14.7109375" style="168" bestFit="1" customWidth="1"/>
    <col min="2063" max="2067" width="14.42578125" style="168" customWidth="1"/>
    <col min="2068" max="2068" width="14.85546875" style="168" bestFit="1" customWidth="1"/>
    <col min="2069" max="2069" width="10.85546875" style="168" bestFit="1" customWidth="1"/>
    <col min="2070" max="2304" width="9.140625" style="168"/>
    <col min="2305" max="2305" width="8.42578125" style="168" customWidth="1"/>
    <col min="2306" max="2306" width="14.42578125" style="168" customWidth="1"/>
    <col min="2307" max="2307" width="15.42578125" style="168" customWidth="1"/>
    <col min="2308" max="2308" width="16.42578125" style="168" customWidth="1"/>
    <col min="2309" max="2309" width="16.140625" style="168" customWidth="1"/>
    <col min="2310" max="2310" width="13.7109375" style="168" customWidth="1"/>
    <col min="2311" max="2311" width="18.85546875" style="168" customWidth="1"/>
    <col min="2312" max="2312" width="15.7109375" style="168" customWidth="1"/>
    <col min="2313" max="2314" width="16.5703125" style="168" customWidth="1"/>
    <col min="2315" max="2315" width="13.140625" style="168" bestFit="1" customWidth="1"/>
    <col min="2316" max="2316" width="13.42578125" style="168" customWidth="1"/>
    <col min="2317" max="2317" width="14.7109375" style="168" customWidth="1"/>
    <col min="2318" max="2318" width="14.7109375" style="168" bestFit="1" customWidth="1"/>
    <col min="2319" max="2323" width="14.42578125" style="168" customWidth="1"/>
    <col min="2324" max="2324" width="14.85546875" style="168" bestFit="1" customWidth="1"/>
    <col min="2325" max="2325" width="10.85546875" style="168" bestFit="1" customWidth="1"/>
    <col min="2326" max="2560" width="9.140625" style="168"/>
    <col min="2561" max="2561" width="8.42578125" style="168" customWidth="1"/>
    <col min="2562" max="2562" width="14.42578125" style="168" customWidth="1"/>
    <col min="2563" max="2563" width="15.42578125" style="168" customWidth="1"/>
    <col min="2564" max="2564" width="16.42578125" style="168" customWidth="1"/>
    <col min="2565" max="2565" width="16.140625" style="168" customWidth="1"/>
    <col min="2566" max="2566" width="13.7109375" style="168" customWidth="1"/>
    <col min="2567" max="2567" width="18.85546875" style="168" customWidth="1"/>
    <col min="2568" max="2568" width="15.7109375" style="168" customWidth="1"/>
    <col min="2569" max="2570" width="16.5703125" style="168" customWidth="1"/>
    <col min="2571" max="2571" width="13.140625" style="168" bestFit="1" customWidth="1"/>
    <col min="2572" max="2572" width="13.42578125" style="168" customWidth="1"/>
    <col min="2573" max="2573" width="14.7109375" style="168" customWidth="1"/>
    <col min="2574" max="2574" width="14.7109375" style="168" bestFit="1" customWidth="1"/>
    <col min="2575" max="2579" width="14.42578125" style="168" customWidth="1"/>
    <col min="2580" max="2580" width="14.85546875" style="168" bestFit="1" customWidth="1"/>
    <col min="2581" max="2581" width="10.85546875" style="168" bestFit="1" customWidth="1"/>
    <col min="2582" max="2816" width="9.140625" style="168"/>
    <col min="2817" max="2817" width="8.42578125" style="168" customWidth="1"/>
    <col min="2818" max="2818" width="14.42578125" style="168" customWidth="1"/>
    <col min="2819" max="2819" width="15.42578125" style="168" customWidth="1"/>
    <col min="2820" max="2820" width="16.42578125" style="168" customWidth="1"/>
    <col min="2821" max="2821" width="16.140625" style="168" customWidth="1"/>
    <col min="2822" max="2822" width="13.7109375" style="168" customWidth="1"/>
    <col min="2823" max="2823" width="18.85546875" style="168" customWidth="1"/>
    <col min="2824" max="2824" width="15.7109375" style="168" customWidth="1"/>
    <col min="2825" max="2826" width="16.5703125" style="168" customWidth="1"/>
    <col min="2827" max="2827" width="13.140625" style="168" bestFit="1" customWidth="1"/>
    <col min="2828" max="2828" width="13.42578125" style="168" customWidth="1"/>
    <col min="2829" max="2829" width="14.7109375" style="168" customWidth="1"/>
    <col min="2830" max="2830" width="14.7109375" style="168" bestFit="1" customWidth="1"/>
    <col min="2831" max="2835" width="14.42578125" style="168" customWidth="1"/>
    <col min="2836" max="2836" width="14.85546875" style="168" bestFit="1" customWidth="1"/>
    <col min="2837" max="2837" width="10.85546875" style="168" bestFit="1" customWidth="1"/>
    <col min="2838" max="3072" width="9.140625" style="168"/>
    <col min="3073" max="3073" width="8.42578125" style="168" customWidth="1"/>
    <col min="3074" max="3074" width="14.42578125" style="168" customWidth="1"/>
    <col min="3075" max="3075" width="15.42578125" style="168" customWidth="1"/>
    <col min="3076" max="3076" width="16.42578125" style="168" customWidth="1"/>
    <col min="3077" max="3077" width="16.140625" style="168" customWidth="1"/>
    <col min="3078" max="3078" width="13.7109375" style="168" customWidth="1"/>
    <col min="3079" max="3079" width="18.85546875" style="168" customWidth="1"/>
    <col min="3080" max="3080" width="15.7109375" style="168" customWidth="1"/>
    <col min="3081" max="3082" width="16.5703125" style="168" customWidth="1"/>
    <col min="3083" max="3083" width="13.140625" style="168" bestFit="1" customWidth="1"/>
    <col min="3084" max="3084" width="13.42578125" style="168" customWidth="1"/>
    <col min="3085" max="3085" width="14.7109375" style="168" customWidth="1"/>
    <col min="3086" max="3086" width="14.7109375" style="168" bestFit="1" customWidth="1"/>
    <col min="3087" max="3091" width="14.42578125" style="168" customWidth="1"/>
    <col min="3092" max="3092" width="14.85546875" style="168" bestFit="1" customWidth="1"/>
    <col min="3093" max="3093" width="10.85546875" style="168" bestFit="1" customWidth="1"/>
    <col min="3094" max="3328" width="9.140625" style="168"/>
    <col min="3329" max="3329" width="8.42578125" style="168" customWidth="1"/>
    <col min="3330" max="3330" width="14.42578125" style="168" customWidth="1"/>
    <col min="3331" max="3331" width="15.42578125" style="168" customWidth="1"/>
    <col min="3332" max="3332" width="16.42578125" style="168" customWidth="1"/>
    <col min="3333" max="3333" width="16.140625" style="168" customWidth="1"/>
    <col min="3334" max="3334" width="13.7109375" style="168" customWidth="1"/>
    <col min="3335" max="3335" width="18.85546875" style="168" customWidth="1"/>
    <col min="3336" max="3336" width="15.7109375" style="168" customWidth="1"/>
    <col min="3337" max="3338" width="16.5703125" style="168" customWidth="1"/>
    <col min="3339" max="3339" width="13.140625" style="168" bestFit="1" customWidth="1"/>
    <col min="3340" max="3340" width="13.42578125" style="168" customWidth="1"/>
    <col min="3341" max="3341" width="14.7109375" style="168" customWidth="1"/>
    <col min="3342" max="3342" width="14.7109375" style="168" bestFit="1" customWidth="1"/>
    <col min="3343" max="3347" width="14.42578125" style="168" customWidth="1"/>
    <col min="3348" max="3348" width="14.85546875" style="168" bestFit="1" customWidth="1"/>
    <col min="3349" max="3349" width="10.85546875" style="168" bestFit="1" customWidth="1"/>
    <col min="3350" max="3584" width="9.140625" style="168"/>
    <col min="3585" max="3585" width="8.42578125" style="168" customWidth="1"/>
    <col min="3586" max="3586" width="14.42578125" style="168" customWidth="1"/>
    <col min="3587" max="3587" width="15.42578125" style="168" customWidth="1"/>
    <col min="3588" max="3588" width="16.42578125" style="168" customWidth="1"/>
    <col min="3589" max="3589" width="16.140625" style="168" customWidth="1"/>
    <col min="3590" max="3590" width="13.7109375" style="168" customWidth="1"/>
    <col min="3591" max="3591" width="18.85546875" style="168" customWidth="1"/>
    <col min="3592" max="3592" width="15.7109375" style="168" customWidth="1"/>
    <col min="3593" max="3594" width="16.5703125" style="168" customWidth="1"/>
    <col min="3595" max="3595" width="13.140625" style="168" bestFit="1" customWidth="1"/>
    <col min="3596" max="3596" width="13.42578125" style="168" customWidth="1"/>
    <col min="3597" max="3597" width="14.7109375" style="168" customWidth="1"/>
    <col min="3598" max="3598" width="14.7109375" style="168" bestFit="1" customWidth="1"/>
    <col min="3599" max="3603" width="14.42578125" style="168" customWidth="1"/>
    <col min="3604" max="3604" width="14.85546875" style="168" bestFit="1" customWidth="1"/>
    <col min="3605" max="3605" width="10.85546875" style="168" bestFit="1" customWidth="1"/>
    <col min="3606" max="3840" width="9.140625" style="168"/>
    <col min="3841" max="3841" width="8.42578125" style="168" customWidth="1"/>
    <col min="3842" max="3842" width="14.42578125" style="168" customWidth="1"/>
    <col min="3843" max="3843" width="15.42578125" style="168" customWidth="1"/>
    <col min="3844" max="3844" width="16.42578125" style="168" customWidth="1"/>
    <col min="3845" max="3845" width="16.140625" style="168" customWidth="1"/>
    <col min="3846" max="3846" width="13.7109375" style="168" customWidth="1"/>
    <col min="3847" max="3847" width="18.85546875" style="168" customWidth="1"/>
    <col min="3848" max="3848" width="15.7109375" style="168" customWidth="1"/>
    <col min="3849" max="3850" width="16.5703125" style="168" customWidth="1"/>
    <col min="3851" max="3851" width="13.140625" style="168" bestFit="1" customWidth="1"/>
    <col min="3852" max="3852" width="13.42578125" style="168" customWidth="1"/>
    <col min="3853" max="3853" width="14.7109375" style="168" customWidth="1"/>
    <col min="3854" max="3854" width="14.7109375" style="168" bestFit="1" customWidth="1"/>
    <col min="3855" max="3859" width="14.42578125" style="168" customWidth="1"/>
    <col min="3860" max="3860" width="14.85546875" style="168" bestFit="1" customWidth="1"/>
    <col min="3861" max="3861" width="10.85546875" style="168" bestFit="1" customWidth="1"/>
    <col min="3862" max="4096" width="9.140625" style="168"/>
    <col min="4097" max="4097" width="8.42578125" style="168" customWidth="1"/>
    <col min="4098" max="4098" width="14.42578125" style="168" customWidth="1"/>
    <col min="4099" max="4099" width="15.42578125" style="168" customWidth="1"/>
    <col min="4100" max="4100" width="16.42578125" style="168" customWidth="1"/>
    <col min="4101" max="4101" width="16.140625" style="168" customWidth="1"/>
    <col min="4102" max="4102" width="13.7109375" style="168" customWidth="1"/>
    <col min="4103" max="4103" width="18.85546875" style="168" customWidth="1"/>
    <col min="4104" max="4104" width="15.7109375" style="168" customWidth="1"/>
    <col min="4105" max="4106" width="16.5703125" style="168" customWidth="1"/>
    <col min="4107" max="4107" width="13.140625" style="168" bestFit="1" customWidth="1"/>
    <col min="4108" max="4108" width="13.42578125" style="168" customWidth="1"/>
    <col min="4109" max="4109" width="14.7109375" style="168" customWidth="1"/>
    <col min="4110" max="4110" width="14.7109375" style="168" bestFit="1" customWidth="1"/>
    <col min="4111" max="4115" width="14.42578125" style="168" customWidth="1"/>
    <col min="4116" max="4116" width="14.85546875" style="168" bestFit="1" customWidth="1"/>
    <col min="4117" max="4117" width="10.85546875" style="168" bestFit="1" customWidth="1"/>
    <col min="4118" max="4352" width="9.140625" style="168"/>
    <col min="4353" max="4353" width="8.42578125" style="168" customWidth="1"/>
    <col min="4354" max="4354" width="14.42578125" style="168" customWidth="1"/>
    <col min="4355" max="4355" width="15.42578125" style="168" customWidth="1"/>
    <col min="4356" max="4356" width="16.42578125" style="168" customWidth="1"/>
    <col min="4357" max="4357" width="16.140625" style="168" customWidth="1"/>
    <col min="4358" max="4358" width="13.7109375" style="168" customWidth="1"/>
    <col min="4359" max="4359" width="18.85546875" style="168" customWidth="1"/>
    <col min="4360" max="4360" width="15.7109375" style="168" customWidth="1"/>
    <col min="4361" max="4362" width="16.5703125" style="168" customWidth="1"/>
    <col min="4363" max="4363" width="13.140625" style="168" bestFit="1" customWidth="1"/>
    <col min="4364" max="4364" width="13.42578125" style="168" customWidth="1"/>
    <col min="4365" max="4365" width="14.7109375" style="168" customWidth="1"/>
    <col min="4366" max="4366" width="14.7109375" style="168" bestFit="1" customWidth="1"/>
    <col min="4367" max="4371" width="14.42578125" style="168" customWidth="1"/>
    <col min="4372" max="4372" width="14.85546875" style="168" bestFit="1" customWidth="1"/>
    <col min="4373" max="4373" width="10.85546875" style="168" bestFit="1" customWidth="1"/>
    <col min="4374" max="4608" width="9.140625" style="168"/>
    <col min="4609" max="4609" width="8.42578125" style="168" customWidth="1"/>
    <col min="4610" max="4610" width="14.42578125" style="168" customWidth="1"/>
    <col min="4611" max="4611" width="15.42578125" style="168" customWidth="1"/>
    <col min="4612" max="4612" width="16.42578125" style="168" customWidth="1"/>
    <col min="4613" max="4613" width="16.140625" style="168" customWidth="1"/>
    <col min="4614" max="4614" width="13.7109375" style="168" customWidth="1"/>
    <col min="4615" max="4615" width="18.85546875" style="168" customWidth="1"/>
    <col min="4616" max="4616" width="15.7109375" style="168" customWidth="1"/>
    <col min="4617" max="4618" width="16.5703125" style="168" customWidth="1"/>
    <col min="4619" max="4619" width="13.140625" style="168" bestFit="1" customWidth="1"/>
    <col min="4620" max="4620" width="13.42578125" style="168" customWidth="1"/>
    <col min="4621" max="4621" width="14.7109375" style="168" customWidth="1"/>
    <col min="4622" max="4622" width="14.7109375" style="168" bestFit="1" customWidth="1"/>
    <col min="4623" max="4627" width="14.42578125" style="168" customWidth="1"/>
    <col min="4628" max="4628" width="14.85546875" style="168" bestFit="1" customWidth="1"/>
    <col min="4629" max="4629" width="10.85546875" style="168" bestFit="1" customWidth="1"/>
    <col min="4630" max="4864" width="9.140625" style="168"/>
    <col min="4865" max="4865" width="8.42578125" style="168" customWidth="1"/>
    <col min="4866" max="4866" width="14.42578125" style="168" customWidth="1"/>
    <col min="4867" max="4867" width="15.42578125" style="168" customWidth="1"/>
    <col min="4868" max="4868" width="16.42578125" style="168" customWidth="1"/>
    <col min="4869" max="4869" width="16.140625" style="168" customWidth="1"/>
    <col min="4870" max="4870" width="13.7109375" style="168" customWidth="1"/>
    <col min="4871" max="4871" width="18.85546875" style="168" customWidth="1"/>
    <col min="4872" max="4872" width="15.7109375" style="168" customWidth="1"/>
    <col min="4873" max="4874" width="16.5703125" style="168" customWidth="1"/>
    <col min="4875" max="4875" width="13.140625" style="168" bestFit="1" customWidth="1"/>
    <col min="4876" max="4876" width="13.42578125" style="168" customWidth="1"/>
    <col min="4877" max="4877" width="14.7109375" style="168" customWidth="1"/>
    <col min="4878" max="4878" width="14.7109375" style="168" bestFit="1" customWidth="1"/>
    <col min="4879" max="4883" width="14.42578125" style="168" customWidth="1"/>
    <col min="4884" max="4884" width="14.85546875" style="168" bestFit="1" customWidth="1"/>
    <col min="4885" max="4885" width="10.85546875" style="168" bestFit="1" customWidth="1"/>
    <col min="4886" max="5120" width="9.140625" style="168"/>
    <col min="5121" max="5121" width="8.42578125" style="168" customWidth="1"/>
    <col min="5122" max="5122" width="14.42578125" style="168" customWidth="1"/>
    <col min="5123" max="5123" width="15.42578125" style="168" customWidth="1"/>
    <col min="5124" max="5124" width="16.42578125" style="168" customWidth="1"/>
    <col min="5125" max="5125" width="16.140625" style="168" customWidth="1"/>
    <col min="5126" max="5126" width="13.7109375" style="168" customWidth="1"/>
    <col min="5127" max="5127" width="18.85546875" style="168" customWidth="1"/>
    <col min="5128" max="5128" width="15.7109375" style="168" customWidth="1"/>
    <col min="5129" max="5130" width="16.5703125" style="168" customWidth="1"/>
    <col min="5131" max="5131" width="13.140625" style="168" bestFit="1" customWidth="1"/>
    <col min="5132" max="5132" width="13.42578125" style="168" customWidth="1"/>
    <col min="5133" max="5133" width="14.7109375" style="168" customWidth="1"/>
    <col min="5134" max="5134" width="14.7109375" style="168" bestFit="1" customWidth="1"/>
    <col min="5135" max="5139" width="14.42578125" style="168" customWidth="1"/>
    <col min="5140" max="5140" width="14.85546875" style="168" bestFit="1" customWidth="1"/>
    <col min="5141" max="5141" width="10.85546875" style="168" bestFit="1" customWidth="1"/>
    <col min="5142" max="5376" width="9.140625" style="168"/>
    <col min="5377" max="5377" width="8.42578125" style="168" customWidth="1"/>
    <col min="5378" max="5378" width="14.42578125" style="168" customWidth="1"/>
    <col min="5379" max="5379" width="15.42578125" style="168" customWidth="1"/>
    <col min="5380" max="5380" width="16.42578125" style="168" customWidth="1"/>
    <col min="5381" max="5381" width="16.140625" style="168" customWidth="1"/>
    <col min="5382" max="5382" width="13.7109375" style="168" customWidth="1"/>
    <col min="5383" max="5383" width="18.85546875" style="168" customWidth="1"/>
    <col min="5384" max="5384" width="15.7109375" style="168" customWidth="1"/>
    <col min="5385" max="5386" width="16.5703125" style="168" customWidth="1"/>
    <col min="5387" max="5387" width="13.140625" style="168" bestFit="1" customWidth="1"/>
    <col min="5388" max="5388" width="13.42578125" style="168" customWidth="1"/>
    <col min="5389" max="5389" width="14.7109375" style="168" customWidth="1"/>
    <col min="5390" max="5390" width="14.7109375" style="168" bestFit="1" customWidth="1"/>
    <col min="5391" max="5395" width="14.42578125" style="168" customWidth="1"/>
    <col min="5396" max="5396" width="14.85546875" style="168" bestFit="1" customWidth="1"/>
    <col min="5397" max="5397" width="10.85546875" style="168" bestFit="1" customWidth="1"/>
    <col min="5398" max="5632" width="9.140625" style="168"/>
    <col min="5633" max="5633" width="8.42578125" style="168" customWidth="1"/>
    <col min="5634" max="5634" width="14.42578125" style="168" customWidth="1"/>
    <col min="5635" max="5635" width="15.42578125" style="168" customWidth="1"/>
    <col min="5636" max="5636" width="16.42578125" style="168" customWidth="1"/>
    <col min="5637" max="5637" width="16.140625" style="168" customWidth="1"/>
    <col min="5638" max="5638" width="13.7109375" style="168" customWidth="1"/>
    <col min="5639" max="5639" width="18.85546875" style="168" customWidth="1"/>
    <col min="5640" max="5640" width="15.7109375" style="168" customWidth="1"/>
    <col min="5641" max="5642" width="16.5703125" style="168" customWidth="1"/>
    <col min="5643" max="5643" width="13.140625" style="168" bestFit="1" customWidth="1"/>
    <col min="5644" max="5644" width="13.42578125" style="168" customWidth="1"/>
    <col min="5645" max="5645" width="14.7109375" style="168" customWidth="1"/>
    <col min="5646" max="5646" width="14.7109375" style="168" bestFit="1" customWidth="1"/>
    <col min="5647" max="5651" width="14.42578125" style="168" customWidth="1"/>
    <col min="5652" max="5652" width="14.85546875" style="168" bestFit="1" customWidth="1"/>
    <col min="5653" max="5653" width="10.85546875" style="168" bestFit="1" customWidth="1"/>
    <col min="5654" max="5888" width="9.140625" style="168"/>
    <col min="5889" max="5889" width="8.42578125" style="168" customWidth="1"/>
    <col min="5890" max="5890" width="14.42578125" style="168" customWidth="1"/>
    <col min="5891" max="5891" width="15.42578125" style="168" customWidth="1"/>
    <col min="5892" max="5892" width="16.42578125" style="168" customWidth="1"/>
    <col min="5893" max="5893" width="16.140625" style="168" customWidth="1"/>
    <col min="5894" max="5894" width="13.7109375" style="168" customWidth="1"/>
    <col min="5895" max="5895" width="18.85546875" style="168" customWidth="1"/>
    <col min="5896" max="5896" width="15.7109375" style="168" customWidth="1"/>
    <col min="5897" max="5898" width="16.5703125" style="168" customWidth="1"/>
    <col min="5899" max="5899" width="13.140625" style="168" bestFit="1" customWidth="1"/>
    <col min="5900" max="5900" width="13.42578125" style="168" customWidth="1"/>
    <col min="5901" max="5901" width="14.7109375" style="168" customWidth="1"/>
    <col min="5902" max="5902" width="14.7109375" style="168" bestFit="1" customWidth="1"/>
    <col min="5903" max="5907" width="14.42578125" style="168" customWidth="1"/>
    <col min="5908" max="5908" width="14.85546875" style="168" bestFit="1" customWidth="1"/>
    <col min="5909" max="5909" width="10.85546875" style="168" bestFit="1" customWidth="1"/>
    <col min="5910" max="6144" width="9.140625" style="168"/>
    <col min="6145" max="6145" width="8.42578125" style="168" customWidth="1"/>
    <col min="6146" max="6146" width="14.42578125" style="168" customWidth="1"/>
    <col min="6147" max="6147" width="15.42578125" style="168" customWidth="1"/>
    <col min="6148" max="6148" width="16.42578125" style="168" customWidth="1"/>
    <col min="6149" max="6149" width="16.140625" style="168" customWidth="1"/>
    <col min="6150" max="6150" width="13.7109375" style="168" customWidth="1"/>
    <col min="6151" max="6151" width="18.85546875" style="168" customWidth="1"/>
    <col min="6152" max="6152" width="15.7109375" style="168" customWidth="1"/>
    <col min="6153" max="6154" width="16.5703125" style="168" customWidth="1"/>
    <col min="6155" max="6155" width="13.140625" style="168" bestFit="1" customWidth="1"/>
    <col min="6156" max="6156" width="13.42578125" style="168" customWidth="1"/>
    <col min="6157" max="6157" width="14.7109375" style="168" customWidth="1"/>
    <col min="6158" max="6158" width="14.7109375" style="168" bestFit="1" customWidth="1"/>
    <col min="6159" max="6163" width="14.42578125" style="168" customWidth="1"/>
    <col min="6164" max="6164" width="14.85546875" style="168" bestFit="1" customWidth="1"/>
    <col min="6165" max="6165" width="10.85546875" style="168" bestFit="1" customWidth="1"/>
    <col min="6166" max="6400" width="9.140625" style="168"/>
    <col min="6401" max="6401" width="8.42578125" style="168" customWidth="1"/>
    <col min="6402" max="6402" width="14.42578125" style="168" customWidth="1"/>
    <col min="6403" max="6403" width="15.42578125" style="168" customWidth="1"/>
    <col min="6404" max="6404" width="16.42578125" style="168" customWidth="1"/>
    <col min="6405" max="6405" width="16.140625" style="168" customWidth="1"/>
    <col min="6406" max="6406" width="13.7109375" style="168" customWidth="1"/>
    <col min="6407" max="6407" width="18.85546875" style="168" customWidth="1"/>
    <col min="6408" max="6408" width="15.7109375" style="168" customWidth="1"/>
    <col min="6409" max="6410" width="16.5703125" style="168" customWidth="1"/>
    <col min="6411" max="6411" width="13.140625" style="168" bestFit="1" customWidth="1"/>
    <col min="6412" max="6412" width="13.42578125" style="168" customWidth="1"/>
    <col min="6413" max="6413" width="14.7109375" style="168" customWidth="1"/>
    <col min="6414" max="6414" width="14.7109375" style="168" bestFit="1" customWidth="1"/>
    <col min="6415" max="6419" width="14.42578125" style="168" customWidth="1"/>
    <col min="6420" max="6420" width="14.85546875" style="168" bestFit="1" customWidth="1"/>
    <col min="6421" max="6421" width="10.85546875" style="168" bestFit="1" customWidth="1"/>
    <col min="6422" max="6656" width="9.140625" style="168"/>
    <col min="6657" max="6657" width="8.42578125" style="168" customWidth="1"/>
    <col min="6658" max="6658" width="14.42578125" style="168" customWidth="1"/>
    <col min="6659" max="6659" width="15.42578125" style="168" customWidth="1"/>
    <col min="6660" max="6660" width="16.42578125" style="168" customWidth="1"/>
    <col min="6661" max="6661" width="16.140625" style="168" customWidth="1"/>
    <col min="6662" max="6662" width="13.7109375" style="168" customWidth="1"/>
    <col min="6663" max="6663" width="18.85546875" style="168" customWidth="1"/>
    <col min="6664" max="6664" width="15.7109375" style="168" customWidth="1"/>
    <col min="6665" max="6666" width="16.5703125" style="168" customWidth="1"/>
    <col min="6667" max="6667" width="13.140625" style="168" bestFit="1" customWidth="1"/>
    <col min="6668" max="6668" width="13.42578125" style="168" customWidth="1"/>
    <col min="6669" max="6669" width="14.7109375" style="168" customWidth="1"/>
    <col min="6670" max="6670" width="14.7109375" style="168" bestFit="1" customWidth="1"/>
    <col min="6671" max="6675" width="14.42578125" style="168" customWidth="1"/>
    <col min="6676" max="6676" width="14.85546875" style="168" bestFit="1" customWidth="1"/>
    <col min="6677" max="6677" width="10.85546875" style="168" bestFit="1" customWidth="1"/>
    <col min="6678" max="6912" width="9.140625" style="168"/>
    <col min="6913" max="6913" width="8.42578125" style="168" customWidth="1"/>
    <col min="6914" max="6914" width="14.42578125" style="168" customWidth="1"/>
    <col min="6915" max="6915" width="15.42578125" style="168" customWidth="1"/>
    <col min="6916" max="6916" width="16.42578125" style="168" customWidth="1"/>
    <col min="6917" max="6917" width="16.140625" style="168" customWidth="1"/>
    <col min="6918" max="6918" width="13.7109375" style="168" customWidth="1"/>
    <col min="6919" max="6919" width="18.85546875" style="168" customWidth="1"/>
    <col min="6920" max="6920" width="15.7109375" style="168" customWidth="1"/>
    <col min="6921" max="6922" width="16.5703125" style="168" customWidth="1"/>
    <col min="6923" max="6923" width="13.140625" style="168" bestFit="1" customWidth="1"/>
    <col min="6924" max="6924" width="13.42578125" style="168" customWidth="1"/>
    <col min="6925" max="6925" width="14.7109375" style="168" customWidth="1"/>
    <col min="6926" max="6926" width="14.7109375" style="168" bestFit="1" customWidth="1"/>
    <col min="6927" max="6931" width="14.42578125" style="168" customWidth="1"/>
    <col min="6932" max="6932" width="14.85546875" style="168" bestFit="1" customWidth="1"/>
    <col min="6933" max="6933" width="10.85546875" style="168" bestFit="1" customWidth="1"/>
    <col min="6934" max="7168" width="9.140625" style="168"/>
    <col min="7169" max="7169" width="8.42578125" style="168" customWidth="1"/>
    <col min="7170" max="7170" width="14.42578125" style="168" customWidth="1"/>
    <col min="7171" max="7171" width="15.42578125" style="168" customWidth="1"/>
    <col min="7172" max="7172" width="16.42578125" style="168" customWidth="1"/>
    <col min="7173" max="7173" width="16.140625" style="168" customWidth="1"/>
    <col min="7174" max="7174" width="13.7109375" style="168" customWidth="1"/>
    <col min="7175" max="7175" width="18.85546875" style="168" customWidth="1"/>
    <col min="7176" max="7176" width="15.7109375" style="168" customWidth="1"/>
    <col min="7177" max="7178" width="16.5703125" style="168" customWidth="1"/>
    <col min="7179" max="7179" width="13.140625" style="168" bestFit="1" customWidth="1"/>
    <col min="7180" max="7180" width="13.42578125" style="168" customWidth="1"/>
    <col min="7181" max="7181" width="14.7109375" style="168" customWidth="1"/>
    <col min="7182" max="7182" width="14.7109375" style="168" bestFit="1" customWidth="1"/>
    <col min="7183" max="7187" width="14.42578125" style="168" customWidth="1"/>
    <col min="7188" max="7188" width="14.85546875" style="168" bestFit="1" customWidth="1"/>
    <col min="7189" max="7189" width="10.85546875" style="168" bestFit="1" customWidth="1"/>
    <col min="7190" max="7424" width="9.140625" style="168"/>
    <col min="7425" max="7425" width="8.42578125" style="168" customWidth="1"/>
    <col min="7426" max="7426" width="14.42578125" style="168" customWidth="1"/>
    <col min="7427" max="7427" width="15.42578125" style="168" customWidth="1"/>
    <col min="7428" max="7428" width="16.42578125" style="168" customWidth="1"/>
    <col min="7429" max="7429" width="16.140625" style="168" customWidth="1"/>
    <col min="7430" max="7430" width="13.7109375" style="168" customWidth="1"/>
    <col min="7431" max="7431" width="18.85546875" style="168" customWidth="1"/>
    <col min="7432" max="7432" width="15.7109375" style="168" customWidth="1"/>
    <col min="7433" max="7434" width="16.5703125" style="168" customWidth="1"/>
    <col min="7435" max="7435" width="13.140625" style="168" bestFit="1" customWidth="1"/>
    <col min="7436" max="7436" width="13.42578125" style="168" customWidth="1"/>
    <col min="7437" max="7437" width="14.7109375" style="168" customWidth="1"/>
    <col min="7438" max="7438" width="14.7109375" style="168" bestFit="1" customWidth="1"/>
    <col min="7439" max="7443" width="14.42578125" style="168" customWidth="1"/>
    <col min="7444" max="7444" width="14.85546875" style="168" bestFit="1" customWidth="1"/>
    <col min="7445" max="7445" width="10.85546875" style="168" bestFit="1" customWidth="1"/>
    <col min="7446" max="7680" width="9.140625" style="168"/>
    <col min="7681" max="7681" width="8.42578125" style="168" customWidth="1"/>
    <col min="7682" max="7682" width="14.42578125" style="168" customWidth="1"/>
    <col min="7683" max="7683" width="15.42578125" style="168" customWidth="1"/>
    <col min="7684" max="7684" width="16.42578125" style="168" customWidth="1"/>
    <col min="7685" max="7685" width="16.140625" style="168" customWidth="1"/>
    <col min="7686" max="7686" width="13.7109375" style="168" customWidth="1"/>
    <col min="7687" max="7687" width="18.85546875" style="168" customWidth="1"/>
    <col min="7688" max="7688" width="15.7109375" style="168" customWidth="1"/>
    <col min="7689" max="7690" width="16.5703125" style="168" customWidth="1"/>
    <col min="7691" max="7691" width="13.140625" style="168" bestFit="1" customWidth="1"/>
    <col min="7692" max="7692" width="13.42578125" style="168" customWidth="1"/>
    <col min="7693" max="7693" width="14.7109375" style="168" customWidth="1"/>
    <col min="7694" max="7694" width="14.7109375" style="168" bestFit="1" customWidth="1"/>
    <col min="7695" max="7699" width="14.42578125" style="168" customWidth="1"/>
    <col min="7700" max="7700" width="14.85546875" style="168" bestFit="1" customWidth="1"/>
    <col min="7701" max="7701" width="10.85546875" style="168" bestFit="1" customWidth="1"/>
    <col min="7702" max="7936" width="9.140625" style="168"/>
    <col min="7937" max="7937" width="8.42578125" style="168" customWidth="1"/>
    <col min="7938" max="7938" width="14.42578125" style="168" customWidth="1"/>
    <col min="7939" max="7939" width="15.42578125" style="168" customWidth="1"/>
    <col min="7940" max="7940" width="16.42578125" style="168" customWidth="1"/>
    <col min="7941" max="7941" width="16.140625" style="168" customWidth="1"/>
    <col min="7942" max="7942" width="13.7109375" style="168" customWidth="1"/>
    <col min="7943" max="7943" width="18.85546875" style="168" customWidth="1"/>
    <col min="7944" max="7944" width="15.7109375" style="168" customWidth="1"/>
    <col min="7945" max="7946" width="16.5703125" style="168" customWidth="1"/>
    <col min="7947" max="7947" width="13.140625" style="168" bestFit="1" customWidth="1"/>
    <col min="7948" max="7948" width="13.42578125" style="168" customWidth="1"/>
    <col min="7949" max="7949" width="14.7109375" style="168" customWidth="1"/>
    <col min="7950" max="7950" width="14.7109375" style="168" bestFit="1" customWidth="1"/>
    <col min="7951" max="7955" width="14.42578125" style="168" customWidth="1"/>
    <col min="7956" max="7956" width="14.85546875" style="168" bestFit="1" customWidth="1"/>
    <col min="7957" max="7957" width="10.85546875" style="168" bestFit="1" customWidth="1"/>
    <col min="7958" max="8192" width="9.140625" style="168"/>
    <col min="8193" max="8193" width="8.42578125" style="168" customWidth="1"/>
    <col min="8194" max="8194" width="14.42578125" style="168" customWidth="1"/>
    <col min="8195" max="8195" width="15.42578125" style="168" customWidth="1"/>
    <col min="8196" max="8196" width="16.42578125" style="168" customWidth="1"/>
    <col min="8197" max="8197" width="16.140625" style="168" customWidth="1"/>
    <col min="8198" max="8198" width="13.7109375" style="168" customWidth="1"/>
    <col min="8199" max="8199" width="18.85546875" style="168" customWidth="1"/>
    <col min="8200" max="8200" width="15.7109375" style="168" customWidth="1"/>
    <col min="8201" max="8202" width="16.5703125" style="168" customWidth="1"/>
    <col min="8203" max="8203" width="13.140625" style="168" bestFit="1" customWidth="1"/>
    <col min="8204" max="8204" width="13.42578125" style="168" customWidth="1"/>
    <col min="8205" max="8205" width="14.7109375" style="168" customWidth="1"/>
    <col min="8206" max="8206" width="14.7109375" style="168" bestFit="1" customWidth="1"/>
    <col min="8207" max="8211" width="14.42578125" style="168" customWidth="1"/>
    <col min="8212" max="8212" width="14.85546875" style="168" bestFit="1" customWidth="1"/>
    <col min="8213" max="8213" width="10.85546875" style="168" bestFit="1" customWidth="1"/>
    <col min="8214" max="8448" width="9.140625" style="168"/>
    <col min="8449" max="8449" width="8.42578125" style="168" customWidth="1"/>
    <col min="8450" max="8450" width="14.42578125" style="168" customWidth="1"/>
    <col min="8451" max="8451" width="15.42578125" style="168" customWidth="1"/>
    <col min="8452" max="8452" width="16.42578125" style="168" customWidth="1"/>
    <col min="8453" max="8453" width="16.140625" style="168" customWidth="1"/>
    <col min="8454" max="8454" width="13.7109375" style="168" customWidth="1"/>
    <col min="8455" max="8455" width="18.85546875" style="168" customWidth="1"/>
    <col min="8456" max="8456" width="15.7109375" style="168" customWidth="1"/>
    <col min="8457" max="8458" width="16.5703125" style="168" customWidth="1"/>
    <col min="8459" max="8459" width="13.140625" style="168" bestFit="1" customWidth="1"/>
    <col min="8460" max="8460" width="13.42578125" style="168" customWidth="1"/>
    <col min="8461" max="8461" width="14.7109375" style="168" customWidth="1"/>
    <col min="8462" max="8462" width="14.7109375" style="168" bestFit="1" customWidth="1"/>
    <col min="8463" max="8467" width="14.42578125" style="168" customWidth="1"/>
    <col min="8468" max="8468" width="14.85546875" style="168" bestFit="1" customWidth="1"/>
    <col min="8469" max="8469" width="10.85546875" style="168" bestFit="1" customWidth="1"/>
    <col min="8470" max="8704" width="9.140625" style="168"/>
    <col min="8705" max="8705" width="8.42578125" style="168" customWidth="1"/>
    <col min="8706" max="8706" width="14.42578125" style="168" customWidth="1"/>
    <col min="8707" max="8707" width="15.42578125" style="168" customWidth="1"/>
    <col min="8708" max="8708" width="16.42578125" style="168" customWidth="1"/>
    <col min="8709" max="8709" width="16.140625" style="168" customWidth="1"/>
    <col min="8710" max="8710" width="13.7109375" style="168" customWidth="1"/>
    <col min="8711" max="8711" width="18.85546875" style="168" customWidth="1"/>
    <col min="8712" max="8712" width="15.7109375" style="168" customWidth="1"/>
    <col min="8713" max="8714" width="16.5703125" style="168" customWidth="1"/>
    <col min="8715" max="8715" width="13.140625" style="168" bestFit="1" customWidth="1"/>
    <col min="8716" max="8716" width="13.42578125" style="168" customWidth="1"/>
    <col min="8717" max="8717" width="14.7109375" style="168" customWidth="1"/>
    <col min="8718" max="8718" width="14.7109375" style="168" bestFit="1" customWidth="1"/>
    <col min="8719" max="8723" width="14.42578125" style="168" customWidth="1"/>
    <col min="8724" max="8724" width="14.85546875" style="168" bestFit="1" customWidth="1"/>
    <col min="8725" max="8725" width="10.85546875" style="168" bestFit="1" customWidth="1"/>
    <col min="8726" max="8960" width="9.140625" style="168"/>
    <col min="8961" max="8961" width="8.42578125" style="168" customWidth="1"/>
    <col min="8962" max="8962" width="14.42578125" style="168" customWidth="1"/>
    <col min="8963" max="8963" width="15.42578125" style="168" customWidth="1"/>
    <col min="8964" max="8964" width="16.42578125" style="168" customWidth="1"/>
    <col min="8965" max="8965" width="16.140625" style="168" customWidth="1"/>
    <col min="8966" max="8966" width="13.7109375" style="168" customWidth="1"/>
    <col min="8967" max="8967" width="18.85546875" style="168" customWidth="1"/>
    <col min="8968" max="8968" width="15.7109375" style="168" customWidth="1"/>
    <col min="8969" max="8970" width="16.5703125" style="168" customWidth="1"/>
    <col min="8971" max="8971" width="13.140625" style="168" bestFit="1" customWidth="1"/>
    <col min="8972" max="8972" width="13.42578125" style="168" customWidth="1"/>
    <col min="8973" max="8973" width="14.7109375" style="168" customWidth="1"/>
    <col min="8974" max="8974" width="14.7109375" style="168" bestFit="1" customWidth="1"/>
    <col min="8975" max="8979" width="14.42578125" style="168" customWidth="1"/>
    <col min="8980" max="8980" width="14.85546875" style="168" bestFit="1" customWidth="1"/>
    <col min="8981" max="8981" width="10.85546875" style="168" bestFit="1" customWidth="1"/>
    <col min="8982" max="9216" width="9.140625" style="168"/>
    <col min="9217" max="9217" width="8.42578125" style="168" customWidth="1"/>
    <col min="9218" max="9218" width="14.42578125" style="168" customWidth="1"/>
    <col min="9219" max="9219" width="15.42578125" style="168" customWidth="1"/>
    <col min="9220" max="9220" width="16.42578125" style="168" customWidth="1"/>
    <col min="9221" max="9221" width="16.140625" style="168" customWidth="1"/>
    <col min="9222" max="9222" width="13.7109375" style="168" customWidth="1"/>
    <col min="9223" max="9223" width="18.85546875" style="168" customWidth="1"/>
    <col min="9224" max="9224" width="15.7109375" style="168" customWidth="1"/>
    <col min="9225" max="9226" width="16.5703125" style="168" customWidth="1"/>
    <col min="9227" max="9227" width="13.140625" style="168" bestFit="1" customWidth="1"/>
    <col min="9228" max="9228" width="13.42578125" style="168" customWidth="1"/>
    <col min="9229" max="9229" width="14.7109375" style="168" customWidth="1"/>
    <col min="9230" max="9230" width="14.7109375" style="168" bestFit="1" customWidth="1"/>
    <col min="9231" max="9235" width="14.42578125" style="168" customWidth="1"/>
    <col min="9236" max="9236" width="14.85546875" style="168" bestFit="1" customWidth="1"/>
    <col min="9237" max="9237" width="10.85546875" style="168" bestFit="1" customWidth="1"/>
    <col min="9238" max="9472" width="9.140625" style="168"/>
    <col min="9473" max="9473" width="8.42578125" style="168" customWidth="1"/>
    <col min="9474" max="9474" width="14.42578125" style="168" customWidth="1"/>
    <col min="9475" max="9475" width="15.42578125" style="168" customWidth="1"/>
    <col min="9476" max="9476" width="16.42578125" style="168" customWidth="1"/>
    <col min="9477" max="9477" width="16.140625" style="168" customWidth="1"/>
    <col min="9478" max="9478" width="13.7109375" style="168" customWidth="1"/>
    <col min="9479" max="9479" width="18.85546875" style="168" customWidth="1"/>
    <col min="9480" max="9480" width="15.7109375" style="168" customWidth="1"/>
    <col min="9481" max="9482" width="16.5703125" style="168" customWidth="1"/>
    <col min="9483" max="9483" width="13.140625" style="168" bestFit="1" customWidth="1"/>
    <col min="9484" max="9484" width="13.42578125" style="168" customWidth="1"/>
    <col min="9485" max="9485" width="14.7109375" style="168" customWidth="1"/>
    <col min="9486" max="9486" width="14.7109375" style="168" bestFit="1" customWidth="1"/>
    <col min="9487" max="9491" width="14.42578125" style="168" customWidth="1"/>
    <col min="9492" max="9492" width="14.85546875" style="168" bestFit="1" customWidth="1"/>
    <col min="9493" max="9493" width="10.85546875" style="168" bestFit="1" customWidth="1"/>
    <col min="9494" max="9728" width="9.140625" style="168"/>
    <col min="9729" max="9729" width="8.42578125" style="168" customWidth="1"/>
    <col min="9730" max="9730" width="14.42578125" style="168" customWidth="1"/>
    <col min="9731" max="9731" width="15.42578125" style="168" customWidth="1"/>
    <col min="9732" max="9732" width="16.42578125" style="168" customWidth="1"/>
    <col min="9733" max="9733" width="16.140625" style="168" customWidth="1"/>
    <col min="9734" max="9734" width="13.7109375" style="168" customWidth="1"/>
    <col min="9735" max="9735" width="18.85546875" style="168" customWidth="1"/>
    <col min="9736" max="9736" width="15.7109375" style="168" customWidth="1"/>
    <col min="9737" max="9738" width="16.5703125" style="168" customWidth="1"/>
    <col min="9739" max="9739" width="13.140625" style="168" bestFit="1" customWidth="1"/>
    <col min="9740" max="9740" width="13.42578125" style="168" customWidth="1"/>
    <col min="9741" max="9741" width="14.7109375" style="168" customWidth="1"/>
    <col min="9742" max="9742" width="14.7109375" style="168" bestFit="1" customWidth="1"/>
    <col min="9743" max="9747" width="14.42578125" style="168" customWidth="1"/>
    <col min="9748" max="9748" width="14.85546875" style="168" bestFit="1" customWidth="1"/>
    <col min="9749" max="9749" width="10.85546875" style="168" bestFit="1" customWidth="1"/>
    <col min="9750" max="9984" width="9.140625" style="168"/>
    <col min="9985" max="9985" width="8.42578125" style="168" customWidth="1"/>
    <col min="9986" max="9986" width="14.42578125" style="168" customWidth="1"/>
    <col min="9987" max="9987" width="15.42578125" style="168" customWidth="1"/>
    <col min="9988" max="9988" width="16.42578125" style="168" customWidth="1"/>
    <col min="9989" max="9989" width="16.140625" style="168" customWidth="1"/>
    <col min="9990" max="9990" width="13.7109375" style="168" customWidth="1"/>
    <col min="9991" max="9991" width="18.85546875" style="168" customWidth="1"/>
    <col min="9992" max="9992" width="15.7109375" style="168" customWidth="1"/>
    <col min="9993" max="9994" width="16.5703125" style="168" customWidth="1"/>
    <col min="9995" max="9995" width="13.140625" style="168" bestFit="1" customWidth="1"/>
    <col min="9996" max="9996" width="13.42578125" style="168" customWidth="1"/>
    <col min="9997" max="9997" width="14.7109375" style="168" customWidth="1"/>
    <col min="9998" max="9998" width="14.7109375" style="168" bestFit="1" customWidth="1"/>
    <col min="9999" max="10003" width="14.42578125" style="168" customWidth="1"/>
    <col min="10004" max="10004" width="14.85546875" style="168" bestFit="1" customWidth="1"/>
    <col min="10005" max="10005" width="10.85546875" style="168" bestFit="1" customWidth="1"/>
    <col min="10006" max="10240" width="9.140625" style="168"/>
    <col min="10241" max="10241" width="8.42578125" style="168" customWidth="1"/>
    <col min="10242" max="10242" width="14.42578125" style="168" customWidth="1"/>
    <col min="10243" max="10243" width="15.42578125" style="168" customWidth="1"/>
    <col min="10244" max="10244" width="16.42578125" style="168" customWidth="1"/>
    <col min="10245" max="10245" width="16.140625" style="168" customWidth="1"/>
    <col min="10246" max="10246" width="13.7109375" style="168" customWidth="1"/>
    <col min="10247" max="10247" width="18.85546875" style="168" customWidth="1"/>
    <col min="10248" max="10248" width="15.7109375" style="168" customWidth="1"/>
    <col min="10249" max="10250" width="16.5703125" style="168" customWidth="1"/>
    <col min="10251" max="10251" width="13.140625" style="168" bestFit="1" customWidth="1"/>
    <col min="10252" max="10252" width="13.42578125" style="168" customWidth="1"/>
    <col min="10253" max="10253" width="14.7109375" style="168" customWidth="1"/>
    <col min="10254" max="10254" width="14.7109375" style="168" bestFit="1" customWidth="1"/>
    <col min="10255" max="10259" width="14.42578125" style="168" customWidth="1"/>
    <col min="10260" max="10260" width="14.85546875" style="168" bestFit="1" customWidth="1"/>
    <col min="10261" max="10261" width="10.85546875" style="168" bestFit="1" customWidth="1"/>
    <col min="10262" max="10496" width="9.140625" style="168"/>
    <col min="10497" max="10497" width="8.42578125" style="168" customWidth="1"/>
    <col min="10498" max="10498" width="14.42578125" style="168" customWidth="1"/>
    <col min="10499" max="10499" width="15.42578125" style="168" customWidth="1"/>
    <col min="10500" max="10500" width="16.42578125" style="168" customWidth="1"/>
    <col min="10501" max="10501" width="16.140625" style="168" customWidth="1"/>
    <col min="10502" max="10502" width="13.7109375" style="168" customWidth="1"/>
    <col min="10503" max="10503" width="18.85546875" style="168" customWidth="1"/>
    <col min="10504" max="10504" width="15.7109375" style="168" customWidth="1"/>
    <col min="10505" max="10506" width="16.5703125" style="168" customWidth="1"/>
    <col min="10507" max="10507" width="13.140625" style="168" bestFit="1" customWidth="1"/>
    <col min="10508" max="10508" width="13.42578125" style="168" customWidth="1"/>
    <col min="10509" max="10509" width="14.7109375" style="168" customWidth="1"/>
    <col min="10510" max="10510" width="14.7109375" style="168" bestFit="1" customWidth="1"/>
    <col min="10511" max="10515" width="14.42578125" style="168" customWidth="1"/>
    <col min="10516" max="10516" width="14.85546875" style="168" bestFit="1" customWidth="1"/>
    <col min="10517" max="10517" width="10.85546875" style="168" bestFit="1" customWidth="1"/>
    <col min="10518" max="10752" width="9.140625" style="168"/>
    <col min="10753" max="10753" width="8.42578125" style="168" customWidth="1"/>
    <col min="10754" max="10754" width="14.42578125" style="168" customWidth="1"/>
    <col min="10755" max="10755" width="15.42578125" style="168" customWidth="1"/>
    <col min="10756" max="10756" width="16.42578125" style="168" customWidth="1"/>
    <col min="10757" max="10757" width="16.140625" style="168" customWidth="1"/>
    <col min="10758" max="10758" width="13.7109375" style="168" customWidth="1"/>
    <col min="10759" max="10759" width="18.85546875" style="168" customWidth="1"/>
    <col min="10760" max="10760" width="15.7109375" style="168" customWidth="1"/>
    <col min="10761" max="10762" width="16.5703125" style="168" customWidth="1"/>
    <col min="10763" max="10763" width="13.140625" style="168" bestFit="1" customWidth="1"/>
    <col min="10764" max="10764" width="13.42578125" style="168" customWidth="1"/>
    <col min="10765" max="10765" width="14.7109375" style="168" customWidth="1"/>
    <col min="10766" max="10766" width="14.7109375" style="168" bestFit="1" customWidth="1"/>
    <col min="10767" max="10771" width="14.42578125" style="168" customWidth="1"/>
    <col min="10772" max="10772" width="14.85546875" style="168" bestFit="1" customWidth="1"/>
    <col min="10773" max="10773" width="10.85546875" style="168" bestFit="1" customWidth="1"/>
    <col min="10774" max="11008" width="9.140625" style="168"/>
    <col min="11009" max="11009" width="8.42578125" style="168" customWidth="1"/>
    <col min="11010" max="11010" width="14.42578125" style="168" customWidth="1"/>
    <col min="11011" max="11011" width="15.42578125" style="168" customWidth="1"/>
    <col min="11012" max="11012" width="16.42578125" style="168" customWidth="1"/>
    <col min="11013" max="11013" width="16.140625" style="168" customWidth="1"/>
    <col min="11014" max="11014" width="13.7109375" style="168" customWidth="1"/>
    <col min="11015" max="11015" width="18.85546875" style="168" customWidth="1"/>
    <col min="11016" max="11016" width="15.7109375" style="168" customWidth="1"/>
    <col min="11017" max="11018" width="16.5703125" style="168" customWidth="1"/>
    <col min="11019" max="11019" width="13.140625" style="168" bestFit="1" customWidth="1"/>
    <col min="11020" max="11020" width="13.42578125" style="168" customWidth="1"/>
    <col min="11021" max="11021" width="14.7109375" style="168" customWidth="1"/>
    <col min="11022" max="11022" width="14.7109375" style="168" bestFit="1" customWidth="1"/>
    <col min="11023" max="11027" width="14.42578125" style="168" customWidth="1"/>
    <col min="11028" max="11028" width="14.85546875" style="168" bestFit="1" customWidth="1"/>
    <col min="11029" max="11029" width="10.85546875" style="168" bestFit="1" customWidth="1"/>
    <col min="11030" max="11264" width="9.140625" style="168"/>
    <col min="11265" max="11265" width="8.42578125" style="168" customWidth="1"/>
    <col min="11266" max="11266" width="14.42578125" style="168" customWidth="1"/>
    <col min="11267" max="11267" width="15.42578125" style="168" customWidth="1"/>
    <col min="11268" max="11268" width="16.42578125" style="168" customWidth="1"/>
    <col min="11269" max="11269" width="16.140625" style="168" customWidth="1"/>
    <col min="11270" max="11270" width="13.7109375" style="168" customWidth="1"/>
    <col min="11271" max="11271" width="18.85546875" style="168" customWidth="1"/>
    <col min="11272" max="11272" width="15.7109375" style="168" customWidth="1"/>
    <col min="11273" max="11274" width="16.5703125" style="168" customWidth="1"/>
    <col min="11275" max="11275" width="13.140625" style="168" bestFit="1" customWidth="1"/>
    <col min="11276" max="11276" width="13.42578125" style="168" customWidth="1"/>
    <col min="11277" max="11277" width="14.7109375" style="168" customWidth="1"/>
    <col min="11278" max="11278" width="14.7109375" style="168" bestFit="1" customWidth="1"/>
    <col min="11279" max="11283" width="14.42578125" style="168" customWidth="1"/>
    <col min="11284" max="11284" width="14.85546875" style="168" bestFit="1" customWidth="1"/>
    <col min="11285" max="11285" width="10.85546875" style="168" bestFit="1" customWidth="1"/>
    <col min="11286" max="11520" width="9.140625" style="168"/>
    <col min="11521" max="11521" width="8.42578125" style="168" customWidth="1"/>
    <col min="11522" max="11522" width="14.42578125" style="168" customWidth="1"/>
    <col min="11523" max="11523" width="15.42578125" style="168" customWidth="1"/>
    <col min="11524" max="11524" width="16.42578125" style="168" customWidth="1"/>
    <col min="11525" max="11525" width="16.140625" style="168" customWidth="1"/>
    <col min="11526" max="11526" width="13.7109375" style="168" customWidth="1"/>
    <col min="11527" max="11527" width="18.85546875" style="168" customWidth="1"/>
    <col min="11528" max="11528" width="15.7109375" style="168" customWidth="1"/>
    <col min="11529" max="11530" width="16.5703125" style="168" customWidth="1"/>
    <col min="11531" max="11531" width="13.140625" style="168" bestFit="1" customWidth="1"/>
    <col min="11532" max="11532" width="13.42578125" style="168" customWidth="1"/>
    <col min="11533" max="11533" width="14.7109375" style="168" customWidth="1"/>
    <col min="11534" max="11534" width="14.7109375" style="168" bestFit="1" customWidth="1"/>
    <col min="11535" max="11539" width="14.42578125" style="168" customWidth="1"/>
    <col min="11540" max="11540" width="14.85546875" style="168" bestFit="1" customWidth="1"/>
    <col min="11541" max="11541" width="10.85546875" style="168" bestFit="1" customWidth="1"/>
    <col min="11542" max="11776" width="9.140625" style="168"/>
    <col min="11777" max="11777" width="8.42578125" style="168" customWidth="1"/>
    <col min="11778" max="11778" width="14.42578125" style="168" customWidth="1"/>
    <col min="11779" max="11779" width="15.42578125" style="168" customWidth="1"/>
    <col min="11780" max="11780" width="16.42578125" style="168" customWidth="1"/>
    <col min="11781" max="11781" width="16.140625" style="168" customWidth="1"/>
    <col min="11782" max="11782" width="13.7109375" style="168" customWidth="1"/>
    <col min="11783" max="11783" width="18.85546875" style="168" customWidth="1"/>
    <col min="11784" max="11784" width="15.7109375" style="168" customWidth="1"/>
    <col min="11785" max="11786" width="16.5703125" style="168" customWidth="1"/>
    <col min="11787" max="11787" width="13.140625" style="168" bestFit="1" customWidth="1"/>
    <col min="11788" max="11788" width="13.42578125" style="168" customWidth="1"/>
    <col min="11789" max="11789" width="14.7109375" style="168" customWidth="1"/>
    <col min="11790" max="11790" width="14.7109375" style="168" bestFit="1" customWidth="1"/>
    <col min="11791" max="11795" width="14.42578125" style="168" customWidth="1"/>
    <col min="11796" max="11796" width="14.85546875" style="168" bestFit="1" customWidth="1"/>
    <col min="11797" max="11797" width="10.85546875" style="168" bestFit="1" customWidth="1"/>
    <col min="11798" max="12032" width="9.140625" style="168"/>
    <col min="12033" max="12033" width="8.42578125" style="168" customWidth="1"/>
    <col min="12034" max="12034" width="14.42578125" style="168" customWidth="1"/>
    <col min="12035" max="12035" width="15.42578125" style="168" customWidth="1"/>
    <col min="12036" max="12036" width="16.42578125" style="168" customWidth="1"/>
    <col min="12037" max="12037" width="16.140625" style="168" customWidth="1"/>
    <col min="12038" max="12038" width="13.7109375" style="168" customWidth="1"/>
    <col min="12039" max="12039" width="18.85546875" style="168" customWidth="1"/>
    <col min="12040" max="12040" width="15.7109375" style="168" customWidth="1"/>
    <col min="12041" max="12042" width="16.5703125" style="168" customWidth="1"/>
    <col min="12043" max="12043" width="13.140625" style="168" bestFit="1" customWidth="1"/>
    <col min="12044" max="12044" width="13.42578125" style="168" customWidth="1"/>
    <col min="12045" max="12045" width="14.7109375" style="168" customWidth="1"/>
    <col min="12046" max="12046" width="14.7109375" style="168" bestFit="1" customWidth="1"/>
    <col min="12047" max="12051" width="14.42578125" style="168" customWidth="1"/>
    <col min="12052" max="12052" width="14.85546875" style="168" bestFit="1" customWidth="1"/>
    <col min="12053" max="12053" width="10.85546875" style="168" bestFit="1" customWidth="1"/>
    <col min="12054" max="12288" width="9.140625" style="168"/>
    <col min="12289" max="12289" width="8.42578125" style="168" customWidth="1"/>
    <col min="12290" max="12290" width="14.42578125" style="168" customWidth="1"/>
    <col min="12291" max="12291" width="15.42578125" style="168" customWidth="1"/>
    <col min="12292" max="12292" width="16.42578125" style="168" customWidth="1"/>
    <col min="12293" max="12293" width="16.140625" style="168" customWidth="1"/>
    <col min="12294" max="12294" width="13.7109375" style="168" customWidth="1"/>
    <col min="12295" max="12295" width="18.85546875" style="168" customWidth="1"/>
    <col min="12296" max="12296" width="15.7109375" style="168" customWidth="1"/>
    <col min="12297" max="12298" width="16.5703125" style="168" customWidth="1"/>
    <col min="12299" max="12299" width="13.140625" style="168" bestFit="1" customWidth="1"/>
    <col min="12300" max="12300" width="13.42578125" style="168" customWidth="1"/>
    <col min="12301" max="12301" width="14.7109375" style="168" customWidth="1"/>
    <col min="12302" max="12302" width="14.7109375" style="168" bestFit="1" customWidth="1"/>
    <col min="12303" max="12307" width="14.42578125" style="168" customWidth="1"/>
    <col min="12308" max="12308" width="14.85546875" style="168" bestFit="1" customWidth="1"/>
    <col min="12309" max="12309" width="10.85546875" style="168" bestFit="1" customWidth="1"/>
    <col min="12310" max="12544" width="9.140625" style="168"/>
    <col min="12545" max="12545" width="8.42578125" style="168" customWidth="1"/>
    <col min="12546" max="12546" width="14.42578125" style="168" customWidth="1"/>
    <col min="12547" max="12547" width="15.42578125" style="168" customWidth="1"/>
    <col min="12548" max="12548" width="16.42578125" style="168" customWidth="1"/>
    <col min="12549" max="12549" width="16.140625" style="168" customWidth="1"/>
    <col min="12550" max="12550" width="13.7109375" style="168" customWidth="1"/>
    <col min="12551" max="12551" width="18.85546875" style="168" customWidth="1"/>
    <col min="12552" max="12552" width="15.7109375" style="168" customWidth="1"/>
    <col min="12553" max="12554" width="16.5703125" style="168" customWidth="1"/>
    <col min="12555" max="12555" width="13.140625" style="168" bestFit="1" customWidth="1"/>
    <col min="12556" max="12556" width="13.42578125" style="168" customWidth="1"/>
    <col min="12557" max="12557" width="14.7109375" style="168" customWidth="1"/>
    <col min="12558" max="12558" width="14.7109375" style="168" bestFit="1" customWidth="1"/>
    <col min="12559" max="12563" width="14.42578125" style="168" customWidth="1"/>
    <col min="12564" max="12564" width="14.85546875" style="168" bestFit="1" customWidth="1"/>
    <col min="12565" max="12565" width="10.85546875" style="168" bestFit="1" customWidth="1"/>
    <col min="12566" max="12800" width="9.140625" style="168"/>
    <col min="12801" max="12801" width="8.42578125" style="168" customWidth="1"/>
    <col min="12802" max="12802" width="14.42578125" style="168" customWidth="1"/>
    <col min="12803" max="12803" width="15.42578125" style="168" customWidth="1"/>
    <col min="12804" max="12804" width="16.42578125" style="168" customWidth="1"/>
    <col min="12805" max="12805" width="16.140625" style="168" customWidth="1"/>
    <col min="12806" max="12806" width="13.7109375" style="168" customWidth="1"/>
    <col min="12807" max="12807" width="18.85546875" style="168" customWidth="1"/>
    <col min="12808" max="12808" width="15.7109375" style="168" customWidth="1"/>
    <col min="12809" max="12810" width="16.5703125" style="168" customWidth="1"/>
    <col min="12811" max="12811" width="13.140625" style="168" bestFit="1" customWidth="1"/>
    <col min="12812" max="12812" width="13.42578125" style="168" customWidth="1"/>
    <col min="12813" max="12813" width="14.7109375" style="168" customWidth="1"/>
    <col min="12814" max="12814" width="14.7109375" style="168" bestFit="1" customWidth="1"/>
    <col min="12815" max="12819" width="14.42578125" style="168" customWidth="1"/>
    <col min="12820" max="12820" width="14.85546875" style="168" bestFit="1" customWidth="1"/>
    <col min="12821" max="12821" width="10.85546875" style="168" bestFit="1" customWidth="1"/>
    <col min="12822" max="13056" width="9.140625" style="168"/>
    <col min="13057" max="13057" width="8.42578125" style="168" customWidth="1"/>
    <col min="13058" max="13058" width="14.42578125" style="168" customWidth="1"/>
    <col min="13059" max="13059" width="15.42578125" style="168" customWidth="1"/>
    <col min="13060" max="13060" width="16.42578125" style="168" customWidth="1"/>
    <col min="13061" max="13061" width="16.140625" style="168" customWidth="1"/>
    <col min="13062" max="13062" width="13.7109375" style="168" customWidth="1"/>
    <col min="13063" max="13063" width="18.85546875" style="168" customWidth="1"/>
    <col min="13064" max="13064" width="15.7109375" style="168" customWidth="1"/>
    <col min="13065" max="13066" width="16.5703125" style="168" customWidth="1"/>
    <col min="13067" max="13067" width="13.140625" style="168" bestFit="1" customWidth="1"/>
    <col min="13068" max="13068" width="13.42578125" style="168" customWidth="1"/>
    <col min="13069" max="13069" width="14.7109375" style="168" customWidth="1"/>
    <col min="13070" max="13070" width="14.7109375" style="168" bestFit="1" customWidth="1"/>
    <col min="13071" max="13075" width="14.42578125" style="168" customWidth="1"/>
    <col min="13076" max="13076" width="14.85546875" style="168" bestFit="1" customWidth="1"/>
    <col min="13077" max="13077" width="10.85546875" style="168" bestFit="1" customWidth="1"/>
    <col min="13078" max="13312" width="9.140625" style="168"/>
    <col min="13313" max="13313" width="8.42578125" style="168" customWidth="1"/>
    <col min="13314" max="13314" width="14.42578125" style="168" customWidth="1"/>
    <col min="13315" max="13315" width="15.42578125" style="168" customWidth="1"/>
    <col min="13316" max="13316" width="16.42578125" style="168" customWidth="1"/>
    <col min="13317" max="13317" width="16.140625" style="168" customWidth="1"/>
    <col min="13318" max="13318" width="13.7109375" style="168" customWidth="1"/>
    <col min="13319" max="13319" width="18.85546875" style="168" customWidth="1"/>
    <col min="13320" max="13320" width="15.7109375" style="168" customWidth="1"/>
    <col min="13321" max="13322" width="16.5703125" style="168" customWidth="1"/>
    <col min="13323" max="13323" width="13.140625" style="168" bestFit="1" customWidth="1"/>
    <col min="13324" max="13324" width="13.42578125" style="168" customWidth="1"/>
    <col min="13325" max="13325" width="14.7109375" style="168" customWidth="1"/>
    <col min="13326" max="13326" width="14.7109375" style="168" bestFit="1" customWidth="1"/>
    <col min="13327" max="13331" width="14.42578125" style="168" customWidth="1"/>
    <col min="13332" max="13332" width="14.85546875" style="168" bestFit="1" customWidth="1"/>
    <col min="13333" max="13333" width="10.85546875" style="168" bestFit="1" customWidth="1"/>
    <col min="13334" max="13568" width="9.140625" style="168"/>
    <col min="13569" max="13569" width="8.42578125" style="168" customWidth="1"/>
    <col min="13570" max="13570" width="14.42578125" style="168" customWidth="1"/>
    <col min="13571" max="13571" width="15.42578125" style="168" customWidth="1"/>
    <col min="13572" max="13572" width="16.42578125" style="168" customWidth="1"/>
    <col min="13573" max="13573" width="16.140625" style="168" customWidth="1"/>
    <col min="13574" max="13574" width="13.7109375" style="168" customWidth="1"/>
    <col min="13575" max="13575" width="18.85546875" style="168" customWidth="1"/>
    <col min="13576" max="13576" width="15.7109375" style="168" customWidth="1"/>
    <col min="13577" max="13578" width="16.5703125" style="168" customWidth="1"/>
    <col min="13579" max="13579" width="13.140625" style="168" bestFit="1" customWidth="1"/>
    <col min="13580" max="13580" width="13.42578125" style="168" customWidth="1"/>
    <col min="13581" max="13581" width="14.7109375" style="168" customWidth="1"/>
    <col min="13582" max="13582" width="14.7109375" style="168" bestFit="1" customWidth="1"/>
    <col min="13583" max="13587" width="14.42578125" style="168" customWidth="1"/>
    <col min="13588" max="13588" width="14.85546875" style="168" bestFit="1" customWidth="1"/>
    <col min="13589" max="13589" width="10.85546875" style="168" bestFit="1" customWidth="1"/>
    <col min="13590" max="13824" width="9.140625" style="168"/>
    <col min="13825" max="13825" width="8.42578125" style="168" customWidth="1"/>
    <col min="13826" max="13826" width="14.42578125" style="168" customWidth="1"/>
    <col min="13827" max="13827" width="15.42578125" style="168" customWidth="1"/>
    <col min="13828" max="13828" width="16.42578125" style="168" customWidth="1"/>
    <col min="13829" max="13829" width="16.140625" style="168" customWidth="1"/>
    <col min="13830" max="13830" width="13.7109375" style="168" customWidth="1"/>
    <col min="13831" max="13831" width="18.85546875" style="168" customWidth="1"/>
    <col min="13832" max="13832" width="15.7109375" style="168" customWidth="1"/>
    <col min="13833" max="13834" width="16.5703125" style="168" customWidth="1"/>
    <col min="13835" max="13835" width="13.140625" style="168" bestFit="1" customWidth="1"/>
    <col min="13836" max="13836" width="13.42578125" style="168" customWidth="1"/>
    <col min="13837" max="13837" width="14.7109375" style="168" customWidth="1"/>
    <col min="13838" max="13838" width="14.7109375" style="168" bestFit="1" customWidth="1"/>
    <col min="13839" max="13843" width="14.42578125" style="168" customWidth="1"/>
    <col min="13844" max="13844" width="14.85546875" style="168" bestFit="1" customWidth="1"/>
    <col min="13845" max="13845" width="10.85546875" style="168" bestFit="1" customWidth="1"/>
    <col min="13846" max="14080" width="9.140625" style="168"/>
    <col min="14081" max="14081" width="8.42578125" style="168" customWidth="1"/>
    <col min="14082" max="14082" width="14.42578125" style="168" customWidth="1"/>
    <col min="14083" max="14083" width="15.42578125" style="168" customWidth="1"/>
    <col min="14084" max="14084" width="16.42578125" style="168" customWidth="1"/>
    <col min="14085" max="14085" width="16.140625" style="168" customWidth="1"/>
    <col min="14086" max="14086" width="13.7109375" style="168" customWidth="1"/>
    <col min="14087" max="14087" width="18.85546875" style="168" customWidth="1"/>
    <col min="14088" max="14088" width="15.7109375" style="168" customWidth="1"/>
    <col min="14089" max="14090" width="16.5703125" style="168" customWidth="1"/>
    <col min="14091" max="14091" width="13.140625" style="168" bestFit="1" customWidth="1"/>
    <col min="14092" max="14092" width="13.42578125" style="168" customWidth="1"/>
    <col min="14093" max="14093" width="14.7109375" style="168" customWidth="1"/>
    <col min="14094" max="14094" width="14.7109375" style="168" bestFit="1" customWidth="1"/>
    <col min="14095" max="14099" width="14.42578125" style="168" customWidth="1"/>
    <col min="14100" max="14100" width="14.85546875" style="168" bestFit="1" customWidth="1"/>
    <col min="14101" max="14101" width="10.85546875" style="168" bestFit="1" customWidth="1"/>
    <col min="14102" max="14336" width="9.140625" style="168"/>
    <col min="14337" max="14337" width="8.42578125" style="168" customWidth="1"/>
    <col min="14338" max="14338" width="14.42578125" style="168" customWidth="1"/>
    <col min="14339" max="14339" width="15.42578125" style="168" customWidth="1"/>
    <col min="14340" max="14340" width="16.42578125" style="168" customWidth="1"/>
    <col min="14341" max="14341" width="16.140625" style="168" customWidth="1"/>
    <col min="14342" max="14342" width="13.7109375" style="168" customWidth="1"/>
    <col min="14343" max="14343" width="18.85546875" style="168" customWidth="1"/>
    <col min="14344" max="14344" width="15.7109375" style="168" customWidth="1"/>
    <col min="14345" max="14346" width="16.5703125" style="168" customWidth="1"/>
    <col min="14347" max="14347" width="13.140625" style="168" bestFit="1" customWidth="1"/>
    <col min="14348" max="14348" width="13.42578125" style="168" customWidth="1"/>
    <col min="14349" max="14349" width="14.7109375" style="168" customWidth="1"/>
    <col min="14350" max="14350" width="14.7109375" style="168" bestFit="1" customWidth="1"/>
    <col min="14351" max="14355" width="14.42578125" style="168" customWidth="1"/>
    <col min="14356" max="14356" width="14.85546875" style="168" bestFit="1" customWidth="1"/>
    <col min="14357" max="14357" width="10.85546875" style="168" bestFit="1" customWidth="1"/>
    <col min="14358" max="14592" width="9.140625" style="168"/>
    <col min="14593" max="14593" width="8.42578125" style="168" customWidth="1"/>
    <col min="14594" max="14594" width="14.42578125" style="168" customWidth="1"/>
    <col min="14595" max="14595" width="15.42578125" style="168" customWidth="1"/>
    <col min="14596" max="14596" width="16.42578125" style="168" customWidth="1"/>
    <col min="14597" max="14597" width="16.140625" style="168" customWidth="1"/>
    <col min="14598" max="14598" width="13.7109375" style="168" customWidth="1"/>
    <col min="14599" max="14599" width="18.85546875" style="168" customWidth="1"/>
    <col min="14600" max="14600" width="15.7109375" style="168" customWidth="1"/>
    <col min="14601" max="14602" width="16.5703125" style="168" customWidth="1"/>
    <col min="14603" max="14603" width="13.140625" style="168" bestFit="1" customWidth="1"/>
    <col min="14604" max="14604" width="13.42578125" style="168" customWidth="1"/>
    <col min="14605" max="14605" width="14.7109375" style="168" customWidth="1"/>
    <col min="14606" max="14606" width="14.7109375" style="168" bestFit="1" customWidth="1"/>
    <col min="14607" max="14611" width="14.42578125" style="168" customWidth="1"/>
    <col min="14612" max="14612" width="14.85546875" style="168" bestFit="1" customWidth="1"/>
    <col min="14613" max="14613" width="10.85546875" style="168" bestFit="1" customWidth="1"/>
    <col min="14614" max="14848" width="9.140625" style="168"/>
    <col min="14849" max="14849" width="8.42578125" style="168" customWidth="1"/>
    <col min="14850" max="14850" width="14.42578125" style="168" customWidth="1"/>
    <col min="14851" max="14851" width="15.42578125" style="168" customWidth="1"/>
    <col min="14852" max="14852" width="16.42578125" style="168" customWidth="1"/>
    <col min="14853" max="14853" width="16.140625" style="168" customWidth="1"/>
    <col min="14854" max="14854" width="13.7109375" style="168" customWidth="1"/>
    <col min="14855" max="14855" width="18.85546875" style="168" customWidth="1"/>
    <col min="14856" max="14856" width="15.7109375" style="168" customWidth="1"/>
    <col min="14857" max="14858" width="16.5703125" style="168" customWidth="1"/>
    <col min="14859" max="14859" width="13.140625" style="168" bestFit="1" customWidth="1"/>
    <col min="14860" max="14860" width="13.42578125" style="168" customWidth="1"/>
    <col min="14861" max="14861" width="14.7109375" style="168" customWidth="1"/>
    <col min="14862" max="14862" width="14.7109375" style="168" bestFit="1" customWidth="1"/>
    <col min="14863" max="14867" width="14.42578125" style="168" customWidth="1"/>
    <col min="14868" max="14868" width="14.85546875" style="168" bestFit="1" customWidth="1"/>
    <col min="14869" max="14869" width="10.85546875" style="168" bestFit="1" customWidth="1"/>
    <col min="14870" max="15104" width="9.140625" style="168"/>
    <col min="15105" max="15105" width="8.42578125" style="168" customWidth="1"/>
    <col min="15106" max="15106" width="14.42578125" style="168" customWidth="1"/>
    <col min="15107" max="15107" width="15.42578125" style="168" customWidth="1"/>
    <col min="15108" max="15108" width="16.42578125" style="168" customWidth="1"/>
    <col min="15109" max="15109" width="16.140625" style="168" customWidth="1"/>
    <col min="15110" max="15110" width="13.7109375" style="168" customWidth="1"/>
    <col min="15111" max="15111" width="18.85546875" style="168" customWidth="1"/>
    <col min="15112" max="15112" width="15.7109375" style="168" customWidth="1"/>
    <col min="15113" max="15114" width="16.5703125" style="168" customWidth="1"/>
    <col min="15115" max="15115" width="13.140625" style="168" bestFit="1" customWidth="1"/>
    <col min="15116" max="15116" width="13.42578125" style="168" customWidth="1"/>
    <col min="15117" max="15117" width="14.7109375" style="168" customWidth="1"/>
    <col min="15118" max="15118" width="14.7109375" style="168" bestFit="1" customWidth="1"/>
    <col min="15119" max="15123" width="14.42578125" style="168" customWidth="1"/>
    <col min="15124" max="15124" width="14.85546875" style="168" bestFit="1" customWidth="1"/>
    <col min="15125" max="15125" width="10.85546875" style="168" bestFit="1" customWidth="1"/>
    <col min="15126" max="15360" width="9.140625" style="168"/>
    <col min="15361" max="15361" width="8.42578125" style="168" customWidth="1"/>
    <col min="15362" max="15362" width="14.42578125" style="168" customWidth="1"/>
    <col min="15363" max="15363" width="15.42578125" style="168" customWidth="1"/>
    <col min="15364" max="15364" width="16.42578125" style="168" customWidth="1"/>
    <col min="15365" max="15365" width="16.140625" style="168" customWidth="1"/>
    <col min="15366" max="15366" width="13.7109375" style="168" customWidth="1"/>
    <col min="15367" max="15367" width="18.85546875" style="168" customWidth="1"/>
    <col min="15368" max="15368" width="15.7109375" style="168" customWidth="1"/>
    <col min="15369" max="15370" width="16.5703125" style="168" customWidth="1"/>
    <col min="15371" max="15371" width="13.140625" style="168" bestFit="1" customWidth="1"/>
    <col min="15372" max="15372" width="13.42578125" style="168" customWidth="1"/>
    <col min="15373" max="15373" width="14.7109375" style="168" customWidth="1"/>
    <col min="15374" max="15374" width="14.7109375" style="168" bestFit="1" customWidth="1"/>
    <col min="15375" max="15379" width="14.42578125" style="168" customWidth="1"/>
    <col min="15380" max="15380" width="14.85546875" style="168" bestFit="1" customWidth="1"/>
    <col min="15381" max="15381" width="10.85546875" style="168" bestFit="1" customWidth="1"/>
    <col min="15382" max="15616" width="9.140625" style="168"/>
    <col min="15617" max="15617" width="8.42578125" style="168" customWidth="1"/>
    <col min="15618" max="15618" width="14.42578125" style="168" customWidth="1"/>
    <col min="15619" max="15619" width="15.42578125" style="168" customWidth="1"/>
    <col min="15620" max="15620" width="16.42578125" style="168" customWidth="1"/>
    <col min="15621" max="15621" width="16.140625" style="168" customWidth="1"/>
    <col min="15622" max="15622" width="13.7109375" style="168" customWidth="1"/>
    <col min="15623" max="15623" width="18.85546875" style="168" customWidth="1"/>
    <col min="15624" max="15624" width="15.7109375" style="168" customWidth="1"/>
    <col min="15625" max="15626" width="16.5703125" style="168" customWidth="1"/>
    <col min="15627" max="15627" width="13.140625" style="168" bestFit="1" customWidth="1"/>
    <col min="15628" max="15628" width="13.42578125" style="168" customWidth="1"/>
    <col min="15629" max="15629" width="14.7109375" style="168" customWidth="1"/>
    <col min="15630" max="15630" width="14.7109375" style="168" bestFit="1" customWidth="1"/>
    <col min="15631" max="15635" width="14.42578125" style="168" customWidth="1"/>
    <col min="15636" max="15636" width="14.85546875" style="168" bestFit="1" customWidth="1"/>
    <col min="15637" max="15637" width="10.85546875" style="168" bestFit="1" customWidth="1"/>
    <col min="15638" max="15872" width="9.140625" style="168"/>
    <col min="15873" max="15873" width="8.42578125" style="168" customWidth="1"/>
    <col min="15874" max="15874" width="14.42578125" style="168" customWidth="1"/>
    <col min="15875" max="15875" width="15.42578125" style="168" customWidth="1"/>
    <col min="15876" max="15876" width="16.42578125" style="168" customWidth="1"/>
    <col min="15877" max="15877" width="16.140625" style="168" customWidth="1"/>
    <col min="15878" max="15878" width="13.7109375" style="168" customWidth="1"/>
    <col min="15879" max="15879" width="18.85546875" style="168" customWidth="1"/>
    <col min="15880" max="15880" width="15.7109375" style="168" customWidth="1"/>
    <col min="15881" max="15882" width="16.5703125" style="168" customWidth="1"/>
    <col min="15883" max="15883" width="13.140625" style="168" bestFit="1" customWidth="1"/>
    <col min="15884" max="15884" width="13.42578125" style="168" customWidth="1"/>
    <col min="15885" max="15885" width="14.7109375" style="168" customWidth="1"/>
    <col min="15886" max="15886" width="14.7109375" style="168" bestFit="1" customWidth="1"/>
    <col min="15887" max="15891" width="14.42578125" style="168" customWidth="1"/>
    <col min="15892" max="15892" width="14.85546875" style="168" bestFit="1" customWidth="1"/>
    <col min="15893" max="15893" width="10.85546875" style="168" bestFit="1" customWidth="1"/>
    <col min="15894" max="16128" width="9.140625" style="168"/>
    <col min="16129" max="16129" width="8.42578125" style="168" customWidth="1"/>
    <col min="16130" max="16130" width="14.42578125" style="168" customWidth="1"/>
    <col min="16131" max="16131" width="15.42578125" style="168" customWidth="1"/>
    <col min="16132" max="16132" width="16.42578125" style="168" customWidth="1"/>
    <col min="16133" max="16133" width="16.140625" style="168" customWidth="1"/>
    <col min="16134" max="16134" width="13.7109375" style="168" customWidth="1"/>
    <col min="16135" max="16135" width="18.85546875" style="168" customWidth="1"/>
    <col min="16136" max="16136" width="15.7109375" style="168" customWidth="1"/>
    <col min="16137" max="16138" width="16.5703125" style="168" customWidth="1"/>
    <col min="16139" max="16139" width="13.140625" style="168" bestFit="1" customWidth="1"/>
    <col min="16140" max="16140" width="13.42578125" style="168" customWidth="1"/>
    <col min="16141" max="16141" width="14.7109375" style="168" customWidth="1"/>
    <col min="16142" max="16142" width="14.7109375" style="168" bestFit="1" customWidth="1"/>
    <col min="16143" max="16147" width="14.42578125" style="168" customWidth="1"/>
    <col min="16148" max="16148" width="14.85546875" style="168" bestFit="1" customWidth="1"/>
    <col min="16149" max="16149" width="10.85546875" style="168" bestFit="1" customWidth="1"/>
    <col min="16150" max="16384" width="9.140625" style="168"/>
  </cols>
  <sheetData>
    <row r="1" spans="1:10" ht="18" customHeight="1" x14ac:dyDescent="0.2">
      <c r="A1" s="698" t="s">
        <v>181</v>
      </c>
      <c r="B1" s="698"/>
      <c r="C1" s="698"/>
      <c r="D1" s="698"/>
      <c r="E1" s="698"/>
      <c r="F1" s="698"/>
      <c r="G1" s="698"/>
      <c r="H1" s="698"/>
      <c r="I1" s="698"/>
      <c r="J1" s="698"/>
    </row>
    <row r="2" spans="1:10" x14ac:dyDescent="0.2">
      <c r="A2" s="169"/>
      <c r="B2" s="170"/>
      <c r="C2" s="171"/>
      <c r="D2" s="171"/>
      <c r="E2" s="172"/>
      <c r="F2" s="172"/>
    </row>
    <row r="3" spans="1:10" x14ac:dyDescent="0.2">
      <c r="A3" s="169" t="s">
        <v>182</v>
      </c>
      <c r="B3" s="699" t="s">
        <v>212</v>
      </c>
      <c r="C3" s="699"/>
      <c r="D3" s="699"/>
      <c r="E3" s="699"/>
      <c r="F3" s="699"/>
      <c r="G3" s="699"/>
      <c r="H3" s="699"/>
      <c r="I3" s="699"/>
      <c r="J3" s="174"/>
    </row>
    <row r="4" spans="1:10" x14ac:dyDescent="0.2">
      <c r="A4" s="175"/>
      <c r="B4" s="699"/>
      <c r="C4" s="699"/>
      <c r="D4" s="699"/>
      <c r="E4" s="699"/>
      <c r="F4" s="699"/>
      <c r="G4" s="699"/>
      <c r="H4" s="699"/>
      <c r="I4" s="699"/>
      <c r="J4" s="174"/>
    </row>
    <row r="5" spans="1:10" ht="15" customHeight="1" x14ac:dyDescent="0.2">
      <c r="A5" s="700" t="str">
        <f>CONCATENATE("PLAZO: ",A42," MESES (",A43,")")</f>
        <v>PLAZO: 24 MESES (720 dias)</v>
      </c>
      <c r="B5" s="700"/>
      <c r="C5" s="700"/>
      <c r="E5" s="177" t="s">
        <v>183</v>
      </c>
    </row>
    <row r="7" spans="1:10" x14ac:dyDescent="0.2">
      <c r="C7" s="179" t="s">
        <v>185</v>
      </c>
      <c r="D7" s="701"/>
      <c r="E7" s="701"/>
      <c r="F7" s="701"/>
      <c r="H7" s="179" t="s">
        <v>186</v>
      </c>
      <c r="I7" s="180">
        <f ca="1">NOW()</f>
        <v>43703.768187847221</v>
      </c>
    </row>
    <row r="8" spans="1:10" x14ac:dyDescent="0.2">
      <c r="C8" s="179" t="str">
        <f>IF(D7=0,"MONTO ESTIMADO CON IVA:","MONTO DE CONTRATO CON IVA:")</f>
        <v>MONTO ESTIMADO CON IVA:</v>
      </c>
      <c r="D8" s="181">
        <f>+'3. PEP'!G29</f>
        <v>47470212.765957452</v>
      </c>
      <c r="E8" s="182" t="s">
        <v>187</v>
      </c>
      <c r="F8" s="168" t="s">
        <v>188</v>
      </c>
      <c r="H8" s="173" t="s">
        <v>189</v>
      </c>
      <c r="I8" s="183">
        <v>1</v>
      </c>
    </row>
    <row r="9" spans="1:10" hidden="1" x14ac:dyDescent="0.2">
      <c r="C9" s="179"/>
      <c r="D9" s="181"/>
      <c r="E9" s="176" t="s">
        <v>190</v>
      </c>
      <c r="I9" s="184"/>
    </row>
    <row r="10" spans="1:10" hidden="1" x14ac:dyDescent="0.2">
      <c r="C10" s="179"/>
      <c r="D10" s="181"/>
      <c r="E10" s="176" t="s">
        <v>187</v>
      </c>
      <c r="I10" s="184"/>
    </row>
    <row r="11" spans="1:10" x14ac:dyDescent="0.2">
      <c r="B11" s="168"/>
      <c r="C11" s="179" t="str">
        <f>IF(D7=0,"MONTO ESTIMADO SIN IVA:","MONTO DE CONTRATO SIN IVA:")</f>
        <v>MONTO ESTIMADO SIN IVA:</v>
      </c>
      <c r="D11" s="185">
        <f>D8</f>
        <v>47470212.765957452</v>
      </c>
      <c r="E11" s="186" t="s">
        <v>190</v>
      </c>
      <c r="F11" s="176"/>
    </row>
    <row r="12" spans="1:10" x14ac:dyDescent="0.2">
      <c r="B12" s="168"/>
      <c r="C12" s="179" t="s">
        <v>191</v>
      </c>
      <c r="D12" s="183">
        <v>100</v>
      </c>
      <c r="F12" s="176" t="s">
        <v>192</v>
      </c>
    </row>
    <row r="13" spans="1:10" x14ac:dyDescent="0.2">
      <c r="B13" s="168"/>
      <c r="C13" s="179" t="s">
        <v>193</v>
      </c>
      <c r="D13" s="187">
        <f>100-D12</f>
        <v>0</v>
      </c>
      <c r="F13" s="176"/>
    </row>
    <row r="14" spans="1:10" x14ac:dyDescent="0.2">
      <c r="B14" s="168"/>
      <c r="C14" s="179" t="s">
        <v>194</v>
      </c>
      <c r="D14" s="184">
        <v>20</v>
      </c>
      <c r="F14" s="176"/>
    </row>
    <row r="15" spans="1:10" x14ac:dyDescent="0.2">
      <c r="B15" s="179" t="s">
        <v>195</v>
      </c>
      <c r="C15" s="702"/>
      <c r="D15" s="702"/>
      <c r="E15" s="188" t="s">
        <v>196</v>
      </c>
      <c r="F15" s="189"/>
      <c r="H15" s="190" t="s">
        <v>197</v>
      </c>
      <c r="I15" s="183">
        <v>10</v>
      </c>
    </row>
    <row r="16" spans="1:10" ht="12.75" thickBot="1" x14ac:dyDescent="0.25">
      <c r="F16" s="191"/>
    </row>
    <row r="17" spans="1:11" ht="42" customHeight="1" thickBot="1" x14ac:dyDescent="0.25">
      <c r="A17" s="192" t="s">
        <v>198</v>
      </c>
      <c r="B17" s="193" t="s">
        <v>199</v>
      </c>
      <c r="C17" s="193" t="s">
        <v>200</v>
      </c>
      <c r="D17" s="194" t="str">
        <f>CONCATENATE("MONTO MENSUAL DESCONTADO ",ROUND(D14,0),"% ANTICIPO")</f>
        <v>MONTO MENSUAL DESCONTADO 20% ANTICIPO</v>
      </c>
      <c r="E17" s="195" t="s">
        <v>201</v>
      </c>
      <c r="F17" s="196" t="s">
        <v>202</v>
      </c>
      <c r="G17" s="197" t="s">
        <v>203</v>
      </c>
      <c r="H17" s="198" t="s">
        <v>204</v>
      </c>
      <c r="I17" s="199" t="str">
        <f>CONCATENATE("DESEMBOLSOS FONDO LOCAL (",ROUND(D13,0),"%) + IVA")</f>
        <v>DESEMBOLSOS FONDO LOCAL (0%) + IVA</v>
      </c>
      <c r="J17" s="199" t="str">
        <f>CONCATENATE("DESEMBOLSOS FONDO EXTERNO (",ROUND(D12,0),"%)")</f>
        <v>DESEMBOLSOS FONDO EXTERNO (100%)</v>
      </c>
    </row>
    <row r="18" spans="1:11" ht="12.75" customHeight="1" x14ac:dyDescent="0.2">
      <c r="A18" s="200">
        <v>0</v>
      </c>
      <c r="B18" s="201">
        <f>D14/100</f>
        <v>0.2</v>
      </c>
      <c r="C18" s="201">
        <v>0</v>
      </c>
      <c r="D18" s="202">
        <f>ROUND(B18*D11,0)</f>
        <v>9494043</v>
      </c>
      <c r="E18" s="203">
        <f>D18</f>
        <v>9494043</v>
      </c>
      <c r="F18" s="204">
        <f>E18/$E$42</f>
        <v>0.2</v>
      </c>
      <c r="G18" s="205" t="s">
        <v>205</v>
      </c>
      <c r="H18" s="206">
        <f t="shared" ref="H18:H33" si="0">ROUND(D18*0.1,0)</f>
        <v>949404</v>
      </c>
      <c r="I18" s="207">
        <f t="shared" ref="I18:I42" si="1">ROUNDUP((D18+H18-J18),-(LEN(D18)-$I$15))</f>
        <v>949404</v>
      </c>
      <c r="J18" s="207">
        <f t="shared" ref="J18:J33" si="2">ROUNDUP(D18*$D$12/100,-(LEN(D18)-$I$15))</f>
        <v>9494043</v>
      </c>
    </row>
    <row r="19" spans="1:11" ht="12.75" thickBot="1" x14ac:dyDescent="0.25">
      <c r="A19" s="208">
        <v>1</v>
      </c>
      <c r="B19" s="209">
        <v>2.5000000000000001E-2</v>
      </c>
      <c r="C19" s="209">
        <f t="shared" ref="C19:C42" si="3">B19+C18</f>
        <v>2.5000000000000001E-2</v>
      </c>
      <c r="D19" s="210">
        <f>ROUND(B19*$D$11*(100-$D$14)/100,0)</f>
        <v>949404</v>
      </c>
      <c r="E19" s="211">
        <f t="shared" ref="E19:E33" si="4">E18+D19</f>
        <v>10443447</v>
      </c>
      <c r="F19" s="212">
        <f>E19/$E$42</f>
        <v>0.2199999936802477</v>
      </c>
      <c r="G19" s="213" t="s">
        <v>96</v>
      </c>
      <c r="H19" s="214">
        <f t="shared" si="0"/>
        <v>94940</v>
      </c>
      <c r="I19" s="215">
        <f t="shared" si="1"/>
        <v>94940</v>
      </c>
      <c r="J19" s="215">
        <f t="shared" si="2"/>
        <v>949404</v>
      </c>
    </row>
    <row r="20" spans="1:11" x14ac:dyDescent="0.2">
      <c r="A20" s="208">
        <v>2</v>
      </c>
      <c r="B20" s="209">
        <v>0.03</v>
      </c>
      <c r="C20" s="209">
        <f t="shared" si="3"/>
        <v>5.5E-2</v>
      </c>
      <c r="D20" s="210">
        <f t="shared" ref="D20:D42" si="5">ROUND(B20*$D$11*(100-$D$14)/100,0)</f>
        <v>1139285</v>
      </c>
      <c r="E20" s="211">
        <f t="shared" si="4"/>
        <v>11582732</v>
      </c>
      <c r="F20" s="204">
        <f t="shared" ref="F20:F42" si="6">E20/$E$42</f>
        <v>0.24399999030971314</v>
      </c>
      <c r="G20" s="213" t="s">
        <v>97</v>
      </c>
      <c r="H20" s="214">
        <f t="shared" si="0"/>
        <v>113929</v>
      </c>
      <c r="I20" s="215">
        <f t="shared" si="1"/>
        <v>113929</v>
      </c>
      <c r="J20" s="215">
        <f t="shared" si="2"/>
        <v>1139285</v>
      </c>
      <c r="K20" s="216">
        <f>+SUM(J18:J20)</f>
        <v>11582732</v>
      </c>
    </row>
    <row r="21" spans="1:11" ht="12.75" thickBot="1" x14ac:dyDescent="0.25">
      <c r="A21" s="208">
        <v>3</v>
      </c>
      <c r="B21" s="209">
        <v>3.5000000000000003E-2</v>
      </c>
      <c r="C21" s="209">
        <f>B21+C20</f>
        <v>0.09</v>
      </c>
      <c r="D21" s="210">
        <f t="shared" si="5"/>
        <v>1329166</v>
      </c>
      <c r="E21" s="211">
        <f t="shared" si="4"/>
        <v>12911898</v>
      </c>
      <c r="F21" s="212">
        <f t="shared" si="6"/>
        <v>0.27199998988839635</v>
      </c>
      <c r="G21" s="213" t="s">
        <v>98</v>
      </c>
      <c r="H21" s="214">
        <f t="shared" si="0"/>
        <v>132917</v>
      </c>
      <c r="I21" s="215">
        <f t="shared" si="1"/>
        <v>132917</v>
      </c>
      <c r="J21" s="215">
        <f t="shared" si="2"/>
        <v>1329166</v>
      </c>
    </row>
    <row r="22" spans="1:11" x14ac:dyDescent="0.2">
      <c r="A22" s="208">
        <v>4</v>
      </c>
      <c r="B22" s="209">
        <v>3.5000000000000003E-2</v>
      </c>
      <c r="C22" s="209">
        <f t="shared" si="3"/>
        <v>0.125</v>
      </c>
      <c r="D22" s="210">
        <f t="shared" si="5"/>
        <v>1329166</v>
      </c>
      <c r="E22" s="211">
        <f t="shared" si="4"/>
        <v>14241064</v>
      </c>
      <c r="F22" s="204">
        <f t="shared" si="6"/>
        <v>0.29999998946707951</v>
      </c>
      <c r="G22" s="213" t="s">
        <v>99</v>
      </c>
      <c r="H22" s="214">
        <f t="shared" si="0"/>
        <v>132917</v>
      </c>
      <c r="I22" s="215">
        <f t="shared" si="1"/>
        <v>132917</v>
      </c>
      <c r="J22" s="215">
        <f t="shared" si="2"/>
        <v>1329166</v>
      </c>
      <c r="K22" s="217"/>
    </row>
    <row r="23" spans="1:11" ht="12.75" thickBot="1" x14ac:dyDescent="0.25">
      <c r="A23" s="208">
        <v>5</v>
      </c>
      <c r="B23" s="209">
        <v>0.04</v>
      </c>
      <c r="C23" s="209">
        <f t="shared" si="3"/>
        <v>0.16500000000000001</v>
      </c>
      <c r="D23" s="210">
        <f t="shared" si="5"/>
        <v>1519047</v>
      </c>
      <c r="E23" s="211">
        <f t="shared" si="4"/>
        <v>15760111</v>
      </c>
      <c r="F23" s="212">
        <f t="shared" si="6"/>
        <v>0.33199999199498043</v>
      </c>
      <c r="G23" s="213" t="s">
        <v>100</v>
      </c>
      <c r="H23" s="214">
        <f t="shared" si="0"/>
        <v>151905</v>
      </c>
      <c r="I23" s="215">
        <f t="shared" si="1"/>
        <v>151905</v>
      </c>
      <c r="J23" s="215">
        <f t="shared" si="2"/>
        <v>1519047</v>
      </c>
      <c r="K23" s="217"/>
    </row>
    <row r="24" spans="1:11" x14ac:dyDescent="0.2">
      <c r="A24" s="208">
        <v>6</v>
      </c>
      <c r="B24" s="209">
        <v>4.4999999999999998E-2</v>
      </c>
      <c r="C24" s="209">
        <f t="shared" si="3"/>
        <v>0.21000000000000002</v>
      </c>
      <c r="D24" s="210">
        <f t="shared" si="5"/>
        <v>1708928</v>
      </c>
      <c r="E24" s="211">
        <f t="shared" si="4"/>
        <v>17469039</v>
      </c>
      <c r="F24" s="204">
        <f t="shared" si="6"/>
        <v>0.36799999747209911</v>
      </c>
      <c r="G24" s="213" t="s">
        <v>101</v>
      </c>
      <c r="H24" s="214">
        <f t="shared" si="0"/>
        <v>170893</v>
      </c>
      <c r="I24" s="215">
        <f t="shared" si="1"/>
        <v>170893</v>
      </c>
      <c r="J24" s="215">
        <f t="shared" si="2"/>
        <v>1708928</v>
      </c>
      <c r="K24" s="217"/>
    </row>
    <row r="25" spans="1:11" ht="12.75" thickBot="1" x14ac:dyDescent="0.25">
      <c r="A25" s="208">
        <v>7</v>
      </c>
      <c r="B25" s="209">
        <v>4.4999999999999998E-2</v>
      </c>
      <c r="C25" s="209">
        <f t="shared" si="3"/>
        <v>0.255</v>
      </c>
      <c r="D25" s="210">
        <f t="shared" si="5"/>
        <v>1708928</v>
      </c>
      <c r="E25" s="211">
        <f t="shared" si="4"/>
        <v>19177967</v>
      </c>
      <c r="F25" s="212">
        <f t="shared" si="6"/>
        <v>0.40400000294921773</v>
      </c>
      <c r="G25" s="213" t="s">
        <v>102</v>
      </c>
      <c r="H25" s="214">
        <f t="shared" si="0"/>
        <v>170893</v>
      </c>
      <c r="I25" s="215">
        <f t="shared" si="1"/>
        <v>170893</v>
      </c>
      <c r="J25" s="215">
        <f t="shared" si="2"/>
        <v>1708928</v>
      </c>
      <c r="K25" s="218"/>
    </row>
    <row r="26" spans="1:11" x14ac:dyDescent="0.2">
      <c r="A26" s="208">
        <v>8</v>
      </c>
      <c r="B26" s="209">
        <v>0.05</v>
      </c>
      <c r="C26" s="209">
        <f t="shared" si="3"/>
        <v>0.30499999999999999</v>
      </c>
      <c r="D26" s="210">
        <f t="shared" si="5"/>
        <v>1898809</v>
      </c>
      <c r="E26" s="211">
        <f t="shared" si="4"/>
        <v>21076776</v>
      </c>
      <c r="F26" s="204">
        <f t="shared" si="6"/>
        <v>0.44400001137555412</v>
      </c>
      <c r="G26" s="213" t="s">
        <v>103</v>
      </c>
      <c r="H26" s="214">
        <f t="shared" si="0"/>
        <v>189881</v>
      </c>
      <c r="I26" s="215">
        <f t="shared" si="1"/>
        <v>189881</v>
      </c>
      <c r="J26" s="215">
        <f t="shared" si="2"/>
        <v>1898809</v>
      </c>
      <c r="K26" s="217"/>
    </row>
    <row r="27" spans="1:11" ht="12.75" thickBot="1" x14ac:dyDescent="0.25">
      <c r="A27" s="208">
        <v>9</v>
      </c>
      <c r="B27" s="209">
        <v>5.5E-2</v>
      </c>
      <c r="C27" s="209">
        <f t="shared" si="3"/>
        <v>0.36</v>
      </c>
      <c r="D27" s="210">
        <f t="shared" si="5"/>
        <v>2088689</v>
      </c>
      <c r="E27" s="211">
        <f t="shared" si="4"/>
        <v>23165465</v>
      </c>
      <c r="F27" s="212">
        <f t="shared" si="6"/>
        <v>0.4880000016852673</v>
      </c>
      <c r="G27" s="213" t="s">
        <v>104</v>
      </c>
      <c r="H27" s="214">
        <f t="shared" si="0"/>
        <v>208869</v>
      </c>
      <c r="I27" s="215">
        <f t="shared" si="1"/>
        <v>208869</v>
      </c>
      <c r="J27" s="215">
        <f t="shared" si="2"/>
        <v>2088689</v>
      </c>
      <c r="K27" s="217"/>
    </row>
    <row r="28" spans="1:11" x14ac:dyDescent="0.2">
      <c r="A28" s="208">
        <v>10</v>
      </c>
      <c r="B28" s="209">
        <v>5.5E-2</v>
      </c>
      <c r="C28" s="209">
        <f t="shared" si="3"/>
        <v>0.41499999999999998</v>
      </c>
      <c r="D28" s="210">
        <f t="shared" si="5"/>
        <v>2088689</v>
      </c>
      <c r="E28" s="211">
        <f t="shared" si="4"/>
        <v>25254154</v>
      </c>
      <c r="F28" s="204">
        <f t="shared" si="6"/>
        <v>0.53199999199498038</v>
      </c>
      <c r="G28" s="213" t="s">
        <v>105</v>
      </c>
      <c r="H28" s="214">
        <f t="shared" si="0"/>
        <v>208869</v>
      </c>
      <c r="I28" s="215">
        <f t="shared" si="1"/>
        <v>208869</v>
      </c>
      <c r="J28" s="215">
        <f t="shared" si="2"/>
        <v>2088689</v>
      </c>
      <c r="K28" s="217"/>
    </row>
    <row r="29" spans="1:11" ht="12.75" thickBot="1" x14ac:dyDescent="0.25">
      <c r="A29" s="208">
        <v>11</v>
      </c>
      <c r="B29" s="209">
        <v>5.5E-2</v>
      </c>
      <c r="C29" s="209">
        <f t="shared" si="3"/>
        <v>0.47</v>
      </c>
      <c r="D29" s="210">
        <f t="shared" si="5"/>
        <v>2088689</v>
      </c>
      <c r="E29" s="211">
        <f t="shared" si="4"/>
        <v>27342843</v>
      </c>
      <c r="F29" s="212">
        <f t="shared" si="6"/>
        <v>0.57599998230469363</v>
      </c>
      <c r="G29" s="213" t="s">
        <v>106</v>
      </c>
      <c r="H29" s="214">
        <f t="shared" si="0"/>
        <v>208869</v>
      </c>
      <c r="I29" s="215">
        <f t="shared" si="1"/>
        <v>208869</v>
      </c>
      <c r="J29" s="215">
        <f t="shared" si="2"/>
        <v>2088689</v>
      </c>
      <c r="K29" s="217"/>
    </row>
    <row r="30" spans="1:11" x14ac:dyDescent="0.2">
      <c r="A30" s="208">
        <v>12</v>
      </c>
      <c r="B30" s="209">
        <v>0.06</v>
      </c>
      <c r="C30" s="209">
        <f t="shared" si="3"/>
        <v>0.53</v>
      </c>
      <c r="D30" s="210">
        <f t="shared" si="5"/>
        <v>2278570</v>
      </c>
      <c r="E30" s="211">
        <f t="shared" si="4"/>
        <v>29621413</v>
      </c>
      <c r="F30" s="204">
        <f t="shared" si="6"/>
        <v>0.62399997556362452</v>
      </c>
      <c r="G30" s="213" t="s">
        <v>107</v>
      </c>
      <c r="H30" s="214">
        <f t="shared" si="0"/>
        <v>227857</v>
      </c>
      <c r="I30" s="215">
        <f t="shared" si="1"/>
        <v>227857</v>
      </c>
      <c r="J30" s="215">
        <f t="shared" si="2"/>
        <v>2278570</v>
      </c>
      <c r="K30" s="217"/>
    </row>
    <row r="31" spans="1:11" ht="12.75" thickBot="1" x14ac:dyDescent="0.25">
      <c r="A31" s="208">
        <v>13</v>
      </c>
      <c r="B31" s="209">
        <v>7.0000000000000007E-2</v>
      </c>
      <c r="C31" s="209">
        <f t="shared" si="3"/>
        <v>0.60000000000000009</v>
      </c>
      <c r="D31" s="210">
        <f t="shared" si="5"/>
        <v>2658332</v>
      </c>
      <c r="E31" s="211">
        <f t="shared" si="4"/>
        <v>32279745</v>
      </c>
      <c r="F31" s="212">
        <f t="shared" si="6"/>
        <v>0.67999997472099083</v>
      </c>
      <c r="G31" s="213" t="s">
        <v>108</v>
      </c>
      <c r="H31" s="214">
        <f t="shared" si="0"/>
        <v>265833</v>
      </c>
      <c r="I31" s="215">
        <f t="shared" si="1"/>
        <v>265833</v>
      </c>
      <c r="J31" s="215">
        <f t="shared" si="2"/>
        <v>2658332</v>
      </c>
      <c r="K31" s="217"/>
    </row>
    <row r="32" spans="1:11" x14ac:dyDescent="0.2">
      <c r="A32" s="208">
        <v>14</v>
      </c>
      <c r="B32" s="209">
        <v>7.0000000000000007E-2</v>
      </c>
      <c r="C32" s="209">
        <f t="shared" si="3"/>
        <v>0.67000000000000015</v>
      </c>
      <c r="D32" s="210">
        <f t="shared" si="5"/>
        <v>2658332</v>
      </c>
      <c r="E32" s="211">
        <f t="shared" si="4"/>
        <v>34938077</v>
      </c>
      <c r="F32" s="204">
        <f t="shared" si="6"/>
        <v>0.73599997387835725</v>
      </c>
      <c r="G32" s="213" t="s">
        <v>109</v>
      </c>
      <c r="H32" s="214">
        <f t="shared" si="0"/>
        <v>265833</v>
      </c>
      <c r="I32" s="215">
        <f t="shared" si="1"/>
        <v>265833</v>
      </c>
      <c r="J32" s="215">
        <f t="shared" si="2"/>
        <v>2658332</v>
      </c>
      <c r="K32" s="219">
        <f>+SUM(J21:J32)</f>
        <v>23355345</v>
      </c>
    </row>
    <row r="33" spans="1:11" ht="12.75" thickBot="1" x14ac:dyDescent="0.25">
      <c r="A33" s="208">
        <v>15</v>
      </c>
      <c r="B33" s="209">
        <v>6.5000000000000002E-2</v>
      </c>
      <c r="C33" s="209">
        <f t="shared" si="3"/>
        <v>0.7350000000000001</v>
      </c>
      <c r="D33" s="210">
        <f t="shared" si="5"/>
        <v>2468451</v>
      </c>
      <c r="E33" s="211">
        <f t="shared" si="4"/>
        <v>37406528</v>
      </c>
      <c r="F33" s="212">
        <f t="shared" si="6"/>
        <v>0.7879999700865058</v>
      </c>
      <c r="G33" s="213" t="s">
        <v>110</v>
      </c>
      <c r="H33" s="214">
        <f t="shared" si="0"/>
        <v>246845</v>
      </c>
      <c r="I33" s="215">
        <f t="shared" si="1"/>
        <v>246845</v>
      </c>
      <c r="J33" s="215">
        <f t="shared" si="2"/>
        <v>2468451</v>
      </c>
      <c r="K33" s="217"/>
    </row>
    <row r="34" spans="1:11" x14ac:dyDescent="0.2">
      <c r="A34" s="208">
        <v>16</v>
      </c>
      <c r="B34" s="209">
        <v>6.5000000000000002E-2</v>
      </c>
      <c r="C34" s="209">
        <f t="shared" si="3"/>
        <v>0.8</v>
      </c>
      <c r="D34" s="210">
        <f t="shared" si="5"/>
        <v>2468451</v>
      </c>
      <c r="E34" s="211">
        <f>E33+D34</f>
        <v>39874979</v>
      </c>
      <c r="F34" s="204">
        <f t="shared" si="6"/>
        <v>0.83999996629465445</v>
      </c>
      <c r="G34" s="213" t="s">
        <v>111</v>
      </c>
      <c r="H34" s="214">
        <f>ROUND(D34*0.1,0)</f>
        <v>246845</v>
      </c>
      <c r="I34" s="215">
        <f t="shared" si="1"/>
        <v>246845</v>
      </c>
      <c r="J34" s="215">
        <f>ROUNDUP(D34*$D$12/100,-(LEN(D34)-$I$15))</f>
        <v>2468451</v>
      </c>
      <c r="K34" s="217"/>
    </row>
    <row r="35" spans="1:11" ht="12.75" thickBot="1" x14ac:dyDescent="0.25">
      <c r="A35" s="208">
        <v>17</v>
      </c>
      <c r="B35" s="209">
        <v>0.05</v>
      </c>
      <c r="C35" s="209">
        <f t="shared" si="3"/>
        <v>0.85000000000000009</v>
      </c>
      <c r="D35" s="210">
        <f t="shared" si="5"/>
        <v>1898809</v>
      </c>
      <c r="E35" s="211">
        <f>E34+D35</f>
        <v>41773788</v>
      </c>
      <c r="F35" s="212">
        <f t="shared" si="6"/>
        <v>0.87999997472099079</v>
      </c>
      <c r="G35" s="213" t="s">
        <v>112</v>
      </c>
      <c r="H35" s="214">
        <f>ROUND(D35*0.1,0)</f>
        <v>189881</v>
      </c>
      <c r="I35" s="215">
        <f t="shared" si="1"/>
        <v>189881</v>
      </c>
      <c r="J35" s="215">
        <f>ROUNDUP(D35*$D$12/100,-(LEN(D35)-$I$15))</f>
        <v>1898809</v>
      </c>
      <c r="K35" s="217"/>
    </row>
    <row r="36" spans="1:11" ht="12.75" thickBot="1" x14ac:dyDescent="0.25">
      <c r="A36" s="220">
        <v>18</v>
      </c>
      <c r="B36" s="209">
        <v>0.05</v>
      </c>
      <c r="C36" s="209">
        <f t="shared" si="3"/>
        <v>0.90000000000000013</v>
      </c>
      <c r="D36" s="210">
        <f t="shared" si="5"/>
        <v>1898809</v>
      </c>
      <c r="E36" s="222">
        <f>E35+D36</f>
        <v>43672597</v>
      </c>
      <c r="F36" s="204">
        <f t="shared" si="6"/>
        <v>0.91999998314732723</v>
      </c>
      <c r="G36" s="224" t="s">
        <v>113</v>
      </c>
      <c r="H36" s="225">
        <f>ROUND(D36*0.1,0)</f>
        <v>189881</v>
      </c>
      <c r="I36" s="215">
        <f t="shared" si="1"/>
        <v>189881</v>
      </c>
      <c r="J36" s="226">
        <f>ROUNDUP(D36*$D$12/100,-(LEN(D36)-$I$15))</f>
        <v>1898809</v>
      </c>
      <c r="K36" s="219">
        <f>+SUM(J33:J36)</f>
        <v>8734520</v>
      </c>
    </row>
    <row r="37" spans="1:11" ht="12.75" thickBot="1" x14ac:dyDescent="0.25">
      <c r="A37" s="208">
        <v>19</v>
      </c>
      <c r="B37" s="209">
        <v>0.04</v>
      </c>
      <c r="C37" s="209">
        <f t="shared" si="3"/>
        <v>0.94000000000000017</v>
      </c>
      <c r="D37" s="210">
        <f t="shared" si="5"/>
        <v>1519047</v>
      </c>
      <c r="E37" s="211">
        <f t="shared" ref="E37:E42" si="7">E36+D37</f>
        <v>45191644</v>
      </c>
      <c r="F37" s="212">
        <f t="shared" si="6"/>
        <v>0.95199998567522814</v>
      </c>
      <c r="G37" s="213" t="s">
        <v>114</v>
      </c>
      <c r="H37" s="214">
        <f t="shared" ref="H37:H42" si="8">ROUND(D37*0.1,0)</f>
        <v>151905</v>
      </c>
      <c r="I37" s="215">
        <f t="shared" si="1"/>
        <v>151905</v>
      </c>
      <c r="J37" s="226">
        <f t="shared" ref="J37:J42" si="9">ROUNDUP(D37*$D$12/100,-(LEN(D37)-$I$15))</f>
        <v>1519047</v>
      </c>
      <c r="K37" s="219"/>
    </row>
    <row r="38" spans="1:11" ht="12.75" thickBot="1" x14ac:dyDescent="0.25">
      <c r="A38" s="220">
        <v>20</v>
      </c>
      <c r="B38" s="209">
        <v>0.02</v>
      </c>
      <c r="C38" s="209">
        <f t="shared" si="3"/>
        <v>0.96000000000000019</v>
      </c>
      <c r="D38" s="210">
        <f t="shared" si="5"/>
        <v>759523</v>
      </c>
      <c r="E38" s="222">
        <f t="shared" si="7"/>
        <v>45951167</v>
      </c>
      <c r="F38" s="204">
        <f t="shared" si="6"/>
        <v>0.96799997640625812</v>
      </c>
      <c r="G38" s="224" t="s">
        <v>115</v>
      </c>
      <c r="H38" s="225">
        <f t="shared" si="8"/>
        <v>75952</v>
      </c>
      <c r="I38" s="215">
        <f t="shared" si="1"/>
        <v>75952</v>
      </c>
      <c r="J38" s="226">
        <f t="shared" si="9"/>
        <v>759523</v>
      </c>
      <c r="K38" s="219"/>
    </row>
    <row r="39" spans="1:11" ht="12.75" thickBot="1" x14ac:dyDescent="0.25">
      <c r="A39" s="208">
        <v>21</v>
      </c>
      <c r="B39" s="238">
        <v>0.01</v>
      </c>
      <c r="C39" s="209">
        <f t="shared" si="3"/>
        <v>0.9700000000000002</v>
      </c>
      <c r="D39" s="210">
        <f t="shared" si="5"/>
        <v>379762</v>
      </c>
      <c r="E39" s="211">
        <f t="shared" si="7"/>
        <v>46330929</v>
      </c>
      <c r="F39" s="212">
        <f t="shared" si="6"/>
        <v>0.97599998230469354</v>
      </c>
      <c r="G39" s="213" t="s">
        <v>116</v>
      </c>
      <c r="H39" s="214">
        <f t="shared" si="8"/>
        <v>37976</v>
      </c>
      <c r="I39" s="226">
        <f>ROUNDUP((D39+H39-J39),-(LEN(D39)-$I$15))</f>
        <v>37976</v>
      </c>
      <c r="J39" s="226">
        <f t="shared" si="9"/>
        <v>379762</v>
      </c>
      <c r="K39" s="219"/>
    </row>
    <row r="40" spans="1:11" ht="12.75" thickBot="1" x14ac:dyDescent="0.25">
      <c r="A40" s="220">
        <v>22</v>
      </c>
      <c r="B40" s="209">
        <v>0.01</v>
      </c>
      <c r="C40" s="209">
        <f t="shared" si="3"/>
        <v>0.9800000000000002</v>
      </c>
      <c r="D40" s="210">
        <f t="shared" si="5"/>
        <v>379762</v>
      </c>
      <c r="E40" s="222">
        <f t="shared" si="7"/>
        <v>46710691</v>
      </c>
      <c r="F40" s="204">
        <f t="shared" si="6"/>
        <v>0.98399998820312906</v>
      </c>
      <c r="G40" s="224" t="s">
        <v>117</v>
      </c>
      <c r="H40" s="225">
        <f t="shared" si="8"/>
        <v>37976</v>
      </c>
      <c r="I40" s="215">
        <f t="shared" si="1"/>
        <v>37976</v>
      </c>
      <c r="J40" s="226">
        <f t="shared" si="9"/>
        <v>379762</v>
      </c>
      <c r="K40" s="219"/>
    </row>
    <row r="41" spans="1:11" ht="12.75" thickBot="1" x14ac:dyDescent="0.25">
      <c r="A41" s="208">
        <v>23</v>
      </c>
      <c r="B41" s="209">
        <v>0.01</v>
      </c>
      <c r="C41" s="209">
        <f t="shared" si="3"/>
        <v>0.99000000000000021</v>
      </c>
      <c r="D41" s="210">
        <f t="shared" si="5"/>
        <v>379762</v>
      </c>
      <c r="E41" s="211">
        <f t="shared" si="7"/>
        <v>47090453</v>
      </c>
      <c r="F41" s="212">
        <f t="shared" si="6"/>
        <v>0.99199999410156448</v>
      </c>
      <c r="G41" s="213" t="s">
        <v>118</v>
      </c>
      <c r="H41" s="214">
        <f t="shared" si="8"/>
        <v>37976</v>
      </c>
      <c r="I41" s="215">
        <f t="shared" si="1"/>
        <v>37976</v>
      </c>
      <c r="J41" s="226">
        <f t="shared" si="9"/>
        <v>379762</v>
      </c>
      <c r="K41" s="219"/>
    </row>
    <row r="42" spans="1:11" ht="12.75" thickBot="1" x14ac:dyDescent="0.25">
      <c r="A42" s="220">
        <v>24</v>
      </c>
      <c r="B42" s="221">
        <v>0.01</v>
      </c>
      <c r="C42" s="209">
        <f t="shared" si="3"/>
        <v>1.0000000000000002</v>
      </c>
      <c r="D42" s="210">
        <f t="shared" si="5"/>
        <v>379762</v>
      </c>
      <c r="E42" s="222">
        <f t="shared" si="7"/>
        <v>47470215</v>
      </c>
      <c r="F42" s="204">
        <f t="shared" si="6"/>
        <v>1</v>
      </c>
      <c r="G42" s="224" t="s">
        <v>119</v>
      </c>
      <c r="H42" s="225">
        <f t="shared" si="8"/>
        <v>37976</v>
      </c>
      <c r="I42" s="226">
        <f t="shared" si="1"/>
        <v>37976</v>
      </c>
      <c r="J42" s="226">
        <f t="shared" si="9"/>
        <v>379762</v>
      </c>
      <c r="K42" s="219"/>
    </row>
    <row r="43" spans="1:11" ht="20.25" customHeight="1" thickBot="1" x14ac:dyDescent="0.25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47470215</v>
      </c>
      <c r="E43" s="168"/>
      <c r="H43" s="168"/>
      <c r="I43" s="231">
        <f>SUM(I18:I36)</f>
        <v>4367261</v>
      </c>
      <c r="J43" s="231">
        <f>SUM(J18:J42)</f>
        <v>47470215</v>
      </c>
      <c r="K43" s="217"/>
    </row>
    <row r="44" spans="1:11" ht="15" customHeight="1" x14ac:dyDescent="0.2">
      <c r="A44" s="173"/>
      <c r="F44" s="176"/>
      <c r="G44" s="176"/>
      <c r="H44" s="179" t="s">
        <v>206</v>
      </c>
      <c r="I44" s="696">
        <f>I43+J43</f>
        <v>51837476</v>
      </c>
      <c r="J44" s="697"/>
    </row>
    <row r="45" spans="1:11" x14ac:dyDescent="0.2">
      <c r="A45" s="172" t="s">
        <v>207</v>
      </c>
      <c r="B45" s="172"/>
      <c r="C45" s="172"/>
      <c r="H45" s="179" t="s">
        <v>208</v>
      </c>
      <c r="I45" s="190">
        <f>I44/1.1-D11</f>
        <v>-345234.58413927257</v>
      </c>
    </row>
    <row r="46" spans="1:11" x14ac:dyDescent="0.2">
      <c r="B46" s="232"/>
    </row>
    <row r="47" spans="1:11" x14ac:dyDescent="0.2">
      <c r="B47" s="232"/>
    </row>
    <row r="49" spans="1:27" s="235" customFormat="1" ht="12.75" customHeight="1" x14ac:dyDescent="0.2">
      <c r="A49" s="233"/>
      <c r="B49" s="234" t="s">
        <v>209</v>
      </c>
      <c r="C49" s="234" t="s">
        <v>96</v>
      </c>
      <c r="D49" s="234" t="s">
        <v>97</v>
      </c>
      <c r="E49" s="234" t="s">
        <v>98</v>
      </c>
      <c r="F49" s="234" t="s">
        <v>99</v>
      </c>
      <c r="G49" s="234" t="s">
        <v>100</v>
      </c>
      <c r="H49" s="234" t="s">
        <v>101</v>
      </c>
      <c r="I49" s="234" t="s">
        <v>102</v>
      </c>
      <c r="J49" s="234" t="s">
        <v>103</v>
      </c>
      <c r="K49" s="234" t="s">
        <v>104</v>
      </c>
      <c r="L49" s="234" t="s">
        <v>105</v>
      </c>
      <c r="M49" s="234" t="s">
        <v>106</v>
      </c>
      <c r="N49" s="234" t="s">
        <v>107</v>
      </c>
      <c r="O49" s="234" t="s">
        <v>108</v>
      </c>
      <c r="P49" s="234" t="s">
        <v>109</v>
      </c>
      <c r="Q49" s="234" t="s">
        <v>110</v>
      </c>
      <c r="R49" s="234" t="s">
        <v>111</v>
      </c>
      <c r="S49" s="234" t="s">
        <v>112</v>
      </c>
      <c r="T49" s="234" t="s">
        <v>113</v>
      </c>
      <c r="U49" s="234" t="s">
        <v>114</v>
      </c>
      <c r="V49" s="234" t="s">
        <v>115</v>
      </c>
      <c r="W49" s="234" t="s">
        <v>116</v>
      </c>
      <c r="X49" s="234" t="s">
        <v>117</v>
      </c>
      <c r="Y49" s="234" t="s">
        <v>118</v>
      </c>
      <c r="Z49" s="234" t="s">
        <v>119</v>
      </c>
    </row>
    <row r="50" spans="1:27" x14ac:dyDescent="0.2">
      <c r="A50" s="236" t="s">
        <v>210</v>
      </c>
      <c r="B50" s="210">
        <v>0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176">
        <f>SUM(B50:T50)</f>
        <v>0</v>
      </c>
      <c r="V50" s="176">
        <f t="shared" ref="V50:AA50" si="10">SUM(C50:U50)</f>
        <v>0</v>
      </c>
      <c r="W50" s="176">
        <f t="shared" si="10"/>
        <v>0</v>
      </c>
      <c r="X50" s="176">
        <f t="shared" si="10"/>
        <v>0</v>
      </c>
      <c r="Y50" s="176">
        <f t="shared" si="10"/>
        <v>0</v>
      </c>
      <c r="Z50" s="176">
        <f t="shared" si="10"/>
        <v>0</v>
      </c>
      <c r="AA50" s="176">
        <f t="shared" si="10"/>
        <v>0</v>
      </c>
    </row>
    <row r="51" spans="1:27" x14ac:dyDescent="0.2">
      <c r="A51" s="236" t="s">
        <v>211</v>
      </c>
      <c r="B51" s="210">
        <f>$J18</f>
        <v>9494043</v>
      </c>
      <c r="C51" s="210">
        <f>$J19</f>
        <v>949404</v>
      </c>
      <c r="D51" s="210">
        <f>$J20</f>
        <v>1139285</v>
      </c>
      <c r="E51" s="210">
        <f>$J21</f>
        <v>1329166</v>
      </c>
      <c r="F51" s="210">
        <f>$J22</f>
        <v>1329166</v>
      </c>
      <c r="G51" s="210">
        <f>$J23</f>
        <v>1519047</v>
      </c>
      <c r="H51" s="210">
        <f>$J24</f>
        <v>1708928</v>
      </c>
      <c r="I51" s="210">
        <f>$J25</f>
        <v>1708928</v>
      </c>
      <c r="J51" s="210">
        <f>$J26</f>
        <v>1898809</v>
      </c>
      <c r="K51" s="210">
        <f>$J27</f>
        <v>2088689</v>
      </c>
      <c r="L51" s="210">
        <f>$J28</f>
        <v>2088689</v>
      </c>
      <c r="M51" s="210">
        <f>$J29</f>
        <v>2088689</v>
      </c>
      <c r="N51" s="210">
        <f>$J30</f>
        <v>2278570</v>
      </c>
      <c r="O51" s="210">
        <f>$J31</f>
        <v>2658332</v>
      </c>
      <c r="P51" s="210">
        <f>$J32</f>
        <v>2658332</v>
      </c>
      <c r="Q51" s="210">
        <f>$J33</f>
        <v>2468451</v>
      </c>
      <c r="R51" s="210">
        <f>$J34</f>
        <v>2468451</v>
      </c>
      <c r="S51" s="210">
        <f>$J35</f>
        <v>1898809</v>
      </c>
      <c r="T51" s="210">
        <f>$J36</f>
        <v>1898809</v>
      </c>
      <c r="U51" s="210">
        <f>$J37</f>
        <v>1519047</v>
      </c>
      <c r="V51" s="210">
        <f>$J38</f>
        <v>759523</v>
      </c>
      <c r="W51" s="210">
        <f>$J39</f>
        <v>379762</v>
      </c>
      <c r="X51" s="210">
        <f>$J40</f>
        <v>379762</v>
      </c>
      <c r="Y51" s="210">
        <f>$J41</f>
        <v>379762</v>
      </c>
      <c r="Z51" s="210">
        <f>$J42</f>
        <v>379762</v>
      </c>
      <c r="AA51" s="176">
        <f>SUM(B51:Z51)</f>
        <v>47470215</v>
      </c>
    </row>
    <row r="52" spans="1:27" x14ac:dyDescent="0.2">
      <c r="B52" s="210">
        <f>B50+B51</f>
        <v>9494043</v>
      </c>
      <c r="C52" s="210">
        <f t="shared" ref="C52:Z52" si="11">C50+C51</f>
        <v>949404</v>
      </c>
      <c r="D52" s="210">
        <f t="shared" si="11"/>
        <v>1139285</v>
      </c>
      <c r="E52" s="210">
        <f t="shared" si="11"/>
        <v>1329166</v>
      </c>
      <c r="F52" s="210">
        <f t="shared" si="11"/>
        <v>1329166</v>
      </c>
      <c r="G52" s="210">
        <f t="shared" si="11"/>
        <v>1519047</v>
      </c>
      <c r="H52" s="210">
        <f t="shared" si="11"/>
        <v>1708928</v>
      </c>
      <c r="I52" s="210">
        <f t="shared" si="11"/>
        <v>1708928</v>
      </c>
      <c r="J52" s="210">
        <f t="shared" si="11"/>
        <v>1898809</v>
      </c>
      <c r="K52" s="210">
        <f t="shared" si="11"/>
        <v>2088689</v>
      </c>
      <c r="L52" s="210">
        <f t="shared" si="11"/>
        <v>2088689</v>
      </c>
      <c r="M52" s="210">
        <f t="shared" si="11"/>
        <v>2088689</v>
      </c>
      <c r="N52" s="210">
        <f t="shared" si="11"/>
        <v>2278570</v>
      </c>
      <c r="O52" s="210">
        <f t="shared" si="11"/>
        <v>2658332</v>
      </c>
      <c r="P52" s="210">
        <f t="shared" si="11"/>
        <v>2658332</v>
      </c>
      <c r="Q52" s="210">
        <f t="shared" si="11"/>
        <v>2468451</v>
      </c>
      <c r="R52" s="210">
        <f t="shared" si="11"/>
        <v>2468451</v>
      </c>
      <c r="S52" s="210">
        <f t="shared" si="11"/>
        <v>1898809</v>
      </c>
      <c r="T52" s="210">
        <f t="shared" si="11"/>
        <v>1898809</v>
      </c>
      <c r="U52" s="210">
        <f t="shared" si="11"/>
        <v>1519047</v>
      </c>
      <c r="V52" s="210">
        <f t="shared" si="11"/>
        <v>759523</v>
      </c>
      <c r="W52" s="210">
        <f t="shared" si="11"/>
        <v>379762</v>
      </c>
      <c r="X52" s="210">
        <f t="shared" si="11"/>
        <v>379762</v>
      </c>
      <c r="Y52" s="210">
        <f t="shared" si="11"/>
        <v>379762</v>
      </c>
      <c r="Z52" s="210">
        <f t="shared" si="11"/>
        <v>379762</v>
      </c>
      <c r="AA52" s="210">
        <f>U50+AA51</f>
        <v>47470215</v>
      </c>
    </row>
    <row r="53" spans="1:27" x14ac:dyDescent="0.2">
      <c r="B53" s="237">
        <f>SUM(B52:Z52)</f>
        <v>47470215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4"/>
  <sheetViews>
    <sheetView showGridLines="0" zoomScale="80" zoomScaleNormal="80" workbookViewId="0">
      <selection activeCell="A61" sqref="A61"/>
    </sheetView>
  </sheetViews>
  <sheetFormatPr defaultColWidth="11.42578125" defaultRowHeight="12" x14ac:dyDescent="0.2"/>
  <cols>
    <col min="1" max="1" width="17.42578125" style="239" customWidth="1"/>
    <col min="2" max="2" width="14.28515625" style="239" customWidth="1"/>
    <col min="3" max="3" width="16.85546875" style="239" customWidth="1"/>
    <col min="4" max="4" width="13.7109375" style="239" bestFit="1" customWidth="1"/>
    <col min="5" max="5" width="13.5703125" style="239" customWidth="1"/>
    <col min="6" max="6" width="18.28515625" style="239" customWidth="1"/>
    <col min="7" max="7" width="17.5703125" style="239" bestFit="1" customWidth="1"/>
    <col min="8" max="8" width="17.42578125" style="239" bestFit="1" customWidth="1"/>
    <col min="9" max="9" width="13.85546875" style="239" bestFit="1" customWidth="1"/>
    <col min="10" max="10" width="16.42578125" style="239" bestFit="1" customWidth="1"/>
    <col min="11" max="11" width="13.7109375" style="239" bestFit="1" customWidth="1"/>
    <col min="12" max="12" width="15.7109375" style="239" bestFit="1" customWidth="1"/>
    <col min="13" max="13" width="15.28515625" style="239" bestFit="1" customWidth="1"/>
    <col min="14" max="20" width="13.7109375" style="239" bestFit="1" customWidth="1"/>
    <col min="21" max="21" width="14.7109375" style="239" bestFit="1" customWidth="1"/>
    <col min="22" max="26" width="11.42578125" style="239"/>
    <col min="27" max="27" width="16.85546875" style="239" customWidth="1"/>
    <col min="28" max="16384" width="11.42578125" style="239"/>
  </cols>
  <sheetData>
    <row r="1" spans="1:21" ht="15.75" customHeight="1" x14ac:dyDescent="0.2">
      <c r="A1" s="698" t="s">
        <v>181</v>
      </c>
      <c r="B1" s="698"/>
      <c r="C1" s="698"/>
      <c r="D1" s="698"/>
      <c r="E1" s="698"/>
      <c r="F1" s="698"/>
      <c r="G1" s="698"/>
      <c r="H1" s="698"/>
      <c r="I1" s="698"/>
      <c r="J1" s="69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x14ac:dyDescent="0.2">
      <c r="A2" s="169"/>
      <c r="B2" s="170"/>
      <c r="C2" s="171"/>
      <c r="D2" s="171"/>
      <c r="E2" s="172"/>
      <c r="F2" s="172"/>
      <c r="G2" s="168"/>
      <c r="H2" s="173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x14ac:dyDescent="0.2">
      <c r="A3" s="169" t="s">
        <v>182</v>
      </c>
      <c r="B3" s="699" t="s">
        <v>213</v>
      </c>
      <c r="C3" s="699"/>
      <c r="D3" s="699"/>
      <c r="E3" s="699"/>
      <c r="F3" s="699"/>
      <c r="G3" s="699"/>
      <c r="H3" s="699"/>
      <c r="I3" s="699"/>
      <c r="J3" s="174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x14ac:dyDescent="0.2">
      <c r="A4" s="175"/>
      <c r="B4" s="699"/>
      <c r="C4" s="699"/>
      <c r="D4" s="699"/>
      <c r="E4" s="699"/>
      <c r="F4" s="699"/>
      <c r="G4" s="699"/>
      <c r="H4" s="699"/>
      <c r="I4" s="699"/>
      <c r="J4" s="174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</row>
    <row r="5" spans="1:21" x14ac:dyDescent="0.2">
      <c r="A5" s="700" t="str">
        <f>CONCATENATE("PLAZO: ",A36," MESES (",A43,")")</f>
        <v>PLAZO: 18 MESES (720 dias)</v>
      </c>
      <c r="B5" s="700"/>
      <c r="C5" s="700"/>
      <c r="D5" s="176"/>
      <c r="E5" s="177" t="s">
        <v>183</v>
      </c>
      <c r="F5" s="168" t="s">
        <v>184</v>
      </c>
      <c r="G5" s="168"/>
      <c r="H5" s="173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x14ac:dyDescent="0.2">
      <c r="A6" s="168"/>
      <c r="B6" s="178"/>
      <c r="C6" s="176"/>
      <c r="D6" s="176"/>
      <c r="E6" s="176"/>
      <c r="F6" s="168"/>
      <c r="G6" s="168"/>
      <c r="H6" s="173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</row>
    <row r="7" spans="1:21" x14ac:dyDescent="0.2">
      <c r="A7" s="168"/>
      <c r="B7" s="178"/>
      <c r="C7" s="179" t="s">
        <v>185</v>
      </c>
      <c r="D7" s="701"/>
      <c r="E7" s="701"/>
      <c r="F7" s="701"/>
      <c r="G7" s="168"/>
      <c r="H7" s="179" t="s">
        <v>186</v>
      </c>
      <c r="I7" s="180">
        <f ca="1">NOW()</f>
        <v>43703.768187847221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</row>
    <row r="8" spans="1:21" x14ac:dyDescent="0.2">
      <c r="A8" s="168"/>
      <c r="B8" s="178"/>
      <c r="C8" s="179" t="str">
        <f>IF(D7=0,"MONTO ESTIMADO CON IVA:","MONTO DE CONTRATO CON IVA:")</f>
        <v>MONTO ESTIMADO CON IVA:</v>
      </c>
      <c r="D8" s="181">
        <v>6597917.7500000009</v>
      </c>
      <c r="E8" s="182" t="s">
        <v>187</v>
      </c>
      <c r="F8" s="168" t="s">
        <v>188</v>
      </c>
      <c r="G8" s="168"/>
      <c r="H8" s="173" t="s">
        <v>189</v>
      </c>
      <c r="I8" s="183">
        <v>1</v>
      </c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1:21" x14ac:dyDescent="0.2">
      <c r="A9" s="168"/>
      <c r="B9" s="178"/>
      <c r="C9" s="179"/>
      <c r="D9" s="181"/>
      <c r="E9" s="176" t="s">
        <v>190</v>
      </c>
      <c r="F9" s="168"/>
      <c r="G9" s="168"/>
      <c r="H9" s="173"/>
      <c r="I9" s="184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</row>
    <row r="10" spans="1:21" x14ac:dyDescent="0.2">
      <c r="A10" s="168"/>
      <c r="B10" s="178"/>
      <c r="C10" s="179"/>
      <c r="D10" s="181"/>
      <c r="E10" s="176" t="s">
        <v>187</v>
      </c>
      <c r="F10" s="168"/>
      <c r="G10" s="168"/>
      <c r="H10" s="173"/>
      <c r="I10" s="184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</row>
    <row r="11" spans="1:21" x14ac:dyDescent="0.2">
      <c r="A11" s="168"/>
      <c r="B11" s="168"/>
      <c r="C11" s="179" t="str">
        <f>IF(D7=0,"MONTO ESTIMADO SIN IVA:","MONTO DE CONTRATO SIN IVA:")</f>
        <v>MONTO ESTIMADO SIN IVA:</v>
      </c>
      <c r="D11" s="185">
        <v>6597917.7500000009</v>
      </c>
      <c r="E11" s="186" t="s">
        <v>190</v>
      </c>
      <c r="F11" s="176"/>
      <c r="G11" s="168"/>
      <c r="H11" s="173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</row>
    <row r="12" spans="1:21" x14ac:dyDescent="0.2">
      <c r="A12" s="168"/>
      <c r="B12" s="168"/>
      <c r="C12" s="179" t="s">
        <v>191</v>
      </c>
      <c r="D12" s="183">
        <v>100</v>
      </c>
      <c r="E12" s="176"/>
      <c r="F12" s="176" t="s">
        <v>192</v>
      </c>
      <c r="G12" s="168"/>
      <c r="H12" s="173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</row>
    <row r="13" spans="1:21" x14ac:dyDescent="0.2">
      <c r="A13" s="168"/>
      <c r="B13" s="168"/>
      <c r="C13" s="179" t="s">
        <v>193</v>
      </c>
      <c r="D13" s="187">
        <f>100-D12</f>
        <v>0</v>
      </c>
      <c r="E13" s="176"/>
      <c r="F13" s="176"/>
      <c r="G13" s="168"/>
      <c r="H13" s="173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</row>
    <row r="14" spans="1:21" x14ac:dyDescent="0.2">
      <c r="A14" s="168"/>
      <c r="B14" s="168"/>
      <c r="C14" s="179" t="s">
        <v>194</v>
      </c>
      <c r="D14" s="184">
        <v>0</v>
      </c>
      <c r="E14" s="176"/>
      <c r="F14" s="176"/>
      <c r="G14" s="168"/>
      <c r="H14" s="173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</row>
    <row r="15" spans="1:21" x14ac:dyDescent="0.2">
      <c r="A15" s="168"/>
      <c r="B15" s="179" t="s">
        <v>195</v>
      </c>
      <c r="C15" s="702"/>
      <c r="D15" s="702"/>
      <c r="E15" s="188" t="s">
        <v>196</v>
      </c>
      <c r="F15" s="189"/>
      <c r="G15" s="168"/>
      <c r="H15" s="190" t="s">
        <v>197</v>
      </c>
      <c r="I15" s="183">
        <v>10</v>
      </c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</row>
    <row r="16" spans="1:21" ht="12.75" thickBot="1" x14ac:dyDescent="0.25">
      <c r="A16" s="168"/>
      <c r="B16" s="178"/>
      <c r="C16" s="176"/>
      <c r="D16" s="176"/>
      <c r="E16" s="176"/>
      <c r="F16" s="191"/>
      <c r="G16" s="168"/>
      <c r="H16" s="173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</row>
    <row r="17" spans="1:21" ht="48.75" thickBot="1" x14ac:dyDescent="0.25">
      <c r="A17" s="192" t="s">
        <v>198</v>
      </c>
      <c r="B17" s="193" t="s">
        <v>199</v>
      </c>
      <c r="C17" s="193" t="s">
        <v>200</v>
      </c>
      <c r="D17" s="194" t="str">
        <f>CONCATENATE("MONTO MENSUAL DESCONTADO ",ROUND(D14,0),"% ANTICIPO")</f>
        <v>MONTO MENSUAL DESCONTADO 0% ANTICIPO</v>
      </c>
      <c r="E17" s="195" t="s">
        <v>201</v>
      </c>
      <c r="F17" s="196" t="s">
        <v>202</v>
      </c>
      <c r="G17" s="197" t="s">
        <v>203</v>
      </c>
      <c r="H17" s="198" t="s">
        <v>204</v>
      </c>
      <c r="I17" s="199" t="str">
        <f>CONCATENATE("DESEMBOLSOS FONDO LOCAL (",ROUND(D13,0),"%) + IVA")</f>
        <v>DESEMBOLSOS FONDO LOCAL (0%) + IVA</v>
      </c>
      <c r="J17" s="199" t="str">
        <f>CONCATENATE("DESEMBOLSOS FONDO EXTERNO (",ROUND(D12,0),"%)")</f>
        <v>DESEMBOLSOS FONDO EXTERNO (100%)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</row>
    <row r="18" spans="1:21" x14ac:dyDescent="0.2">
      <c r="A18" s="200">
        <v>0</v>
      </c>
      <c r="B18" s="201">
        <f>D14/100</f>
        <v>0</v>
      </c>
      <c r="C18" s="201">
        <v>0</v>
      </c>
      <c r="D18" s="202">
        <f>ROUND(B18*D11,0)</f>
        <v>0</v>
      </c>
      <c r="E18" s="203">
        <f>D18</f>
        <v>0</v>
      </c>
      <c r="F18" s="204">
        <f t="shared" ref="F18:F42" si="0">E18/$E$36</f>
        <v>0</v>
      </c>
      <c r="G18" s="205" t="s">
        <v>205</v>
      </c>
      <c r="H18" s="206">
        <f t="shared" ref="H18:H33" si="1">ROUND(D18*0.1,0)</f>
        <v>0</v>
      </c>
      <c r="I18" s="207">
        <v>0</v>
      </c>
      <c r="J18" s="207">
        <f t="shared" ref="J18" si="2">ROUNDUP(D18*$D$12/100,-(LEN(D18)-$I$15))</f>
        <v>0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</row>
    <row r="19" spans="1:21" x14ac:dyDescent="0.2">
      <c r="A19" s="208">
        <v>1</v>
      </c>
      <c r="B19" s="209">
        <v>2.5000000000000001E-2</v>
      </c>
      <c r="C19" s="209">
        <f t="shared" ref="C19:C33" si="3">B19+C18</f>
        <v>2.5000000000000001E-2</v>
      </c>
      <c r="D19" s="210">
        <f>B19*$D$11</f>
        <v>164947.94375000003</v>
      </c>
      <c r="E19" s="211">
        <f>E18+D19</f>
        <v>164947.94375000003</v>
      </c>
      <c r="F19" s="212">
        <f t="shared" si="0"/>
        <v>2.7777777777777776E-2</v>
      </c>
      <c r="G19" s="213" t="s">
        <v>96</v>
      </c>
      <c r="H19" s="214">
        <f>ROUND(D19*0.1,0)</f>
        <v>16495</v>
      </c>
      <c r="I19" s="215">
        <f>ROUNDUP((D19+H19-J19),-(LEN(D19)-$I$15))</f>
        <v>16500</v>
      </c>
      <c r="J19" s="215">
        <f>D19*$D$12/100</f>
        <v>164947.94375000003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</row>
    <row r="20" spans="1:21" x14ac:dyDescent="0.2">
      <c r="A20" s="208">
        <v>2</v>
      </c>
      <c r="B20" s="209">
        <v>0.03</v>
      </c>
      <c r="C20" s="209">
        <f t="shared" si="3"/>
        <v>5.5E-2</v>
      </c>
      <c r="D20" s="210">
        <f t="shared" ref="D20:D42" si="4">B20*$D$11</f>
        <v>197937.53250000003</v>
      </c>
      <c r="E20" s="211">
        <f t="shared" ref="E20:E33" si="5">E19+D20</f>
        <v>362885.47625000007</v>
      </c>
      <c r="F20" s="212">
        <f t="shared" si="0"/>
        <v>6.1111111111111109E-2</v>
      </c>
      <c r="G20" s="213" t="s">
        <v>97</v>
      </c>
      <c r="H20" s="214">
        <f t="shared" si="1"/>
        <v>19794</v>
      </c>
      <c r="I20" s="215">
        <f t="shared" ref="I20:I42" si="6">ROUNDUP((D20+H20-J20),-(LEN(D20)-$I$15))</f>
        <v>19800</v>
      </c>
      <c r="J20" s="215">
        <f t="shared" ref="J20:J42" si="7">D20*$D$12/100</f>
        <v>197937.53250000003</v>
      </c>
      <c r="K20" s="216">
        <f>+SUM(J18:J20)</f>
        <v>362885.47625000007</v>
      </c>
      <c r="L20" s="168"/>
      <c r="M20" s="168"/>
      <c r="N20" s="168"/>
      <c r="O20" s="168"/>
      <c r="P20" s="168"/>
      <c r="Q20" s="168"/>
      <c r="R20" s="168"/>
      <c r="S20" s="168"/>
      <c r="T20" s="168"/>
      <c r="U20" s="168"/>
    </row>
    <row r="21" spans="1:21" x14ac:dyDescent="0.2">
      <c r="A21" s="208">
        <v>3</v>
      </c>
      <c r="B21" s="209">
        <v>3.5000000000000003E-2</v>
      </c>
      <c r="C21" s="209">
        <f t="shared" si="3"/>
        <v>0.09</v>
      </c>
      <c r="D21" s="210">
        <f t="shared" si="4"/>
        <v>230927.12125000005</v>
      </c>
      <c r="E21" s="211">
        <f t="shared" si="5"/>
        <v>593812.59750000015</v>
      </c>
      <c r="F21" s="212">
        <f t="shared" si="0"/>
        <v>0.1</v>
      </c>
      <c r="G21" s="213" t="s">
        <v>98</v>
      </c>
      <c r="H21" s="214">
        <f t="shared" si="1"/>
        <v>23093</v>
      </c>
      <c r="I21" s="215">
        <f t="shared" si="6"/>
        <v>23100</v>
      </c>
      <c r="J21" s="215">
        <f t="shared" si="7"/>
        <v>230927.12125000003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1:21" x14ac:dyDescent="0.2">
      <c r="A22" s="208">
        <v>4</v>
      </c>
      <c r="B22" s="209">
        <v>3.5000000000000003E-2</v>
      </c>
      <c r="C22" s="209">
        <f t="shared" si="3"/>
        <v>0.125</v>
      </c>
      <c r="D22" s="210">
        <f t="shared" si="4"/>
        <v>230927.12125000005</v>
      </c>
      <c r="E22" s="211">
        <f t="shared" si="5"/>
        <v>824739.71875000023</v>
      </c>
      <c r="F22" s="212">
        <f t="shared" si="0"/>
        <v>0.1388888888888889</v>
      </c>
      <c r="G22" s="213" t="s">
        <v>99</v>
      </c>
      <c r="H22" s="214">
        <f t="shared" si="1"/>
        <v>23093</v>
      </c>
      <c r="I22" s="215">
        <f t="shared" si="6"/>
        <v>23100</v>
      </c>
      <c r="J22" s="215">
        <f t="shared" si="7"/>
        <v>230927.12125000003</v>
      </c>
      <c r="K22" s="217"/>
      <c r="L22" s="168"/>
      <c r="M22" s="168"/>
      <c r="N22" s="168"/>
      <c r="O22" s="168"/>
      <c r="P22" s="168"/>
      <c r="Q22" s="168"/>
      <c r="R22" s="168"/>
      <c r="S22" s="168"/>
      <c r="T22" s="168"/>
      <c r="U22" s="168"/>
    </row>
    <row r="23" spans="1:21" x14ac:dyDescent="0.2">
      <c r="A23" s="208">
        <v>5</v>
      </c>
      <c r="B23" s="209">
        <v>0.04</v>
      </c>
      <c r="C23" s="209">
        <f t="shared" si="3"/>
        <v>0.16500000000000001</v>
      </c>
      <c r="D23" s="210">
        <f t="shared" si="4"/>
        <v>263916.71000000002</v>
      </c>
      <c r="E23" s="211">
        <f t="shared" si="5"/>
        <v>1088656.4287500002</v>
      </c>
      <c r="F23" s="212">
        <f t="shared" si="0"/>
        <v>0.18333333333333332</v>
      </c>
      <c r="G23" s="213" t="s">
        <v>100</v>
      </c>
      <c r="H23" s="214">
        <f t="shared" si="1"/>
        <v>26392</v>
      </c>
      <c r="I23" s="215">
        <f t="shared" si="6"/>
        <v>26392</v>
      </c>
      <c r="J23" s="215">
        <f t="shared" si="7"/>
        <v>263916.71000000002</v>
      </c>
      <c r="K23" s="217"/>
      <c r="L23" s="168"/>
      <c r="M23" s="168"/>
      <c r="N23" s="168"/>
      <c r="O23" s="168"/>
      <c r="P23" s="168"/>
      <c r="Q23" s="168"/>
      <c r="R23" s="168"/>
      <c r="S23" s="168"/>
      <c r="T23" s="168"/>
      <c r="U23" s="168"/>
    </row>
    <row r="24" spans="1:21" x14ac:dyDescent="0.2">
      <c r="A24" s="208">
        <v>6</v>
      </c>
      <c r="B24" s="209">
        <v>4.4999999999999998E-2</v>
      </c>
      <c r="C24" s="209">
        <f t="shared" si="3"/>
        <v>0.21000000000000002</v>
      </c>
      <c r="D24" s="210">
        <f t="shared" si="4"/>
        <v>296906.29875000002</v>
      </c>
      <c r="E24" s="211">
        <f>E23+D24</f>
        <v>1385562.7275000003</v>
      </c>
      <c r="F24" s="212">
        <f t="shared" si="0"/>
        <v>0.23333333333333331</v>
      </c>
      <c r="G24" s="213" t="s">
        <v>101</v>
      </c>
      <c r="H24" s="214">
        <f>ROUND(D24*0.1,0)</f>
        <v>29691</v>
      </c>
      <c r="I24" s="215">
        <f>ROUNDUP((D24+H24-J24),-(LEN(D24)-$I$15))</f>
        <v>29700</v>
      </c>
      <c r="J24" s="215">
        <f t="shared" si="7"/>
        <v>296906.29875000002</v>
      </c>
      <c r="K24" s="217"/>
      <c r="L24" s="168"/>
      <c r="M24" s="168"/>
      <c r="N24" s="168"/>
      <c r="O24" s="168"/>
      <c r="P24" s="168"/>
      <c r="Q24" s="168"/>
      <c r="R24" s="168"/>
      <c r="S24" s="168"/>
      <c r="T24" s="168"/>
      <c r="U24" s="168"/>
    </row>
    <row r="25" spans="1:21" x14ac:dyDescent="0.2">
      <c r="A25" s="208">
        <v>7</v>
      </c>
      <c r="B25" s="209">
        <v>4.4999999999999998E-2</v>
      </c>
      <c r="C25" s="209">
        <f t="shared" si="3"/>
        <v>0.255</v>
      </c>
      <c r="D25" s="210">
        <f t="shared" si="4"/>
        <v>296906.29875000002</v>
      </c>
      <c r="E25" s="211">
        <f t="shared" si="5"/>
        <v>1682469.0262500003</v>
      </c>
      <c r="F25" s="212">
        <f t="shared" si="0"/>
        <v>0.28333333333333333</v>
      </c>
      <c r="G25" s="213" t="s">
        <v>102</v>
      </c>
      <c r="H25" s="214">
        <f t="shared" si="1"/>
        <v>29691</v>
      </c>
      <c r="I25" s="215">
        <f t="shared" si="6"/>
        <v>29700</v>
      </c>
      <c r="J25" s="215">
        <f t="shared" si="7"/>
        <v>296906.29875000002</v>
      </c>
      <c r="K25" s="21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21" x14ac:dyDescent="0.2">
      <c r="A26" s="208">
        <v>8</v>
      </c>
      <c r="B26" s="209">
        <v>0.05</v>
      </c>
      <c r="C26" s="209">
        <f t="shared" si="3"/>
        <v>0.30499999999999999</v>
      </c>
      <c r="D26" s="210">
        <f t="shared" si="4"/>
        <v>329895.88750000007</v>
      </c>
      <c r="E26" s="211">
        <f t="shared" si="5"/>
        <v>2012364.9137500003</v>
      </c>
      <c r="F26" s="212">
        <f t="shared" si="0"/>
        <v>0.33888888888888885</v>
      </c>
      <c r="G26" s="213" t="s">
        <v>103</v>
      </c>
      <c r="H26" s="214">
        <f t="shared" si="1"/>
        <v>32990</v>
      </c>
      <c r="I26" s="215">
        <f t="shared" si="6"/>
        <v>32990</v>
      </c>
      <c r="J26" s="215">
        <f t="shared" si="7"/>
        <v>329895.88750000007</v>
      </c>
      <c r="K26" s="217"/>
      <c r="L26" s="168"/>
      <c r="M26" s="168"/>
      <c r="N26" s="168"/>
      <c r="O26" s="168"/>
      <c r="P26" s="168"/>
      <c r="Q26" s="168"/>
      <c r="R26" s="168"/>
      <c r="S26" s="168"/>
      <c r="T26" s="168"/>
      <c r="U26" s="168"/>
    </row>
    <row r="27" spans="1:21" x14ac:dyDescent="0.2">
      <c r="A27" s="208">
        <v>9</v>
      </c>
      <c r="B27" s="209">
        <v>5.5E-2</v>
      </c>
      <c r="C27" s="209">
        <f t="shared" si="3"/>
        <v>0.36</v>
      </c>
      <c r="D27" s="210">
        <f t="shared" si="4"/>
        <v>362885.47625000007</v>
      </c>
      <c r="E27" s="211">
        <f t="shared" si="5"/>
        <v>2375250.3900000006</v>
      </c>
      <c r="F27" s="212">
        <f t="shared" si="0"/>
        <v>0.4</v>
      </c>
      <c r="G27" s="213" t="s">
        <v>104</v>
      </c>
      <c r="H27" s="214">
        <f t="shared" si="1"/>
        <v>36289</v>
      </c>
      <c r="I27" s="215">
        <f t="shared" si="6"/>
        <v>36300</v>
      </c>
      <c r="J27" s="215">
        <f t="shared" si="7"/>
        <v>362885.47625000007</v>
      </c>
      <c r="K27" s="217"/>
      <c r="L27" s="168"/>
      <c r="M27" s="168"/>
      <c r="N27" s="168"/>
      <c r="O27" s="168"/>
      <c r="P27" s="168"/>
      <c r="Q27" s="168"/>
      <c r="R27" s="168"/>
      <c r="S27" s="168"/>
      <c r="T27" s="168"/>
      <c r="U27" s="168"/>
    </row>
    <row r="28" spans="1:21" x14ac:dyDescent="0.2">
      <c r="A28" s="208">
        <v>10</v>
      </c>
      <c r="B28" s="209">
        <v>5.5E-2</v>
      </c>
      <c r="C28" s="209">
        <f t="shared" si="3"/>
        <v>0.41499999999999998</v>
      </c>
      <c r="D28" s="210">
        <f t="shared" si="4"/>
        <v>362885.47625000007</v>
      </c>
      <c r="E28" s="211">
        <f t="shared" si="5"/>
        <v>2738135.8662500009</v>
      </c>
      <c r="F28" s="212">
        <f t="shared" si="0"/>
        <v>0.46111111111111114</v>
      </c>
      <c r="G28" s="213" t="s">
        <v>105</v>
      </c>
      <c r="H28" s="214">
        <f t="shared" si="1"/>
        <v>36289</v>
      </c>
      <c r="I28" s="215">
        <f t="shared" si="6"/>
        <v>36300</v>
      </c>
      <c r="J28" s="215">
        <f t="shared" si="7"/>
        <v>362885.47625000007</v>
      </c>
      <c r="K28" s="217"/>
      <c r="L28" s="168"/>
      <c r="M28" s="168"/>
      <c r="N28" s="168"/>
      <c r="O28" s="168"/>
      <c r="P28" s="168"/>
      <c r="Q28" s="168"/>
      <c r="R28" s="168"/>
      <c r="S28" s="168"/>
      <c r="T28" s="168"/>
      <c r="U28" s="168"/>
    </row>
    <row r="29" spans="1:21" x14ac:dyDescent="0.2">
      <c r="A29" s="208">
        <v>11</v>
      </c>
      <c r="B29" s="209">
        <v>5.5E-2</v>
      </c>
      <c r="C29" s="209">
        <f t="shared" si="3"/>
        <v>0.47</v>
      </c>
      <c r="D29" s="210">
        <f t="shared" si="4"/>
        <v>362885.47625000007</v>
      </c>
      <c r="E29" s="211">
        <f t="shared" si="5"/>
        <v>3101021.3425000012</v>
      </c>
      <c r="F29" s="212">
        <f t="shared" si="0"/>
        <v>0.52222222222222225</v>
      </c>
      <c r="G29" s="213" t="s">
        <v>106</v>
      </c>
      <c r="H29" s="214">
        <f t="shared" si="1"/>
        <v>36289</v>
      </c>
      <c r="I29" s="215">
        <f t="shared" si="6"/>
        <v>36300</v>
      </c>
      <c r="J29" s="215">
        <f t="shared" si="7"/>
        <v>362885.47625000007</v>
      </c>
      <c r="K29" s="217"/>
      <c r="L29" s="168"/>
      <c r="M29" s="168"/>
      <c r="N29" s="168"/>
      <c r="O29" s="168"/>
      <c r="P29" s="168"/>
      <c r="Q29" s="168"/>
      <c r="R29" s="168"/>
      <c r="S29" s="168"/>
      <c r="T29" s="168"/>
      <c r="U29" s="168"/>
    </row>
    <row r="30" spans="1:21" x14ac:dyDescent="0.2">
      <c r="A30" s="208">
        <v>12</v>
      </c>
      <c r="B30" s="209">
        <v>0.06</v>
      </c>
      <c r="C30" s="209">
        <f t="shared" si="3"/>
        <v>0.53</v>
      </c>
      <c r="D30" s="210">
        <f t="shared" si="4"/>
        <v>395875.06500000006</v>
      </c>
      <c r="E30" s="211">
        <f t="shared" si="5"/>
        <v>3496896.4075000011</v>
      </c>
      <c r="F30" s="212">
        <f t="shared" si="0"/>
        <v>0.58888888888888891</v>
      </c>
      <c r="G30" s="213" t="s">
        <v>107</v>
      </c>
      <c r="H30" s="214">
        <f t="shared" si="1"/>
        <v>39588</v>
      </c>
      <c r="I30" s="215">
        <f t="shared" si="6"/>
        <v>39588</v>
      </c>
      <c r="J30" s="215">
        <f t="shared" si="7"/>
        <v>395875.06500000006</v>
      </c>
      <c r="K30" s="217"/>
      <c r="L30" s="168"/>
      <c r="M30" s="168"/>
      <c r="N30" s="168"/>
      <c r="O30" s="168"/>
      <c r="P30" s="168"/>
      <c r="Q30" s="168"/>
      <c r="R30" s="168"/>
      <c r="S30" s="168"/>
      <c r="T30" s="168"/>
      <c r="U30" s="168"/>
    </row>
    <row r="31" spans="1:21" x14ac:dyDescent="0.2">
      <c r="A31" s="208">
        <v>13</v>
      </c>
      <c r="B31" s="209">
        <v>7.0000000000000007E-2</v>
      </c>
      <c r="C31" s="209">
        <f t="shared" si="3"/>
        <v>0.60000000000000009</v>
      </c>
      <c r="D31" s="210">
        <f t="shared" si="4"/>
        <v>461854.24250000011</v>
      </c>
      <c r="E31" s="211">
        <f t="shared" si="5"/>
        <v>3958750.6500000013</v>
      </c>
      <c r="F31" s="212">
        <f t="shared" si="0"/>
        <v>0.66666666666666674</v>
      </c>
      <c r="G31" s="213" t="s">
        <v>108</v>
      </c>
      <c r="H31" s="214">
        <f t="shared" si="1"/>
        <v>46185</v>
      </c>
      <c r="I31" s="215">
        <f t="shared" si="6"/>
        <v>46190</v>
      </c>
      <c r="J31" s="215">
        <f t="shared" si="7"/>
        <v>461854.24250000005</v>
      </c>
      <c r="K31" s="217"/>
      <c r="L31" s="168"/>
      <c r="M31" s="168"/>
      <c r="N31" s="168"/>
      <c r="O31" s="168"/>
      <c r="P31" s="168"/>
      <c r="Q31" s="168"/>
      <c r="R31" s="168"/>
      <c r="S31" s="168"/>
      <c r="T31" s="168"/>
      <c r="U31" s="168"/>
    </row>
    <row r="32" spans="1:21" x14ac:dyDescent="0.2">
      <c r="A32" s="208">
        <v>14</v>
      </c>
      <c r="B32" s="209">
        <v>7.0000000000000007E-2</v>
      </c>
      <c r="C32" s="209">
        <f t="shared" si="3"/>
        <v>0.67000000000000015</v>
      </c>
      <c r="D32" s="210">
        <f t="shared" si="4"/>
        <v>461854.24250000011</v>
      </c>
      <c r="E32" s="211">
        <f t="shared" si="5"/>
        <v>4420604.892500001</v>
      </c>
      <c r="F32" s="212">
        <f t="shared" si="0"/>
        <v>0.74444444444444446</v>
      </c>
      <c r="G32" s="213" t="s">
        <v>109</v>
      </c>
      <c r="H32" s="214">
        <f t="shared" si="1"/>
        <v>46185</v>
      </c>
      <c r="I32" s="215">
        <f t="shared" si="6"/>
        <v>46190</v>
      </c>
      <c r="J32" s="215">
        <f t="shared" si="7"/>
        <v>461854.24250000005</v>
      </c>
      <c r="K32" s="219">
        <f>+SUM(J21:J32)</f>
        <v>4057719.4162500012</v>
      </c>
      <c r="L32" s="168"/>
      <c r="M32" s="168"/>
      <c r="N32" s="168"/>
      <c r="O32" s="168"/>
      <c r="P32" s="168"/>
      <c r="Q32" s="168"/>
      <c r="R32" s="168"/>
      <c r="S32" s="168"/>
      <c r="T32" s="168"/>
      <c r="U32" s="168"/>
    </row>
    <row r="33" spans="1:21" x14ac:dyDescent="0.2">
      <c r="A33" s="208">
        <v>15</v>
      </c>
      <c r="B33" s="209">
        <v>6.5000000000000002E-2</v>
      </c>
      <c r="C33" s="209">
        <f t="shared" si="3"/>
        <v>0.7350000000000001</v>
      </c>
      <c r="D33" s="210">
        <f t="shared" si="4"/>
        <v>428864.65375000006</v>
      </c>
      <c r="E33" s="211">
        <f t="shared" si="5"/>
        <v>4849469.5462500006</v>
      </c>
      <c r="F33" s="212">
        <f t="shared" si="0"/>
        <v>0.81666666666666654</v>
      </c>
      <c r="G33" s="213" t="s">
        <v>110</v>
      </c>
      <c r="H33" s="214">
        <f t="shared" si="1"/>
        <v>42886</v>
      </c>
      <c r="I33" s="215">
        <f t="shared" si="6"/>
        <v>42900</v>
      </c>
      <c r="J33" s="215">
        <f t="shared" si="7"/>
        <v>428864.65375000006</v>
      </c>
      <c r="K33" s="217"/>
      <c r="L33" s="168"/>
      <c r="M33" s="168"/>
      <c r="N33" s="168"/>
      <c r="O33" s="168"/>
      <c r="P33" s="168"/>
      <c r="Q33" s="168"/>
      <c r="R33" s="168"/>
      <c r="S33" s="168"/>
      <c r="T33" s="168"/>
      <c r="U33" s="168"/>
    </row>
    <row r="34" spans="1:21" x14ac:dyDescent="0.2">
      <c r="A34" s="208">
        <v>16</v>
      </c>
      <c r="B34" s="209">
        <v>6.5000000000000002E-2</v>
      </c>
      <c r="C34" s="209">
        <f>B34+C33</f>
        <v>0.8</v>
      </c>
      <c r="D34" s="210">
        <f t="shared" si="4"/>
        <v>428864.65375000006</v>
      </c>
      <c r="E34" s="211">
        <f>E33+D34</f>
        <v>5278334.2000000011</v>
      </c>
      <c r="F34" s="212">
        <f t="shared" si="0"/>
        <v>0.88888888888888884</v>
      </c>
      <c r="G34" s="213" t="s">
        <v>111</v>
      </c>
      <c r="H34" s="214">
        <f>ROUND(D34*0.1,0)</f>
        <v>42886</v>
      </c>
      <c r="I34" s="215">
        <f t="shared" si="6"/>
        <v>42900</v>
      </c>
      <c r="J34" s="215">
        <f t="shared" si="7"/>
        <v>428864.65375000006</v>
      </c>
      <c r="K34" s="217"/>
      <c r="L34" s="168"/>
      <c r="M34" s="168"/>
      <c r="N34" s="168"/>
      <c r="O34" s="168"/>
      <c r="P34" s="168"/>
      <c r="Q34" s="168"/>
      <c r="R34" s="168"/>
      <c r="S34" s="168"/>
      <c r="T34" s="168"/>
      <c r="U34" s="168"/>
    </row>
    <row r="35" spans="1:21" x14ac:dyDescent="0.2">
      <c r="A35" s="208">
        <v>17</v>
      </c>
      <c r="B35" s="209">
        <v>0.05</v>
      </c>
      <c r="C35" s="209">
        <f>B35+C34</f>
        <v>0.85000000000000009</v>
      </c>
      <c r="D35" s="210">
        <f t="shared" si="4"/>
        <v>329895.88750000007</v>
      </c>
      <c r="E35" s="211">
        <f>E34+D35</f>
        <v>5608230.0875000013</v>
      </c>
      <c r="F35" s="212">
        <f t="shared" si="0"/>
        <v>0.94444444444444442</v>
      </c>
      <c r="G35" s="213" t="s">
        <v>112</v>
      </c>
      <c r="H35" s="214">
        <f>ROUND(D35*0.1,0)</f>
        <v>32990</v>
      </c>
      <c r="I35" s="215">
        <f t="shared" si="6"/>
        <v>32990</v>
      </c>
      <c r="J35" s="215">
        <f t="shared" si="7"/>
        <v>329895.88750000007</v>
      </c>
      <c r="K35" s="217"/>
      <c r="L35" s="168"/>
      <c r="M35" s="168"/>
      <c r="N35" s="168"/>
      <c r="O35" s="168"/>
      <c r="P35" s="168"/>
      <c r="Q35" s="168"/>
      <c r="R35" s="168"/>
      <c r="S35" s="168"/>
      <c r="T35" s="168"/>
      <c r="U35" s="168"/>
    </row>
    <row r="36" spans="1:21" ht="12.75" thickBot="1" x14ac:dyDescent="0.25">
      <c r="A36" s="220">
        <v>18</v>
      </c>
      <c r="B36" s="209">
        <v>0.05</v>
      </c>
      <c r="C36" s="221">
        <f>B36+C35</f>
        <v>0.90000000000000013</v>
      </c>
      <c r="D36" s="210">
        <f t="shared" si="4"/>
        <v>329895.88750000007</v>
      </c>
      <c r="E36" s="222">
        <f>E35+D36</f>
        <v>5938125.9750000015</v>
      </c>
      <c r="F36" s="223">
        <f t="shared" si="0"/>
        <v>1</v>
      </c>
      <c r="G36" s="224" t="s">
        <v>113</v>
      </c>
      <c r="H36" s="225">
        <f>ROUND(D36*0.1,0)</f>
        <v>32990</v>
      </c>
      <c r="I36" s="226">
        <f t="shared" si="6"/>
        <v>32990</v>
      </c>
      <c r="J36" s="215">
        <f t="shared" si="7"/>
        <v>329895.88750000007</v>
      </c>
      <c r="K36" s="219">
        <f>+SUM(J33:J36)</f>
        <v>1517521.0825000005</v>
      </c>
      <c r="L36" s="168"/>
      <c r="M36" s="168"/>
      <c r="N36" s="168"/>
      <c r="O36" s="168"/>
      <c r="P36" s="168"/>
      <c r="Q36" s="168"/>
      <c r="R36" s="168"/>
      <c r="S36" s="168"/>
      <c r="T36" s="168"/>
      <c r="U36" s="168"/>
    </row>
    <row r="37" spans="1:21" ht="12.75" thickBot="1" x14ac:dyDescent="0.25">
      <c r="A37" s="208">
        <v>19</v>
      </c>
      <c r="B37" s="209">
        <v>0.04</v>
      </c>
      <c r="C37" s="221">
        <f t="shared" ref="C37:C42" si="8">B37+C36</f>
        <v>0.94000000000000017</v>
      </c>
      <c r="D37" s="210">
        <f t="shared" si="4"/>
        <v>263916.71000000002</v>
      </c>
      <c r="E37" s="222">
        <f t="shared" ref="E37:E42" si="9">E36+D37</f>
        <v>6202042.6850000015</v>
      </c>
      <c r="F37" s="223">
        <f t="shared" si="0"/>
        <v>1.0444444444444445</v>
      </c>
      <c r="G37" s="224" t="s">
        <v>114</v>
      </c>
      <c r="H37" s="225">
        <f t="shared" ref="H37:H42" si="10">ROUND(D37*0.1,0)</f>
        <v>26392</v>
      </c>
      <c r="I37" s="226">
        <f t="shared" si="6"/>
        <v>26392</v>
      </c>
      <c r="J37" s="215">
        <f t="shared" si="7"/>
        <v>263916.71000000002</v>
      </c>
      <c r="K37" s="219"/>
      <c r="L37" s="168"/>
      <c r="M37" s="168"/>
      <c r="N37" s="168"/>
      <c r="O37" s="168"/>
      <c r="P37" s="168"/>
      <c r="Q37" s="168"/>
      <c r="R37" s="168"/>
      <c r="S37" s="168"/>
      <c r="T37" s="168"/>
      <c r="U37" s="168"/>
    </row>
    <row r="38" spans="1:21" ht="12.75" thickBot="1" x14ac:dyDescent="0.25">
      <c r="A38" s="220">
        <v>20</v>
      </c>
      <c r="B38" s="209">
        <v>0.02</v>
      </c>
      <c r="C38" s="221">
        <f t="shared" si="8"/>
        <v>0.96000000000000019</v>
      </c>
      <c r="D38" s="210">
        <f t="shared" si="4"/>
        <v>131958.35500000001</v>
      </c>
      <c r="E38" s="222">
        <f t="shared" si="9"/>
        <v>6334001.0400000019</v>
      </c>
      <c r="F38" s="223">
        <f t="shared" si="0"/>
        <v>1.0666666666666667</v>
      </c>
      <c r="G38" s="224" t="s">
        <v>115</v>
      </c>
      <c r="H38" s="225">
        <f t="shared" si="10"/>
        <v>13196</v>
      </c>
      <c r="I38" s="226">
        <f t="shared" si="6"/>
        <v>13196</v>
      </c>
      <c r="J38" s="215">
        <f t="shared" si="7"/>
        <v>131958.35500000001</v>
      </c>
      <c r="K38" s="219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1:21" ht="12.75" thickBot="1" x14ac:dyDescent="0.25">
      <c r="A39" s="208">
        <v>21</v>
      </c>
      <c r="B39" s="238">
        <v>0.01</v>
      </c>
      <c r="C39" s="221">
        <f t="shared" si="8"/>
        <v>0.9700000000000002</v>
      </c>
      <c r="D39" s="210">
        <f t="shared" si="4"/>
        <v>65979.177500000005</v>
      </c>
      <c r="E39" s="222">
        <f t="shared" si="9"/>
        <v>6399980.2175000021</v>
      </c>
      <c r="F39" s="223">
        <f t="shared" si="0"/>
        <v>1.0777777777777779</v>
      </c>
      <c r="G39" s="224" t="s">
        <v>116</v>
      </c>
      <c r="H39" s="225">
        <f t="shared" si="10"/>
        <v>6598</v>
      </c>
      <c r="I39" s="226">
        <f t="shared" si="6"/>
        <v>6598</v>
      </c>
      <c r="J39" s="215">
        <f t="shared" si="7"/>
        <v>65979.177500000005</v>
      </c>
      <c r="K39" s="219"/>
      <c r="L39" s="168"/>
      <c r="M39" s="168"/>
      <c r="N39" s="168"/>
      <c r="O39" s="168"/>
      <c r="P39" s="168"/>
      <c r="Q39" s="168"/>
      <c r="R39" s="168"/>
      <c r="S39" s="168"/>
      <c r="T39" s="168"/>
      <c r="U39" s="168"/>
    </row>
    <row r="40" spans="1:21" ht="12.75" thickBot="1" x14ac:dyDescent="0.25">
      <c r="A40" s="220">
        <v>22</v>
      </c>
      <c r="B40" s="209">
        <v>0.01</v>
      </c>
      <c r="C40" s="221">
        <f t="shared" si="8"/>
        <v>0.9800000000000002</v>
      </c>
      <c r="D40" s="210">
        <f t="shared" si="4"/>
        <v>65979.177500000005</v>
      </c>
      <c r="E40" s="222">
        <f t="shared" si="9"/>
        <v>6465959.3950000023</v>
      </c>
      <c r="F40" s="223">
        <f t="shared" si="0"/>
        <v>1.088888888888889</v>
      </c>
      <c r="G40" s="224" t="s">
        <v>117</v>
      </c>
      <c r="H40" s="225">
        <f t="shared" si="10"/>
        <v>6598</v>
      </c>
      <c r="I40" s="226">
        <f t="shared" si="6"/>
        <v>6598</v>
      </c>
      <c r="J40" s="215">
        <f t="shared" si="7"/>
        <v>65979.177500000005</v>
      </c>
      <c r="K40" s="219"/>
      <c r="L40" s="168"/>
      <c r="M40" s="168"/>
      <c r="N40" s="168"/>
      <c r="O40" s="168"/>
      <c r="P40" s="168"/>
      <c r="Q40" s="168"/>
      <c r="R40" s="168"/>
      <c r="S40" s="168"/>
      <c r="T40" s="168"/>
      <c r="U40" s="168"/>
    </row>
    <row r="41" spans="1:21" ht="12.75" thickBot="1" x14ac:dyDescent="0.25">
      <c r="A41" s="208">
        <v>23</v>
      </c>
      <c r="B41" s="209">
        <v>0.01</v>
      </c>
      <c r="C41" s="221">
        <f t="shared" si="8"/>
        <v>0.99000000000000021</v>
      </c>
      <c r="D41" s="210">
        <f t="shared" si="4"/>
        <v>65979.177500000005</v>
      </c>
      <c r="E41" s="222">
        <f t="shared" si="9"/>
        <v>6531938.5725000026</v>
      </c>
      <c r="F41" s="223">
        <f t="shared" si="0"/>
        <v>1.1000000000000001</v>
      </c>
      <c r="G41" s="224" t="s">
        <v>118</v>
      </c>
      <c r="H41" s="225">
        <f t="shared" si="10"/>
        <v>6598</v>
      </c>
      <c r="I41" s="226">
        <f t="shared" si="6"/>
        <v>6598</v>
      </c>
      <c r="J41" s="215">
        <f t="shared" si="7"/>
        <v>65979.177500000005</v>
      </c>
      <c r="K41" s="219"/>
      <c r="L41" s="168"/>
      <c r="M41" s="168"/>
      <c r="N41" s="168"/>
      <c r="O41" s="168"/>
      <c r="P41" s="168"/>
      <c r="Q41" s="168"/>
      <c r="R41" s="168"/>
      <c r="S41" s="168"/>
      <c r="T41" s="168"/>
      <c r="U41" s="168"/>
    </row>
    <row r="42" spans="1:21" ht="12.75" thickBot="1" x14ac:dyDescent="0.25">
      <c r="A42" s="220">
        <v>24</v>
      </c>
      <c r="B42" s="221">
        <v>0.01</v>
      </c>
      <c r="C42" s="221">
        <f t="shared" si="8"/>
        <v>1.0000000000000002</v>
      </c>
      <c r="D42" s="210">
        <f t="shared" si="4"/>
        <v>65979.177500000005</v>
      </c>
      <c r="E42" s="222">
        <f t="shared" si="9"/>
        <v>6597917.7500000028</v>
      </c>
      <c r="F42" s="223">
        <f t="shared" si="0"/>
        <v>1.1111111111111114</v>
      </c>
      <c r="G42" s="224" t="s">
        <v>119</v>
      </c>
      <c r="H42" s="225">
        <f t="shared" si="10"/>
        <v>6598</v>
      </c>
      <c r="I42" s="226">
        <f t="shared" si="6"/>
        <v>6598</v>
      </c>
      <c r="J42" s="215">
        <f t="shared" si="7"/>
        <v>65979.177500000005</v>
      </c>
      <c r="K42" s="219"/>
      <c r="L42" s="168"/>
      <c r="M42" s="168"/>
      <c r="N42" s="168"/>
      <c r="O42" s="168"/>
      <c r="P42" s="168"/>
      <c r="Q42" s="168"/>
      <c r="R42" s="168"/>
      <c r="S42" s="168"/>
      <c r="T42" s="168"/>
      <c r="U42" s="168"/>
    </row>
    <row r="43" spans="1:21" ht="12.75" thickBot="1" x14ac:dyDescent="0.25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6597917.7500000028</v>
      </c>
      <c r="E43" s="168"/>
      <c r="F43" s="173"/>
      <c r="G43" s="173"/>
      <c r="H43" s="168"/>
      <c r="I43" s="231">
        <f>SUM(I18:I42)</f>
        <v>659910</v>
      </c>
      <c r="J43" s="231">
        <f>SUM(J18:J42)</f>
        <v>6597917.7500000028</v>
      </c>
      <c r="K43" s="217"/>
      <c r="L43" s="168"/>
      <c r="M43" s="168"/>
      <c r="N43" s="168"/>
      <c r="O43" s="168"/>
      <c r="P43" s="168"/>
      <c r="Q43" s="168"/>
      <c r="R43" s="168"/>
      <c r="S43" s="168"/>
      <c r="T43" s="168"/>
      <c r="U43" s="168"/>
    </row>
    <row r="44" spans="1:21" x14ac:dyDescent="0.2">
      <c r="A44" s="173"/>
      <c r="B44" s="178"/>
      <c r="C44" s="176"/>
      <c r="D44" s="176"/>
      <c r="E44" s="176"/>
      <c r="F44" s="168"/>
      <c r="G44" s="168"/>
      <c r="H44" s="179" t="s">
        <v>206</v>
      </c>
      <c r="I44" s="696">
        <f>I43+J43</f>
        <v>7257827.7500000028</v>
      </c>
      <c r="J44" s="697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</row>
    <row r="45" spans="1:21" x14ac:dyDescent="0.2">
      <c r="A45" s="172" t="s">
        <v>207</v>
      </c>
      <c r="B45" s="172"/>
      <c r="C45" s="172"/>
      <c r="D45" s="176"/>
      <c r="E45" s="176"/>
      <c r="F45" s="168"/>
      <c r="G45" s="168"/>
      <c r="H45" s="179" t="s">
        <v>208</v>
      </c>
      <c r="I45" s="190">
        <f>I44/1.1-D11</f>
        <v>107.47727272845805</v>
      </c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</row>
    <row r="46" spans="1:21" x14ac:dyDescent="0.2">
      <c r="A46" s="168"/>
      <c r="B46" s="232"/>
      <c r="C46" s="176"/>
      <c r="D46" s="176"/>
      <c r="E46" s="176"/>
      <c r="F46" s="168"/>
      <c r="G46" s="168"/>
      <c r="H46" s="173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</row>
    <row r="47" spans="1:21" x14ac:dyDescent="0.2">
      <c r="A47" s="168"/>
      <c r="B47" s="232"/>
      <c r="C47" s="176"/>
      <c r="D47" s="176"/>
      <c r="E47" s="176"/>
      <c r="F47" s="168"/>
      <c r="G47" s="168"/>
      <c r="H47" s="173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</row>
    <row r="48" spans="1:21" x14ac:dyDescent="0.2">
      <c r="A48" s="168"/>
      <c r="B48" s="178"/>
      <c r="C48" s="176"/>
      <c r="D48" s="176"/>
      <c r="E48" s="176"/>
      <c r="F48" s="168"/>
      <c r="G48" s="168"/>
      <c r="H48" s="173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</row>
    <row r="49" spans="1:27" x14ac:dyDescent="0.2">
      <c r="A49" s="168"/>
      <c r="B49" s="178"/>
      <c r="C49" s="176"/>
      <c r="D49" s="176"/>
      <c r="E49" s="176"/>
      <c r="F49" s="168"/>
      <c r="G49" s="168"/>
      <c r="H49" s="173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</row>
    <row r="50" spans="1:27" x14ac:dyDescent="0.2">
      <c r="A50" s="168"/>
      <c r="B50" s="178"/>
      <c r="C50" s="176"/>
      <c r="D50" s="176"/>
      <c r="E50" s="176"/>
      <c r="F50" s="168"/>
      <c r="G50" s="168"/>
      <c r="H50" s="173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</row>
    <row r="51" spans="1:27" x14ac:dyDescent="0.2">
      <c r="A51" s="168"/>
      <c r="B51" s="178"/>
      <c r="C51" s="176"/>
      <c r="D51" s="176"/>
      <c r="E51" s="176"/>
      <c r="F51" s="168"/>
      <c r="G51" s="168"/>
      <c r="H51" s="173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</row>
    <row r="52" spans="1:27" x14ac:dyDescent="0.2">
      <c r="A52" s="168"/>
      <c r="B52" s="178"/>
      <c r="C52" s="176"/>
      <c r="D52" s="176"/>
      <c r="E52" s="176"/>
      <c r="F52" s="168"/>
      <c r="G52" s="168"/>
      <c r="H52" s="173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</row>
    <row r="53" spans="1:27" s="241" customFormat="1" ht="12.75" customHeight="1" x14ac:dyDescent="0.2">
      <c r="A53" s="240"/>
      <c r="B53" s="240" t="s">
        <v>209</v>
      </c>
      <c r="C53" s="240" t="s">
        <v>96</v>
      </c>
      <c r="D53" s="240" t="s">
        <v>97</v>
      </c>
      <c r="E53" s="240" t="s">
        <v>98</v>
      </c>
      <c r="F53" s="240" t="s">
        <v>99</v>
      </c>
      <c r="G53" s="240" t="s">
        <v>100</v>
      </c>
      <c r="H53" s="240" t="s">
        <v>101</v>
      </c>
      <c r="I53" s="240" t="s">
        <v>102</v>
      </c>
      <c r="J53" s="240" t="s">
        <v>103</v>
      </c>
      <c r="K53" s="240" t="s">
        <v>104</v>
      </c>
      <c r="L53" s="240" t="s">
        <v>105</v>
      </c>
      <c r="M53" s="240" t="s">
        <v>106</v>
      </c>
      <c r="N53" s="240" t="s">
        <v>107</v>
      </c>
      <c r="O53" s="240" t="s">
        <v>108</v>
      </c>
      <c r="P53" s="240" t="s">
        <v>109</v>
      </c>
      <c r="Q53" s="240" t="s">
        <v>110</v>
      </c>
      <c r="R53" s="240" t="s">
        <v>111</v>
      </c>
      <c r="S53" s="240" t="s">
        <v>112</v>
      </c>
      <c r="T53" s="240" t="s">
        <v>113</v>
      </c>
      <c r="U53" s="240" t="s">
        <v>114</v>
      </c>
      <c r="V53" s="240" t="s">
        <v>115</v>
      </c>
      <c r="W53" s="240" t="s">
        <v>116</v>
      </c>
      <c r="X53" s="240" t="s">
        <v>117</v>
      </c>
      <c r="Y53" s="240" t="s">
        <v>118</v>
      </c>
      <c r="Z53" s="240" t="s">
        <v>119</v>
      </c>
    </row>
    <row r="54" spans="1:27" s="244" customFormat="1" x14ac:dyDescent="0.2">
      <c r="A54" s="242" t="s">
        <v>210</v>
      </c>
      <c r="B54" s="243">
        <v>0</v>
      </c>
      <c r="C54" s="243">
        <v>0</v>
      </c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3">
        <v>0</v>
      </c>
      <c r="O54" s="243">
        <v>0</v>
      </c>
      <c r="P54" s="243">
        <v>0</v>
      </c>
      <c r="Q54" s="243">
        <v>0</v>
      </c>
      <c r="R54" s="243">
        <v>0</v>
      </c>
      <c r="S54" s="243">
        <v>0</v>
      </c>
      <c r="T54" s="243">
        <v>0</v>
      </c>
      <c r="U54" s="243">
        <v>0</v>
      </c>
      <c r="V54" s="243">
        <v>0</v>
      </c>
      <c r="W54" s="243">
        <v>0</v>
      </c>
      <c r="X54" s="243">
        <v>0</v>
      </c>
      <c r="Y54" s="243">
        <v>0</v>
      </c>
      <c r="Z54" s="243">
        <v>0</v>
      </c>
      <c r="AA54" s="244">
        <f>SUM(B54:T54)</f>
        <v>0</v>
      </c>
    </row>
    <row r="55" spans="1:27" s="244" customFormat="1" x14ac:dyDescent="0.2">
      <c r="A55" s="242" t="s">
        <v>211</v>
      </c>
      <c r="B55" s="243">
        <f>$J18</f>
        <v>0</v>
      </c>
      <c r="C55" s="243">
        <f>$J19</f>
        <v>164947.94375000003</v>
      </c>
      <c r="D55" s="243">
        <f>$J20</f>
        <v>197937.53250000003</v>
      </c>
      <c r="E55" s="243">
        <f>$J21</f>
        <v>230927.12125000003</v>
      </c>
      <c r="F55" s="243">
        <f>$J22</f>
        <v>230927.12125000003</v>
      </c>
      <c r="G55" s="243">
        <f>$J23</f>
        <v>263916.71000000002</v>
      </c>
      <c r="H55" s="243">
        <f>$J24</f>
        <v>296906.29875000002</v>
      </c>
      <c r="I55" s="243">
        <f>$J25</f>
        <v>296906.29875000002</v>
      </c>
      <c r="J55" s="243">
        <f>$J26</f>
        <v>329895.88750000007</v>
      </c>
      <c r="K55" s="243">
        <f>$J27</f>
        <v>362885.47625000007</v>
      </c>
      <c r="L55" s="243">
        <f>$J28</f>
        <v>362885.47625000007</v>
      </c>
      <c r="M55" s="243">
        <f>$J29</f>
        <v>362885.47625000007</v>
      </c>
      <c r="N55" s="243">
        <f>$J30</f>
        <v>395875.06500000006</v>
      </c>
      <c r="O55" s="243">
        <f>$J31</f>
        <v>461854.24250000005</v>
      </c>
      <c r="P55" s="243">
        <f>$J32</f>
        <v>461854.24250000005</v>
      </c>
      <c r="Q55" s="243">
        <f>$J33</f>
        <v>428864.65375000006</v>
      </c>
      <c r="R55" s="243">
        <f>$J34</f>
        <v>428864.65375000006</v>
      </c>
      <c r="S55" s="243">
        <f>$J35</f>
        <v>329895.88750000007</v>
      </c>
      <c r="T55" s="243">
        <f>$J36</f>
        <v>329895.88750000007</v>
      </c>
      <c r="U55" s="243">
        <f>$J37</f>
        <v>263916.71000000002</v>
      </c>
      <c r="V55" s="243">
        <f>$J38</f>
        <v>131958.35500000001</v>
      </c>
      <c r="W55" s="243">
        <f>$J39</f>
        <v>65979.177500000005</v>
      </c>
      <c r="X55" s="243">
        <f>$J40</f>
        <v>65979.177500000005</v>
      </c>
      <c r="Y55" s="243">
        <f>$J41</f>
        <v>65979.177500000005</v>
      </c>
      <c r="Z55" s="243">
        <f>$J42</f>
        <v>65979.177500000005</v>
      </c>
      <c r="AA55" s="245">
        <f>SUM(B55:Z55)</f>
        <v>6597917.7500000028</v>
      </c>
    </row>
    <row r="56" spans="1:27" x14ac:dyDescent="0.2">
      <c r="A56" s="246" t="s">
        <v>214</v>
      </c>
      <c r="B56" s="247">
        <f>SUM(B54:B55)</f>
        <v>0</v>
      </c>
      <c r="C56" s="247">
        <f>SUM(C54:C55)*0.45</f>
        <v>74226.574687500019</v>
      </c>
      <c r="D56" s="247">
        <f>SUM(D54:D55)*0.45</f>
        <v>89071.889625000011</v>
      </c>
      <c r="E56" s="247">
        <f t="shared" ref="E56:Z56" si="11">SUM(E54:E55)*0.45</f>
        <v>103917.20456250002</v>
      </c>
      <c r="F56" s="247">
        <f t="shared" si="11"/>
        <v>103917.20456250002</v>
      </c>
      <c r="G56" s="247">
        <f t="shared" si="11"/>
        <v>118762.51950000001</v>
      </c>
      <c r="H56" s="247">
        <f t="shared" si="11"/>
        <v>133607.83443750002</v>
      </c>
      <c r="I56" s="247">
        <f t="shared" si="11"/>
        <v>133607.83443750002</v>
      </c>
      <c r="J56" s="247">
        <f t="shared" si="11"/>
        <v>148453.14937500004</v>
      </c>
      <c r="K56" s="247">
        <f t="shared" si="11"/>
        <v>163298.46431250003</v>
      </c>
      <c r="L56" s="247">
        <f t="shared" si="11"/>
        <v>163298.46431250003</v>
      </c>
      <c r="M56" s="247">
        <f t="shared" si="11"/>
        <v>163298.46431250003</v>
      </c>
      <c r="N56" s="247">
        <f t="shared" si="11"/>
        <v>178143.77925000002</v>
      </c>
      <c r="O56" s="247">
        <f t="shared" si="11"/>
        <v>207834.40912500003</v>
      </c>
      <c r="P56" s="247">
        <f t="shared" si="11"/>
        <v>207834.40912500003</v>
      </c>
      <c r="Q56" s="247">
        <f t="shared" si="11"/>
        <v>192989.09418750004</v>
      </c>
      <c r="R56" s="247">
        <f t="shared" si="11"/>
        <v>192989.09418750004</v>
      </c>
      <c r="S56" s="247">
        <f t="shared" si="11"/>
        <v>148453.14937500004</v>
      </c>
      <c r="T56" s="247">
        <f t="shared" si="11"/>
        <v>148453.14937500004</v>
      </c>
      <c r="U56" s="247">
        <f t="shared" si="11"/>
        <v>118762.51950000001</v>
      </c>
      <c r="V56" s="247">
        <f t="shared" si="11"/>
        <v>59381.259750000005</v>
      </c>
      <c r="W56" s="247">
        <f t="shared" si="11"/>
        <v>29690.629875000002</v>
      </c>
      <c r="X56" s="247">
        <f t="shared" si="11"/>
        <v>29690.629875000002</v>
      </c>
      <c r="Y56" s="247">
        <f t="shared" si="11"/>
        <v>29690.629875000002</v>
      </c>
      <c r="Z56" s="247">
        <f t="shared" si="11"/>
        <v>29690.629875000002</v>
      </c>
      <c r="AA56" s="247">
        <f>SUM(B56:Z56)</f>
        <v>2969062.9875000007</v>
      </c>
    </row>
    <row r="57" spans="1:27" s="245" customFormat="1" x14ac:dyDescent="0.2">
      <c r="A57" s="248" t="s">
        <v>215</v>
      </c>
      <c r="B57" s="248">
        <v>0</v>
      </c>
      <c r="C57" s="248">
        <f>C63</f>
        <v>123710.95781250001</v>
      </c>
      <c r="D57" s="248">
        <f t="shared" ref="D57:Z57" si="12">C57</f>
        <v>123710.95781250001</v>
      </c>
      <c r="E57" s="248">
        <f t="shared" si="12"/>
        <v>123710.95781250001</v>
      </c>
      <c r="F57" s="248">
        <f t="shared" si="12"/>
        <v>123710.95781250001</v>
      </c>
      <c r="G57" s="248">
        <f t="shared" si="12"/>
        <v>123710.95781250001</v>
      </c>
      <c r="H57" s="248">
        <f t="shared" si="12"/>
        <v>123710.95781250001</v>
      </c>
      <c r="I57" s="248">
        <f t="shared" si="12"/>
        <v>123710.95781250001</v>
      </c>
      <c r="J57" s="248">
        <f t="shared" si="12"/>
        <v>123710.95781250001</v>
      </c>
      <c r="K57" s="248">
        <f t="shared" si="12"/>
        <v>123710.95781250001</v>
      </c>
      <c r="L57" s="248">
        <f t="shared" si="12"/>
        <v>123710.95781250001</v>
      </c>
      <c r="M57" s="248">
        <f t="shared" si="12"/>
        <v>123710.95781250001</v>
      </c>
      <c r="N57" s="248">
        <f t="shared" si="12"/>
        <v>123710.95781250001</v>
      </c>
      <c r="O57" s="248">
        <f t="shared" si="12"/>
        <v>123710.95781250001</v>
      </c>
      <c r="P57" s="248">
        <f t="shared" si="12"/>
        <v>123710.95781250001</v>
      </c>
      <c r="Q57" s="248">
        <f t="shared" si="12"/>
        <v>123710.95781250001</v>
      </c>
      <c r="R57" s="248">
        <f t="shared" si="12"/>
        <v>123710.95781250001</v>
      </c>
      <c r="S57" s="248">
        <f t="shared" si="12"/>
        <v>123710.95781250001</v>
      </c>
      <c r="T57" s="248">
        <f t="shared" si="12"/>
        <v>123710.95781250001</v>
      </c>
      <c r="U57" s="248">
        <f t="shared" si="12"/>
        <v>123710.95781250001</v>
      </c>
      <c r="V57" s="248">
        <f t="shared" si="12"/>
        <v>123710.95781250001</v>
      </c>
      <c r="W57" s="248">
        <f t="shared" si="12"/>
        <v>123710.95781250001</v>
      </c>
      <c r="X57" s="248">
        <f t="shared" si="12"/>
        <v>123710.95781250001</v>
      </c>
      <c r="Y57" s="248">
        <f t="shared" si="12"/>
        <v>123710.95781250001</v>
      </c>
      <c r="Z57" s="248">
        <f t="shared" si="12"/>
        <v>123710.95781250001</v>
      </c>
      <c r="AA57" s="247">
        <f>SUM(B57:Z57)</f>
        <v>2969062.9875000007</v>
      </c>
    </row>
    <row r="58" spans="1:27" s="245" customFormat="1" x14ac:dyDescent="0.2">
      <c r="A58" s="248" t="s">
        <v>209</v>
      </c>
      <c r="B58" s="248">
        <f>C61*10%</f>
        <v>659791.77500000014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7">
        <f>SUM(B58:Z58)</f>
        <v>659791.77500000014</v>
      </c>
    </row>
    <row r="59" spans="1:27" s="245" customFormat="1" x14ac:dyDescent="0.2">
      <c r="A59" s="248"/>
      <c r="B59" s="248">
        <f>SUM(B56:B58)</f>
        <v>659791.77500000014</v>
      </c>
      <c r="C59" s="248">
        <f>SUM(C56:C58)</f>
        <v>197937.53250000003</v>
      </c>
      <c r="D59" s="248">
        <f t="shared" ref="D59:Z59" si="13">SUM(D56:D58)</f>
        <v>212782.84743750002</v>
      </c>
      <c r="E59" s="248">
        <f t="shared" si="13"/>
        <v>227628.16237500001</v>
      </c>
      <c r="F59" s="248">
        <f t="shared" si="13"/>
        <v>227628.16237500001</v>
      </c>
      <c r="G59" s="248">
        <f t="shared" si="13"/>
        <v>242473.47731250001</v>
      </c>
      <c r="H59" s="248">
        <f t="shared" si="13"/>
        <v>257318.79225000003</v>
      </c>
      <c r="I59" s="248">
        <f t="shared" si="13"/>
        <v>257318.79225000003</v>
      </c>
      <c r="J59" s="248">
        <f t="shared" si="13"/>
        <v>272164.10718750005</v>
      </c>
      <c r="K59" s="248">
        <f t="shared" si="13"/>
        <v>287009.42212500004</v>
      </c>
      <c r="L59" s="248">
        <f t="shared" si="13"/>
        <v>287009.42212500004</v>
      </c>
      <c r="M59" s="248">
        <f t="shared" si="13"/>
        <v>287009.42212500004</v>
      </c>
      <c r="N59" s="248">
        <f t="shared" si="13"/>
        <v>301854.73706250003</v>
      </c>
      <c r="O59" s="248">
        <f t="shared" si="13"/>
        <v>331545.36693750008</v>
      </c>
      <c r="P59" s="248">
        <f t="shared" si="13"/>
        <v>331545.36693750008</v>
      </c>
      <c r="Q59" s="248">
        <f t="shared" si="13"/>
        <v>316700.05200000003</v>
      </c>
      <c r="R59" s="248">
        <f t="shared" si="13"/>
        <v>316700.05200000003</v>
      </c>
      <c r="S59" s="248">
        <f t="shared" si="13"/>
        <v>272164.10718750005</v>
      </c>
      <c r="T59" s="248">
        <f t="shared" si="13"/>
        <v>272164.10718750005</v>
      </c>
      <c r="U59" s="248">
        <f t="shared" si="13"/>
        <v>242473.47731250001</v>
      </c>
      <c r="V59" s="248">
        <f t="shared" si="13"/>
        <v>183092.21756250001</v>
      </c>
      <c r="W59" s="248">
        <f t="shared" si="13"/>
        <v>153401.58768750002</v>
      </c>
      <c r="X59" s="248">
        <f t="shared" si="13"/>
        <v>153401.58768750002</v>
      </c>
      <c r="Y59" s="248">
        <f t="shared" si="13"/>
        <v>153401.58768750002</v>
      </c>
      <c r="Z59" s="248">
        <f t="shared" si="13"/>
        <v>153401.58768750002</v>
      </c>
      <c r="AA59" s="582">
        <f>SUM(B59:Z59)</f>
        <v>6597917.7500000009</v>
      </c>
    </row>
    <row r="60" spans="1:27" s="244" customFormat="1" x14ac:dyDescent="0.2">
      <c r="C60" s="244">
        <f>B60/A61</f>
        <v>0</v>
      </c>
    </row>
    <row r="61" spans="1:27" s="244" customFormat="1" x14ac:dyDescent="0.2">
      <c r="A61" s="244">
        <v>6940917.7500000009</v>
      </c>
      <c r="B61" s="244">
        <v>343000</v>
      </c>
      <c r="C61" s="244">
        <f>+A61-B61</f>
        <v>6597917.7500000009</v>
      </c>
    </row>
    <row r="62" spans="1:27" s="244" customFormat="1" x14ac:dyDescent="0.2">
      <c r="A62" s="244">
        <f>A61*0.1</f>
        <v>694091.77500000014</v>
      </c>
    </row>
    <row r="63" spans="1:27" s="244" customFormat="1" x14ac:dyDescent="0.2">
      <c r="A63" s="244">
        <f>C61*0.45</f>
        <v>2969062.9875000003</v>
      </c>
      <c r="C63" s="244">
        <f>A63/24</f>
        <v>123710.95781250001</v>
      </c>
    </row>
    <row r="64" spans="1:27" s="244" customFormat="1" x14ac:dyDescent="0.2"/>
  </sheetData>
  <mergeCells count="6">
    <mergeCell ref="I44:J44"/>
    <mergeCell ref="A1:J1"/>
    <mergeCell ref="B3:I4"/>
    <mergeCell ref="A5:C5"/>
    <mergeCell ref="D7:F7"/>
    <mergeCell ref="C15:D15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7076C-2C79-4BAB-92CA-FB1E4541D8BC}">
  <dimension ref="A1:AA64"/>
  <sheetViews>
    <sheetView showGridLines="0" topLeftCell="A13" zoomScale="80" zoomScaleNormal="80" workbookViewId="0">
      <selection activeCell="A61" sqref="A61"/>
    </sheetView>
  </sheetViews>
  <sheetFormatPr defaultColWidth="11.42578125" defaultRowHeight="12" x14ac:dyDescent="0.2"/>
  <cols>
    <col min="1" max="1" width="17.42578125" style="239" customWidth="1"/>
    <col min="2" max="2" width="14.28515625" style="239" customWidth="1"/>
    <col min="3" max="3" width="16.85546875" style="239" customWidth="1"/>
    <col min="4" max="4" width="13.7109375" style="239" bestFit="1" customWidth="1"/>
    <col min="5" max="5" width="13.5703125" style="239" customWidth="1"/>
    <col min="6" max="6" width="18.28515625" style="239" customWidth="1"/>
    <col min="7" max="7" width="17.5703125" style="239" bestFit="1" customWidth="1"/>
    <col min="8" max="8" width="17.42578125" style="239" bestFit="1" customWidth="1"/>
    <col min="9" max="9" width="13.85546875" style="239" bestFit="1" customWidth="1"/>
    <col min="10" max="10" width="16.42578125" style="239" bestFit="1" customWidth="1"/>
    <col min="11" max="11" width="13.7109375" style="239" bestFit="1" customWidth="1"/>
    <col min="12" max="12" width="15.7109375" style="239" bestFit="1" customWidth="1"/>
    <col min="13" max="13" width="15.28515625" style="239" bestFit="1" customWidth="1"/>
    <col min="14" max="20" width="13.7109375" style="239" bestFit="1" customWidth="1"/>
    <col min="21" max="21" width="14.7109375" style="239" bestFit="1" customWidth="1"/>
    <col min="22" max="26" width="11.42578125" style="239"/>
    <col min="27" max="27" width="13.140625" style="239" bestFit="1" customWidth="1"/>
    <col min="28" max="16384" width="11.42578125" style="239"/>
  </cols>
  <sheetData>
    <row r="1" spans="1:21" ht="15.75" customHeight="1" x14ac:dyDescent="0.2">
      <c r="A1" s="698" t="s">
        <v>181</v>
      </c>
      <c r="B1" s="698"/>
      <c r="C1" s="698"/>
      <c r="D1" s="698"/>
      <c r="E1" s="698"/>
      <c r="F1" s="698"/>
      <c r="G1" s="698"/>
      <c r="H1" s="698"/>
      <c r="I1" s="698"/>
      <c r="J1" s="69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x14ac:dyDescent="0.2">
      <c r="A2" s="169"/>
      <c r="B2" s="170"/>
      <c r="C2" s="171"/>
      <c r="D2" s="171"/>
      <c r="E2" s="172"/>
      <c r="F2" s="172"/>
      <c r="G2" s="168"/>
      <c r="H2" s="173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x14ac:dyDescent="0.2">
      <c r="A3" s="169" t="s">
        <v>182</v>
      </c>
      <c r="B3" s="699" t="s">
        <v>213</v>
      </c>
      <c r="C3" s="699"/>
      <c r="D3" s="699"/>
      <c r="E3" s="699"/>
      <c r="F3" s="699"/>
      <c r="G3" s="699"/>
      <c r="H3" s="699"/>
      <c r="I3" s="699"/>
      <c r="J3" s="174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x14ac:dyDescent="0.2">
      <c r="A4" s="175"/>
      <c r="B4" s="699"/>
      <c r="C4" s="699"/>
      <c r="D4" s="699"/>
      <c r="E4" s="699"/>
      <c r="F4" s="699"/>
      <c r="G4" s="699"/>
      <c r="H4" s="699"/>
      <c r="I4" s="699"/>
      <c r="J4" s="174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</row>
    <row r="5" spans="1:21" x14ac:dyDescent="0.2">
      <c r="A5" s="700" t="str">
        <f>CONCATENATE("PLAZO: ",A36," MESES (",A43,")")</f>
        <v>PLAZO: 18 MESES (720 dias)</v>
      </c>
      <c r="B5" s="700"/>
      <c r="C5" s="700"/>
      <c r="D5" s="176"/>
      <c r="E5" s="177" t="s">
        <v>183</v>
      </c>
      <c r="F5" s="168" t="s">
        <v>184</v>
      </c>
      <c r="G5" s="168"/>
      <c r="H5" s="173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x14ac:dyDescent="0.2">
      <c r="A6" s="168"/>
      <c r="B6" s="178"/>
      <c r="C6" s="176"/>
      <c r="D6" s="176"/>
      <c r="E6" s="176"/>
      <c r="F6" s="168"/>
      <c r="G6" s="168"/>
      <c r="H6" s="173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</row>
    <row r="7" spans="1:21" x14ac:dyDescent="0.2">
      <c r="A7" s="168"/>
      <c r="B7" s="178"/>
      <c r="C7" s="179" t="s">
        <v>185</v>
      </c>
      <c r="D7" s="701"/>
      <c r="E7" s="701"/>
      <c r="F7" s="701"/>
      <c r="G7" s="168"/>
      <c r="H7" s="179" t="s">
        <v>186</v>
      </c>
      <c r="I7" s="180">
        <f ca="1">NOW()</f>
        <v>43703.768187731483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</row>
    <row r="8" spans="1:21" x14ac:dyDescent="0.2">
      <c r="A8" s="168"/>
      <c r="B8" s="178"/>
      <c r="C8" s="179" t="str">
        <f>IF(D7=0,"MONTO ESTIMADO CON IVA:","MONTO DE CONTRATO CON IVA:")</f>
        <v>MONTO ESTIMADO CON IVA:</v>
      </c>
      <c r="D8" s="181">
        <f>+A61</f>
        <v>5692341.3399999999</v>
      </c>
      <c r="E8" s="182" t="s">
        <v>187</v>
      </c>
      <c r="F8" s="168" t="s">
        <v>188</v>
      </c>
      <c r="G8" s="168"/>
      <c r="H8" s="173" t="s">
        <v>189</v>
      </c>
      <c r="I8" s="183">
        <v>1</v>
      </c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1:21" x14ac:dyDescent="0.2">
      <c r="A9" s="168"/>
      <c r="B9" s="178"/>
      <c r="C9" s="179"/>
      <c r="D9" s="181"/>
      <c r="E9" s="176" t="s">
        <v>190</v>
      </c>
      <c r="F9" s="168"/>
      <c r="G9" s="168"/>
      <c r="H9" s="173"/>
      <c r="I9" s="184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</row>
    <row r="10" spans="1:21" x14ac:dyDescent="0.2">
      <c r="A10" s="168"/>
      <c r="B10" s="178"/>
      <c r="C10" s="179"/>
      <c r="D10" s="181"/>
      <c r="E10" s="176" t="s">
        <v>187</v>
      </c>
      <c r="F10" s="168"/>
      <c r="G10" s="168"/>
      <c r="H10" s="173"/>
      <c r="I10" s="184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</row>
    <row r="11" spans="1:21" x14ac:dyDescent="0.2">
      <c r="A11" s="168"/>
      <c r="B11" s="168"/>
      <c r="C11" s="179" t="str">
        <f>IF(D7=0,"MONTO ESTIMADO SIN IVA:","MONTO DE CONTRATO SIN IVA:")</f>
        <v>MONTO ESTIMADO SIN IVA:</v>
      </c>
      <c r="D11" s="185">
        <f>D8</f>
        <v>5692341.3399999999</v>
      </c>
      <c r="E11" s="186" t="s">
        <v>190</v>
      </c>
      <c r="F11" s="176"/>
      <c r="G11" s="168"/>
      <c r="H11" s="173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</row>
    <row r="12" spans="1:21" x14ac:dyDescent="0.2">
      <c r="A12" s="168"/>
      <c r="B12" s="168"/>
      <c r="C12" s="179" t="s">
        <v>191</v>
      </c>
      <c r="D12" s="448">
        <v>0.44444444444444442</v>
      </c>
      <c r="E12" s="176"/>
      <c r="F12" s="176" t="s">
        <v>192</v>
      </c>
      <c r="G12" s="168"/>
      <c r="H12" s="173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</row>
    <row r="13" spans="1:21" x14ac:dyDescent="0.2">
      <c r="A13" s="168"/>
      <c r="B13" s="168"/>
      <c r="C13" s="179" t="s">
        <v>193</v>
      </c>
      <c r="D13" s="449">
        <v>0.55555555555555558</v>
      </c>
      <c r="E13" s="176"/>
      <c r="F13" s="176"/>
      <c r="G13" s="168"/>
      <c r="H13" s="173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</row>
    <row r="14" spans="1:21" x14ac:dyDescent="0.2">
      <c r="A14" s="168"/>
      <c r="B14" s="168"/>
      <c r="C14" s="179" t="s">
        <v>194</v>
      </c>
      <c r="D14" s="184">
        <v>0</v>
      </c>
      <c r="E14" s="176"/>
      <c r="F14" s="176"/>
      <c r="G14" s="168"/>
      <c r="H14" s="173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</row>
    <row r="15" spans="1:21" x14ac:dyDescent="0.2">
      <c r="A15" s="168"/>
      <c r="B15" s="179" t="s">
        <v>195</v>
      </c>
      <c r="C15" s="702"/>
      <c r="D15" s="702"/>
      <c r="E15" s="416" t="s">
        <v>196</v>
      </c>
      <c r="F15" s="417"/>
      <c r="G15" s="168"/>
      <c r="H15" s="190" t="s">
        <v>197</v>
      </c>
      <c r="I15" s="183">
        <v>10</v>
      </c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</row>
    <row r="16" spans="1:21" ht="12.75" thickBot="1" x14ac:dyDescent="0.25">
      <c r="A16" s="168"/>
      <c r="B16" s="178"/>
      <c r="C16" s="176"/>
      <c r="D16" s="176"/>
      <c r="E16" s="176"/>
      <c r="F16" s="191"/>
      <c r="G16" s="168"/>
      <c r="H16" s="173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</row>
    <row r="17" spans="1:21" ht="48.75" thickBot="1" x14ac:dyDescent="0.25">
      <c r="A17" s="192" t="s">
        <v>198</v>
      </c>
      <c r="B17" s="193" t="s">
        <v>199</v>
      </c>
      <c r="C17" s="193" t="s">
        <v>200</v>
      </c>
      <c r="D17" s="194" t="str">
        <f>CONCATENATE("MONTO MENSUAL DESCONTADO ",ROUND(D14,0),"% ANTICIPO")</f>
        <v>MONTO MENSUAL DESCONTADO 0% ANTICIPO</v>
      </c>
      <c r="E17" s="195" t="s">
        <v>201</v>
      </c>
      <c r="F17" s="196" t="s">
        <v>202</v>
      </c>
      <c r="G17" s="197" t="s">
        <v>203</v>
      </c>
      <c r="H17" s="198" t="s">
        <v>204</v>
      </c>
      <c r="I17" s="199" t="str">
        <f>CONCATENATE("DESEMBOLSOS FONDO LOCAL (",ROUND(D13,0),"%) + IVA")</f>
        <v>DESEMBOLSOS FONDO LOCAL (1%) + IVA</v>
      </c>
      <c r="J17" s="199" t="str">
        <f>CONCATENATE("DESEMBOLSOS FONDO EXTERNO (",ROUND(D12,0),"%)")</f>
        <v>DESEMBOLSOS FONDO EXTERNO (0%)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</row>
    <row r="18" spans="1:21" ht="12.75" thickBot="1" x14ac:dyDescent="0.25">
      <c r="A18" s="200">
        <v>0</v>
      </c>
      <c r="B18" s="201">
        <f>D14/100</f>
        <v>0</v>
      </c>
      <c r="C18" s="201">
        <v>0</v>
      </c>
      <c r="D18" s="202">
        <f>B18*D11</f>
        <v>0</v>
      </c>
      <c r="E18" s="203">
        <f>D18</f>
        <v>0</v>
      </c>
      <c r="F18" s="204">
        <f t="shared" ref="F18:F42" si="0">E18/$E$36</f>
        <v>0</v>
      </c>
      <c r="G18" s="205" t="s">
        <v>205</v>
      </c>
      <c r="H18" s="206">
        <f t="shared" ref="H18:H33" si="1">ROUND(D18*0.1,0)</f>
        <v>0</v>
      </c>
      <c r="I18" s="207">
        <v>0</v>
      </c>
      <c r="J18" s="207">
        <f>D18*$D$12/100</f>
        <v>0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</row>
    <row r="19" spans="1:21" ht="12.75" thickBot="1" x14ac:dyDescent="0.25">
      <c r="A19" s="208">
        <v>1</v>
      </c>
      <c r="B19" s="209">
        <v>2.5000000000000001E-2</v>
      </c>
      <c r="C19" s="209">
        <f t="shared" ref="C19:C33" si="2">B19+C18</f>
        <v>2.5000000000000001E-2</v>
      </c>
      <c r="D19" s="210">
        <f>(B19*$D$11*(100-$D$14)/100)</f>
        <v>142308.53349999999</v>
      </c>
      <c r="E19" s="211">
        <f>E18+D19</f>
        <v>142308.53349999999</v>
      </c>
      <c r="F19" s="212">
        <f t="shared" si="0"/>
        <v>2.777777777777778E-2</v>
      </c>
      <c r="G19" s="213" t="s">
        <v>96</v>
      </c>
      <c r="H19" s="214">
        <f>ROUND(D19*0.1,0)</f>
        <v>14231</v>
      </c>
      <c r="I19" s="215">
        <f>D19-J19</f>
        <v>141676.05112888888</v>
      </c>
      <c r="J19" s="207">
        <f t="shared" ref="J19:J42" si="3">D19*$D$12/100</f>
        <v>632.48237111111109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</row>
    <row r="20" spans="1:21" ht="12.75" thickBot="1" x14ac:dyDescent="0.25">
      <c r="A20" s="208">
        <v>2</v>
      </c>
      <c r="B20" s="209">
        <v>0.03</v>
      </c>
      <c r="C20" s="209">
        <f t="shared" si="2"/>
        <v>5.5E-2</v>
      </c>
      <c r="D20" s="210">
        <f t="shared" ref="D20:D42" si="4">(B20*$D$11*(100-$D$14)/100)</f>
        <v>170770.2402</v>
      </c>
      <c r="E20" s="211">
        <f t="shared" ref="E20:E33" si="5">E19+D20</f>
        <v>313078.77370000002</v>
      </c>
      <c r="F20" s="212">
        <f t="shared" si="0"/>
        <v>6.1111111111111123E-2</v>
      </c>
      <c r="G20" s="213" t="s">
        <v>97</v>
      </c>
      <c r="H20" s="214">
        <f t="shared" si="1"/>
        <v>17077</v>
      </c>
      <c r="I20" s="215">
        <f t="shared" ref="I20:I42" si="6">D20-J20</f>
        <v>170011.26135466667</v>
      </c>
      <c r="J20" s="207">
        <f t="shared" si="3"/>
        <v>758.97884533333331</v>
      </c>
      <c r="K20" s="216">
        <f>+SUM(J18:J20)</f>
        <v>1391.4612164444443</v>
      </c>
      <c r="L20" s="168"/>
      <c r="M20" s="168"/>
      <c r="N20" s="168"/>
      <c r="O20" s="168"/>
      <c r="P20" s="168"/>
      <c r="Q20" s="168"/>
      <c r="R20" s="168"/>
      <c r="S20" s="168"/>
      <c r="T20" s="168"/>
      <c r="U20" s="168"/>
    </row>
    <row r="21" spans="1:21" ht="12.75" thickBot="1" x14ac:dyDescent="0.25">
      <c r="A21" s="208">
        <v>3</v>
      </c>
      <c r="B21" s="209">
        <v>3.5000000000000003E-2</v>
      </c>
      <c r="C21" s="209">
        <f t="shared" si="2"/>
        <v>0.09</v>
      </c>
      <c r="D21" s="210">
        <f t="shared" si="4"/>
        <v>199231.94690000001</v>
      </c>
      <c r="E21" s="211">
        <f t="shared" si="5"/>
        <v>512310.7206</v>
      </c>
      <c r="F21" s="212">
        <f t="shared" si="0"/>
        <v>0.10000000000000002</v>
      </c>
      <c r="G21" s="213" t="s">
        <v>98</v>
      </c>
      <c r="H21" s="214">
        <f t="shared" si="1"/>
        <v>19923</v>
      </c>
      <c r="I21" s="215">
        <f t="shared" si="6"/>
        <v>198346.47158044446</v>
      </c>
      <c r="J21" s="207">
        <f t="shared" si="3"/>
        <v>885.47531955555564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1:21" ht="12.75" thickBot="1" x14ac:dyDescent="0.25">
      <c r="A22" s="208">
        <v>4</v>
      </c>
      <c r="B22" s="209">
        <v>3.5000000000000003E-2</v>
      </c>
      <c r="C22" s="209">
        <f t="shared" si="2"/>
        <v>0.125</v>
      </c>
      <c r="D22" s="210">
        <f t="shared" si="4"/>
        <v>199231.94690000001</v>
      </c>
      <c r="E22" s="211">
        <f t="shared" si="5"/>
        <v>711542.66749999998</v>
      </c>
      <c r="F22" s="212">
        <f t="shared" si="0"/>
        <v>0.1388888888888889</v>
      </c>
      <c r="G22" s="213" t="s">
        <v>99</v>
      </c>
      <c r="H22" s="214">
        <f t="shared" si="1"/>
        <v>19923</v>
      </c>
      <c r="I22" s="215">
        <f t="shared" si="6"/>
        <v>198346.47158044446</v>
      </c>
      <c r="J22" s="207">
        <f t="shared" si="3"/>
        <v>885.47531955555564</v>
      </c>
      <c r="K22" s="217"/>
      <c r="L22" s="168"/>
      <c r="M22" s="168"/>
      <c r="N22" s="168"/>
      <c r="O22" s="168"/>
      <c r="P22" s="168"/>
      <c r="Q22" s="168"/>
      <c r="R22" s="168"/>
      <c r="S22" s="168"/>
      <c r="T22" s="168"/>
      <c r="U22" s="168"/>
    </row>
    <row r="23" spans="1:21" ht="12.75" thickBot="1" x14ac:dyDescent="0.25">
      <c r="A23" s="208">
        <v>5</v>
      </c>
      <c r="B23" s="209">
        <v>0.04</v>
      </c>
      <c r="C23" s="209">
        <f t="shared" si="2"/>
        <v>0.16500000000000001</v>
      </c>
      <c r="D23" s="210">
        <f t="shared" si="4"/>
        <v>227693.65359999999</v>
      </c>
      <c r="E23" s="211">
        <f t="shared" si="5"/>
        <v>939236.32109999994</v>
      </c>
      <c r="F23" s="212">
        <f t="shared" si="0"/>
        <v>0.18333333333333335</v>
      </c>
      <c r="G23" s="213" t="s">
        <v>100</v>
      </c>
      <c r="H23" s="214">
        <f t="shared" si="1"/>
        <v>22769</v>
      </c>
      <c r="I23" s="215">
        <f t="shared" si="6"/>
        <v>226681.68180622222</v>
      </c>
      <c r="J23" s="207">
        <f t="shared" si="3"/>
        <v>1011.9717937777776</v>
      </c>
      <c r="K23" s="217"/>
      <c r="L23" s="168"/>
      <c r="M23" s="168"/>
      <c r="N23" s="168"/>
      <c r="O23" s="168"/>
      <c r="P23" s="168"/>
      <c r="Q23" s="168"/>
      <c r="R23" s="168"/>
      <c r="S23" s="168"/>
      <c r="T23" s="168"/>
      <c r="U23" s="168"/>
    </row>
    <row r="24" spans="1:21" ht="12.75" thickBot="1" x14ac:dyDescent="0.25">
      <c r="A24" s="208">
        <v>6</v>
      </c>
      <c r="B24" s="209">
        <v>4.4999999999999998E-2</v>
      </c>
      <c r="C24" s="209">
        <f t="shared" si="2"/>
        <v>0.21000000000000002</v>
      </c>
      <c r="D24" s="210">
        <f t="shared" si="4"/>
        <v>256155.36029999997</v>
      </c>
      <c r="E24" s="211">
        <f>E23+D24</f>
        <v>1195391.6813999999</v>
      </c>
      <c r="F24" s="212">
        <f t="shared" si="0"/>
        <v>0.23333333333333334</v>
      </c>
      <c r="G24" s="213" t="s">
        <v>101</v>
      </c>
      <c r="H24" s="214">
        <f>ROUND(D24*0.1,0)</f>
        <v>25616</v>
      </c>
      <c r="I24" s="215">
        <f t="shared" si="6"/>
        <v>255016.89203199997</v>
      </c>
      <c r="J24" s="207">
        <f t="shared" si="3"/>
        <v>1138.4682679999999</v>
      </c>
      <c r="K24" s="217"/>
      <c r="L24" s="168"/>
      <c r="M24" s="168"/>
      <c r="N24" s="168"/>
      <c r="O24" s="168"/>
      <c r="P24" s="168"/>
      <c r="Q24" s="168"/>
      <c r="R24" s="168"/>
      <c r="S24" s="168"/>
      <c r="T24" s="168"/>
      <c r="U24" s="168"/>
    </row>
    <row r="25" spans="1:21" ht="12.75" thickBot="1" x14ac:dyDescent="0.25">
      <c r="A25" s="208">
        <v>7</v>
      </c>
      <c r="B25" s="209">
        <v>4.4999999999999998E-2</v>
      </c>
      <c r="C25" s="209">
        <f t="shared" si="2"/>
        <v>0.255</v>
      </c>
      <c r="D25" s="210">
        <f t="shared" si="4"/>
        <v>256155.36029999997</v>
      </c>
      <c r="E25" s="211">
        <f t="shared" si="5"/>
        <v>1451547.0416999999</v>
      </c>
      <c r="F25" s="212">
        <f t="shared" si="0"/>
        <v>0.28333333333333338</v>
      </c>
      <c r="G25" s="213" t="s">
        <v>102</v>
      </c>
      <c r="H25" s="214">
        <f t="shared" si="1"/>
        <v>25616</v>
      </c>
      <c r="I25" s="215">
        <f t="shared" si="6"/>
        <v>255016.89203199997</v>
      </c>
      <c r="J25" s="207">
        <f t="shared" si="3"/>
        <v>1138.4682679999999</v>
      </c>
      <c r="K25" s="21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21" ht="12.75" thickBot="1" x14ac:dyDescent="0.25">
      <c r="A26" s="208">
        <v>8</v>
      </c>
      <c r="B26" s="209">
        <v>0.05</v>
      </c>
      <c r="C26" s="209">
        <f t="shared" si="2"/>
        <v>0.30499999999999999</v>
      </c>
      <c r="D26" s="210">
        <f t="shared" si="4"/>
        <v>284617.06699999998</v>
      </c>
      <c r="E26" s="211">
        <f t="shared" si="5"/>
        <v>1736164.1087</v>
      </c>
      <c r="F26" s="212">
        <f t="shared" si="0"/>
        <v>0.33888888888888891</v>
      </c>
      <c r="G26" s="213" t="s">
        <v>103</v>
      </c>
      <c r="H26" s="214">
        <f t="shared" si="1"/>
        <v>28462</v>
      </c>
      <c r="I26" s="215">
        <f t="shared" si="6"/>
        <v>283352.10225777776</v>
      </c>
      <c r="J26" s="207">
        <f t="shared" si="3"/>
        <v>1264.9647422222222</v>
      </c>
      <c r="K26" s="217"/>
      <c r="L26" s="168"/>
      <c r="M26" s="168"/>
      <c r="N26" s="168"/>
      <c r="O26" s="168"/>
      <c r="P26" s="168"/>
      <c r="Q26" s="168"/>
      <c r="R26" s="168"/>
      <c r="S26" s="168"/>
      <c r="T26" s="168"/>
      <c r="U26" s="168"/>
    </row>
    <row r="27" spans="1:21" ht="12.75" thickBot="1" x14ac:dyDescent="0.25">
      <c r="A27" s="208">
        <v>9</v>
      </c>
      <c r="B27" s="209">
        <v>5.5E-2</v>
      </c>
      <c r="C27" s="209">
        <f t="shared" si="2"/>
        <v>0.36</v>
      </c>
      <c r="D27" s="210">
        <f t="shared" si="4"/>
        <v>313078.77370000002</v>
      </c>
      <c r="E27" s="211">
        <f t="shared" si="5"/>
        <v>2049242.8824</v>
      </c>
      <c r="F27" s="212">
        <f t="shared" si="0"/>
        <v>0.40000000000000008</v>
      </c>
      <c r="G27" s="213" t="s">
        <v>104</v>
      </c>
      <c r="H27" s="214">
        <f t="shared" si="1"/>
        <v>31308</v>
      </c>
      <c r="I27" s="215">
        <f t="shared" si="6"/>
        <v>311687.31248355558</v>
      </c>
      <c r="J27" s="207">
        <f t="shared" si="3"/>
        <v>1391.4612164444445</v>
      </c>
      <c r="K27" s="217"/>
      <c r="L27" s="168"/>
      <c r="M27" s="168"/>
      <c r="N27" s="168"/>
      <c r="O27" s="168"/>
      <c r="P27" s="168"/>
      <c r="Q27" s="168"/>
      <c r="R27" s="168"/>
      <c r="S27" s="168"/>
      <c r="T27" s="168"/>
      <c r="U27" s="168"/>
    </row>
    <row r="28" spans="1:21" ht="12.75" thickBot="1" x14ac:dyDescent="0.25">
      <c r="A28" s="208">
        <v>10</v>
      </c>
      <c r="B28" s="209">
        <v>5.5E-2</v>
      </c>
      <c r="C28" s="209">
        <f t="shared" si="2"/>
        <v>0.41499999999999998</v>
      </c>
      <c r="D28" s="210">
        <f t="shared" si="4"/>
        <v>313078.77370000002</v>
      </c>
      <c r="E28" s="211">
        <f t="shared" si="5"/>
        <v>2362321.6561000003</v>
      </c>
      <c r="F28" s="212">
        <f t="shared" si="0"/>
        <v>0.46111111111111125</v>
      </c>
      <c r="G28" s="213" t="s">
        <v>105</v>
      </c>
      <c r="H28" s="214">
        <f t="shared" si="1"/>
        <v>31308</v>
      </c>
      <c r="I28" s="215">
        <f t="shared" si="6"/>
        <v>311687.31248355558</v>
      </c>
      <c r="J28" s="207">
        <f t="shared" si="3"/>
        <v>1391.4612164444445</v>
      </c>
      <c r="K28" s="217"/>
      <c r="L28" s="168"/>
      <c r="M28" s="168"/>
      <c r="N28" s="168"/>
      <c r="O28" s="168"/>
      <c r="P28" s="168"/>
      <c r="Q28" s="168"/>
      <c r="R28" s="168"/>
      <c r="S28" s="168"/>
      <c r="T28" s="168"/>
      <c r="U28" s="168"/>
    </row>
    <row r="29" spans="1:21" ht="12.75" thickBot="1" x14ac:dyDescent="0.25">
      <c r="A29" s="208">
        <v>11</v>
      </c>
      <c r="B29" s="209">
        <v>5.5E-2</v>
      </c>
      <c r="C29" s="209">
        <f t="shared" si="2"/>
        <v>0.47</v>
      </c>
      <c r="D29" s="210">
        <f t="shared" si="4"/>
        <v>313078.77370000002</v>
      </c>
      <c r="E29" s="211">
        <f t="shared" si="5"/>
        <v>2675400.4298</v>
      </c>
      <c r="F29" s="212">
        <f t="shared" si="0"/>
        <v>0.52222222222222225</v>
      </c>
      <c r="G29" s="213" t="s">
        <v>106</v>
      </c>
      <c r="H29" s="214">
        <f t="shared" si="1"/>
        <v>31308</v>
      </c>
      <c r="I29" s="215">
        <f t="shared" si="6"/>
        <v>311687.31248355558</v>
      </c>
      <c r="J29" s="207">
        <f t="shared" si="3"/>
        <v>1391.4612164444445</v>
      </c>
      <c r="K29" s="217"/>
      <c r="L29" s="168"/>
      <c r="M29" s="168"/>
      <c r="N29" s="168"/>
      <c r="O29" s="168"/>
      <c r="P29" s="168"/>
      <c r="Q29" s="168"/>
      <c r="R29" s="168"/>
      <c r="S29" s="168"/>
      <c r="T29" s="168"/>
      <c r="U29" s="168"/>
    </row>
    <row r="30" spans="1:21" ht="12.75" thickBot="1" x14ac:dyDescent="0.25">
      <c r="A30" s="208">
        <v>12</v>
      </c>
      <c r="B30" s="209">
        <v>0.06</v>
      </c>
      <c r="C30" s="209">
        <f t="shared" si="2"/>
        <v>0.53</v>
      </c>
      <c r="D30" s="210">
        <f t="shared" si="4"/>
        <v>341540.4804</v>
      </c>
      <c r="E30" s="211">
        <f t="shared" si="5"/>
        <v>3016940.9101999998</v>
      </c>
      <c r="F30" s="212">
        <f t="shared" si="0"/>
        <v>0.58888888888888891</v>
      </c>
      <c r="G30" s="213" t="s">
        <v>107</v>
      </c>
      <c r="H30" s="214">
        <f t="shared" si="1"/>
        <v>34154</v>
      </c>
      <c r="I30" s="215">
        <f t="shared" si="6"/>
        <v>340022.52270933334</v>
      </c>
      <c r="J30" s="207">
        <f t="shared" si="3"/>
        <v>1517.9576906666666</v>
      </c>
      <c r="K30" s="217"/>
      <c r="L30" s="168"/>
      <c r="M30" s="168"/>
      <c r="N30" s="168"/>
      <c r="O30" s="168"/>
      <c r="P30" s="168"/>
      <c r="Q30" s="168"/>
      <c r="R30" s="168"/>
      <c r="S30" s="168"/>
      <c r="T30" s="168"/>
      <c r="U30" s="168"/>
    </row>
    <row r="31" spans="1:21" ht="12.75" thickBot="1" x14ac:dyDescent="0.25">
      <c r="A31" s="208">
        <v>13</v>
      </c>
      <c r="B31" s="209">
        <v>7.0000000000000007E-2</v>
      </c>
      <c r="C31" s="209">
        <f t="shared" si="2"/>
        <v>0.60000000000000009</v>
      </c>
      <c r="D31" s="210">
        <f t="shared" si="4"/>
        <v>398463.89380000002</v>
      </c>
      <c r="E31" s="211">
        <f t="shared" si="5"/>
        <v>3415404.804</v>
      </c>
      <c r="F31" s="212">
        <f t="shared" si="0"/>
        <v>0.66666666666666674</v>
      </c>
      <c r="G31" s="213" t="s">
        <v>108</v>
      </c>
      <c r="H31" s="214">
        <f t="shared" si="1"/>
        <v>39846</v>
      </c>
      <c r="I31" s="215">
        <f t="shared" si="6"/>
        <v>396692.94316088891</v>
      </c>
      <c r="J31" s="207">
        <f t="shared" si="3"/>
        <v>1770.9506391111113</v>
      </c>
      <c r="K31" s="217"/>
      <c r="L31" s="168"/>
      <c r="M31" s="168"/>
      <c r="N31" s="168"/>
      <c r="O31" s="168"/>
      <c r="P31" s="168"/>
      <c r="Q31" s="168"/>
      <c r="R31" s="168"/>
      <c r="S31" s="168"/>
      <c r="T31" s="168"/>
      <c r="U31" s="168"/>
    </row>
    <row r="32" spans="1:21" ht="12.75" thickBot="1" x14ac:dyDescent="0.25">
      <c r="A32" s="208">
        <v>14</v>
      </c>
      <c r="B32" s="209">
        <v>7.0000000000000007E-2</v>
      </c>
      <c r="C32" s="209">
        <f t="shared" si="2"/>
        <v>0.67000000000000015</v>
      </c>
      <c r="D32" s="210">
        <f t="shared" si="4"/>
        <v>398463.89380000002</v>
      </c>
      <c r="E32" s="211">
        <f t="shared" si="5"/>
        <v>3813868.6978000002</v>
      </c>
      <c r="F32" s="212">
        <f t="shared" si="0"/>
        <v>0.74444444444444458</v>
      </c>
      <c r="G32" s="213" t="s">
        <v>109</v>
      </c>
      <c r="H32" s="214">
        <f t="shared" si="1"/>
        <v>39846</v>
      </c>
      <c r="I32" s="215">
        <f t="shared" si="6"/>
        <v>396692.94316088891</v>
      </c>
      <c r="J32" s="207">
        <f t="shared" si="3"/>
        <v>1770.9506391111113</v>
      </c>
      <c r="K32" s="219">
        <f>+SUM(J21:J32)</f>
        <v>15559.066329333335</v>
      </c>
      <c r="L32" s="168"/>
      <c r="M32" s="168"/>
      <c r="N32" s="168"/>
      <c r="O32" s="168"/>
      <c r="P32" s="168"/>
      <c r="Q32" s="168"/>
      <c r="R32" s="168"/>
      <c r="S32" s="168"/>
      <c r="T32" s="168"/>
      <c r="U32" s="168"/>
    </row>
    <row r="33" spans="1:21" ht="12.75" thickBot="1" x14ac:dyDescent="0.25">
      <c r="A33" s="208">
        <v>15</v>
      </c>
      <c r="B33" s="209">
        <v>6.5000000000000002E-2</v>
      </c>
      <c r="C33" s="209">
        <f t="shared" si="2"/>
        <v>0.7350000000000001</v>
      </c>
      <c r="D33" s="210">
        <f t="shared" si="4"/>
        <v>370002.18709999998</v>
      </c>
      <c r="E33" s="211">
        <f t="shared" si="5"/>
        <v>4183870.8848999999</v>
      </c>
      <c r="F33" s="212">
        <f t="shared" si="0"/>
        <v>0.81666666666666676</v>
      </c>
      <c r="G33" s="213" t="s">
        <v>110</v>
      </c>
      <c r="H33" s="214">
        <f t="shared" si="1"/>
        <v>37000</v>
      </c>
      <c r="I33" s="215">
        <f t="shared" si="6"/>
        <v>368357.7329351111</v>
      </c>
      <c r="J33" s="207">
        <f t="shared" si="3"/>
        <v>1644.4541648888887</v>
      </c>
      <c r="K33" s="217"/>
      <c r="L33" s="168"/>
      <c r="M33" s="168"/>
      <c r="N33" s="168"/>
      <c r="O33" s="168"/>
      <c r="P33" s="168"/>
      <c r="Q33" s="168"/>
      <c r="R33" s="168"/>
      <c r="S33" s="168"/>
      <c r="T33" s="168"/>
      <c r="U33" s="168"/>
    </row>
    <row r="34" spans="1:21" ht="12.75" thickBot="1" x14ac:dyDescent="0.25">
      <c r="A34" s="208">
        <v>16</v>
      </c>
      <c r="B34" s="209">
        <v>6.5000000000000002E-2</v>
      </c>
      <c r="C34" s="209">
        <f>B34+C33</f>
        <v>0.8</v>
      </c>
      <c r="D34" s="210">
        <f t="shared" si="4"/>
        <v>370002.18709999998</v>
      </c>
      <c r="E34" s="211">
        <f>E33+D34</f>
        <v>4553873.0719999997</v>
      </c>
      <c r="F34" s="212">
        <f t="shared" si="0"/>
        <v>0.88888888888888895</v>
      </c>
      <c r="G34" s="213" t="s">
        <v>111</v>
      </c>
      <c r="H34" s="214">
        <f>ROUND(D34*0.1,0)</f>
        <v>37000</v>
      </c>
      <c r="I34" s="215">
        <f t="shared" si="6"/>
        <v>368357.7329351111</v>
      </c>
      <c r="J34" s="207">
        <f t="shared" si="3"/>
        <v>1644.4541648888887</v>
      </c>
      <c r="K34" s="217"/>
      <c r="L34" s="168"/>
      <c r="M34" s="168"/>
      <c r="N34" s="168"/>
      <c r="O34" s="168"/>
      <c r="P34" s="168"/>
      <c r="Q34" s="168"/>
      <c r="R34" s="168"/>
      <c r="S34" s="168"/>
      <c r="T34" s="168"/>
      <c r="U34" s="168"/>
    </row>
    <row r="35" spans="1:21" ht="12.75" thickBot="1" x14ac:dyDescent="0.25">
      <c r="A35" s="208">
        <v>17</v>
      </c>
      <c r="B35" s="209">
        <v>0.05</v>
      </c>
      <c r="C35" s="209">
        <f>B35+C34</f>
        <v>0.85000000000000009</v>
      </c>
      <c r="D35" s="210">
        <f t="shared" si="4"/>
        <v>284617.06699999998</v>
      </c>
      <c r="E35" s="211">
        <f>E34+D35</f>
        <v>4838490.1389999995</v>
      </c>
      <c r="F35" s="212">
        <f t="shared" si="0"/>
        <v>0.94444444444444442</v>
      </c>
      <c r="G35" s="213" t="s">
        <v>112</v>
      </c>
      <c r="H35" s="214">
        <f>ROUND(D35*0.1,0)</f>
        <v>28462</v>
      </c>
      <c r="I35" s="215">
        <f t="shared" si="6"/>
        <v>283352.10225777776</v>
      </c>
      <c r="J35" s="207">
        <f t="shared" si="3"/>
        <v>1264.9647422222222</v>
      </c>
      <c r="K35" s="217"/>
      <c r="L35" s="168"/>
      <c r="M35" s="168"/>
      <c r="N35" s="168"/>
      <c r="O35" s="168"/>
      <c r="P35" s="168"/>
      <c r="Q35" s="168"/>
      <c r="R35" s="168"/>
      <c r="S35" s="168"/>
      <c r="T35" s="168"/>
      <c r="U35" s="168"/>
    </row>
    <row r="36" spans="1:21" ht="12.75" thickBot="1" x14ac:dyDescent="0.25">
      <c r="A36" s="220">
        <v>18</v>
      </c>
      <c r="B36" s="209">
        <v>0.05</v>
      </c>
      <c r="C36" s="221">
        <f>B36+C35</f>
        <v>0.90000000000000013</v>
      </c>
      <c r="D36" s="210">
        <f t="shared" si="4"/>
        <v>284617.06699999998</v>
      </c>
      <c r="E36" s="222">
        <f>E35+D36</f>
        <v>5123107.2059999993</v>
      </c>
      <c r="F36" s="223">
        <f t="shared" si="0"/>
        <v>1</v>
      </c>
      <c r="G36" s="224" t="s">
        <v>113</v>
      </c>
      <c r="H36" s="225">
        <f>ROUND(D36*0.1,0)</f>
        <v>28462</v>
      </c>
      <c r="I36" s="215">
        <f t="shared" si="6"/>
        <v>283352.10225777776</v>
      </c>
      <c r="J36" s="207">
        <f t="shared" si="3"/>
        <v>1264.9647422222222</v>
      </c>
      <c r="K36" s="219">
        <f>+SUM(J33:J36)</f>
        <v>5818.8378142222218</v>
      </c>
      <c r="L36" s="168"/>
      <c r="M36" s="168"/>
      <c r="N36" s="168"/>
      <c r="O36" s="168"/>
      <c r="P36" s="168"/>
      <c r="Q36" s="168"/>
      <c r="R36" s="168"/>
      <c r="S36" s="168"/>
      <c r="T36" s="168"/>
      <c r="U36" s="168"/>
    </row>
    <row r="37" spans="1:21" ht="12.75" thickBot="1" x14ac:dyDescent="0.25">
      <c r="A37" s="208">
        <v>19</v>
      </c>
      <c r="B37" s="209">
        <v>0.04</v>
      </c>
      <c r="C37" s="221">
        <f t="shared" ref="C37:C42" si="7">B37+C36</f>
        <v>0.94000000000000017</v>
      </c>
      <c r="D37" s="210">
        <f t="shared" si="4"/>
        <v>227693.65359999999</v>
      </c>
      <c r="E37" s="222">
        <f t="shared" ref="E37:E42" si="8">E36+D37</f>
        <v>5350800.8595999992</v>
      </c>
      <c r="F37" s="223">
        <f t="shared" si="0"/>
        <v>1.0444444444444445</v>
      </c>
      <c r="G37" s="224" t="s">
        <v>114</v>
      </c>
      <c r="H37" s="225">
        <f t="shared" ref="H37:H42" si="9">ROUND(D37*0.1,0)</f>
        <v>22769</v>
      </c>
      <c r="I37" s="215">
        <f t="shared" si="6"/>
        <v>226681.68180622222</v>
      </c>
      <c r="J37" s="207">
        <f t="shared" si="3"/>
        <v>1011.9717937777776</v>
      </c>
      <c r="K37" s="219"/>
      <c r="L37" s="168"/>
      <c r="M37" s="168"/>
      <c r="N37" s="168"/>
      <c r="O37" s="168"/>
      <c r="P37" s="168"/>
      <c r="Q37" s="168"/>
      <c r="R37" s="168"/>
      <c r="S37" s="168"/>
      <c r="T37" s="168"/>
      <c r="U37" s="168"/>
    </row>
    <row r="38" spans="1:21" ht="12.75" thickBot="1" x14ac:dyDescent="0.25">
      <c r="A38" s="220">
        <v>20</v>
      </c>
      <c r="B38" s="209">
        <v>0.02</v>
      </c>
      <c r="C38" s="221">
        <f t="shared" si="7"/>
        <v>0.96000000000000019</v>
      </c>
      <c r="D38" s="210">
        <f t="shared" si="4"/>
        <v>113846.8268</v>
      </c>
      <c r="E38" s="222">
        <f t="shared" si="8"/>
        <v>5464647.6863999991</v>
      </c>
      <c r="F38" s="223">
        <f t="shared" si="0"/>
        <v>1.0666666666666667</v>
      </c>
      <c r="G38" s="224" t="s">
        <v>115</v>
      </c>
      <c r="H38" s="225">
        <f t="shared" si="9"/>
        <v>11385</v>
      </c>
      <c r="I38" s="215">
        <f t="shared" si="6"/>
        <v>113340.84090311111</v>
      </c>
      <c r="J38" s="207">
        <f t="shared" si="3"/>
        <v>505.98589688888882</v>
      </c>
      <c r="K38" s="219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1:21" ht="12.75" thickBot="1" x14ac:dyDescent="0.25">
      <c r="A39" s="208">
        <v>21</v>
      </c>
      <c r="B39" s="238">
        <v>0.01</v>
      </c>
      <c r="C39" s="221">
        <f t="shared" si="7"/>
        <v>0.9700000000000002</v>
      </c>
      <c r="D39" s="210">
        <f t="shared" si="4"/>
        <v>56923.413399999998</v>
      </c>
      <c r="E39" s="222">
        <f t="shared" si="8"/>
        <v>5521571.099799999</v>
      </c>
      <c r="F39" s="223">
        <f t="shared" si="0"/>
        <v>1.0777777777777777</v>
      </c>
      <c r="G39" s="224" t="s">
        <v>116</v>
      </c>
      <c r="H39" s="225">
        <f t="shared" si="9"/>
        <v>5692</v>
      </c>
      <c r="I39" s="215">
        <f t="shared" si="6"/>
        <v>56670.420451555554</v>
      </c>
      <c r="J39" s="207">
        <f t="shared" si="3"/>
        <v>252.99294844444441</v>
      </c>
      <c r="K39" s="219"/>
      <c r="L39" s="168"/>
      <c r="M39" s="168"/>
      <c r="N39" s="168"/>
      <c r="O39" s="168"/>
      <c r="P39" s="168"/>
      <c r="Q39" s="168"/>
      <c r="R39" s="168"/>
      <c r="S39" s="168"/>
      <c r="T39" s="168"/>
      <c r="U39" s="168"/>
    </row>
    <row r="40" spans="1:21" ht="12.75" thickBot="1" x14ac:dyDescent="0.25">
      <c r="A40" s="220">
        <v>22</v>
      </c>
      <c r="B40" s="209">
        <v>0.01</v>
      </c>
      <c r="C40" s="221">
        <f t="shared" si="7"/>
        <v>0.9800000000000002</v>
      </c>
      <c r="D40" s="210">
        <f t="shared" si="4"/>
        <v>56923.413399999998</v>
      </c>
      <c r="E40" s="222">
        <f t="shared" si="8"/>
        <v>5578494.513199999</v>
      </c>
      <c r="F40" s="223">
        <f t="shared" si="0"/>
        <v>1.0888888888888888</v>
      </c>
      <c r="G40" s="224" t="s">
        <v>117</v>
      </c>
      <c r="H40" s="225">
        <f t="shared" si="9"/>
        <v>5692</v>
      </c>
      <c r="I40" s="215">
        <f t="shared" si="6"/>
        <v>56670.420451555554</v>
      </c>
      <c r="J40" s="207">
        <f t="shared" si="3"/>
        <v>252.99294844444441</v>
      </c>
      <c r="K40" s="219"/>
      <c r="L40" s="168"/>
      <c r="M40" s="168"/>
      <c r="N40" s="168"/>
      <c r="O40" s="168"/>
      <c r="P40" s="168"/>
      <c r="Q40" s="168"/>
      <c r="R40" s="168"/>
      <c r="S40" s="168"/>
      <c r="T40" s="168"/>
      <c r="U40" s="168"/>
    </row>
    <row r="41" spans="1:21" ht="12.75" thickBot="1" x14ac:dyDescent="0.25">
      <c r="A41" s="208">
        <v>23</v>
      </c>
      <c r="B41" s="209">
        <v>0.01</v>
      </c>
      <c r="C41" s="221">
        <f t="shared" si="7"/>
        <v>0.99000000000000021</v>
      </c>
      <c r="D41" s="210">
        <f t="shared" si="4"/>
        <v>56923.413399999998</v>
      </c>
      <c r="E41" s="222">
        <f t="shared" si="8"/>
        <v>5635417.926599999</v>
      </c>
      <c r="F41" s="223">
        <f t="shared" si="0"/>
        <v>1.0999999999999999</v>
      </c>
      <c r="G41" s="224" t="s">
        <v>118</v>
      </c>
      <c r="H41" s="225">
        <f t="shared" si="9"/>
        <v>5692</v>
      </c>
      <c r="I41" s="215">
        <f t="shared" si="6"/>
        <v>56670.420451555554</v>
      </c>
      <c r="J41" s="207">
        <f t="shared" si="3"/>
        <v>252.99294844444441</v>
      </c>
      <c r="K41" s="219"/>
      <c r="L41" s="168"/>
      <c r="M41" s="168"/>
      <c r="N41" s="168"/>
      <c r="O41" s="168"/>
      <c r="P41" s="168"/>
      <c r="Q41" s="168"/>
      <c r="R41" s="168"/>
      <c r="S41" s="168"/>
      <c r="T41" s="168"/>
      <c r="U41" s="168"/>
    </row>
    <row r="42" spans="1:21" ht="12.75" thickBot="1" x14ac:dyDescent="0.25">
      <c r="A42" s="220">
        <v>24</v>
      </c>
      <c r="B42" s="221">
        <v>0.01</v>
      </c>
      <c r="C42" s="221">
        <f t="shared" si="7"/>
        <v>1.0000000000000002</v>
      </c>
      <c r="D42" s="210">
        <f t="shared" si="4"/>
        <v>56923.413399999998</v>
      </c>
      <c r="E42" s="222">
        <f t="shared" si="8"/>
        <v>5692341.3399999989</v>
      </c>
      <c r="F42" s="223">
        <f t="shared" si="0"/>
        <v>1.1111111111111112</v>
      </c>
      <c r="G42" s="224" t="s">
        <v>119</v>
      </c>
      <c r="H42" s="225">
        <f t="shared" si="9"/>
        <v>5692</v>
      </c>
      <c r="I42" s="215">
        <f t="shared" si="6"/>
        <v>56670.420451555554</v>
      </c>
      <c r="J42" s="207">
        <f t="shared" si="3"/>
        <v>252.99294844444441</v>
      </c>
      <c r="K42" s="219"/>
      <c r="L42" s="168"/>
      <c r="M42" s="168"/>
      <c r="N42" s="168"/>
      <c r="O42" s="168"/>
      <c r="P42" s="168"/>
      <c r="Q42" s="168"/>
      <c r="R42" s="168"/>
      <c r="S42" s="168"/>
      <c r="T42" s="168"/>
      <c r="U42" s="168"/>
    </row>
    <row r="43" spans="1:21" ht="12.75" thickBot="1" x14ac:dyDescent="0.25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5692341.3399999989</v>
      </c>
      <c r="E43" s="168"/>
      <c r="F43" s="173"/>
      <c r="G43" s="173"/>
      <c r="H43" s="168"/>
      <c r="I43" s="231">
        <f>SUM(I18:I42)</f>
        <v>5667042.045155555</v>
      </c>
      <c r="J43" s="231">
        <f>SUM(J18:J42)</f>
        <v>25299.294844444441</v>
      </c>
      <c r="K43" s="217"/>
      <c r="L43" s="168"/>
      <c r="M43" s="168"/>
      <c r="N43" s="168"/>
      <c r="O43" s="168"/>
      <c r="P43" s="168"/>
      <c r="Q43" s="168"/>
      <c r="R43" s="168"/>
      <c r="S43" s="168"/>
      <c r="T43" s="168"/>
      <c r="U43" s="168"/>
    </row>
    <row r="44" spans="1:21" x14ac:dyDescent="0.2">
      <c r="A44" s="173"/>
      <c r="B44" s="178"/>
      <c r="C44" s="176"/>
      <c r="D44" s="176"/>
      <c r="E44" s="176"/>
      <c r="F44" s="168"/>
      <c r="G44" s="168"/>
      <c r="H44" s="179" t="s">
        <v>206</v>
      </c>
      <c r="I44" s="696">
        <f>I43+J43</f>
        <v>5692341.3399999999</v>
      </c>
      <c r="J44" s="697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</row>
    <row r="45" spans="1:21" x14ac:dyDescent="0.2">
      <c r="A45" s="172" t="s">
        <v>207</v>
      </c>
      <c r="B45" s="172"/>
      <c r="C45" s="172"/>
      <c r="D45" s="176"/>
      <c r="E45" s="176"/>
      <c r="F45" s="168"/>
      <c r="G45" s="168"/>
      <c r="H45" s="179" t="s">
        <v>208</v>
      </c>
      <c r="I45" s="190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</row>
    <row r="46" spans="1:21" x14ac:dyDescent="0.2">
      <c r="A46" s="168"/>
      <c r="B46" s="232"/>
      <c r="C46" s="176"/>
      <c r="D46" s="176"/>
      <c r="E46" s="176"/>
      <c r="F46" s="168"/>
      <c r="G46" s="168"/>
      <c r="H46" s="173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</row>
    <row r="47" spans="1:21" x14ac:dyDescent="0.2">
      <c r="A47" s="168"/>
      <c r="B47" s="232"/>
      <c r="C47" s="176"/>
      <c r="D47" s="176"/>
      <c r="E47" s="176"/>
      <c r="F47" s="168"/>
      <c r="G47" s="168"/>
      <c r="H47" s="173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</row>
    <row r="48" spans="1:21" x14ac:dyDescent="0.2">
      <c r="A48" s="168"/>
      <c r="B48" s="178"/>
      <c r="C48" s="176"/>
      <c r="D48" s="176"/>
      <c r="E48" s="176"/>
      <c r="F48" s="168"/>
      <c r="G48" s="168"/>
      <c r="H48" s="173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</row>
    <row r="49" spans="1:27" x14ac:dyDescent="0.2">
      <c r="A49" s="168"/>
      <c r="B49" s="178"/>
      <c r="C49" s="176"/>
      <c r="D49" s="176"/>
      <c r="E49" s="176"/>
      <c r="F49" s="168"/>
      <c r="G49" s="168"/>
      <c r="H49" s="173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</row>
    <row r="50" spans="1:27" x14ac:dyDescent="0.2">
      <c r="A50" s="168"/>
      <c r="B50" s="178"/>
      <c r="C50" s="176"/>
      <c r="D50" s="176"/>
      <c r="E50" s="176"/>
      <c r="F50" s="168"/>
      <c r="G50" s="168"/>
      <c r="H50" s="173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</row>
    <row r="51" spans="1:27" x14ac:dyDescent="0.2">
      <c r="A51" s="168"/>
      <c r="B51" s="178"/>
      <c r="C51" s="176"/>
      <c r="D51" s="176"/>
      <c r="E51" s="176"/>
      <c r="F51" s="168"/>
      <c r="G51" s="168"/>
      <c r="H51" s="173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</row>
    <row r="52" spans="1:27" x14ac:dyDescent="0.2">
      <c r="A52" s="168"/>
      <c r="B52" s="178"/>
      <c r="C52" s="176"/>
      <c r="D52" s="176"/>
      <c r="E52" s="176"/>
      <c r="F52" s="168"/>
      <c r="G52" s="168"/>
      <c r="H52" s="173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</row>
    <row r="53" spans="1:27" s="241" customFormat="1" ht="12.75" customHeight="1" x14ac:dyDescent="0.2">
      <c r="A53" s="240"/>
      <c r="B53" s="240" t="s">
        <v>209</v>
      </c>
      <c r="C53" s="240" t="s">
        <v>96</v>
      </c>
      <c r="D53" s="240" t="s">
        <v>97</v>
      </c>
      <c r="E53" s="240" t="s">
        <v>98</v>
      </c>
      <c r="F53" s="240" t="s">
        <v>99</v>
      </c>
      <c r="G53" s="240" t="s">
        <v>100</v>
      </c>
      <c r="H53" s="240" t="s">
        <v>101</v>
      </c>
      <c r="I53" s="240" t="s">
        <v>102</v>
      </c>
      <c r="J53" s="240" t="s">
        <v>103</v>
      </c>
      <c r="K53" s="240" t="s">
        <v>104</v>
      </c>
      <c r="L53" s="240" t="s">
        <v>105</v>
      </c>
      <c r="M53" s="240" t="s">
        <v>106</v>
      </c>
      <c r="N53" s="240" t="s">
        <v>107</v>
      </c>
      <c r="O53" s="240" t="s">
        <v>108</v>
      </c>
      <c r="P53" s="240" t="s">
        <v>109</v>
      </c>
      <c r="Q53" s="240" t="s">
        <v>110</v>
      </c>
      <c r="R53" s="240" t="s">
        <v>111</v>
      </c>
      <c r="S53" s="240" t="s">
        <v>112</v>
      </c>
      <c r="T53" s="240" t="s">
        <v>113</v>
      </c>
      <c r="U53" s="240" t="s">
        <v>114</v>
      </c>
      <c r="V53" s="240" t="s">
        <v>115</v>
      </c>
      <c r="W53" s="240" t="s">
        <v>116</v>
      </c>
      <c r="X53" s="240" t="s">
        <v>117</v>
      </c>
      <c r="Y53" s="240" t="s">
        <v>118</v>
      </c>
      <c r="Z53" s="240" t="s">
        <v>119</v>
      </c>
    </row>
    <row r="54" spans="1:27" s="244" customFormat="1" x14ac:dyDescent="0.2">
      <c r="A54" s="242" t="s">
        <v>210</v>
      </c>
      <c r="B54" s="243">
        <v>0</v>
      </c>
      <c r="C54" s="243">
        <f>$I19</f>
        <v>141676.05112888888</v>
      </c>
      <c r="D54" s="243">
        <f>$I20</f>
        <v>170011.26135466667</v>
      </c>
      <c r="E54" s="243">
        <f>$I21</f>
        <v>198346.47158044446</v>
      </c>
      <c r="F54" s="243">
        <f>$I22</f>
        <v>198346.47158044446</v>
      </c>
      <c r="G54" s="243">
        <f>$I23</f>
        <v>226681.68180622222</v>
      </c>
      <c r="H54" s="243">
        <f>$I24</f>
        <v>255016.89203199997</v>
      </c>
      <c r="I54" s="243">
        <f>$I25</f>
        <v>255016.89203199997</v>
      </c>
      <c r="J54" s="243">
        <f>$I26</f>
        <v>283352.10225777776</v>
      </c>
      <c r="K54" s="243">
        <f>$I27</f>
        <v>311687.31248355558</v>
      </c>
      <c r="L54" s="243">
        <f>$I28</f>
        <v>311687.31248355558</v>
      </c>
      <c r="M54" s="243">
        <f>$I29</f>
        <v>311687.31248355558</v>
      </c>
      <c r="N54" s="243">
        <f>$I30</f>
        <v>340022.52270933334</v>
      </c>
      <c r="O54" s="243">
        <f>$I31</f>
        <v>396692.94316088891</v>
      </c>
      <c r="P54" s="243">
        <f>$I32</f>
        <v>396692.94316088891</v>
      </c>
      <c r="Q54" s="243">
        <f>$I33</f>
        <v>368357.7329351111</v>
      </c>
      <c r="R54" s="243">
        <f>$I34</f>
        <v>368357.7329351111</v>
      </c>
      <c r="S54" s="243">
        <f>$I35</f>
        <v>283352.10225777776</v>
      </c>
      <c r="T54" s="243">
        <f>$I36</f>
        <v>283352.10225777776</v>
      </c>
      <c r="U54" s="243">
        <f>$I37</f>
        <v>226681.68180622222</v>
      </c>
      <c r="V54" s="243">
        <f>$I38</f>
        <v>113340.84090311111</v>
      </c>
      <c r="W54" s="243">
        <f>$I39</f>
        <v>56670.420451555554</v>
      </c>
      <c r="X54" s="243">
        <f>$I40</f>
        <v>56670.420451555554</v>
      </c>
      <c r="Y54" s="243">
        <f>$I41</f>
        <v>56670.420451555554</v>
      </c>
      <c r="Z54" s="243">
        <f>$I42</f>
        <v>56670.420451555554</v>
      </c>
      <c r="AA54" s="244">
        <f t="shared" ref="AA54:AA59" si="10">SUM(B54:Z54)</f>
        <v>5667042.045155555</v>
      </c>
    </row>
    <row r="55" spans="1:27" s="244" customFormat="1" x14ac:dyDescent="0.2">
      <c r="A55" s="242" t="s">
        <v>211</v>
      </c>
      <c r="B55" s="243">
        <f>$J18</f>
        <v>0</v>
      </c>
      <c r="C55" s="243">
        <f>$J19</f>
        <v>632.48237111111109</v>
      </c>
      <c r="D55" s="243">
        <f>$J20</f>
        <v>758.97884533333331</v>
      </c>
      <c r="E55" s="243">
        <f>$J21</f>
        <v>885.47531955555564</v>
      </c>
      <c r="F55" s="243">
        <f>$J22</f>
        <v>885.47531955555564</v>
      </c>
      <c r="G55" s="243">
        <f>$J23</f>
        <v>1011.9717937777776</v>
      </c>
      <c r="H55" s="243">
        <f>$J24</f>
        <v>1138.4682679999999</v>
      </c>
      <c r="I55" s="243">
        <f>$J25</f>
        <v>1138.4682679999999</v>
      </c>
      <c r="J55" s="243">
        <f>$J26</f>
        <v>1264.9647422222222</v>
      </c>
      <c r="K55" s="243">
        <f>$J27</f>
        <v>1391.4612164444445</v>
      </c>
      <c r="L55" s="243">
        <f>$J28</f>
        <v>1391.4612164444445</v>
      </c>
      <c r="M55" s="243">
        <f>$J29</f>
        <v>1391.4612164444445</v>
      </c>
      <c r="N55" s="243">
        <f>$J30</f>
        <v>1517.9576906666666</v>
      </c>
      <c r="O55" s="243">
        <f>$J31</f>
        <v>1770.9506391111113</v>
      </c>
      <c r="P55" s="243">
        <f>$J32</f>
        <v>1770.9506391111113</v>
      </c>
      <c r="Q55" s="243">
        <f>$J33</f>
        <v>1644.4541648888887</v>
      </c>
      <c r="R55" s="243">
        <f>$J34</f>
        <v>1644.4541648888887</v>
      </c>
      <c r="S55" s="243">
        <f>$J35</f>
        <v>1264.9647422222222</v>
      </c>
      <c r="T55" s="243">
        <f>$J36</f>
        <v>1264.9647422222222</v>
      </c>
      <c r="U55" s="243">
        <f>$J37</f>
        <v>1011.9717937777776</v>
      </c>
      <c r="V55" s="243">
        <f>$J38</f>
        <v>505.98589688888882</v>
      </c>
      <c r="W55" s="243">
        <f>$J39</f>
        <v>252.99294844444441</v>
      </c>
      <c r="X55" s="243">
        <f>$J40</f>
        <v>252.99294844444441</v>
      </c>
      <c r="Y55" s="243">
        <f>$J41</f>
        <v>252.99294844444441</v>
      </c>
      <c r="Z55" s="243">
        <f>$J42</f>
        <v>252.99294844444441</v>
      </c>
      <c r="AA55" s="245">
        <f t="shared" si="10"/>
        <v>25299.294844444441</v>
      </c>
    </row>
    <row r="56" spans="1:27" x14ac:dyDescent="0.2">
      <c r="A56" s="246" t="s">
        <v>214</v>
      </c>
      <c r="B56" s="247">
        <f>SUM(B54:B55)</f>
        <v>0</v>
      </c>
      <c r="C56" s="247">
        <f>SUM(C54:C55)*0.45</f>
        <v>64038.840075</v>
      </c>
      <c r="D56" s="247">
        <f t="shared" ref="D56:Z56" si="11">SUM(D54:D55)*0.45</f>
        <v>76846.608090000009</v>
      </c>
      <c r="E56" s="247">
        <f t="shared" si="11"/>
        <v>89654.376105000003</v>
      </c>
      <c r="F56" s="247">
        <f t="shared" si="11"/>
        <v>89654.376105000003</v>
      </c>
      <c r="G56" s="247">
        <f t="shared" si="11"/>
        <v>102462.14412</v>
      </c>
      <c r="H56" s="247">
        <f t="shared" si="11"/>
        <v>115269.91213499999</v>
      </c>
      <c r="I56" s="247">
        <f t="shared" si="11"/>
        <v>115269.91213499999</v>
      </c>
      <c r="J56" s="247">
        <f t="shared" si="11"/>
        <v>128077.68015</v>
      </c>
      <c r="K56" s="247">
        <f t="shared" si="11"/>
        <v>140885.44816500001</v>
      </c>
      <c r="L56" s="247">
        <f t="shared" si="11"/>
        <v>140885.44816500001</v>
      </c>
      <c r="M56" s="247">
        <f t="shared" si="11"/>
        <v>140885.44816500001</v>
      </c>
      <c r="N56" s="247">
        <f t="shared" si="11"/>
        <v>153693.21618000002</v>
      </c>
      <c r="O56" s="247">
        <f t="shared" si="11"/>
        <v>179308.75221000001</v>
      </c>
      <c r="P56" s="247">
        <f t="shared" si="11"/>
        <v>179308.75221000001</v>
      </c>
      <c r="Q56" s="247">
        <f t="shared" si="11"/>
        <v>166500.984195</v>
      </c>
      <c r="R56" s="247">
        <f t="shared" si="11"/>
        <v>166500.984195</v>
      </c>
      <c r="S56" s="247">
        <f t="shared" si="11"/>
        <v>128077.68015</v>
      </c>
      <c r="T56" s="247">
        <f t="shared" si="11"/>
        <v>128077.68015</v>
      </c>
      <c r="U56" s="247">
        <f t="shared" si="11"/>
        <v>102462.14412</v>
      </c>
      <c r="V56" s="247">
        <f t="shared" si="11"/>
        <v>51231.072059999999</v>
      </c>
      <c r="W56" s="247">
        <f t="shared" si="11"/>
        <v>25615.536029999999</v>
      </c>
      <c r="X56" s="247">
        <f t="shared" si="11"/>
        <v>25615.536029999999</v>
      </c>
      <c r="Y56" s="247">
        <f t="shared" si="11"/>
        <v>25615.536029999999</v>
      </c>
      <c r="Z56" s="247">
        <f t="shared" si="11"/>
        <v>25615.536029999999</v>
      </c>
      <c r="AA56" s="247">
        <f t="shared" si="10"/>
        <v>2561553.6030000001</v>
      </c>
    </row>
    <row r="57" spans="1:27" s="245" customFormat="1" x14ac:dyDescent="0.2">
      <c r="A57" s="248" t="s">
        <v>215</v>
      </c>
      <c r="B57" s="248">
        <v>0</v>
      </c>
      <c r="C57" s="248">
        <f>C63</f>
        <v>106731.400125</v>
      </c>
      <c r="D57" s="248">
        <f t="shared" ref="D57:Z57" si="12">C57</f>
        <v>106731.400125</v>
      </c>
      <c r="E57" s="248">
        <f t="shared" si="12"/>
        <v>106731.400125</v>
      </c>
      <c r="F57" s="248">
        <f t="shared" si="12"/>
        <v>106731.400125</v>
      </c>
      <c r="G57" s="248">
        <f t="shared" si="12"/>
        <v>106731.400125</v>
      </c>
      <c r="H57" s="248">
        <f t="shared" si="12"/>
        <v>106731.400125</v>
      </c>
      <c r="I57" s="248">
        <f t="shared" si="12"/>
        <v>106731.400125</v>
      </c>
      <c r="J57" s="248">
        <f t="shared" si="12"/>
        <v>106731.400125</v>
      </c>
      <c r="K57" s="248">
        <f t="shared" si="12"/>
        <v>106731.400125</v>
      </c>
      <c r="L57" s="248">
        <f t="shared" si="12"/>
        <v>106731.400125</v>
      </c>
      <c r="M57" s="248">
        <f t="shared" si="12"/>
        <v>106731.400125</v>
      </c>
      <c r="N57" s="248">
        <f t="shared" si="12"/>
        <v>106731.400125</v>
      </c>
      <c r="O57" s="248">
        <f t="shared" si="12"/>
        <v>106731.400125</v>
      </c>
      <c r="P57" s="248">
        <f t="shared" si="12"/>
        <v>106731.400125</v>
      </c>
      <c r="Q57" s="248">
        <f t="shared" si="12"/>
        <v>106731.400125</v>
      </c>
      <c r="R57" s="248">
        <f t="shared" si="12"/>
        <v>106731.400125</v>
      </c>
      <c r="S57" s="248">
        <f t="shared" si="12"/>
        <v>106731.400125</v>
      </c>
      <c r="T57" s="248">
        <f t="shared" si="12"/>
        <v>106731.400125</v>
      </c>
      <c r="U57" s="248">
        <f t="shared" si="12"/>
        <v>106731.400125</v>
      </c>
      <c r="V57" s="248">
        <f t="shared" si="12"/>
        <v>106731.400125</v>
      </c>
      <c r="W57" s="248">
        <f t="shared" si="12"/>
        <v>106731.400125</v>
      </c>
      <c r="X57" s="248">
        <f t="shared" si="12"/>
        <v>106731.400125</v>
      </c>
      <c r="Y57" s="248">
        <f t="shared" si="12"/>
        <v>106731.400125</v>
      </c>
      <c r="Z57" s="248">
        <f t="shared" si="12"/>
        <v>106731.400125</v>
      </c>
      <c r="AA57" s="247">
        <f t="shared" si="10"/>
        <v>2561553.6030000001</v>
      </c>
    </row>
    <row r="58" spans="1:27" s="245" customFormat="1" x14ac:dyDescent="0.2">
      <c r="A58" s="248" t="s">
        <v>209</v>
      </c>
      <c r="B58" s="248">
        <f>A61*10%</f>
        <v>569234.13399999996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7">
        <f t="shared" si="10"/>
        <v>569234.13399999996</v>
      </c>
    </row>
    <row r="59" spans="1:27" s="245" customFormat="1" x14ac:dyDescent="0.2">
      <c r="A59" s="248"/>
      <c r="B59" s="248">
        <f>SUM(B56:B58)</f>
        <v>569234.13399999996</v>
      </c>
      <c r="C59" s="248">
        <f>SUM(C56:C58)</f>
        <v>170770.2402</v>
      </c>
      <c r="D59" s="248">
        <f t="shared" ref="D59:Z59" si="13">SUM(D56:D58)</f>
        <v>183578.00821500001</v>
      </c>
      <c r="E59" s="248">
        <f t="shared" si="13"/>
        <v>196385.77623000002</v>
      </c>
      <c r="F59" s="248">
        <f t="shared" si="13"/>
        <v>196385.77623000002</v>
      </c>
      <c r="G59" s="248">
        <f t="shared" si="13"/>
        <v>209193.544245</v>
      </c>
      <c r="H59" s="248">
        <f t="shared" si="13"/>
        <v>222001.31225999998</v>
      </c>
      <c r="I59" s="248">
        <f t="shared" si="13"/>
        <v>222001.31225999998</v>
      </c>
      <c r="J59" s="248">
        <f t="shared" si="13"/>
        <v>234809.08027500001</v>
      </c>
      <c r="K59" s="248">
        <f t="shared" si="13"/>
        <v>247616.84828999999</v>
      </c>
      <c r="L59" s="248">
        <f t="shared" si="13"/>
        <v>247616.84828999999</v>
      </c>
      <c r="M59" s="248">
        <f t="shared" si="13"/>
        <v>247616.84828999999</v>
      </c>
      <c r="N59" s="248">
        <f t="shared" si="13"/>
        <v>260424.61630500003</v>
      </c>
      <c r="O59" s="248">
        <f t="shared" si="13"/>
        <v>286040.15233499999</v>
      </c>
      <c r="P59" s="248">
        <f t="shared" si="13"/>
        <v>286040.15233499999</v>
      </c>
      <c r="Q59" s="248">
        <f t="shared" si="13"/>
        <v>273232.38432000001</v>
      </c>
      <c r="R59" s="248">
        <f t="shared" si="13"/>
        <v>273232.38432000001</v>
      </c>
      <c r="S59" s="248">
        <f t="shared" si="13"/>
        <v>234809.08027500001</v>
      </c>
      <c r="T59" s="248">
        <f t="shared" si="13"/>
        <v>234809.08027500001</v>
      </c>
      <c r="U59" s="248">
        <f t="shared" si="13"/>
        <v>209193.544245</v>
      </c>
      <c r="V59" s="248">
        <f t="shared" si="13"/>
        <v>157962.47218499999</v>
      </c>
      <c r="W59" s="248">
        <f t="shared" si="13"/>
        <v>132346.936155</v>
      </c>
      <c r="X59" s="248">
        <f t="shared" si="13"/>
        <v>132346.936155</v>
      </c>
      <c r="Y59" s="248">
        <f t="shared" si="13"/>
        <v>132346.936155</v>
      </c>
      <c r="Z59" s="248">
        <f t="shared" si="13"/>
        <v>132346.936155</v>
      </c>
      <c r="AA59" s="247">
        <f t="shared" si="10"/>
        <v>5692341.3399999999</v>
      </c>
    </row>
    <row r="60" spans="1:27" s="244" customFormat="1" x14ac:dyDescent="0.2">
      <c r="C60" s="244">
        <f>B60/A61</f>
        <v>0</v>
      </c>
    </row>
    <row r="61" spans="1:27" s="244" customFormat="1" x14ac:dyDescent="0.2">
      <c r="A61" s="244">
        <v>5692341.3399999999</v>
      </c>
    </row>
    <row r="62" spans="1:27" s="244" customFormat="1" x14ac:dyDescent="0.2">
      <c r="A62" s="244">
        <f>A61*0.1</f>
        <v>569234.13399999996</v>
      </c>
    </row>
    <row r="63" spans="1:27" s="244" customFormat="1" x14ac:dyDescent="0.2">
      <c r="A63" s="244">
        <f>A61*0.45</f>
        <v>2561553.6030000001</v>
      </c>
      <c r="C63" s="244">
        <f>A63/24</f>
        <v>106731.400125</v>
      </c>
    </row>
    <row r="64" spans="1:27" s="244" customFormat="1" x14ac:dyDescent="0.2"/>
  </sheetData>
  <mergeCells count="6">
    <mergeCell ref="I44:J44"/>
    <mergeCell ref="A1:J1"/>
    <mergeCell ref="B3:I4"/>
    <mergeCell ref="A5:C5"/>
    <mergeCell ref="D7:F7"/>
    <mergeCell ref="C15:D15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73D62-012B-4CDD-BEF6-227F4ADD53EC}">
  <dimension ref="A1:AA64"/>
  <sheetViews>
    <sheetView showGridLines="0" topLeftCell="A13" zoomScale="80" zoomScaleNormal="80" workbookViewId="0">
      <selection activeCell="D8" sqref="D8"/>
    </sheetView>
  </sheetViews>
  <sheetFormatPr defaultColWidth="11.42578125" defaultRowHeight="12" x14ac:dyDescent="0.2"/>
  <cols>
    <col min="1" max="1" width="17.42578125" style="239" customWidth="1"/>
    <col min="2" max="2" width="14.28515625" style="239" customWidth="1"/>
    <col min="3" max="3" width="16.85546875" style="239" customWidth="1"/>
    <col min="4" max="4" width="13.7109375" style="239" bestFit="1" customWidth="1"/>
    <col min="5" max="5" width="13.5703125" style="239" customWidth="1"/>
    <col min="6" max="6" width="18.28515625" style="239" customWidth="1"/>
    <col min="7" max="7" width="17.5703125" style="239" bestFit="1" customWidth="1"/>
    <col min="8" max="8" width="17.42578125" style="239" bestFit="1" customWidth="1"/>
    <col min="9" max="9" width="13.85546875" style="239" bestFit="1" customWidth="1"/>
    <col min="10" max="10" width="16.42578125" style="239" bestFit="1" customWidth="1"/>
    <col min="11" max="11" width="13.7109375" style="239" bestFit="1" customWidth="1"/>
    <col min="12" max="12" width="15.7109375" style="239" bestFit="1" customWidth="1"/>
    <col min="13" max="13" width="15.28515625" style="239" bestFit="1" customWidth="1"/>
    <col min="14" max="20" width="13.7109375" style="239" bestFit="1" customWidth="1"/>
    <col min="21" max="21" width="14.7109375" style="239" bestFit="1" customWidth="1"/>
    <col min="22" max="16384" width="11.42578125" style="239"/>
  </cols>
  <sheetData>
    <row r="1" spans="1:21" ht="15.75" customHeight="1" x14ac:dyDescent="0.2">
      <c r="A1" s="698" t="s">
        <v>181</v>
      </c>
      <c r="B1" s="698"/>
      <c r="C1" s="698"/>
      <c r="D1" s="698"/>
      <c r="E1" s="698"/>
      <c r="F1" s="698"/>
      <c r="G1" s="698"/>
      <c r="H1" s="698"/>
      <c r="I1" s="698"/>
      <c r="J1" s="69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x14ac:dyDescent="0.2">
      <c r="A2" s="169"/>
      <c r="B2" s="170"/>
      <c r="C2" s="171"/>
      <c r="D2" s="171"/>
      <c r="E2" s="172"/>
      <c r="F2" s="172"/>
      <c r="G2" s="168"/>
      <c r="H2" s="173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x14ac:dyDescent="0.2">
      <c r="A3" s="169" t="s">
        <v>182</v>
      </c>
      <c r="B3" s="699" t="s">
        <v>213</v>
      </c>
      <c r="C3" s="699"/>
      <c r="D3" s="699"/>
      <c r="E3" s="699"/>
      <c r="F3" s="699"/>
      <c r="G3" s="699"/>
      <c r="H3" s="699"/>
      <c r="I3" s="699"/>
      <c r="J3" s="174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x14ac:dyDescent="0.2">
      <c r="A4" s="175"/>
      <c r="B4" s="699"/>
      <c r="C4" s="699"/>
      <c r="D4" s="699"/>
      <c r="E4" s="699"/>
      <c r="F4" s="699"/>
      <c r="G4" s="699"/>
      <c r="H4" s="699"/>
      <c r="I4" s="699"/>
      <c r="J4" s="174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</row>
    <row r="5" spans="1:21" x14ac:dyDescent="0.2">
      <c r="A5" s="700" t="str">
        <f>CONCATENATE("PLAZO: ",A36," MESES (",A43,")")</f>
        <v>PLAZO: 18 MESES (720 dias)</v>
      </c>
      <c r="B5" s="700"/>
      <c r="C5" s="700"/>
      <c r="D5" s="176"/>
      <c r="E5" s="177" t="s">
        <v>183</v>
      </c>
      <c r="F5" s="168" t="s">
        <v>184</v>
      </c>
      <c r="G5" s="168"/>
      <c r="H5" s="173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x14ac:dyDescent="0.2">
      <c r="A6" s="168"/>
      <c r="B6" s="178"/>
      <c r="C6" s="176"/>
      <c r="D6" s="176"/>
      <c r="E6" s="176"/>
      <c r="F6" s="168"/>
      <c r="G6" s="168"/>
      <c r="H6" s="173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</row>
    <row r="7" spans="1:21" x14ac:dyDescent="0.2">
      <c r="A7" s="168"/>
      <c r="B7" s="178"/>
      <c r="C7" s="179" t="s">
        <v>185</v>
      </c>
      <c r="D7" s="701"/>
      <c r="E7" s="701"/>
      <c r="F7" s="701"/>
      <c r="G7" s="168"/>
      <c r="H7" s="179" t="s">
        <v>186</v>
      </c>
      <c r="I7" s="180">
        <f ca="1">NOW()</f>
        <v>43703.768187731483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</row>
    <row r="8" spans="1:21" x14ac:dyDescent="0.2">
      <c r="A8" s="168"/>
      <c r="B8" s="178"/>
      <c r="C8" s="179" t="str">
        <f>IF(D7=0,"MONTO ESTIMADO CON IVA:","MONTO DE CONTRATO CON IVA:")</f>
        <v>MONTO ESTIMADO CON IVA:</v>
      </c>
      <c r="D8" s="181">
        <v>948518</v>
      </c>
      <c r="E8" s="182" t="s">
        <v>187</v>
      </c>
      <c r="F8" s="168" t="s">
        <v>188</v>
      </c>
      <c r="G8" s="168"/>
      <c r="H8" s="173" t="s">
        <v>189</v>
      </c>
      <c r="I8" s="183">
        <v>1</v>
      </c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1:21" x14ac:dyDescent="0.2">
      <c r="A9" s="168"/>
      <c r="B9" s="178"/>
      <c r="C9" s="179"/>
      <c r="D9" s="181"/>
      <c r="E9" s="176" t="s">
        <v>190</v>
      </c>
      <c r="F9" s="168"/>
      <c r="G9" s="168"/>
      <c r="H9" s="173"/>
      <c r="I9" s="184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</row>
    <row r="10" spans="1:21" x14ac:dyDescent="0.2">
      <c r="A10" s="168"/>
      <c r="B10" s="178"/>
      <c r="C10" s="179"/>
      <c r="D10" s="181"/>
      <c r="E10" s="176" t="s">
        <v>187</v>
      </c>
      <c r="F10" s="168"/>
      <c r="G10" s="168"/>
      <c r="H10" s="173"/>
      <c r="I10" s="184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</row>
    <row r="11" spans="1:21" x14ac:dyDescent="0.2">
      <c r="A11" s="168"/>
      <c r="B11" s="168"/>
      <c r="C11" s="179" t="str">
        <f>IF(D7=0,"MONTO ESTIMADO SIN IVA:","MONTO DE CONTRATO SIN IVA:")</f>
        <v>MONTO ESTIMADO SIN IVA:</v>
      </c>
      <c r="D11" s="185">
        <f>D8</f>
        <v>948518</v>
      </c>
      <c r="E11" s="186" t="s">
        <v>190</v>
      </c>
      <c r="F11" s="176"/>
      <c r="G11" s="168"/>
      <c r="H11" s="173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</row>
    <row r="12" spans="1:21" x14ac:dyDescent="0.2">
      <c r="A12" s="168"/>
      <c r="B12" s="168"/>
      <c r="C12" s="179" t="s">
        <v>191</v>
      </c>
      <c r="D12" s="183">
        <v>100</v>
      </c>
      <c r="E12" s="176"/>
      <c r="F12" s="176" t="s">
        <v>192</v>
      </c>
      <c r="G12" s="168"/>
      <c r="H12" s="173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</row>
    <row r="13" spans="1:21" x14ac:dyDescent="0.2">
      <c r="A13" s="168"/>
      <c r="B13" s="168"/>
      <c r="C13" s="179" t="s">
        <v>193</v>
      </c>
      <c r="D13" s="187">
        <f>100-D12</f>
        <v>0</v>
      </c>
      <c r="E13" s="176"/>
      <c r="F13" s="176"/>
      <c r="G13" s="168"/>
      <c r="H13" s="173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</row>
    <row r="14" spans="1:21" x14ac:dyDescent="0.2">
      <c r="A14" s="168"/>
      <c r="B14" s="168"/>
      <c r="C14" s="179" t="s">
        <v>194</v>
      </c>
      <c r="D14" s="184">
        <v>0</v>
      </c>
      <c r="E14" s="176"/>
      <c r="F14" s="176"/>
      <c r="G14" s="168"/>
      <c r="H14" s="173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</row>
    <row r="15" spans="1:21" x14ac:dyDescent="0.2">
      <c r="A15" s="168"/>
      <c r="B15" s="179" t="s">
        <v>195</v>
      </c>
      <c r="C15" s="702"/>
      <c r="D15" s="702"/>
      <c r="E15" s="416" t="s">
        <v>196</v>
      </c>
      <c r="F15" s="417"/>
      <c r="G15" s="168"/>
      <c r="H15" s="190" t="s">
        <v>197</v>
      </c>
      <c r="I15" s="183">
        <v>10</v>
      </c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</row>
    <row r="16" spans="1:21" ht="12.75" thickBot="1" x14ac:dyDescent="0.25">
      <c r="A16" s="168"/>
      <c r="B16" s="178"/>
      <c r="C16" s="176"/>
      <c r="D16" s="176"/>
      <c r="E16" s="176"/>
      <c r="F16" s="191"/>
      <c r="G16" s="168"/>
      <c r="H16" s="173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</row>
    <row r="17" spans="1:21" ht="48.75" thickBot="1" x14ac:dyDescent="0.25">
      <c r="A17" s="192" t="s">
        <v>198</v>
      </c>
      <c r="B17" s="193" t="s">
        <v>199</v>
      </c>
      <c r="C17" s="193" t="s">
        <v>200</v>
      </c>
      <c r="D17" s="194" t="str">
        <f>CONCATENATE("MONTO MENSUAL DESCONTADO ",ROUND(D14,0),"% ANTICIPO")</f>
        <v>MONTO MENSUAL DESCONTADO 0% ANTICIPO</v>
      </c>
      <c r="E17" s="195" t="s">
        <v>201</v>
      </c>
      <c r="F17" s="196" t="s">
        <v>202</v>
      </c>
      <c r="G17" s="197" t="s">
        <v>203</v>
      </c>
      <c r="H17" s="198" t="s">
        <v>204</v>
      </c>
      <c r="I17" s="199" t="str">
        <f>CONCATENATE("DESEMBOLSOS FONDO LOCAL (",ROUND(D13,0),"%) + IVA")</f>
        <v>DESEMBOLSOS FONDO LOCAL (0%) + IVA</v>
      </c>
      <c r="J17" s="199" t="str">
        <f>CONCATENATE("DESEMBOLSOS FONDO EXTERNO (",ROUND(D12,0),"%)")</f>
        <v>DESEMBOLSOS FONDO EXTERNO (100%)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</row>
    <row r="18" spans="1:21" x14ac:dyDescent="0.2">
      <c r="A18" s="200">
        <v>0</v>
      </c>
      <c r="B18" s="201">
        <f>D14/100</f>
        <v>0</v>
      </c>
      <c r="C18" s="201">
        <v>0</v>
      </c>
      <c r="D18" s="202">
        <f>B18*D11</f>
        <v>0</v>
      </c>
      <c r="E18" s="203">
        <f>D18</f>
        <v>0</v>
      </c>
      <c r="F18" s="204">
        <f t="shared" ref="F18:F42" si="0">E18/$E$36</f>
        <v>0</v>
      </c>
      <c r="G18" s="205" t="s">
        <v>205</v>
      </c>
      <c r="H18" s="206">
        <f t="shared" ref="H18:H33" si="1">ROUND(D18*0.1,0)</f>
        <v>0</v>
      </c>
      <c r="I18" s="207">
        <v>0</v>
      </c>
      <c r="J18" s="207">
        <f t="shared" ref="J18" si="2">ROUNDUP(D18*$D$12/100,-(LEN(D18)-$I$15))</f>
        <v>0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</row>
    <row r="19" spans="1:21" x14ac:dyDescent="0.2">
      <c r="A19" s="208">
        <v>1</v>
      </c>
      <c r="B19" s="209">
        <v>2.5000000000000001E-2</v>
      </c>
      <c r="C19" s="209">
        <f t="shared" ref="C19:C33" si="3">B19+C18</f>
        <v>2.5000000000000001E-2</v>
      </c>
      <c r="D19" s="210">
        <f>(B19*$D$11*(100-$D$14)/100)</f>
        <v>23712.95</v>
      </c>
      <c r="E19" s="211">
        <f>E18+D19</f>
        <v>23712.95</v>
      </c>
      <c r="F19" s="212">
        <f t="shared" si="0"/>
        <v>2.7777777777777776E-2</v>
      </c>
      <c r="G19" s="213" t="s">
        <v>96</v>
      </c>
      <c r="H19" s="214">
        <f>ROUND(D19*0.1,0)</f>
        <v>2371</v>
      </c>
      <c r="I19" s="215">
        <f>ROUNDUP((D19+H19-J19),-(LEN(D19)-$I$15))</f>
        <v>2371</v>
      </c>
      <c r="J19" s="215">
        <f>D19*$D$12/100</f>
        <v>23712.95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</row>
    <row r="20" spans="1:21" x14ac:dyDescent="0.2">
      <c r="A20" s="208">
        <v>2</v>
      </c>
      <c r="B20" s="209">
        <v>0.03</v>
      </c>
      <c r="C20" s="209">
        <f t="shared" si="3"/>
        <v>5.5E-2</v>
      </c>
      <c r="D20" s="210">
        <f t="shared" ref="D20:D42" si="4">(B20*$D$11*(100-$D$14)/100)</f>
        <v>28455.539999999994</v>
      </c>
      <c r="E20" s="211">
        <f t="shared" ref="E20:E33" si="5">E19+D20</f>
        <v>52168.489999999991</v>
      </c>
      <c r="F20" s="212">
        <f t="shared" si="0"/>
        <v>6.1111111111111095E-2</v>
      </c>
      <c r="G20" s="213" t="s">
        <v>97</v>
      </c>
      <c r="H20" s="214">
        <f t="shared" si="1"/>
        <v>2846</v>
      </c>
      <c r="I20" s="215">
        <f t="shared" ref="I20:I42" si="6">ROUNDUP((D20+H20-J20),-(LEN(D20)-$I$15))</f>
        <v>2846</v>
      </c>
      <c r="J20" s="215">
        <f t="shared" ref="J20:J42" si="7">D20*$D$12/100</f>
        <v>28455.539999999994</v>
      </c>
      <c r="K20" s="216">
        <f>+SUM(J18:J20)</f>
        <v>52168.489999999991</v>
      </c>
      <c r="L20" s="168"/>
      <c r="M20" s="168"/>
      <c r="N20" s="168"/>
      <c r="O20" s="168"/>
      <c r="P20" s="168"/>
      <c r="Q20" s="168"/>
      <c r="R20" s="168"/>
      <c r="S20" s="168"/>
      <c r="T20" s="168"/>
      <c r="U20" s="168"/>
    </row>
    <row r="21" spans="1:21" x14ac:dyDescent="0.2">
      <c r="A21" s="208">
        <v>3</v>
      </c>
      <c r="B21" s="209">
        <v>3.5000000000000003E-2</v>
      </c>
      <c r="C21" s="209">
        <f t="shared" si="3"/>
        <v>0.09</v>
      </c>
      <c r="D21" s="210">
        <f t="shared" si="4"/>
        <v>33198.130000000005</v>
      </c>
      <c r="E21" s="211">
        <f t="shared" si="5"/>
        <v>85366.62</v>
      </c>
      <c r="F21" s="212">
        <f t="shared" si="0"/>
        <v>9.9999999999999992E-2</v>
      </c>
      <c r="G21" s="213" t="s">
        <v>98</v>
      </c>
      <c r="H21" s="214">
        <f t="shared" si="1"/>
        <v>3320</v>
      </c>
      <c r="I21" s="215">
        <f t="shared" si="6"/>
        <v>3320</v>
      </c>
      <c r="J21" s="215">
        <f t="shared" si="7"/>
        <v>33198.130000000005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1:21" x14ac:dyDescent="0.2">
      <c r="A22" s="208">
        <v>4</v>
      </c>
      <c r="B22" s="209">
        <v>3.5000000000000003E-2</v>
      </c>
      <c r="C22" s="209">
        <f t="shared" si="3"/>
        <v>0.125</v>
      </c>
      <c r="D22" s="210">
        <f t="shared" si="4"/>
        <v>33198.130000000005</v>
      </c>
      <c r="E22" s="211">
        <f t="shared" si="5"/>
        <v>118564.75</v>
      </c>
      <c r="F22" s="212">
        <f t="shared" si="0"/>
        <v>0.13888888888888887</v>
      </c>
      <c r="G22" s="213" t="s">
        <v>99</v>
      </c>
      <c r="H22" s="214">
        <f t="shared" si="1"/>
        <v>3320</v>
      </c>
      <c r="I22" s="215">
        <f t="shared" si="6"/>
        <v>3320</v>
      </c>
      <c r="J22" s="215">
        <f t="shared" si="7"/>
        <v>33198.130000000005</v>
      </c>
      <c r="K22" s="217"/>
      <c r="L22" s="168"/>
      <c r="M22" s="168"/>
      <c r="N22" s="168"/>
      <c r="O22" s="168"/>
      <c r="P22" s="168"/>
      <c r="Q22" s="168"/>
      <c r="R22" s="168"/>
      <c r="S22" s="168"/>
      <c r="T22" s="168"/>
      <c r="U22" s="168"/>
    </row>
    <row r="23" spans="1:21" x14ac:dyDescent="0.2">
      <c r="A23" s="208">
        <v>5</v>
      </c>
      <c r="B23" s="209">
        <v>0.04</v>
      </c>
      <c r="C23" s="209">
        <f t="shared" si="3"/>
        <v>0.16500000000000001</v>
      </c>
      <c r="D23" s="210">
        <f t="shared" si="4"/>
        <v>37940.720000000001</v>
      </c>
      <c r="E23" s="211">
        <f t="shared" si="5"/>
        <v>156505.47</v>
      </c>
      <c r="F23" s="212">
        <f t="shared" si="0"/>
        <v>0.18333333333333332</v>
      </c>
      <c r="G23" s="213" t="s">
        <v>100</v>
      </c>
      <c r="H23" s="214">
        <f t="shared" si="1"/>
        <v>3794</v>
      </c>
      <c r="I23" s="215">
        <f t="shared" si="6"/>
        <v>3794</v>
      </c>
      <c r="J23" s="215">
        <f t="shared" si="7"/>
        <v>37940.720000000001</v>
      </c>
      <c r="K23" s="217"/>
      <c r="L23" s="168"/>
      <c r="M23" s="168"/>
      <c r="N23" s="168"/>
      <c r="O23" s="168"/>
      <c r="P23" s="168"/>
      <c r="Q23" s="168"/>
      <c r="R23" s="168"/>
      <c r="S23" s="168"/>
      <c r="T23" s="168"/>
      <c r="U23" s="168"/>
    </row>
    <row r="24" spans="1:21" x14ac:dyDescent="0.2">
      <c r="A24" s="208">
        <v>6</v>
      </c>
      <c r="B24" s="209">
        <v>4.4999999999999998E-2</v>
      </c>
      <c r="C24" s="209">
        <f t="shared" si="3"/>
        <v>0.21000000000000002</v>
      </c>
      <c r="D24" s="210">
        <f t="shared" si="4"/>
        <v>42683.31</v>
      </c>
      <c r="E24" s="211">
        <f>E23+D24</f>
        <v>199188.78</v>
      </c>
      <c r="F24" s="212">
        <f t="shared" si="0"/>
        <v>0.23333333333333331</v>
      </c>
      <c r="G24" s="213" t="s">
        <v>101</v>
      </c>
      <c r="H24" s="214">
        <f>ROUND(D24*0.1,0)</f>
        <v>4268</v>
      </c>
      <c r="I24" s="215">
        <f>ROUNDUP((D24+H24-J24),-(LEN(D24)-$I$15))</f>
        <v>4268</v>
      </c>
      <c r="J24" s="215">
        <f t="shared" si="7"/>
        <v>42683.31</v>
      </c>
      <c r="K24" s="217"/>
      <c r="L24" s="168"/>
      <c r="M24" s="168"/>
      <c r="N24" s="168"/>
      <c r="O24" s="168"/>
      <c r="P24" s="168"/>
      <c r="Q24" s="168"/>
      <c r="R24" s="168"/>
      <c r="S24" s="168"/>
      <c r="T24" s="168"/>
      <c r="U24" s="168"/>
    </row>
    <row r="25" spans="1:21" x14ac:dyDescent="0.2">
      <c r="A25" s="208">
        <v>7</v>
      </c>
      <c r="B25" s="209">
        <v>4.4999999999999998E-2</v>
      </c>
      <c r="C25" s="209">
        <f t="shared" si="3"/>
        <v>0.255</v>
      </c>
      <c r="D25" s="210">
        <f t="shared" si="4"/>
        <v>42683.31</v>
      </c>
      <c r="E25" s="211">
        <f t="shared" si="5"/>
        <v>241872.09</v>
      </c>
      <c r="F25" s="212">
        <f t="shared" si="0"/>
        <v>0.28333333333333333</v>
      </c>
      <c r="G25" s="213" t="s">
        <v>102</v>
      </c>
      <c r="H25" s="214">
        <f t="shared" si="1"/>
        <v>4268</v>
      </c>
      <c r="I25" s="215">
        <f t="shared" si="6"/>
        <v>4268</v>
      </c>
      <c r="J25" s="215">
        <f t="shared" si="7"/>
        <v>42683.31</v>
      </c>
      <c r="K25" s="21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21" x14ac:dyDescent="0.2">
      <c r="A26" s="208">
        <v>8</v>
      </c>
      <c r="B26" s="209">
        <v>0.05</v>
      </c>
      <c r="C26" s="209">
        <f t="shared" si="3"/>
        <v>0.30499999999999999</v>
      </c>
      <c r="D26" s="210">
        <f t="shared" si="4"/>
        <v>47425.9</v>
      </c>
      <c r="E26" s="211">
        <f t="shared" si="5"/>
        <v>289297.99</v>
      </c>
      <c r="F26" s="212">
        <f t="shared" si="0"/>
        <v>0.33888888888888885</v>
      </c>
      <c r="G26" s="213" t="s">
        <v>103</v>
      </c>
      <c r="H26" s="214">
        <f t="shared" si="1"/>
        <v>4743</v>
      </c>
      <c r="I26" s="215">
        <f t="shared" si="6"/>
        <v>4743</v>
      </c>
      <c r="J26" s="215">
        <f t="shared" si="7"/>
        <v>47425.9</v>
      </c>
      <c r="K26" s="217"/>
      <c r="L26" s="168"/>
      <c r="M26" s="168"/>
      <c r="N26" s="168"/>
      <c r="O26" s="168"/>
      <c r="P26" s="168"/>
      <c r="Q26" s="168"/>
      <c r="R26" s="168"/>
      <c r="S26" s="168"/>
      <c r="T26" s="168"/>
      <c r="U26" s="168"/>
    </row>
    <row r="27" spans="1:21" x14ac:dyDescent="0.2">
      <c r="A27" s="208">
        <v>9</v>
      </c>
      <c r="B27" s="209">
        <v>5.5E-2</v>
      </c>
      <c r="C27" s="209">
        <f t="shared" si="3"/>
        <v>0.36</v>
      </c>
      <c r="D27" s="210">
        <f t="shared" si="4"/>
        <v>52168.49</v>
      </c>
      <c r="E27" s="211">
        <f t="shared" si="5"/>
        <v>341466.48</v>
      </c>
      <c r="F27" s="212">
        <f t="shared" si="0"/>
        <v>0.39999999999999997</v>
      </c>
      <c r="G27" s="213" t="s">
        <v>104</v>
      </c>
      <c r="H27" s="214">
        <f t="shared" si="1"/>
        <v>5217</v>
      </c>
      <c r="I27" s="215">
        <f t="shared" si="6"/>
        <v>5217</v>
      </c>
      <c r="J27" s="215">
        <f t="shared" si="7"/>
        <v>52168.49</v>
      </c>
      <c r="K27" s="217"/>
      <c r="L27" s="168"/>
      <c r="M27" s="168"/>
      <c r="N27" s="168"/>
      <c r="O27" s="168"/>
      <c r="P27" s="168"/>
      <c r="Q27" s="168"/>
      <c r="R27" s="168"/>
      <c r="S27" s="168"/>
      <c r="T27" s="168"/>
      <c r="U27" s="168"/>
    </row>
    <row r="28" spans="1:21" x14ac:dyDescent="0.2">
      <c r="A28" s="208">
        <v>10</v>
      </c>
      <c r="B28" s="209">
        <v>5.5E-2</v>
      </c>
      <c r="C28" s="209">
        <f t="shared" si="3"/>
        <v>0.41499999999999998</v>
      </c>
      <c r="D28" s="210">
        <f t="shared" si="4"/>
        <v>52168.49</v>
      </c>
      <c r="E28" s="211">
        <f t="shared" si="5"/>
        <v>393634.97</v>
      </c>
      <c r="F28" s="212">
        <f t="shared" si="0"/>
        <v>0.46111111111111103</v>
      </c>
      <c r="G28" s="213" t="s">
        <v>105</v>
      </c>
      <c r="H28" s="214">
        <f t="shared" si="1"/>
        <v>5217</v>
      </c>
      <c r="I28" s="215">
        <f t="shared" si="6"/>
        <v>5217</v>
      </c>
      <c r="J28" s="215">
        <f t="shared" si="7"/>
        <v>52168.49</v>
      </c>
      <c r="K28" s="217"/>
      <c r="L28" s="168"/>
      <c r="M28" s="168"/>
      <c r="N28" s="168"/>
      <c r="O28" s="168"/>
      <c r="P28" s="168"/>
      <c r="Q28" s="168"/>
      <c r="R28" s="168"/>
      <c r="S28" s="168"/>
      <c r="T28" s="168"/>
      <c r="U28" s="168"/>
    </row>
    <row r="29" spans="1:21" x14ac:dyDescent="0.2">
      <c r="A29" s="208">
        <v>11</v>
      </c>
      <c r="B29" s="209">
        <v>5.5E-2</v>
      </c>
      <c r="C29" s="209">
        <f t="shared" si="3"/>
        <v>0.47</v>
      </c>
      <c r="D29" s="210">
        <f t="shared" si="4"/>
        <v>52168.49</v>
      </c>
      <c r="E29" s="211">
        <f t="shared" si="5"/>
        <v>445803.45999999996</v>
      </c>
      <c r="F29" s="212">
        <f t="shared" si="0"/>
        <v>0.52222222222222214</v>
      </c>
      <c r="G29" s="213" t="s">
        <v>106</v>
      </c>
      <c r="H29" s="214">
        <f t="shared" si="1"/>
        <v>5217</v>
      </c>
      <c r="I29" s="215">
        <f t="shared" si="6"/>
        <v>5217</v>
      </c>
      <c r="J29" s="215">
        <f t="shared" si="7"/>
        <v>52168.49</v>
      </c>
      <c r="K29" s="217"/>
      <c r="L29" s="168"/>
      <c r="M29" s="168"/>
      <c r="N29" s="168"/>
      <c r="O29" s="168"/>
      <c r="P29" s="168"/>
      <c r="Q29" s="168"/>
      <c r="R29" s="168"/>
      <c r="S29" s="168"/>
      <c r="T29" s="168"/>
      <c r="U29" s="168"/>
    </row>
    <row r="30" spans="1:21" x14ac:dyDescent="0.2">
      <c r="A30" s="208">
        <v>12</v>
      </c>
      <c r="B30" s="209">
        <v>0.06</v>
      </c>
      <c r="C30" s="209">
        <f t="shared" si="3"/>
        <v>0.53</v>
      </c>
      <c r="D30" s="210">
        <f t="shared" si="4"/>
        <v>56911.079999999987</v>
      </c>
      <c r="E30" s="211">
        <f t="shared" si="5"/>
        <v>502714.53999999992</v>
      </c>
      <c r="F30" s="212">
        <f t="shared" si="0"/>
        <v>0.5888888888888888</v>
      </c>
      <c r="G30" s="213" t="s">
        <v>107</v>
      </c>
      <c r="H30" s="214">
        <f t="shared" si="1"/>
        <v>5691</v>
      </c>
      <c r="I30" s="215">
        <f t="shared" si="6"/>
        <v>5691</v>
      </c>
      <c r="J30" s="215">
        <f t="shared" si="7"/>
        <v>56911.079999999987</v>
      </c>
      <c r="K30" s="217"/>
      <c r="L30" s="168"/>
      <c r="M30" s="168"/>
      <c r="N30" s="168"/>
      <c r="O30" s="168"/>
      <c r="P30" s="168"/>
      <c r="Q30" s="168"/>
      <c r="R30" s="168"/>
      <c r="S30" s="168"/>
      <c r="T30" s="168"/>
      <c r="U30" s="168"/>
    </row>
    <row r="31" spans="1:21" x14ac:dyDescent="0.2">
      <c r="A31" s="208">
        <v>13</v>
      </c>
      <c r="B31" s="209">
        <v>7.0000000000000007E-2</v>
      </c>
      <c r="C31" s="209">
        <f t="shared" si="3"/>
        <v>0.60000000000000009</v>
      </c>
      <c r="D31" s="210">
        <f t="shared" si="4"/>
        <v>66396.260000000009</v>
      </c>
      <c r="E31" s="211">
        <f t="shared" si="5"/>
        <v>569110.79999999993</v>
      </c>
      <c r="F31" s="212">
        <f t="shared" si="0"/>
        <v>0.66666666666666652</v>
      </c>
      <c r="G31" s="213" t="s">
        <v>108</v>
      </c>
      <c r="H31" s="214">
        <f t="shared" si="1"/>
        <v>6640</v>
      </c>
      <c r="I31" s="215">
        <f t="shared" si="6"/>
        <v>6640</v>
      </c>
      <c r="J31" s="215">
        <f t="shared" si="7"/>
        <v>66396.260000000009</v>
      </c>
      <c r="K31" s="217"/>
      <c r="L31" s="168"/>
      <c r="M31" s="168"/>
      <c r="N31" s="168"/>
      <c r="O31" s="168"/>
      <c r="P31" s="168"/>
      <c r="Q31" s="168"/>
      <c r="R31" s="168"/>
      <c r="S31" s="168"/>
      <c r="T31" s="168"/>
      <c r="U31" s="168"/>
    </row>
    <row r="32" spans="1:21" x14ac:dyDescent="0.2">
      <c r="A32" s="208">
        <v>14</v>
      </c>
      <c r="B32" s="209">
        <v>7.0000000000000007E-2</v>
      </c>
      <c r="C32" s="209">
        <f t="shared" si="3"/>
        <v>0.67000000000000015</v>
      </c>
      <c r="D32" s="210">
        <f t="shared" si="4"/>
        <v>66396.260000000009</v>
      </c>
      <c r="E32" s="211">
        <f t="shared" si="5"/>
        <v>635507.05999999994</v>
      </c>
      <c r="F32" s="212">
        <f t="shared" si="0"/>
        <v>0.74444444444444435</v>
      </c>
      <c r="G32" s="213" t="s">
        <v>109</v>
      </c>
      <c r="H32" s="214">
        <f t="shared" si="1"/>
        <v>6640</v>
      </c>
      <c r="I32" s="215">
        <f t="shared" si="6"/>
        <v>6640</v>
      </c>
      <c r="J32" s="215">
        <f t="shared" si="7"/>
        <v>66396.260000000009</v>
      </c>
      <c r="K32" s="219">
        <f>+SUM(J21:J32)</f>
        <v>583338.56999999995</v>
      </c>
      <c r="L32" s="168"/>
      <c r="M32" s="168"/>
      <c r="N32" s="168"/>
      <c r="O32" s="168"/>
      <c r="P32" s="168"/>
      <c r="Q32" s="168"/>
      <c r="R32" s="168"/>
      <c r="S32" s="168"/>
      <c r="T32" s="168"/>
      <c r="U32" s="168"/>
    </row>
    <row r="33" spans="1:21" x14ac:dyDescent="0.2">
      <c r="A33" s="208">
        <v>15</v>
      </c>
      <c r="B33" s="209">
        <v>6.5000000000000002E-2</v>
      </c>
      <c r="C33" s="209">
        <f t="shared" si="3"/>
        <v>0.7350000000000001</v>
      </c>
      <c r="D33" s="210">
        <f t="shared" si="4"/>
        <v>61653.670000000013</v>
      </c>
      <c r="E33" s="211">
        <f t="shared" si="5"/>
        <v>697160.73</v>
      </c>
      <c r="F33" s="212">
        <f t="shared" si="0"/>
        <v>0.81666666666666654</v>
      </c>
      <c r="G33" s="213" t="s">
        <v>110</v>
      </c>
      <c r="H33" s="214">
        <f t="shared" si="1"/>
        <v>6165</v>
      </c>
      <c r="I33" s="215">
        <f t="shared" si="6"/>
        <v>6165</v>
      </c>
      <c r="J33" s="215">
        <f t="shared" si="7"/>
        <v>61653.670000000013</v>
      </c>
      <c r="K33" s="217"/>
      <c r="L33" s="168"/>
      <c r="M33" s="168"/>
      <c r="N33" s="168"/>
      <c r="O33" s="168"/>
      <c r="P33" s="168"/>
      <c r="Q33" s="168"/>
      <c r="R33" s="168"/>
      <c r="S33" s="168"/>
      <c r="T33" s="168"/>
      <c r="U33" s="168"/>
    </row>
    <row r="34" spans="1:21" x14ac:dyDescent="0.2">
      <c r="A34" s="208">
        <v>16</v>
      </c>
      <c r="B34" s="209">
        <v>6.5000000000000002E-2</v>
      </c>
      <c r="C34" s="209">
        <f>B34+C33</f>
        <v>0.8</v>
      </c>
      <c r="D34" s="210">
        <f t="shared" si="4"/>
        <v>61653.670000000013</v>
      </c>
      <c r="E34" s="211">
        <f>E33+D34</f>
        <v>758814.4</v>
      </c>
      <c r="F34" s="212">
        <f t="shared" si="0"/>
        <v>0.88888888888888884</v>
      </c>
      <c r="G34" s="213" t="s">
        <v>111</v>
      </c>
      <c r="H34" s="214">
        <f>ROUND(D34*0.1,0)</f>
        <v>6165</v>
      </c>
      <c r="I34" s="215">
        <f t="shared" si="6"/>
        <v>6165</v>
      </c>
      <c r="J34" s="215">
        <f t="shared" si="7"/>
        <v>61653.670000000013</v>
      </c>
      <c r="K34" s="217"/>
      <c r="L34" s="168"/>
      <c r="M34" s="168"/>
      <c r="N34" s="168"/>
      <c r="O34" s="168"/>
      <c r="P34" s="168"/>
      <c r="Q34" s="168"/>
      <c r="R34" s="168"/>
      <c r="S34" s="168"/>
      <c r="T34" s="168"/>
      <c r="U34" s="168"/>
    </row>
    <row r="35" spans="1:21" x14ac:dyDescent="0.2">
      <c r="A35" s="208">
        <v>17</v>
      </c>
      <c r="B35" s="209">
        <v>0.05</v>
      </c>
      <c r="C35" s="209">
        <f>B35+C34</f>
        <v>0.85000000000000009</v>
      </c>
      <c r="D35" s="210">
        <f t="shared" si="4"/>
        <v>47425.9</v>
      </c>
      <c r="E35" s="211">
        <f>E34+D35</f>
        <v>806240.3</v>
      </c>
      <c r="F35" s="212">
        <f t="shared" si="0"/>
        <v>0.94444444444444442</v>
      </c>
      <c r="G35" s="213" t="s">
        <v>112</v>
      </c>
      <c r="H35" s="214">
        <f>ROUND(D35*0.1,0)</f>
        <v>4743</v>
      </c>
      <c r="I35" s="215">
        <f t="shared" si="6"/>
        <v>4743</v>
      </c>
      <c r="J35" s="215">
        <f t="shared" si="7"/>
        <v>47425.9</v>
      </c>
      <c r="K35" s="217"/>
      <c r="L35" s="168"/>
      <c r="M35" s="168"/>
      <c r="N35" s="168"/>
      <c r="O35" s="168"/>
      <c r="P35" s="168"/>
      <c r="Q35" s="168"/>
      <c r="R35" s="168"/>
      <c r="S35" s="168"/>
      <c r="T35" s="168"/>
      <c r="U35" s="168"/>
    </row>
    <row r="36" spans="1:21" ht="12.75" thickBot="1" x14ac:dyDescent="0.25">
      <c r="A36" s="220">
        <v>18</v>
      </c>
      <c r="B36" s="209">
        <v>0.05</v>
      </c>
      <c r="C36" s="221">
        <f>B36+C35</f>
        <v>0.90000000000000013</v>
      </c>
      <c r="D36" s="210">
        <f t="shared" si="4"/>
        <v>47425.9</v>
      </c>
      <c r="E36" s="222">
        <f>E35+D36</f>
        <v>853666.20000000007</v>
      </c>
      <c r="F36" s="223">
        <f t="shared" si="0"/>
        <v>1</v>
      </c>
      <c r="G36" s="224" t="s">
        <v>113</v>
      </c>
      <c r="H36" s="225">
        <f>ROUND(D36*0.1,0)</f>
        <v>4743</v>
      </c>
      <c r="I36" s="226">
        <f t="shared" si="6"/>
        <v>4743</v>
      </c>
      <c r="J36" s="215">
        <f t="shared" si="7"/>
        <v>47425.9</v>
      </c>
      <c r="K36" s="219">
        <f>+SUM(J33:J36)</f>
        <v>218159.14</v>
      </c>
      <c r="L36" s="168"/>
      <c r="M36" s="168"/>
      <c r="N36" s="168"/>
      <c r="O36" s="168"/>
      <c r="P36" s="168"/>
      <c r="Q36" s="168"/>
      <c r="R36" s="168"/>
      <c r="S36" s="168"/>
      <c r="T36" s="168"/>
      <c r="U36" s="168"/>
    </row>
    <row r="37" spans="1:21" ht="12.75" thickBot="1" x14ac:dyDescent="0.25">
      <c r="A37" s="208">
        <v>19</v>
      </c>
      <c r="B37" s="209">
        <v>0.04</v>
      </c>
      <c r="C37" s="221">
        <f t="shared" ref="C37:C42" si="8">B37+C36</f>
        <v>0.94000000000000017</v>
      </c>
      <c r="D37" s="210">
        <f t="shared" si="4"/>
        <v>37940.720000000001</v>
      </c>
      <c r="E37" s="222">
        <f t="shared" ref="E37:E42" si="9">E36+D37</f>
        <v>891606.92</v>
      </c>
      <c r="F37" s="223">
        <f t="shared" si="0"/>
        <v>1.0444444444444445</v>
      </c>
      <c r="G37" s="224" t="s">
        <v>114</v>
      </c>
      <c r="H37" s="225">
        <f t="shared" ref="H37:H42" si="10">ROUND(D37*0.1,0)</f>
        <v>3794</v>
      </c>
      <c r="I37" s="226">
        <f t="shared" si="6"/>
        <v>3794</v>
      </c>
      <c r="J37" s="215">
        <f t="shared" si="7"/>
        <v>37940.720000000001</v>
      </c>
      <c r="K37" s="219"/>
      <c r="L37" s="168"/>
      <c r="M37" s="168"/>
      <c r="N37" s="168"/>
      <c r="O37" s="168"/>
      <c r="P37" s="168"/>
      <c r="Q37" s="168"/>
      <c r="R37" s="168"/>
      <c r="S37" s="168"/>
      <c r="T37" s="168"/>
      <c r="U37" s="168"/>
    </row>
    <row r="38" spans="1:21" ht="12.75" thickBot="1" x14ac:dyDescent="0.25">
      <c r="A38" s="220">
        <v>20</v>
      </c>
      <c r="B38" s="209">
        <v>0.02</v>
      </c>
      <c r="C38" s="221">
        <f t="shared" si="8"/>
        <v>0.96000000000000019</v>
      </c>
      <c r="D38" s="210">
        <f t="shared" si="4"/>
        <v>18970.36</v>
      </c>
      <c r="E38" s="222">
        <f t="shared" si="9"/>
        <v>910577.28</v>
      </c>
      <c r="F38" s="223">
        <f t="shared" si="0"/>
        <v>1.0666666666666667</v>
      </c>
      <c r="G38" s="224" t="s">
        <v>115</v>
      </c>
      <c r="H38" s="225">
        <f t="shared" si="10"/>
        <v>1897</v>
      </c>
      <c r="I38" s="226">
        <f t="shared" si="6"/>
        <v>1897</v>
      </c>
      <c r="J38" s="215">
        <f t="shared" si="7"/>
        <v>18970.36</v>
      </c>
      <c r="K38" s="219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1:21" ht="12.75" thickBot="1" x14ac:dyDescent="0.25">
      <c r="A39" s="208">
        <v>21</v>
      </c>
      <c r="B39" s="238">
        <v>0.01</v>
      </c>
      <c r="C39" s="221">
        <f t="shared" si="8"/>
        <v>0.9700000000000002</v>
      </c>
      <c r="D39" s="210">
        <f t="shared" si="4"/>
        <v>9485.18</v>
      </c>
      <c r="E39" s="222">
        <f t="shared" si="9"/>
        <v>920062.46000000008</v>
      </c>
      <c r="F39" s="223">
        <f t="shared" si="0"/>
        <v>1.0777777777777777</v>
      </c>
      <c r="G39" s="224" t="s">
        <v>116</v>
      </c>
      <c r="H39" s="225">
        <f t="shared" si="10"/>
        <v>949</v>
      </c>
      <c r="I39" s="226">
        <f t="shared" si="6"/>
        <v>949</v>
      </c>
      <c r="J39" s="215">
        <f t="shared" si="7"/>
        <v>9485.18</v>
      </c>
      <c r="K39" s="219"/>
      <c r="L39" s="168"/>
      <c r="M39" s="168"/>
      <c r="N39" s="168"/>
      <c r="O39" s="168"/>
      <c r="P39" s="168"/>
      <c r="Q39" s="168"/>
      <c r="R39" s="168"/>
      <c r="S39" s="168"/>
      <c r="T39" s="168"/>
      <c r="U39" s="168"/>
    </row>
    <row r="40" spans="1:21" ht="12.75" thickBot="1" x14ac:dyDescent="0.25">
      <c r="A40" s="220">
        <v>22</v>
      </c>
      <c r="B40" s="209">
        <v>0.01</v>
      </c>
      <c r="C40" s="221">
        <f t="shared" si="8"/>
        <v>0.9800000000000002</v>
      </c>
      <c r="D40" s="210">
        <f t="shared" si="4"/>
        <v>9485.18</v>
      </c>
      <c r="E40" s="222">
        <f t="shared" si="9"/>
        <v>929547.64000000013</v>
      </c>
      <c r="F40" s="223">
        <f t="shared" si="0"/>
        <v>1.088888888888889</v>
      </c>
      <c r="G40" s="224" t="s">
        <v>117</v>
      </c>
      <c r="H40" s="225">
        <f t="shared" si="10"/>
        <v>949</v>
      </c>
      <c r="I40" s="226">
        <f t="shared" si="6"/>
        <v>949</v>
      </c>
      <c r="J40" s="215">
        <f t="shared" si="7"/>
        <v>9485.18</v>
      </c>
      <c r="K40" s="219"/>
      <c r="L40" s="168"/>
      <c r="M40" s="168"/>
      <c r="N40" s="168"/>
      <c r="O40" s="168"/>
      <c r="P40" s="168"/>
      <c r="Q40" s="168"/>
      <c r="R40" s="168"/>
      <c r="S40" s="168"/>
      <c r="T40" s="168"/>
      <c r="U40" s="168"/>
    </row>
    <row r="41" spans="1:21" ht="12.75" thickBot="1" x14ac:dyDescent="0.25">
      <c r="A41" s="208">
        <v>23</v>
      </c>
      <c r="B41" s="209">
        <v>0.01</v>
      </c>
      <c r="C41" s="221">
        <f t="shared" si="8"/>
        <v>0.99000000000000021</v>
      </c>
      <c r="D41" s="210">
        <f t="shared" si="4"/>
        <v>9485.18</v>
      </c>
      <c r="E41" s="222">
        <f t="shared" si="9"/>
        <v>939032.82000000018</v>
      </c>
      <c r="F41" s="223">
        <f t="shared" si="0"/>
        <v>1.1000000000000001</v>
      </c>
      <c r="G41" s="224" t="s">
        <v>118</v>
      </c>
      <c r="H41" s="225">
        <f t="shared" si="10"/>
        <v>949</v>
      </c>
      <c r="I41" s="226">
        <f t="shared" si="6"/>
        <v>949</v>
      </c>
      <c r="J41" s="215">
        <f t="shared" si="7"/>
        <v>9485.18</v>
      </c>
      <c r="K41" s="219"/>
      <c r="L41" s="168"/>
      <c r="M41" s="168"/>
      <c r="N41" s="168"/>
      <c r="O41" s="168"/>
      <c r="P41" s="168"/>
      <c r="Q41" s="168"/>
      <c r="R41" s="168"/>
      <c r="S41" s="168"/>
      <c r="T41" s="168"/>
      <c r="U41" s="168"/>
    </row>
    <row r="42" spans="1:21" ht="12.75" thickBot="1" x14ac:dyDescent="0.25">
      <c r="A42" s="220">
        <v>24</v>
      </c>
      <c r="B42" s="221">
        <v>0.01</v>
      </c>
      <c r="C42" s="221">
        <f t="shared" si="8"/>
        <v>1.0000000000000002</v>
      </c>
      <c r="D42" s="210">
        <f t="shared" si="4"/>
        <v>9485.18</v>
      </c>
      <c r="E42" s="222">
        <f t="shared" si="9"/>
        <v>948518.00000000023</v>
      </c>
      <c r="F42" s="223">
        <f t="shared" si="0"/>
        <v>1.1111111111111114</v>
      </c>
      <c r="G42" s="224" t="s">
        <v>119</v>
      </c>
      <c r="H42" s="225">
        <f t="shared" si="10"/>
        <v>949</v>
      </c>
      <c r="I42" s="226">
        <f t="shared" si="6"/>
        <v>949</v>
      </c>
      <c r="J42" s="215">
        <f t="shared" si="7"/>
        <v>9485.18</v>
      </c>
      <c r="K42" s="219"/>
      <c r="L42" s="168"/>
      <c r="M42" s="168"/>
      <c r="N42" s="168"/>
      <c r="O42" s="168"/>
      <c r="P42" s="168"/>
      <c r="Q42" s="168"/>
      <c r="R42" s="168"/>
      <c r="S42" s="168"/>
      <c r="T42" s="168"/>
      <c r="U42" s="168"/>
    </row>
    <row r="43" spans="1:21" ht="12.75" thickBot="1" x14ac:dyDescent="0.25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948518.00000000023</v>
      </c>
      <c r="E43" s="168"/>
      <c r="F43" s="173"/>
      <c r="G43" s="173"/>
      <c r="H43" s="168"/>
      <c r="I43" s="231">
        <f>SUM(I18:I42)</f>
        <v>94855</v>
      </c>
      <c r="J43" s="231">
        <f>SUM(J18:J42)</f>
        <v>948518.00000000023</v>
      </c>
      <c r="K43" s="217"/>
      <c r="L43" s="168"/>
      <c r="M43" s="168"/>
      <c r="N43" s="168"/>
      <c r="O43" s="168"/>
      <c r="P43" s="168"/>
      <c r="Q43" s="168"/>
      <c r="R43" s="168"/>
      <c r="S43" s="168"/>
      <c r="T43" s="168"/>
      <c r="U43" s="168"/>
    </row>
    <row r="44" spans="1:21" x14ac:dyDescent="0.2">
      <c r="A44" s="173"/>
      <c r="B44" s="178"/>
      <c r="C44" s="176"/>
      <c r="D44" s="176"/>
      <c r="E44" s="176"/>
      <c r="F44" s="168"/>
      <c r="G44" s="168"/>
      <c r="H44" s="179" t="s">
        <v>206</v>
      </c>
      <c r="I44" s="696">
        <f>I43+J43</f>
        <v>1043373.0000000002</v>
      </c>
      <c r="J44" s="697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</row>
    <row r="45" spans="1:21" x14ac:dyDescent="0.2">
      <c r="A45" s="172" t="s">
        <v>207</v>
      </c>
      <c r="B45" s="172"/>
      <c r="C45" s="172"/>
      <c r="D45" s="176"/>
      <c r="E45" s="176"/>
      <c r="F45" s="168"/>
      <c r="G45" s="168"/>
      <c r="H45" s="179" t="s">
        <v>208</v>
      </c>
      <c r="I45" s="190">
        <f>I44/1.1-D11</f>
        <v>2.9090909091755748</v>
      </c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</row>
    <row r="46" spans="1:21" x14ac:dyDescent="0.2">
      <c r="A46" s="168"/>
      <c r="B46" s="232"/>
      <c r="C46" s="176"/>
      <c r="D46" s="176"/>
      <c r="E46" s="176"/>
      <c r="F46" s="168"/>
      <c r="G46" s="168"/>
      <c r="H46" s="173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</row>
    <row r="47" spans="1:21" x14ac:dyDescent="0.2">
      <c r="A47" s="168"/>
      <c r="B47" s="232"/>
      <c r="C47" s="176"/>
      <c r="D47" s="176"/>
      <c r="E47" s="176"/>
      <c r="F47" s="168"/>
      <c r="G47" s="168"/>
      <c r="H47" s="173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</row>
    <row r="48" spans="1:21" x14ac:dyDescent="0.2">
      <c r="A48" s="168"/>
      <c r="B48" s="178"/>
      <c r="C48" s="176"/>
      <c r="D48" s="176"/>
      <c r="E48" s="176"/>
      <c r="F48" s="168"/>
      <c r="G48" s="168"/>
      <c r="H48" s="173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</row>
    <row r="49" spans="1:27" x14ac:dyDescent="0.2">
      <c r="A49" s="168"/>
      <c r="B49" s="178"/>
      <c r="C49" s="176"/>
      <c r="D49" s="176"/>
      <c r="E49" s="176"/>
      <c r="F49" s="168"/>
      <c r="G49" s="168"/>
      <c r="H49" s="173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</row>
    <row r="50" spans="1:27" x14ac:dyDescent="0.2">
      <c r="A50" s="168"/>
      <c r="B50" s="178"/>
      <c r="C50" s="176"/>
      <c r="D50" s="176"/>
      <c r="E50" s="176"/>
      <c r="F50" s="168"/>
      <c r="G50" s="168"/>
      <c r="H50" s="173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</row>
    <row r="51" spans="1:27" x14ac:dyDescent="0.2">
      <c r="A51" s="168"/>
      <c r="B51" s="178"/>
      <c r="C51" s="176"/>
      <c r="D51" s="176"/>
      <c r="E51" s="176"/>
      <c r="F51" s="168"/>
      <c r="G51" s="168"/>
      <c r="H51" s="173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</row>
    <row r="52" spans="1:27" x14ac:dyDescent="0.2">
      <c r="A52" s="168"/>
      <c r="B52" s="178"/>
      <c r="C52" s="176"/>
      <c r="D52" s="176"/>
      <c r="E52" s="176"/>
      <c r="F52" s="168"/>
      <c r="G52" s="168"/>
      <c r="H52" s="173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</row>
    <row r="53" spans="1:27" s="241" customFormat="1" ht="12.75" customHeight="1" x14ac:dyDescent="0.2">
      <c r="A53" s="240"/>
      <c r="B53" s="240" t="s">
        <v>209</v>
      </c>
      <c r="C53" s="240" t="s">
        <v>96</v>
      </c>
      <c r="D53" s="240" t="s">
        <v>97</v>
      </c>
      <c r="E53" s="240" t="s">
        <v>98</v>
      </c>
      <c r="F53" s="240" t="s">
        <v>99</v>
      </c>
      <c r="G53" s="240" t="s">
        <v>100</v>
      </c>
      <c r="H53" s="240" t="s">
        <v>101</v>
      </c>
      <c r="I53" s="240" t="s">
        <v>102</v>
      </c>
      <c r="J53" s="240" t="s">
        <v>103</v>
      </c>
      <c r="K53" s="240" t="s">
        <v>104</v>
      </c>
      <c r="L53" s="240" t="s">
        <v>105</v>
      </c>
      <c r="M53" s="240" t="s">
        <v>106</v>
      </c>
      <c r="N53" s="240" t="s">
        <v>107</v>
      </c>
      <c r="O53" s="240" t="s">
        <v>108</v>
      </c>
      <c r="P53" s="240" t="s">
        <v>109</v>
      </c>
      <c r="Q53" s="240" t="s">
        <v>110</v>
      </c>
      <c r="R53" s="240" t="s">
        <v>111</v>
      </c>
      <c r="S53" s="240" t="s">
        <v>112</v>
      </c>
      <c r="T53" s="240" t="s">
        <v>113</v>
      </c>
      <c r="U53" s="240" t="s">
        <v>114</v>
      </c>
      <c r="V53" s="240" t="s">
        <v>115</v>
      </c>
      <c r="W53" s="240" t="s">
        <v>116</v>
      </c>
      <c r="X53" s="240" t="s">
        <v>117</v>
      </c>
      <c r="Y53" s="240" t="s">
        <v>118</v>
      </c>
      <c r="Z53" s="240" t="s">
        <v>119</v>
      </c>
    </row>
    <row r="54" spans="1:27" s="244" customFormat="1" x14ac:dyDescent="0.2">
      <c r="A54" s="242" t="s">
        <v>210</v>
      </c>
      <c r="B54" s="243">
        <v>0</v>
      </c>
      <c r="C54" s="243">
        <v>0</v>
      </c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3">
        <v>0</v>
      </c>
      <c r="O54" s="243">
        <v>0</v>
      </c>
      <c r="P54" s="243">
        <v>0</v>
      </c>
      <c r="Q54" s="243">
        <v>0</v>
      </c>
      <c r="R54" s="243">
        <v>0</v>
      </c>
      <c r="S54" s="243">
        <v>0</v>
      </c>
      <c r="T54" s="243">
        <v>0</v>
      </c>
      <c r="U54" s="243">
        <v>0</v>
      </c>
      <c r="V54" s="243">
        <v>0</v>
      </c>
      <c r="W54" s="243">
        <v>0</v>
      </c>
      <c r="X54" s="243">
        <v>0</v>
      </c>
      <c r="Y54" s="243">
        <v>0</v>
      </c>
      <c r="Z54" s="243">
        <v>0</v>
      </c>
      <c r="AA54" s="244">
        <f>SUM(B54:T54)</f>
        <v>0</v>
      </c>
    </row>
    <row r="55" spans="1:27" s="244" customFormat="1" x14ac:dyDescent="0.2">
      <c r="A55" s="242" t="s">
        <v>211</v>
      </c>
      <c r="B55" s="243">
        <f>$J18</f>
        <v>0</v>
      </c>
      <c r="C55" s="243">
        <f>$J19</f>
        <v>23712.95</v>
      </c>
      <c r="D55" s="243">
        <f>$J20</f>
        <v>28455.539999999994</v>
      </c>
      <c r="E55" s="243">
        <f>$J21</f>
        <v>33198.130000000005</v>
      </c>
      <c r="F55" s="243">
        <f>$J22</f>
        <v>33198.130000000005</v>
      </c>
      <c r="G55" s="243">
        <f>$J23</f>
        <v>37940.720000000001</v>
      </c>
      <c r="H55" s="243">
        <f>$J24</f>
        <v>42683.31</v>
      </c>
      <c r="I55" s="243">
        <f>$J25</f>
        <v>42683.31</v>
      </c>
      <c r="J55" s="243">
        <f>$J26</f>
        <v>47425.9</v>
      </c>
      <c r="K55" s="243">
        <f>$J27</f>
        <v>52168.49</v>
      </c>
      <c r="L55" s="243">
        <f>$J28</f>
        <v>52168.49</v>
      </c>
      <c r="M55" s="243">
        <f>$J29</f>
        <v>52168.49</v>
      </c>
      <c r="N55" s="243">
        <f>$J30</f>
        <v>56911.079999999987</v>
      </c>
      <c r="O55" s="243">
        <f>$J31</f>
        <v>66396.260000000009</v>
      </c>
      <c r="P55" s="243">
        <f>$J32</f>
        <v>66396.260000000009</v>
      </c>
      <c r="Q55" s="243">
        <f>$J33</f>
        <v>61653.670000000013</v>
      </c>
      <c r="R55" s="243">
        <f>$J34</f>
        <v>61653.670000000013</v>
      </c>
      <c r="S55" s="243">
        <f>$J35</f>
        <v>47425.9</v>
      </c>
      <c r="T55" s="243">
        <f>$J36</f>
        <v>47425.9</v>
      </c>
      <c r="U55" s="243">
        <f>$J37</f>
        <v>37940.720000000001</v>
      </c>
      <c r="V55" s="243">
        <f>$J38</f>
        <v>18970.36</v>
      </c>
      <c r="W55" s="243">
        <f>$J39</f>
        <v>9485.18</v>
      </c>
      <c r="X55" s="243">
        <f>$J40</f>
        <v>9485.18</v>
      </c>
      <c r="Y55" s="243">
        <f>$J41</f>
        <v>9485.18</v>
      </c>
      <c r="Z55" s="243">
        <f>$J42</f>
        <v>9485.18</v>
      </c>
      <c r="AA55" s="245">
        <f>SUM(B55:Z55)</f>
        <v>948518.00000000023</v>
      </c>
    </row>
    <row r="56" spans="1:27" x14ac:dyDescent="0.2">
      <c r="A56" s="246" t="s">
        <v>214</v>
      </c>
      <c r="B56" s="247">
        <f>SUM(B54:B55)</f>
        <v>0</v>
      </c>
      <c r="C56" s="247">
        <f>SUM(C54:C55)*0.45</f>
        <v>10670.827500000001</v>
      </c>
      <c r="D56" s="247">
        <f t="shared" ref="D56:Z56" si="11">SUM(D54:D55)*0.45</f>
        <v>12804.992999999997</v>
      </c>
      <c r="E56" s="247">
        <f t="shared" si="11"/>
        <v>14939.158500000003</v>
      </c>
      <c r="F56" s="247">
        <f t="shared" si="11"/>
        <v>14939.158500000003</v>
      </c>
      <c r="G56" s="247">
        <f t="shared" si="11"/>
        <v>17073.324000000001</v>
      </c>
      <c r="H56" s="247">
        <f t="shared" si="11"/>
        <v>19207.4895</v>
      </c>
      <c r="I56" s="247">
        <f t="shared" si="11"/>
        <v>19207.4895</v>
      </c>
      <c r="J56" s="247">
        <f t="shared" si="11"/>
        <v>21341.655000000002</v>
      </c>
      <c r="K56" s="247">
        <f t="shared" si="11"/>
        <v>23475.820499999998</v>
      </c>
      <c r="L56" s="247">
        <f t="shared" si="11"/>
        <v>23475.820499999998</v>
      </c>
      <c r="M56" s="247">
        <f t="shared" si="11"/>
        <v>23475.820499999998</v>
      </c>
      <c r="N56" s="247">
        <f t="shared" si="11"/>
        <v>25609.985999999994</v>
      </c>
      <c r="O56" s="247">
        <f t="shared" si="11"/>
        <v>29878.317000000006</v>
      </c>
      <c r="P56" s="247">
        <f t="shared" si="11"/>
        <v>29878.317000000006</v>
      </c>
      <c r="Q56" s="247">
        <f t="shared" si="11"/>
        <v>27744.151500000007</v>
      </c>
      <c r="R56" s="247">
        <f t="shared" si="11"/>
        <v>27744.151500000007</v>
      </c>
      <c r="S56" s="247">
        <f t="shared" si="11"/>
        <v>21341.655000000002</v>
      </c>
      <c r="T56" s="247">
        <f t="shared" si="11"/>
        <v>21341.655000000002</v>
      </c>
      <c r="U56" s="247">
        <f t="shared" si="11"/>
        <v>17073.324000000001</v>
      </c>
      <c r="V56" s="247">
        <f t="shared" si="11"/>
        <v>8536.6620000000003</v>
      </c>
      <c r="W56" s="247">
        <f t="shared" si="11"/>
        <v>4268.3310000000001</v>
      </c>
      <c r="X56" s="247">
        <f t="shared" si="11"/>
        <v>4268.3310000000001</v>
      </c>
      <c r="Y56" s="247">
        <f t="shared" si="11"/>
        <v>4268.3310000000001</v>
      </c>
      <c r="Z56" s="247">
        <f t="shared" si="11"/>
        <v>4268.3310000000001</v>
      </c>
      <c r="AA56" s="247">
        <f>SUM(B56:Z56)</f>
        <v>426833.10000000021</v>
      </c>
    </row>
    <row r="57" spans="1:27" s="245" customFormat="1" x14ac:dyDescent="0.2">
      <c r="A57" s="248" t="s">
        <v>215</v>
      </c>
      <c r="B57" s="248">
        <v>0</v>
      </c>
      <c r="C57" s="248">
        <f>C63</f>
        <v>17784.712500000001</v>
      </c>
      <c r="D57" s="248">
        <f t="shared" ref="D57:Z57" si="12">C57</f>
        <v>17784.712500000001</v>
      </c>
      <c r="E57" s="248">
        <f t="shared" si="12"/>
        <v>17784.712500000001</v>
      </c>
      <c r="F57" s="248">
        <f t="shared" si="12"/>
        <v>17784.712500000001</v>
      </c>
      <c r="G57" s="248">
        <f t="shared" si="12"/>
        <v>17784.712500000001</v>
      </c>
      <c r="H57" s="248">
        <f t="shared" si="12"/>
        <v>17784.712500000001</v>
      </c>
      <c r="I57" s="248">
        <f t="shared" si="12"/>
        <v>17784.712500000001</v>
      </c>
      <c r="J57" s="248">
        <f t="shared" si="12"/>
        <v>17784.712500000001</v>
      </c>
      <c r="K57" s="248">
        <f t="shared" si="12"/>
        <v>17784.712500000001</v>
      </c>
      <c r="L57" s="248">
        <f t="shared" si="12"/>
        <v>17784.712500000001</v>
      </c>
      <c r="M57" s="248">
        <f t="shared" si="12"/>
        <v>17784.712500000001</v>
      </c>
      <c r="N57" s="248">
        <f t="shared" si="12"/>
        <v>17784.712500000001</v>
      </c>
      <c r="O57" s="248">
        <f t="shared" si="12"/>
        <v>17784.712500000001</v>
      </c>
      <c r="P57" s="248">
        <f t="shared" si="12"/>
        <v>17784.712500000001</v>
      </c>
      <c r="Q57" s="248">
        <f t="shared" si="12"/>
        <v>17784.712500000001</v>
      </c>
      <c r="R57" s="248">
        <f t="shared" si="12"/>
        <v>17784.712500000001</v>
      </c>
      <c r="S57" s="248">
        <f t="shared" si="12"/>
        <v>17784.712500000001</v>
      </c>
      <c r="T57" s="248">
        <f t="shared" si="12"/>
        <v>17784.712500000001</v>
      </c>
      <c r="U57" s="248">
        <f t="shared" si="12"/>
        <v>17784.712500000001</v>
      </c>
      <c r="V57" s="248">
        <f t="shared" si="12"/>
        <v>17784.712500000001</v>
      </c>
      <c r="W57" s="248">
        <f t="shared" si="12"/>
        <v>17784.712500000001</v>
      </c>
      <c r="X57" s="248">
        <f t="shared" si="12"/>
        <v>17784.712500000001</v>
      </c>
      <c r="Y57" s="248">
        <f t="shared" si="12"/>
        <v>17784.712500000001</v>
      </c>
      <c r="Z57" s="248">
        <f t="shared" si="12"/>
        <v>17784.712500000001</v>
      </c>
      <c r="AA57" s="247">
        <f>SUM(B57:Z57)</f>
        <v>426833.10000000015</v>
      </c>
    </row>
    <row r="58" spans="1:27" s="245" customFormat="1" x14ac:dyDescent="0.2">
      <c r="A58" s="248" t="s">
        <v>209</v>
      </c>
      <c r="B58" s="248">
        <f>C61*10%</f>
        <v>94851.8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7">
        <f>SUM(B58:Z58)</f>
        <v>94851.8</v>
      </c>
    </row>
    <row r="59" spans="1:27" s="245" customFormat="1" x14ac:dyDescent="0.2">
      <c r="A59" s="248"/>
      <c r="B59" s="248">
        <f>SUM(B56:B58)</f>
        <v>94851.8</v>
      </c>
      <c r="C59" s="248">
        <f t="shared" ref="C59:Z59" si="13">SUM(C56:C58)</f>
        <v>28455.54</v>
      </c>
      <c r="D59" s="248">
        <f t="shared" si="13"/>
        <v>30589.705499999996</v>
      </c>
      <c r="E59" s="248">
        <f t="shared" si="13"/>
        <v>32723.871000000006</v>
      </c>
      <c r="F59" s="248">
        <f t="shared" si="13"/>
        <v>32723.871000000006</v>
      </c>
      <c r="G59" s="248">
        <f t="shared" si="13"/>
        <v>34858.036500000002</v>
      </c>
      <c r="H59" s="248">
        <f t="shared" si="13"/>
        <v>36992.202000000005</v>
      </c>
      <c r="I59" s="248">
        <f t="shared" si="13"/>
        <v>36992.202000000005</v>
      </c>
      <c r="J59" s="248">
        <f t="shared" si="13"/>
        <v>39126.367500000008</v>
      </c>
      <c r="K59" s="248">
        <f t="shared" si="13"/>
        <v>41260.532999999996</v>
      </c>
      <c r="L59" s="248">
        <f t="shared" si="13"/>
        <v>41260.532999999996</v>
      </c>
      <c r="M59" s="248">
        <f t="shared" si="13"/>
        <v>41260.532999999996</v>
      </c>
      <c r="N59" s="248">
        <f t="shared" si="13"/>
        <v>43394.698499999999</v>
      </c>
      <c r="O59" s="248">
        <f t="shared" si="13"/>
        <v>47663.029500000004</v>
      </c>
      <c r="P59" s="248">
        <f t="shared" si="13"/>
        <v>47663.029500000004</v>
      </c>
      <c r="Q59" s="248">
        <f t="shared" si="13"/>
        <v>45528.864000000009</v>
      </c>
      <c r="R59" s="248">
        <f t="shared" si="13"/>
        <v>45528.864000000009</v>
      </c>
      <c r="S59" s="248">
        <f t="shared" si="13"/>
        <v>39126.367500000008</v>
      </c>
      <c r="T59" s="248">
        <f t="shared" si="13"/>
        <v>39126.367500000008</v>
      </c>
      <c r="U59" s="248">
        <f t="shared" si="13"/>
        <v>34858.036500000002</v>
      </c>
      <c r="V59" s="248">
        <f t="shared" si="13"/>
        <v>26321.374500000002</v>
      </c>
      <c r="W59" s="248">
        <f t="shared" si="13"/>
        <v>22053.0435</v>
      </c>
      <c r="X59" s="248">
        <f t="shared" si="13"/>
        <v>22053.0435</v>
      </c>
      <c r="Y59" s="248">
        <f t="shared" si="13"/>
        <v>22053.0435</v>
      </c>
      <c r="Z59" s="248">
        <f t="shared" si="13"/>
        <v>22053.0435</v>
      </c>
      <c r="AA59" s="247">
        <f>SUM(B59:Z59)</f>
        <v>948518.00000000023</v>
      </c>
    </row>
    <row r="60" spans="1:27" s="244" customFormat="1" x14ac:dyDescent="0.2">
      <c r="C60" s="244">
        <f>B60/A61</f>
        <v>0</v>
      </c>
    </row>
    <row r="61" spans="1:27" s="244" customFormat="1" x14ac:dyDescent="0.2">
      <c r="A61" s="244">
        <v>2728909.4000000004</v>
      </c>
      <c r="B61" s="244">
        <v>98000</v>
      </c>
      <c r="C61" s="244">
        <f>+E61</f>
        <v>948518</v>
      </c>
      <c r="D61" s="244">
        <v>1046518</v>
      </c>
      <c r="E61" s="244">
        <f>+D61-B61</f>
        <v>948518</v>
      </c>
    </row>
    <row r="62" spans="1:27" s="244" customFormat="1" x14ac:dyDescent="0.2">
      <c r="A62" s="244">
        <f>A61*0.1</f>
        <v>272890.94000000006</v>
      </c>
    </row>
    <row r="63" spans="1:27" s="244" customFormat="1" x14ac:dyDescent="0.2">
      <c r="A63" s="244">
        <f>C61*0.45</f>
        <v>426833.10000000003</v>
      </c>
      <c r="C63" s="244">
        <f>A63/24</f>
        <v>17784.712500000001</v>
      </c>
    </row>
    <row r="64" spans="1:27" s="244" customFormat="1" x14ac:dyDescent="0.2"/>
  </sheetData>
  <mergeCells count="6">
    <mergeCell ref="I44:J44"/>
    <mergeCell ref="A1:J1"/>
    <mergeCell ref="B3:I4"/>
    <mergeCell ref="A5:C5"/>
    <mergeCell ref="D7:F7"/>
    <mergeCell ref="C15:D1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3304D-87DE-4111-A564-0C312D0297B7}">
  <dimension ref="G5:I18"/>
  <sheetViews>
    <sheetView workbookViewId="0">
      <selection activeCell="C29" sqref="C29"/>
    </sheetView>
  </sheetViews>
  <sheetFormatPr defaultRowHeight="12.75" x14ac:dyDescent="0.2"/>
  <cols>
    <col min="7" max="7" width="13.7109375" customWidth="1"/>
    <col min="8" max="8" width="14.85546875" customWidth="1"/>
    <col min="9" max="9" width="20.28515625" customWidth="1"/>
  </cols>
  <sheetData>
    <row r="5" spans="7:9" ht="13.5" thickBot="1" x14ac:dyDescent="0.25"/>
    <row r="6" spans="7:9" ht="13.5" thickBot="1" x14ac:dyDescent="0.25">
      <c r="G6" s="599">
        <v>180670213</v>
      </c>
      <c r="H6" s="600">
        <v>48829787</v>
      </c>
      <c r="I6" s="600">
        <v>229500000</v>
      </c>
    </row>
    <row r="7" spans="7:9" ht="13.5" thickBot="1" x14ac:dyDescent="0.25">
      <c r="G7" s="601">
        <v>78058951</v>
      </c>
      <c r="H7" s="602">
        <v>21097014</v>
      </c>
      <c r="I7" s="602">
        <v>99155965</v>
      </c>
    </row>
    <row r="8" spans="7:9" ht="13.5" thickBot="1" x14ac:dyDescent="0.25">
      <c r="G8" s="601">
        <v>66390723</v>
      </c>
      <c r="H8" s="602">
        <v>17943439</v>
      </c>
      <c r="I8" s="602">
        <v>84334162</v>
      </c>
    </row>
    <row r="9" spans="7:9" ht="13.5" thickBot="1" x14ac:dyDescent="0.25">
      <c r="G9" s="601">
        <v>11769352</v>
      </c>
      <c r="H9" s="602">
        <v>3180906</v>
      </c>
      <c r="I9" s="602">
        <v>14950258</v>
      </c>
    </row>
    <row r="10" spans="7:9" ht="13.5" thickBot="1" x14ac:dyDescent="0.25">
      <c r="G10" s="601">
        <v>10935332</v>
      </c>
      <c r="H10" s="602">
        <v>2955495</v>
      </c>
      <c r="I10" s="602">
        <v>13890827</v>
      </c>
    </row>
    <row r="11" spans="7:9" ht="13.5" thickBot="1" x14ac:dyDescent="0.25">
      <c r="G11" s="601">
        <v>1102128</v>
      </c>
      <c r="H11" s="602">
        <v>297872</v>
      </c>
      <c r="I11" s="602">
        <v>1400000</v>
      </c>
    </row>
    <row r="12" spans="7:9" ht="13.5" thickBot="1" x14ac:dyDescent="0.25">
      <c r="G12" s="601">
        <v>1562190</v>
      </c>
      <c r="H12" s="602">
        <v>422214</v>
      </c>
      <c r="I12" s="602">
        <v>1984404</v>
      </c>
    </row>
    <row r="13" spans="7:9" ht="13.5" thickBot="1" x14ac:dyDescent="0.25">
      <c r="G13" s="601">
        <v>84234</v>
      </c>
      <c r="H13" s="602">
        <v>22766</v>
      </c>
      <c r="I13" s="602">
        <v>1070000</v>
      </c>
    </row>
    <row r="14" spans="7:9" ht="13.5" thickBot="1" x14ac:dyDescent="0.25">
      <c r="G14" s="601">
        <v>10009196</v>
      </c>
      <c r="H14" s="602">
        <v>2705188</v>
      </c>
      <c r="I14" s="602">
        <v>12714384</v>
      </c>
    </row>
    <row r="15" spans="7:9" ht="13.5" thickBot="1" x14ac:dyDescent="0.25">
      <c r="G15" s="603">
        <v>4329787</v>
      </c>
      <c r="H15" s="604">
        <v>1170213</v>
      </c>
      <c r="I15" s="604">
        <v>5500000</v>
      </c>
    </row>
    <row r="16" spans="7:9" ht="13.5" thickBot="1" x14ac:dyDescent="0.25">
      <c r="G16" s="601">
        <v>3542553</v>
      </c>
      <c r="H16" s="602">
        <v>957447</v>
      </c>
      <c r="I16" s="602">
        <v>4500000</v>
      </c>
    </row>
    <row r="17" spans="7:9" ht="13.5" thickBot="1" x14ac:dyDescent="0.25">
      <c r="G17" s="601">
        <v>787234</v>
      </c>
      <c r="H17" s="602">
        <v>212766</v>
      </c>
      <c r="I17" s="602">
        <v>1000000</v>
      </c>
    </row>
    <row r="18" spans="7:9" ht="13.5" thickBot="1" x14ac:dyDescent="0.25">
      <c r="G18" s="603">
        <v>185000000</v>
      </c>
      <c r="H18" s="604">
        <v>50000000</v>
      </c>
      <c r="I18" s="604">
        <v>235000000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1"/>
  <sheetViews>
    <sheetView topLeftCell="A22" zoomScale="80" zoomScaleNormal="80" workbookViewId="0">
      <selection activeCell="E40" activeCellId="1" sqref="E35 E40"/>
    </sheetView>
  </sheetViews>
  <sheetFormatPr defaultColWidth="11.42578125" defaultRowHeight="15" x14ac:dyDescent="0.2"/>
  <cols>
    <col min="1" max="1" width="10.42578125" style="1" bestFit="1" customWidth="1"/>
    <col min="2" max="2" width="97.140625" style="1" bestFit="1" customWidth="1"/>
    <col min="3" max="5" width="17" style="2" customWidth="1"/>
    <col min="6" max="6" width="12.85546875" style="2" customWidth="1"/>
    <col min="7" max="7" width="21.28515625" style="420" customWidth="1"/>
    <col min="8" max="8" width="21.5703125" style="420" customWidth="1"/>
    <col min="9" max="9" width="14.85546875" style="420" bestFit="1" customWidth="1"/>
    <col min="10" max="10" width="14.28515625" style="420" customWidth="1"/>
    <col min="11" max="11" width="11.42578125" style="420"/>
    <col min="12" max="16384" width="11.42578125" style="1"/>
  </cols>
  <sheetData>
    <row r="1" spans="1:11" ht="16.5" customHeight="1" x14ac:dyDescent="0.2">
      <c r="A1" s="622" t="s">
        <v>342</v>
      </c>
      <c r="B1" s="622"/>
      <c r="C1" s="622"/>
      <c r="D1" s="622"/>
      <c r="E1" s="622"/>
      <c r="F1" s="622"/>
    </row>
    <row r="2" spans="1:11" ht="33.75" customHeight="1" x14ac:dyDescent="0.2">
      <c r="A2" s="623" t="s">
        <v>335</v>
      </c>
      <c r="B2" s="623"/>
      <c r="C2" s="623"/>
      <c r="D2" s="623"/>
      <c r="E2" s="623"/>
      <c r="F2" s="623"/>
    </row>
    <row r="3" spans="1:11" ht="33.75" customHeight="1" x14ac:dyDescent="0.2">
      <c r="A3" s="268"/>
      <c r="B3" s="268"/>
      <c r="C3" s="268"/>
      <c r="D3" s="459"/>
      <c r="E3" s="415"/>
      <c r="F3" s="268"/>
    </row>
    <row r="4" spans="1:11" ht="33.75" customHeight="1" x14ac:dyDescent="0.2">
      <c r="A4" s="268" t="s">
        <v>221</v>
      </c>
      <c r="B4" s="268" t="s">
        <v>222</v>
      </c>
      <c r="C4" s="268"/>
      <c r="D4" s="459"/>
      <c r="E4" s="415"/>
      <c r="F4" s="268"/>
    </row>
    <row r="5" spans="1:11" ht="15" customHeight="1" x14ac:dyDescent="0.2">
      <c r="A5" s="268"/>
      <c r="B5" s="268"/>
      <c r="C5" s="268"/>
      <c r="D5" s="459"/>
      <c r="E5" s="415"/>
      <c r="F5" s="268"/>
    </row>
    <row r="6" spans="1:11" customFormat="1" ht="12.75" x14ac:dyDescent="0.2">
      <c r="A6" s="624"/>
      <c r="B6" s="626" t="s">
        <v>0</v>
      </c>
      <c r="C6" s="18" t="s">
        <v>1</v>
      </c>
      <c r="D6" s="18" t="s">
        <v>356</v>
      </c>
      <c r="E6" s="626" t="s">
        <v>6</v>
      </c>
      <c r="F6" s="630"/>
      <c r="G6" s="421"/>
      <c r="H6" s="421"/>
      <c r="I6" s="421"/>
      <c r="J6" s="421"/>
      <c r="K6" s="421"/>
    </row>
    <row r="7" spans="1:11" customFormat="1" ht="12.75" x14ac:dyDescent="0.2">
      <c r="A7" s="625"/>
      <c r="B7" s="627"/>
      <c r="C7" s="19" t="s">
        <v>2</v>
      </c>
      <c r="D7" s="19" t="s">
        <v>2</v>
      </c>
      <c r="E7" s="19" t="s">
        <v>2</v>
      </c>
      <c r="F7" s="20" t="s">
        <v>3</v>
      </c>
      <c r="G7" s="421"/>
      <c r="H7" s="421"/>
      <c r="I7" s="421"/>
      <c r="J7" s="421"/>
      <c r="K7" s="421"/>
    </row>
    <row r="8" spans="1:11" customFormat="1" ht="23.25" customHeight="1" x14ac:dyDescent="0.2">
      <c r="A8" s="8">
        <v>1</v>
      </c>
      <c r="B8" s="9" t="s">
        <v>219</v>
      </c>
      <c r="C8" s="10">
        <f>+C9+C13+C18+C19</f>
        <v>180670212.76595747</v>
      </c>
      <c r="D8" s="10">
        <f t="shared" ref="D8:F8" si="0">+D9+D13+D18+D19</f>
        <v>48829787.234042548</v>
      </c>
      <c r="E8" s="10">
        <f>+E9+E13+E18+E19</f>
        <v>229500000</v>
      </c>
      <c r="F8" s="429">
        <f t="shared" si="0"/>
        <v>0.97659574468085109</v>
      </c>
      <c r="G8" s="421"/>
      <c r="H8" s="421"/>
      <c r="I8" s="425" t="s">
        <v>340</v>
      </c>
      <c r="J8" s="421"/>
      <c r="K8" s="421"/>
    </row>
    <row r="9" spans="1:11" s="14" customFormat="1" ht="38.25" x14ac:dyDescent="0.2">
      <c r="A9" s="11">
        <v>1.1000000000000001</v>
      </c>
      <c r="B9" s="418" t="s">
        <v>492</v>
      </c>
      <c r="C9" s="13">
        <f>+C10+C11+C12</f>
        <v>161431966.05425534</v>
      </c>
      <c r="D9" s="13">
        <f t="shared" ref="D9:E9" si="1">+D10+D11+D12</f>
        <v>43630261.095744677</v>
      </c>
      <c r="E9" s="13">
        <f t="shared" si="1"/>
        <v>205062227.15000001</v>
      </c>
      <c r="F9" s="430">
        <f>+F10+F11+F12</f>
        <v>0.87260522191489365</v>
      </c>
      <c r="G9" s="424" t="s">
        <v>338</v>
      </c>
      <c r="H9" s="424" t="s">
        <v>339</v>
      </c>
      <c r="I9" s="422">
        <v>11000000</v>
      </c>
      <c r="J9" s="422"/>
      <c r="K9" s="422"/>
    </row>
    <row r="10" spans="1:11" s="14" customFormat="1" ht="12.75" x14ac:dyDescent="0.2">
      <c r="A10" s="269" t="s">
        <v>66</v>
      </c>
      <c r="B10" s="270" t="s">
        <v>336</v>
      </c>
      <c r="C10" s="271">
        <f>+C34+C44</f>
        <v>80947641.739361703</v>
      </c>
      <c r="D10" s="271">
        <f>+D34+D44</f>
        <v>21877741.010638297</v>
      </c>
      <c r="E10" s="271">
        <f>+C10+D10</f>
        <v>102825382.75</v>
      </c>
      <c r="F10" s="431">
        <f>+E10/$E$23</f>
        <v>0.43755482021276598</v>
      </c>
      <c r="G10" s="423">
        <f>+C10/$C$9</f>
        <v>0.50143502379297156</v>
      </c>
      <c r="H10" s="422">
        <f>$I$9*G10</f>
        <v>5515785.2617226867</v>
      </c>
      <c r="I10" s="426">
        <v>6300000</v>
      </c>
      <c r="J10" s="422"/>
      <c r="K10" s="422"/>
    </row>
    <row r="11" spans="1:11" s="14" customFormat="1" ht="23.25" customHeight="1" x14ac:dyDescent="0.2">
      <c r="A11" s="269" t="s">
        <v>70</v>
      </c>
      <c r="B11" s="454" t="s">
        <v>353</v>
      </c>
      <c r="C11" s="271">
        <f>+C35+C45</f>
        <v>50219935.735744685</v>
      </c>
      <c r="D11" s="271">
        <f>+D35+D45</f>
        <v>13572955.604255319</v>
      </c>
      <c r="E11" s="271">
        <f t="shared" ref="E11:E12" si="2">+C11+D11</f>
        <v>63792891.340000004</v>
      </c>
      <c r="F11" s="431">
        <f>+E11/$E$23</f>
        <v>0.27145911208510642</v>
      </c>
      <c r="G11" s="423">
        <f>+C11/$C$9</f>
        <v>0.31109040522288112</v>
      </c>
      <c r="H11" s="422">
        <f>$I$9*G11</f>
        <v>3421994.4574516923</v>
      </c>
      <c r="I11" s="426">
        <v>1600000</v>
      </c>
      <c r="J11" s="422"/>
      <c r="K11" s="422"/>
    </row>
    <row r="12" spans="1:11" s="14" customFormat="1" ht="24" x14ac:dyDescent="0.2">
      <c r="A12" s="269" t="s">
        <v>71</v>
      </c>
      <c r="B12" s="419" t="s">
        <v>352</v>
      </c>
      <c r="C12" s="271">
        <f>+C36+C46+C37</f>
        <v>30264388.579148941</v>
      </c>
      <c r="D12" s="271">
        <f>+D36+D46+D37</f>
        <v>8179564.4808510635</v>
      </c>
      <c r="E12" s="271">
        <f t="shared" si="2"/>
        <v>38443953.060000002</v>
      </c>
      <c r="F12" s="431">
        <f>+E12/$E$23</f>
        <v>0.1635912896170213</v>
      </c>
      <c r="G12" s="423">
        <f>+C12/$C$9</f>
        <v>0.18747457098414724</v>
      </c>
      <c r="H12" s="422">
        <f>$I$9*G12</f>
        <v>2062220.2808256196</v>
      </c>
      <c r="I12" s="426">
        <v>3100000</v>
      </c>
      <c r="J12" s="422"/>
      <c r="K12" s="422"/>
    </row>
    <row r="13" spans="1:11" customFormat="1" ht="12.75" x14ac:dyDescent="0.2">
      <c r="A13" s="11">
        <v>1.2</v>
      </c>
      <c r="B13" s="12" t="s">
        <v>493</v>
      </c>
      <c r="C13" s="13">
        <f>+C14+C15+C16+C17</f>
        <v>5722392.4468085105</v>
      </c>
      <c r="D13" s="13">
        <f t="shared" ref="D13:E13" si="3">+D14+D15+D16+D17</f>
        <v>1546592.5531914893</v>
      </c>
      <c r="E13" s="13">
        <f t="shared" si="3"/>
        <v>7268985</v>
      </c>
      <c r="F13" s="430">
        <f>+F14+F15+F16+F17</f>
        <v>3.0931851063829788E-2</v>
      </c>
      <c r="G13" s="421"/>
      <c r="H13" s="421"/>
      <c r="I13" s="427">
        <f>+I10+I11+I12</f>
        <v>11000000</v>
      </c>
      <c r="J13" s="421"/>
      <c r="K13" s="421"/>
    </row>
    <row r="14" spans="1:11" customFormat="1" ht="12.75" x14ac:dyDescent="0.2">
      <c r="A14" s="269" t="s">
        <v>73</v>
      </c>
      <c r="B14" s="270" t="s">
        <v>337</v>
      </c>
      <c r="C14" s="271">
        <f t="shared" ref="C14:D16" si="4">+C39</f>
        <v>2575436.1702127662</v>
      </c>
      <c r="D14" s="271">
        <f t="shared" si="4"/>
        <v>696063.82978723408</v>
      </c>
      <c r="E14" s="271">
        <f>+C14+D14</f>
        <v>3271500</v>
      </c>
      <c r="F14" s="431">
        <f t="shared" ref="F14:F19" si="5">+E14/$E$23</f>
        <v>1.3921276595744681E-2</v>
      </c>
      <c r="G14" s="421">
        <f>+C34*2%</f>
        <v>1509670.3</v>
      </c>
      <c r="H14" s="421"/>
      <c r="I14" s="421"/>
      <c r="J14" s="421"/>
      <c r="K14" s="421"/>
    </row>
    <row r="15" spans="1:11" customFormat="1" ht="12.75" x14ac:dyDescent="0.2">
      <c r="A15" s="269" t="s">
        <v>75</v>
      </c>
      <c r="B15" s="455" t="s">
        <v>354</v>
      </c>
      <c r="C15" s="271">
        <f t="shared" si="4"/>
        <v>1897627.6595744682</v>
      </c>
      <c r="D15" s="271">
        <f t="shared" si="4"/>
        <v>512872.3404255319</v>
      </c>
      <c r="E15" s="271">
        <f t="shared" ref="E15:E17" si="6">+C15+D15</f>
        <v>2410500</v>
      </c>
      <c r="F15" s="431">
        <f t="shared" si="5"/>
        <v>1.0257446808510639E-2</v>
      </c>
      <c r="G15" s="421" t="e">
        <f>+C35+#REF!</f>
        <v>#REF!</v>
      </c>
      <c r="H15" s="421" t="e">
        <f>+G15*2%</f>
        <v>#REF!</v>
      </c>
      <c r="I15" s="421"/>
      <c r="J15" s="421"/>
      <c r="K15" s="421"/>
    </row>
    <row r="16" spans="1:11" customFormat="1" ht="24" x14ac:dyDescent="0.2">
      <c r="A16" s="269" t="s">
        <v>76</v>
      </c>
      <c r="B16" s="454" t="s">
        <v>405</v>
      </c>
      <c r="C16" s="271">
        <f t="shared" si="4"/>
        <v>706148.93617021281</v>
      </c>
      <c r="D16" s="271">
        <f t="shared" si="4"/>
        <v>190851.06382978725</v>
      </c>
      <c r="E16" s="271">
        <f t="shared" si="6"/>
        <v>897000</v>
      </c>
      <c r="F16" s="431">
        <f t="shared" si="5"/>
        <v>3.8170212765957449E-3</v>
      </c>
      <c r="G16" s="421"/>
      <c r="H16" s="421"/>
      <c r="I16" s="421"/>
      <c r="J16" s="421"/>
      <c r="K16" s="421"/>
    </row>
    <row r="17" spans="1:11" customFormat="1" ht="12.75" x14ac:dyDescent="0.2">
      <c r="A17" s="269" t="s">
        <v>488</v>
      </c>
      <c r="B17" s="454" t="str">
        <f>+B42</f>
        <v>Obras de Mantenimiento de Obras Básicas-Región Occidental</v>
      </c>
      <c r="C17" s="271">
        <f>+C42</f>
        <v>543179.68085106381</v>
      </c>
      <c r="D17" s="271">
        <f>+D42</f>
        <v>146805.31914893616</v>
      </c>
      <c r="E17" s="271">
        <f t="shared" si="6"/>
        <v>689985</v>
      </c>
      <c r="F17" s="431">
        <f t="shared" si="5"/>
        <v>2.9361063829787233E-3</v>
      </c>
      <c r="G17" s="421"/>
      <c r="H17" s="421"/>
      <c r="I17" s="421"/>
      <c r="J17" s="421"/>
      <c r="K17" s="421"/>
    </row>
    <row r="18" spans="1:11" customFormat="1" ht="12.75" x14ac:dyDescent="0.2">
      <c r="A18" s="11" t="s">
        <v>363</v>
      </c>
      <c r="B18" s="12" t="s">
        <v>220</v>
      </c>
      <c r="C18" s="13">
        <f>+C47+C50+C51</f>
        <v>3506658.35</v>
      </c>
      <c r="D18" s="13">
        <f>+D47+D50+D51</f>
        <v>947745.5</v>
      </c>
      <c r="E18" s="13">
        <f>+C18+D18</f>
        <v>4454403.8499999996</v>
      </c>
      <c r="F18" s="432">
        <f t="shared" si="5"/>
        <v>1.8954909999999998E-2</v>
      </c>
      <c r="G18" s="421"/>
      <c r="H18" s="421"/>
      <c r="I18" s="421"/>
      <c r="J18" s="421"/>
      <c r="K18" s="421"/>
    </row>
    <row r="19" spans="1:11" customFormat="1" ht="12.75" x14ac:dyDescent="0.2">
      <c r="A19" s="11">
        <v>1.4</v>
      </c>
      <c r="B19" s="12" t="s">
        <v>385</v>
      </c>
      <c r="C19" s="13">
        <f>C54</f>
        <v>10009195.914893618</v>
      </c>
      <c r="D19" s="13">
        <f>D54</f>
        <v>2705188.0851063831</v>
      </c>
      <c r="E19" s="13">
        <f>+C19+D19</f>
        <v>12714384</v>
      </c>
      <c r="F19" s="432">
        <f t="shared" si="5"/>
        <v>5.4103761702127662E-2</v>
      </c>
      <c r="G19" s="421"/>
      <c r="H19" s="421"/>
      <c r="I19" s="421"/>
      <c r="J19" s="421"/>
      <c r="K19" s="421"/>
    </row>
    <row r="20" spans="1:11" customFormat="1" ht="18.75" customHeight="1" x14ac:dyDescent="0.2">
      <c r="A20" s="8">
        <v>2</v>
      </c>
      <c r="B20" s="9" t="s">
        <v>4</v>
      </c>
      <c r="C20" s="10">
        <f>+C21+C22</f>
        <v>4329787.2340425532</v>
      </c>
      <c r="D20" s="10">
        <f t="shared" ref="D20" si="7">+D21+D22</f>
        <v>1170212.7659574468</v>
      </c>
      <c r="E20" s="10">
        <f>+E21+E22</f>
        <v>5500000</v>
      </c>
      <c r="F20" s="429">
        <f>+F21+F22</f>
        <v>2.3404255319148935E-2</v>
      </c>
      <c r="G20" s="421"/>
      <c r="H20" s="425"/>
      <c r="I20" s="421"/>
      <c r="J20" s="421"/>
      <c r="K20" s="421"/>
    </row>
    <row r="21" spans="1:11" customFormat="1" ht="18.75" customHeight="1" x14ac:dyDescent="0.2">
      <c r="A21" s="11">
        <v>2.1</v>
      </c>
      <c r="B21" s="12" t="s">
        <v>5</v>
      </c>
      <c r="C21" s="13">
        <f>+C56</f>
        <v>3542553.1914893617</v>
      </c>
      <c r="D21" s="13">
        <f>+D56</f>
        <v>957446.80851063831</v>
      </c>
      <c r="E21" s="13">
        <f>+C21+D21</f>
        <v>4500000</v>
      </c>
      <c r="F21" s="432">
        <f>+E21/$E$23</f>
        <v>1.9148936170212766E-2</v>
      </c>
      <c r="G21" s="421"/>
      <c r="H21" s="421"/>
      <c r="I21" s="421"/>
      <c r="J21" s="421"/>
      <c r="K21" s="421"/>
    </row>
    <row r="22" spans="1:11" customFormat="1" ht="12.75" x14ac:dyDescent="0.2">
      <c r="A22" s="11">
        <v>2.2000000000000002</v>
      </c>
      <c r="B22" s="12" t="s">
        <v>341</v>
      </c>
      <c r="C22" s="13">
        <f>+C57</f>
        <v>787234.04255319154</v>
      </c>
      <c r="D22" s="13">
        <f>+D57</f>
        <v>212765.95744680849</v>
      </c>
      <c r="E22" s="13">
        <f>+C22+D22</f>
        <v>1000000</v>
      </c>
      <c r="F22" s="432">
        <f>+E22/$E$23</f>
        <v>4.2553191489361703E-3</v>
      </c>
      <c r="G22" s="421"/>
      <c r="H22" s="421"/>
      <c r="I22" s="421"/>
      <c r="J22" s="421"/>
      <c r="K22" s="421"/>
    </row>
    <row r="23" spans="1:11" customFormat="1" ht="12.75" x14ac:dyDescent="0.2">
      <c r="A23" s="15"/>
      <c r="B23" s="16" t="s">
        <v>6</v>
      </c>
      <c r="C23" s="17">
        <f>+C20+C8</f>
        <v>185000000.00000003</v>
      </c>
      <c r="D23" s="17">
        <f t="shared" ref="D23" si="8">+D20+D8</f>
        <v>49999999.999999993</v>
      </c>
      <c r="E23" s="17">
        <f>+E20+E8</f>
        <v>235000000</v>
      </c>
      <c r="F23" s="428">
        <f>+F20+F8</f>
        <v>1</v>
      </c>
      <c r="G23" s="421"/>
      <c r="H23" s="421"/>
      <c r="I23" s="421"/>
      <c r="J23" s="421"/>
      <c r="K23" s="421"/>
    </row>
    <row r="24" spans="1:11" customFormat="1" ht="12.75" x14ac:dyDescent="0.2">
      <c r="C24" s="447">
        <f>+C23/$E$23</f>
        <v>0.78723404255319163</v>
      </c>
      <c r="D24" s="447">
        <f>+D23/$E$23</f>
        <v>0.21276595744680848</v>
      </c>
      <c r="F24" s="7"/>
      <c r="G24" s="421"/>
      <c r="H24" s="421"/>
      <c r="I24" s="421"/>
      <c r="J24" s="421"/>
      <c r="K24" s="421"/>
    </row>
    <row r="25" spans="1:11" customFormat="1" x14ac:dyDescent="0.2">
      <c r="A25" s="1"/>
      <c r="B25" s="1"/>
      <c r="C25" s="2"/>
      <c r="D25" s="2"/>
      <c r="E25" s="2"/>
      <c r="F25" s="2"/>
      <c r="G25" s="421"/>
      <c r="H25" s="421"/>
      <c r="I25" s="421"/>
      <c r="J25" s="421"/>
      <c r="K25" s="421"/>
    </row>
    <row r="26" spans="1:11" s="14" customFormat="1" ht="22.5" customHeight="1" x14ac:dyDescent="0.2">
      <c r="A26" s="1"/>
      <c r="B26" s="1"/>
      <c r="C26" s="2"/>
      <c r="D26" s="2"/>
      <c r="E26" s="2"/>
      <c r="F26" s="2"/>
      <c r="G26" s="422"/>
      <c r="H26" s="422"/>
      <c r="I26" s="422"/>
      <c r="J26" s="422"/>
      <c r="K26" s="422"/>
    </row>
    <row r="27" spans="1:11" customFormat="1" x14ac:dyDescent="0.2">
      <c r="A27" s="1"/>
      <c r="B27" s="1"/>
      <c r="C27" s="2"/>
      <c r="D27" s="2"/>
      <c r="E27" s="2"/>
      <c r="F27" s="2"/>
      <c r="G27" s="421"/>
      <c r="H27" s="421"/>
      <c r="I27" s="421"/>
      <c r="J27" s="421"/>
      <c r="K27" s="421"/>
    </row>
    <row r="28" spans="1:11" s="14" customFormat="1" ht="22.5" customHeight="1" x14ac:dyDescent="0.2">
      <c r="A28" s="268" t="s">
        <v>223</v>
      </c>
      <c r="B28" s="268" t="s">
        <v>224</v>
      </c>
      <c r="C28" s="2"/>
      <c r="D28" s="2"/>
      <c r="E28" s="2"/>
      <c r="F28" s="2"/>
      <c r="G28" s="422"/>
      <c r="H28" s="422"/>
      <c r="I28" s="422"/>
      <c r="J28" s="422"/>
      <c r="K28" s="422"/>
    </row>
    <row r="29" spans="1:11" customFormat="1" x14ac:dyDescent="0.2">
      <c r="A29" s="1"/>
      <c r="B29" s="1"/>
      <c r="C29" s="2"/>
      <c r="D29" s="2"/>
      <c r="E29" s="2"/>
      <c r="F29" s="2"/>
      <c r="G29" s="421"/>
      <c r="H29" s="421"/>
      <c r="I29" s="420" t="s">
        <v>22</v>
      </c>
      <c r="J29" s="421" t="s">
        <v>360</v>
      </c>
      <c r="K29" s="421"/>
    </row>
    <row r="30" spans="1:11" customFormat="1" ht="12.75" x14ac:dyDescent="0.2">
      <c r="A30" s="628"/>
      <c r="B30" s="629" t="s">
        <v>0</v>
      </c>
      <c r="C30" s="18" t="s">
        <v>1</v>
      </c>
      <c r="D30" s="18" t="s">
        <v>356</v>
      </c>
      <c r="E30" s="626" t="s">
        <v>6</v>
      </c>
      <c r="F30" s="630"/>
      <c r="G30" s="421"/>
      <c r="H30" s="421" t="s">
        <v>361</v>
      </c>
      <c r="I30" s="421">
        <f>70000000*2%</f>
        <v>1400000</v>
      </c>
      <c r="J30" s="421">
        <f>35000000*2%</f>
        <v>700000</v>
      </c>
      <c r="K30" s="421"/>
    </row>
    <row r="31" spans="1:11" customFormat="1" ht="12.75" x14ac:dyDescent="0.2">
      <c r="A31" s="628"/>
      <c r="B31" s="629"/>
      <c r="C31" s="19" t="s">
        <v>2</v>
      </c>
      <c r="D31" s="19" t="s">
        <v>2</v>
      </c>
      <c r="E31" s="19" t="s">
        <v>2</v>
      </c>
      <c r="F31" s="20" t="s">
        <v>3</v>
      </c>
      <c r="G31" s="421"/>
      <c r="H31" s="421" t="s">
        <v>362</v>
      </c>
      <c r="I31" s="421">
        <f>14000000*2%</f>
        <v>280000</v>
      </c>
      <c r="J31" s="421">
        <f>15000000*2%</f>
        <v>300000</v>
      </c>
      <c r="K31" s="421"/>
    </row>
    <row r="32" spans="1:11" customFormat="1" ht="16.5" customHeight="1" x14ac:dyDescent="0.2">
      <c r="A32" s="272">
        <v>1</v>
      </c>
      <c r="B32" s="273" t="s">
        <v>219</v>
      </c>
      <c r="C32" s="274">
        <f>+C33+C38+C43+C47+C50+C51+C54</f>
        <v>180670212.76595747</v>
      </c>
      <c r="D32" s="274">
        <f>+D33+D38+D43+D47+D50+D51+D54</f>
        <v>48829787.23404254</v>
      </c>
      <c r="E32" s="274">
        <f>+E33+E38+E43+E47+E50+E51+E54</f>
        <v>229500000</v>
      </c>
      <c r="F32" s="436">
        <f>+F33+F38+F43+F47+F50+F51+F54</f>
        <v>0.97659574468085109</v>
      </c>
      <c r="G32" s="421"/>
      <c r="H32" s="421"/>
      <c r="I32" s="421"/>
      <c r="J32" s="421"/>
      <c r="K32" s="421"/>
    </row>
    <row r="33" spans="1:11" s="14" customFormat="1" ht="22.5" customHeight="1" x14ac:dyDescent="0.2">
      <c r="A33" s="275">
        <v>1.1000000000000001</v>
      </c>
      <c r="B33" s="276" t="s">
        <v>484</v>
      </c>
      <c r="C33" s="277">
        <f>+C34+C35+C36+C37</f>
        <v>150496634.04255319</v>
      </c>
      <c r="D33" s="277">
        <f>+D34+D35+D36+D37</f>
        <v>40674765.957446806</v>
      </c>
      <c r="E33" s="277">
        <f>+E34+E35+E36+E37</f>
        <v>191171400</v>
      </c>
      <c r="F33" s="437">
        <f>+F34+F35+F36+F37</f>
        <v>0.81349531914893614</v>
      </c>
      <c r="G33" s="422"/>
      <c r="H33" s="422"/>
      <c r="I33" s="422"/>
      <c r="J33" s="422"/>
      <c r="K33" s="422"/>
    </row>
    <row r="34" spans="1:11" customFormat="1" ht="34.5" customHeight="1" x14ac:dyDescent="0.2">
      <c r="A34" s="278" t="s">
        <v>66</v>
      </c>
      <c r="B34" s="433" t="s">
        <v>476</v>
      </c>
      <c r="C34" s="279">
        <f>+' Cuadro de Costos Detallado'!C5</f>
        <v>75483515</v>
      </c>
      <c r="D34" s="279">
        <f>+' Cuadro de Costos Detallado'!D5</f>
        <v>20400950</v>
      </c>
      <c r="E34" s="279">
        <f>+C34+D34</f>
        <v>95884465</v>
      </c>
      <c r="F34" s="438">
        <f>+E34/$E$63</f>
        <v>0.40801900000000002</v>
      </c>
      <c r="G34" s="421"/>
      <c r="H34" s="421"/>
      <c r="I34" s="421"/>
      <c r="J34" s="421"/>
      <c r="K34" s="421"/>
    </row>
    <row r="35" spans="1:11" customFormat="1" ht="12.75" x14ac:dyDescent="0.2">
      <c r="A35" s="278" t="s">
        <v>70</v>
      </c>
      <c r="B35" s="456" t="s">
        <v>477</v>
      </c>
      <c r="C35" s="279">
        <f>+' Cuadro de Costos Detallado'!C8</f>
        <v>45572585.106382981</v>
      </c>
      <c r="D35" s="279">
        <f>+' Cuadro de Costos Detallado'!D8</f>
        <v>12316914.893617021</v>
      </c>
      <c r="E35" s="279">
        <f t="shared" ref="E35:E49" si="9">+C35+D35</f>
        <v>57889500</v>
      </c>
      <c r="F35" s="438">
        <f>+E35/$E$63</f>
        <v>0.24633829787234043</v>
      </c>
      <c r="G35" s="421"/>
      <c r="H35" s="421">
        <f>+E35+E40</f>
        <v>60300000</v>
      </c>
      <c r="I35" s="451">
        <f>+C35/H35</f>
        <v>0.75576426378744577</v>
      </c>
      <c r="J35" s="421"/>
      <c r="K35" s="421"/>
    </row>
    <row r="36" spans="1:11" customFormat="1" ht="32.25" customHeight="1" x14ac:dyDescent="0.2">
      <c r="A36" s="278" t="s">
        <v>71</v>
      </c>
      <c r="B36" s="433" t="s">
        <v>478</v>
      </c>
      <c r="C36" s="279">
        <f>+' Cuadro de Costos Detallado'!C10</f>
        <v>18214361.574468087</v>
      </c>
      <c r="D36" s="279">
        <f>+' Cuadro de Costos Detallado'!D10</f>
        <v>4922800.4255319154</v>
      </c>
      <c r="E36" s="279">
        <f t="shared" si="9"/>
        <v>23137162.000000004</v>
      </c>
      <c r="F36" s="438">
        <f>+E36/$E$63</f>
        <v>9.8456008510638307E-2</v>
      </c>
      <c r="G36" s="421"/>
      <c r="H36" s="421"/>
      <c r="I36" s="452" t="e">
        <f>+(#REF!+#REF!)/H35</f>
        <v>#REF!</v>
      </c>
      <c r="J36" s="421"/>
      <c r="K36" s="421"/>
    </row>
    <row r="37" spans="1:11" customFormat="1" ht="12.75" x14ac:dyDescent="0.2">
      <c r="A37" s="278" t="s">
        <v>72</v>
      </c>
      <c r="B37" s="433" t="s">
        <v>460</v>
      </c>
      <c r="C37" s="279">
        <f>+' Cuadro de Costos Detallado'!C13</f>
        <v>11226172.361702127</v>
      </c>
      <c r="D37" s="279">
        <f>+' Cuadro de Costos Detallado'!D13</f>
        <v>3034100.6382978722</v>
      </c>
      <c r="E37" s="279">
        <f t="shared" si="9"/>
        <v>14260273</v>
      </c>
      <c r="F37" s="438">
        <f>+E37/$E$63</f>
        <v>6.0682012765957444E-2</v>
      </c>
      <c r="G37" s="421"/>
      <c r="H37" s="421"/>
      <c r="I37" s="452"/>
      <c r="J37" s="421"/>
      <c r="K37" s="421"/>
    </row>
    <row r="38" spans="1:11" customFormat="1" ht="12.75" x14ac:dyDescent="0.2">
      <c r="A38" s="275">
        <v>1.2</v>
      </c>
      <c r="B38" s="434" t="s">
        <v>479</v>
      </c>
      <c r="C38" s="277">
        <f>+C39+C40+C41+C42</f>
        <v>5722392.4468085105</v>
      </c>
      <c r="D38" s="277">
        <f t="shared" ref="D38:E38" si="10">+D39+D40+D41+D42</f>
        <v>1546592.5531914893</v>
      </c>
      <c r="E38" s="277">
        <f t="shared" si="10"/>
        <v>7268985</v>
      </c>
      <c r="F38" s="437">
        <f>+F39+F40+F41+F42</f>
        <v>3.0931851063829788E-2</v>
      </c>
      <c r="G38" s="421"/>
      <c r="H38" s="421"/>
      <c r="I38" s="421"/>
      <c r="J38" s="421"/>
      <c r="K38" s="421"/>
    </row>
    <row r="39" spans="1:11" customFormat="1" ht="26.25" customHeight="1" x14ac:dyDescent="0.2">
      <c r="A39" s="278" t="s">
        <v>395</v>
      </c>
      <c r="B39" s="433" t="s">
        <v>480</v>
      </c>
      <c r="C39" s="279">
        <f>' Cuadro de Costos Detallado'!C6</f>
        <v>2575436.1702127662</v>
      </c>
      <c r="D39" s="279">
        <f>' Cuadro de Costos Detallado'!D6</f>
        <v>696063.82978723408</v>
      </c>
      <c r="E39" s="279">
        <f t="shared" si="9"/>
        <v>3271500</v>
      </c>
      <c r="F39" s="438">
        <f>+E39/$E$63</f>
        <v>1.3921276595744681E-2</v>
      </c>
      <c r="G39" s="421"/>
      <c r="H39" s="421"/>
      <c r="I39" s="421"/>
      <c r="J39" s="421"/>
      <c r="K39" s="421"/>
    </row>
    <row r="40" spans="1:11" customFormat="1" ht="12.75" x14ac:dyDescent="0.2">
      <c r="A40" s="278" t="s">
        <v>394</v>
      </c>
      <c r="B40" s="456" t="s">
        <v>481</v>
      </c>
      <c r="C40" s="279">
        <f>' Cuadro de Costos Detallado'!C9</f>
        <v>1897627.6595744682</v>
      </c>
      <c r="D40" s="279">
        <f>' Cuadro de Costos Detallado'!D9</f>
        <v>512872.3404255319</v>
      </c>
      <c r="E40" s="279">
        <f t="shared" si="9"/>
        <v>2410500</v>
      </c>
      <c r="F40" s="438">
        <f>+E40/$E$63</f>
        <v>1.0257446808510639E-2</v>
      </c>
      <c r="G40" s="421"/>
      <c r="H40" s="421"/>
      <c r="I40" s="421"/>
      <c r="J40" s="421"/>
      <c r="K40" s="421"/>
    </row>
    <row r="41" spans="1:11" customFormat="1" ht="24" x14ac:dyDescent="0.2">
      <c r="A41" s="278" t="s">
        <v>393</v>
      </c>
      <c r="B41" s="456" t="s">
        <v>486</v>
      </c>
      <c r="C41" s="279">
        <f>+' Cuadro de Costos Detallado'!C11</f>
        <v>706148.93617021281</v>
      </c>
      <c r="D41" s="279">
        <f>+' Cuadro de Costos Detallado'!D11</f>
        <v>190851.06382978725</v>
      </c>
      <c r="E41" s="279">
        <f t="shared" si="9"/>
        <v>897000</v>
      </c>
      <c r="F41" s="438">
        <f>+E41/$E$63</f>
        <v>3.8170212765957449E-3</v>
      </c>
      <c r="G41" s="421"/>
      <c r="H41" s="421"/>
      <c r="I41" s="421"/>
      <c r="J41" s="421"/>
      <c r="K41" s="421"/>
    </row>
    <row r="42" spans="1:11" customFormat="1" ht="12.75" x14ac:dyDescent="0.2">
      <c r="A42" s="278" t="s">
        <v>485</v>
      </c>
      <c r="B42" s="456" t="s">
        <v>487</v>
      </c>
      <c r="C42" s="279">
        <f>+' Cuadro de Costos Detallado'!C14</f>
        <v>543179.68085106381</v>
      </c>
      <c r="D42" s="279">
        <f>+' Cuadro de Costos Detallado'!D14</f>
        <v>146805.31914893616</v>
      </c>
      <c r="E42" s="279">
        <f t="shared" si="9"/>
        <v>689985</v>
      </c>
      <c r="F42" s="438">
        <f>+E42/$E$63</f>
        <v>2.9361063829787233E-3</v>
      </c>
      <c r="G42" s="421"/>
      <c r="H42" s="421"/>
      <c r="I42" s="421"/>
      <c r="J42" s="421"/>
      <c r="K42" s="421"/>
    </row>
    <row r="43" spans="1:11" customFormat="1" ht="12.75" x14ac:dyDescent="0.2">
      <c r="A43" s="275">
        <v>1.3</v>
      </c>
      <c r="B43" s="434" t="s">
        <v>225</v>
      </c>
      <c r="C43" s="277">
        <f>+C44+C45+C46</f>
        <v>10935332.011702131</v>
      </c>
      <c r="D43" s="277">
        <f t="shared" ref="D43" si="11">+D44+D45+D46</f>
        <v>2955495.1382978726</v>
      </c>
      <c r="E43" s="277">
        <f>+E44+E45+E46</f>
        <v>13890827.150000004</v>
      </c>
      <c r="F43" s="437">
        <f>+F44+F45+F46</f>
        <v>5.9109902765957456E-2</v>
      </c>
      <c r="G43" s="421"/>
      <c r="H43" s="421"/>
      <c r="I43" s="421"/>
      <c r="J43" s="421"/>
      <c r="K43" s="421"/>
    </row>
    <row r="44" spans="1:11" customFormat="1" ht="24" x14ac:dyDescent="0.2">
      <c r="A44" s="278" t="s">
        <v>226</v>
      </c>
      <c r="B44" s="433" t="s">
        <v>482</v>
      </c>
      <c r="C44" s="279">
        <f>+' Cuadro de Costos Detallado'!C16</f>
        <v>5464126.7393617034</v>
      </c>
      <c r="D44" s="279">
        <f>+' Cuadro de Costos Detallado'!D16</f>
        <v>1476791.010638298</v>
      </c>
      <c r="E44" s="279">
        <f>+C44+D44</f>
        <v>6940917.7500000019</v>
      </c>
      <c r="F44" s="438">
        <f t="shared" ref="F44:F54" si="12">+E44/$E$63</f>
        <v>2.9535820212765965E-2</v>
      </c>
      <c r="G44" s="421"/>
      <c r="H44" s="421"/>
      <c r="I44" s="421"/>
      <c r="J44" s="421"/>
      <c r="K44" s="421"/>
    </row>
    <row r="45" spans="1:11" customFormat="1" ht="32.25" customHeight="1" x14ac:dyDescent="0.2">
      <c r="A45" s="278" t="s">
        <v>227</v>
      </c>
      <c r="B45" s="433" t="s">
        <v>483</v>
      </c>
      <c r="C45" s="279">
        <f>+' Cuadro de Costos Detallado'!C17</f>
        <v>4647350.6293617031</v>
      </c>
      <c r="D45" s="279">
        <f>+' Cuadro de Costos Detallado'!D17</f>
        <v>1256040.710638298</v>
      </c>
      <c r="E45" s="279">
        <f t="shared" si="9"/>
        <v>5903391.3400000008</v>
      </c>
      <c r="F45" s="438">
        <f t="shared" si="12"/>
        <v>2.5120814212765959E-2</v>
      </c>
      <c r="G45" s="421"/>
      <c r="H45" s="421">
        <f>+E45</f>
        <v>5903391.3400000008</v>
      </c>
      <c r="I45" s="451">
        <f>C45/H45</f>
        <v>0.78723404255319152</v>
      </c>
      <c r="J45" s="421"/>
      <c r="K45" s="421"/>
    </row>
    <row r="46" spans="1:11" customFormat="1" ht="24.75" customHeight="1" x14ac:dyDescent="0.2">
      <c r="A46" s="278" t="s">
        <v>228</v>
      </c>
      <c r="B46" s="433" t="s">
        <v>355</v>
      </c>
      <c r="C46" s="279">
        <f>+' Cuadro de Costos Detallado'!C18</f>
        <v>823854.64297872351</v>
      </c>
      <c r="D46" s="279">
        <f>+' Cuadro de Costos Detallado'!D18</f>
        <v>222663.4170212766</v>
      </c>
      <c r="E46" s="279">
        <f t="shared" si="9"/>
        <v>1046518.06</v>
      </c>
      <c r="F46" s="438">
        <f t="shared" si="12"/>
        <v>4.4532683404255322E-3</v>
      </c>
      <c r="G46" s="421"/>
      <c r="H46" s="421"/>
      <c r="I46" s="451" t="e">
        <f>#REF!/H45</f>
        <v>#REF!</v>
      </c>
      <c r="J46" s="421"/>
      <c r="K46" s="421"/>
    </row>
    <row r="47" spans="1:11" customFormat="1" ht="12.75" x14ac:dyDescent="0.2">
      <c r="A47" s="275">
        <v>1.4</v>
      </c>
      <c r="B47" s="434" t="s">
        <v>357</v>
      </c>
      <c r="C47" s="277">
        <f>C48+C49</f>
        <v>1102127.6595744682</v>
      </c>
      <c r="D47" s="277">
        <f t="shared" ref="D47:E47" si="13">D48+D49</f>
        <v>297872.3404255319</v>
      </c>
      <c r="E47" s="277">
        <f t="shared" si="13"/>
        <v>1400000</v>
      </c>
      <c r="F47" s="437">
        <f t="shared" si="12"/>
        <v>5.9574468085106386E-3</v>
      </c>
      <c r="G47" s="421"/>
      <c r="H47" s="421"/>
      <c r="I47" s="451"/>
      <c r="J47" s="421"/>
      <c r="K47" s="421"/>
    </row>
    <row r="48" spans="1:11" s="474" customFormat="1" ht="12.75" x14ac:dyDescent="0.2">
      <c r="A48" s="475" t="s">
        <v>396</v>
      </c>
      <c r="B48" s="456" t="s">
        <v>397</v>
      </c>
      <c r="C48" s="476">
        <f>+' Cuadro de Costos Detallado'!C20</f>
        <v>515638.29787234048</v>
      </c>
      <c r="D48" s="476">
        <f>+' Cuadro de Costos Detallado'!D20</f>
        <v>139361.70212765958</v>
      </c>
      <c r="E48" s="279">
        <f t="shared" si="9"/>
        <v>655000</v>
      </c>
      <c r="F48" s="438">
        <f t="shared" si="12"/>
        <v>2.7872340425531914E-3</v>
      </c>
      <c r="G48" s="472"/>
      <c r="H48" s="472"/>
      <c r="I48" s="473"/>
      <c r="J48" s="472"/>
      <c r="K48" s="472"/>
    </row>
    <row r="49" spans="1:11" s="474" customFormat="1" ht="12.75" x14ac:dyDescent="0.2">
      <c r="A49" s="475" t="s">
        <v>398</v>
      </c>
      <c r="B49" s="456" t="s">
        <v>399</v>
      </c>
      <c r="C49" s="476">
        <f>+' Cuadro de Costos Detallado'!C24</f>
        <v>586489.36170212761</v>
      </c>
      <c r="D49" s="476">
        <f>+' Cuadro de Costos Detallado'!D24</f>
        <v>158510.63829787233</v>
      </c>
      <c r="E49" s="279">
        <f t="shared" si="9"/>
        <v>745000</v>
      </c>
      <c r="F49" s="438">
        <f t="shared" si="12"/>
        <v>3.1702127659574467E-3</v>
      </c>
      <c r="G49" s="472"/>
      <c r="H49" s="472"/>
      <c r="I49" s="473"/>
      <c r="J49" s="472"/>
      <c r="K49" s="472"/>
    </row>
    <row r="50" spans="1:11" customFormat="1" ht="12.75" x14ac:dyDescent="0.2">
      <c r="A50" s="275">
        <v>1.5</v>
      </c>
      <c r="B50" s="434" t="s">
        <v>358</v>
      </c>
      <c r="C50" s="277">
        <f>+' Cuadro de Costos Detallado'!C29</f>
        <v>1562190.2648936172</v>
      </c>
      <c r="D50" s="277">
        <f>+' Cuadro de Costos Detallado'!D29</f>
        <v>422213.58510638302</v>
      </c>
      <c r="E50" s="277">
        <f>+C50+D50</f>
        <v>1984403.8500000003</v>
      </c>
      <c r="F50" s="437">
        <f t="shared" si="12"/>
        <v>8.4442717021276613E-3</v>
      </c>
      <c r="G50" s="421"/>
      <c r="H50" s="421"/>
      <c r="I50" s="451"/>
      <c r="J50" s="421"/>
      <c r="K50" s="421"/>
    </row>
    <row r="51" spans="1:11" customFormat="1" ht="12.75" x14ac:dyDescent="0.2">
      <c r="A51" s="275">
        <v>1.6</v>
      </c>
      <c r="B51" s="434" t="s">
        <v>359</v>
      </c>
      <c r="C51" s="277">
        <f>+C52+C53</f>
        <v>842340.42553191492</v>
      </c>
      <c r="D51" s="277">
        <f t="shared" ref="D51:E51" si="14">+D52+D53</f>
        <v>227659.57446808511</v>
      </c>
      <c r="E51" s="277">
        <f t="shared" si="14"/>
        <v>1070000</v>
      </c>
      <c r="F51" s="437">
        <f t="shared" si="12"/>
        <v>4.553191489361702E-3</v>
      </c>
      <c r="G51" s="421"/>
      <c r="H51" s="421"/>
      <c r="I51" s="451"/>
      <c r="J51" s="421"/>
      <c r="K51" s="421"/>
    </row>
    <row r="52" spans="1:11" customFormat="1" ht="12.75" x14ac:dyDescent="0.2">
      <c r="A52" s="475" t="s">
        <v>400</v>
      </c>
      <c r="B52" s="456" t="s">
        <v>402</v>
      </c>
      <c r="C52" s="476">
        <f>+' Cuadro de Costos Detallado'!C31</f>
        <v>448723.40425531915</v>
      </c>
      <c r="D52" s="476">
        <f>+' Cuadro de Costos Detallado'!D31</f>
        <v>121276.59574468085</v>
      </c>
      <c r="E52" s="279">
        <f t="shared" ref="E52:E53" si="15">+C52+D52</f>
        <v>570000</v>
      </c>
      <c r="F52" s="438">
        <f t="shared" si="12"/>
        <v>2.4255319148936169E-3</v>
      </c>
      <c r="G52" s="421"/>
      <c r="H52" s="421"/>
      <c r="I52" s="451"/>
      <c r="J52" s="421"/>
      <c r="K52" s="421"/>
    </row>
    <row r="53" spans="1:11" customFormat="1" ht="12.75" x14ac:dyDescent="0.2">
      <c r="A53" s="475" t="s">
        <v>401</v>
      </c>
      <c r="B53" s="456" t="s">
        <v>403</v>
      </c>
      <c r="C53" s="476">
        <f>+' Cuadro de Costos Detallado'!C32</f>
        <v>393617.02127659577</v>
      </c>
      <c r="D53" s="476">
        <f>+' Cuadro de Costos Detallado'!D32</f>
        <v>106382.97872340426</v>
      </c>
      <c r="E53" s="279">
        <f t="shared" si="15"/>
        <v>500000</v>
      </c>
      <c r="F53" s="438">
        <f t="shared" si="12"/>
        <v>2.1276595744680851E-3</v>
      </c>
      <c r="G53" s="421"/>
      <c r="H53" s="421"/>
      <c r="I53" s="451"/>
      <c r="J53" s="421"/>
      <c r="K53" s="421"/>
    </row>
    <row r="54" spans="1:11" customFormat="1" ht="12.75" x14ac:dyDescent="0.2">
      <c r="A54" s="275">
        <v>1.7</v>
      </c>
      <c r="B54" s="434" t="s">
        <v>385</v>
      </c>
      <c r="C54" s="277">
        <f>+' Cuadro de Costos Detallado'!C33</f>
        <v>10009195.914893618</v>
      </c>
      <c r="D54" s="277">
        <f>+' Cuadro de Costos Detallado'!D33</f>
        <v>2705188.0851063831</v>
      </c>
      <c r="E54" s="277">
        <f>+C54+D54</f>
        <v>12714384</v>
      </c>
      <c r="F54" s="437">
        <f t="shared" si="12"/>
        <v>5.4103761702127662E-2</v>
      </c>
      <c r="G54" s="421"/>
      <c r="H54" s="421"/>
      <c r="I54" s="451"/>
      <c r="J54" s="421"/>
      <c r="K54" s="421"/>
    </row>
    <row r="55" spans="1:11" customFormat="1" ht="12.75" x14ac:dyDescent="0.2">
      <c r="A55" s="272">
        <v>2</v>
      </c>
      <c r="B55" s="435" t="s">
        <v>4</v>
      </c>
      <c r="C55" s="274">
        <f>+C56+C57</f>
        <v>4329787.2340425532</v>
      </c>
      <c r="D55" s="274">
        <f>+D56+D57</f>
        <v>1170212.7659574468</v>
      </c>
      <c r="E55" s="274">
        <f t="shared" ref="E55" si="16">+E56+E57</f>
        <v>5500000</v>
      </c>
      <c r="F55" s="460">
        <f>+F56+F57</f>
        <v>2.3404255319148935E-2</v>
      </c>
      <c r="G55" s="421"/>
      <c r="H55" s="421"/>
      <c r="I55" s="421"/>
      <c r="J55" s="421"/>
      <c r="K55" s="421"/>
    </row>
    <row r="56" spans="1:11" customFormat="1" ht="16.5" customHeight="1" x14ac:dyDescent="0.2">
      <c r="A56" s="275">
        <v>2.1</v>
      </c>
      <c r="B56" s="434" t="s">
        <v>5</v>
      </c>
      <c r="C56" s="277">
        <f>+' Cuadro de Costos Detallado'!C35</f>
        <v>3542553.1914893617</v>
      </c>
      <c r="D56" s="277">
        <f>+' Cuadro de Costos Detallado'!D35</f>
        <v>957446.80851063831</v>
      </c>
      <c r="E56" s="277">
        <f>+C56+D56</f>
        <v>4500000</v>
      </c>
      <c r="F56" s="437">
        <f t="shared" ref="F56:F62" si="17">+E56/$E$63</f>
        <v>1.9148936170212766E-2</v>
      </c>
      <c r="G56" s="421"/>
      <c r="H56" s="421"/>
      <c r="I56" s="421"/>
      <c r="J56" s="421"/>
      <c r="K56" s="421"/>
    </row>
    <row r="57" spans="1:11" customFormat="1" ht="12.75" x14ac:dyDescent="0.2">
      <c r="A57" s="275">
        <v>2.2000000000000002</v>
      </c>
      <c r="B57" s="434" t="s">
        <v>341</v>
      </c>
      <c r="C57" s="277">
        <f>+C58+C59+C60+C61+C62</f>
        <v>787234.04255319154</v>
      </c>
      <c r="D57" s="277">
        <f>+D58+D59+D60+D61+D62</f>
        <v>212765.95744680849</v>
      </c>
      <c r="E57" s="277">
        <f t="shared" ref="E57" si="18">+E58+E59+E60+E61+E62</f>
        <v>1000000</v>
      </c>
      <c r="F57" s="437">
        <f t="shared" si="17"/>
        <v>4.2553191489361703E-3</v>
      </c>
      <c r="G57" s="421"/>
      <c r="H57" s="421"/>
      <c r="I57" s="421"/>
      <c r="J57" s="421"/>
      <c r="K57" s="421"/>
    </row>
    <row r="58" spans="1:11" customFormat="1" ht="12.75" x14ac:dyDescent="0.2">
      <c r="A58" s="475" t="s">
        <v>81</v>
      </c>
      <c r="B58" s="456" t="s">
        <v>391</v>
      </c>
      <c r="C58" s="476">
        <f>+' Cuadro de Costos Detallado'!C37</f>
        <v>275531.91489361704</v>
      </c>
      <c r="D58" s="476">
        <f>+' Cuadro de Costos Detallado'!D37</f>
        <v>74468.085106382976</v>
      </c>
      <c r="E58" s="279">
        <f t="shared" ref="E58:E62" si="19">+C58+D58</f>
        <v>350000</v>
      </c>
      <c r="F58" s="438">
        <f t="shared" si="17"/>
        <v>1.4893617021276596E-3</v>
      </c>
      <c r="G58" s="421"/>
      <c r="H58" s="421"/>
      <c r="I58" s="421"/>
      <c r="J58" s="421"/>
      <c r="K58" s="421"/>
    </row>
    <row r="59" spans="1:11" customFormat="1" ht="12.75" x14ac:dyDescent="0.2">
      <c r="A59" s="475" t="s">
        <v>83</v>
      </c>
      <c r="B59" s="456" t="s">
        <v>465</v>
      </c>
      <c r="C59" s="476">
        <f>+' Cuadro de Costos Detallado'!C38</f>
        <v>236170.21276595746</v>
      </c>
      <c r="D59" s="476">
        <f>+' Cuadro de Costos Detallado'!D38</f>
        <v>63829.787234042553</v>
      </c>
      <c r="E59" s="279">
        <f t="shared" si="19"/>
        <v>300000</v>
      </c>
      <c r="F59" s="438">
        <f t="shared" si="17"/>
        <v>1.276595744680851E-3</v>
      </c>
      <c r="G59" s="421"/>
      <c r="H59" s="421"/>
      <c r="I59" s="421"/>
      <c r="J59" s="421"/>
      <c r="K59" s="421"/>
    </row>
    <row r="60" spans="1:11" customFormat="1" ht="27" customHeight="1" x14ac:dyDescent="0.2">
      <c r="A60" s="475" t="s">
        <v>86</v>
      </c>
      <c r="B60" s="456" t="s">
        <v>392</v>
      </c>
      <c r="C60" s="476">
        <f>+' Cuadro de Costos Detallado'!C40</f>
        <v>118085.10638297873</v>
      </c>
      <c r="D60" s="476">
        <f>+' Cuadro de Costos Detallado'!D40</f>
        <v>31914.893617021276</v>
      </c>
      <c r="E60" s="279">
        <f t="shared" si="19"/>
        <v>150000</v>
      </c>
      <c r="F60" s="438">
        <f t="shared" si="17"/>
        <v>6.382978723404255E-4</v>
      </c>
      <c r="G60" s="421"/>
      <c r="H60" s="421"/>
      <c r="I60" s="421"/>
      <c r="J60" s="421"/>
      <c r="K60" s="421"/>
    </row>
    <row r="61" spans="1:11" customFormat="1" ht="12.75" x14ac:dyDescent="0.2">
      <c r="A61" s="475" t="s">
        <v>404</v>
      </c>
      <c r="B61" s="456" t="s">
        <v>474</v>
      </c>
      <c r="C61" s="476">
        <f>+' Cuadro de Costos Detallado'!C41</f>
        <v>118085.10638297873</v>
      </c>
      <c r="D61" s="476">
        <f>+' Cuadro de Costos Detallado'!D41</f>
        <v>31914.893617021276</v>
      </c>
      <c r="E61" s="279">
        <f t="shared" si="19"/>
        <v>150000</v>
      </c>
      <c r="F61" s="438">
        <f t="shared" si="17"/>
        <v>6.382978723404255E-4</v>
      </c>
      <c r="G61" s="421"/>
      <c r="H61" s="421"/>
      <c r="I61" s="421"/>
      <c r="J61" s="421"/>
      <c r="K61" s="421"/>
    </row>
    <row r="62" spans="1:11" customFormat="1" ht="12.75" x14ac:dyDescent="0.2">
      <c r="A62" s="475" t="s">
        <v>468</v>
      </c>
      <c r="B62" s="456" t="s">
        <v>469</v>
      </c>
      <c r="C62" s="476">
        <f>+' Cuadro de Costos Detallado'!C39</f>
        <v>39361.702127659577</v>
      </c>
      <c r="D62" s="476">
        <f>+' Cuadro de Costos Detallado'!D39</f>
        <v>10638.297872340425</v>
      </c>
      <c r="E62" s="279">
        <f t="shared" si="19"/>
        <v>50000</v>
      </c>
      <c r="F62" s="438">
        <f t="shared" si="17"/>
        <v>2.1276595744680851E-4</v>
      </c>
      <c r="G62" s="421"/>
      <c r="H62" s="421"/>
      <c r="I62" s="421"/>
      <c r="J62" s="421"/>
      <c r="K62" s="421"/>
    </row>
    <row r="63" spans="1:11" x14ac:dyDescent="0.2">
      <c r="A63" s="280"/>
      <c r="B63" s="281" t="s">
        <v>6</v>
      </c>
      <c r="C63" s="282">
        <f>+C55+C32</f>
        <v>185000000.00000003</v>
      </c>
      <c r="D63" s="282">
        <f>+D55+D32</f>
        <v>49999999.999999985</v>
      </c>
      <c r="E63" s="282">
        <f>+E55+E32</f>
        <v>235000000</v>
      </c>
      <c r="F63" s="439">
        <f>+F55+F32</f>
        <v>1</v>
      </c>
    </row>
    <row r="71" spans="2:6" x14ac:dyDescent="0.2">
      <c r="B71" s="6"/>
      <c r="C71" s="4"/>
      <c r="D71" s="4"/>
      <c r="E71" s="4"/>
      <c r="F71" s="4"/>
    </row>
    <row r="72" spans="2:6" x14ac:dyDescent="0.2">
      <c r="B72" s="5"/>
      <c r="C72" s="4"/>
      <c r="D72" s="4"/>
      <c r="E72" s="4"/>
      <c r="F72" s="4"/>
    </row>
    <row r="73" spans="2:6" x14ac:dyDescent="0.2">
      <c r="B73" s="5"/>
      <c r="C73" s="4"/>
      <c r="D73" s="4"/>
      <c r="E73" s="4"/>
      <c r="F73" s="4"/>
    </row>
    <row r="74" spans="2:6" x14ac:dyDescent="0.2">
      <c r="B74" s="5"/>
      <c r="C74" s="4"/>
      <c r="D74" s="4"/>
      <c r="E74" s="4"/>
      <c r="F74" s="4"/>
    </row>
    <row r="75" spans="2:6" ht="16.5" customHeight="1" x14ac:dyDescent="0.2">
      <c r="B75" s="3"/>
      <c r="C75" s="4"/>
      <c r="D75" s="4"/>
      <c r="E75" s="4"/>
      <c r="F75" s="4"/>
    </row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5" ht="16.5" customHeight="1" x14ac:dyDescent="0.2"/>
    <row r="111" ht="16.5" customHeight="1" x14ac:dyDescent="0.2"/>
  </sheetData>
  <mergeCells count="8">
    <mergeCell ref="A1:F1"/>
    <mergeCell ref="A2:F2"/>
    <mergeCell ref="A6:A7"/>
    <mergeCell ref="B6:B7"/>
    <mergeCell ref="A30:A31"/>
    <mergeCell ref="B30:B31"/>
    <mergeCell ref="E6:F6"/>
    <mergeCell ref="E30:F30"/>
  </mergeCells>
  <pageMargins left="0.70866141732283472" right="0.70866141732283472" top="0.74803149606299213" bottom="0.74803149606299213" header="0.31496062992125984" footer="0.31496062992125984"/>
  <pageSetup paperSize="8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CP60"/>
  <sheetViews>
    <sheetView showGridLines="0" topLeftCell="A19" zoomScale="80" zoomScaleNormal="80" workbookViewId="0">
      <selection activeCell="B12" sqref="B12"/>
    </sheetView>
  </sheetViews>
  <sheetFormatPr defaultColWidth="11.42578125" defaultRowHeight="12.75" x14ac:dyDescent="0.2"/>
  <cols>
    <col min="1" max="1" width="12.42578125" style="107" bestFit="1" customWidth="1"/>
    <col min="2" max="2" width="88" style="31" customWidth="1"/>
    <col min="3" max="3" width="12.85546875" style="26" customWidth="1"/>
    <col min="4" max="4" width="15.5703125" style="27" customWidth="1"/>
    <col min="5" max="5" width="12.85546875" style="28" customWidth="1"/>
    <col min="6" max="6" width="13.42578125" style="28" bestFit="1" customWidth="1"/>
    <col min="7" max="10" width="17.7109375" style="29" customWidth="1"/>
    <col min="11" max="68" width="4.5703125" style="25" customWidth="1"/>
    <col min="69" max="94" width="4.85546875" style="25" customWidth="1"/>
    <col min="95" max="256" width="11.42578125" style="25"/>
    <col min="257" max="257" width="44.42578125" style="25" customWidth="1"/>
    <col min="258" max="258" width="13" style="25" customWidth="1"/>
    <col min="259" max="264" width="2" style="25" customWidth="1"/>
    <col min="265" max="265" width="2.42578125" style="25" customWidth="1"/>
    <col min="266" max="266" width="3" style="25" customWidth="1"/>
    <col min="267" max="269" width="2" style="25" customWidth="1"/>
    <col min="270" max="270" width="2.85546875" style="25" customWidth="1"/>
    <col min="271" max="271" width="3" style="25" customWidth="1"/>
    <col min="272" max="272" width="2.7109375" style="25" customWidth="1"/>
    <col min="273" max="273" width="2.42578125" style="25" customWidth="1"/>
    <col min="274" max="274" width="3.28515625" style="25" customWidth="1"/>
    <col min="275" max="275" width="3.5703125" style="25" customWidth="1"/>
    <col min="276" max="276" width="4" style="25" customWidth="1"/>
    <col min="277" max="277" width="3.42578125" style="25" customWidth="1"/>
    <col min="278" max="278" width="3" style="25" customWidth="1"/>
    <col min="279" max="512" width="11.42578125" style="25"/>
    <col min="513" max="513" width="44.42578125" style="25" customWidth="1"/>
    <col min="514" max="514" width="13" style="25" customWidth="1"/>
    <col min="515" max="520" width="2" style="25" customWidth="1"/>
    <col min="521" max="521" width="2.42578125" style="25" customWidth="1"/>
    <col min="522" max="522" width="3" style="25" customWidth="1"/>
    <col min="523" max="525" width="2" style="25" customWidth="1"/>
    <col min="526" max="526" width="2.85546875" style="25" customWidth="1"/>
    <col min="527" max="527" width="3" style="25" customWidth="1"/>
    <col min="528" max="528" width="2.7109375" style="25" customWidth="1"/>
    <col min="529" max="529" width="2.42578125" style="25" customWidth="1"/>
    <col min="530" max="530" width="3.28515625" style="25" customWidth="1"/>
    <col min="531" max="531" width="3.5703125" style="25" customWidth="1"/>
    <col min="532" max="532" width="4" style="25" customWidth="1"/>
    <col min="533" max="533" width="3.42578125" style="25" customWidth="1"/>
    <col min="534" max="534" width="3" style="25" customWidth="1"/>
    <col min="535" max="768" width="11.42578125" style="25"/>
    <col min="769" max="769" width="44.42578125" style="25" customWidth="1"/>
    <col min="770" max="770" width="13" style="25" customWidth="1"/>
    <col min="771" max="776" width="2" style="25" customWidth="1"/>
    <col min="777" max="777" width="2.42578125" style="25" customWidth="1"/>
    <col min="778" max="778" width="3" style="25" customWidth="1"/>
    <col min="779" max="781" width="2" style="25" customWidth="1"/>
    <col min="782" max="782" width="2.85546875" style="25" customWidth="1"/>
    <col min="783" max="783" width="3" style="25" customWidth="1"/>
    <col min="784" max="784" width="2.7109375" style="25" customWidth="1"/>
    <col min="785" max="785" width="2.42578125" style="25" customWidth="1"/>
    <col min="786" max="786" width="3.28515625" style="25" customWidth="1"/>
    <col min="787" max="787" width="3.5703125" style="25" customWidth="1"/>
    <col min="788" max="788" width="4" style="25" customWidth="1"/>
    <col min="789" max="789" width="3.42578125" style="25" customWidth="1"/>
    <col min="790" max="790" width="3" style="25" customWidth="1"/>
    <col min="791" max="1024" width="11.42578125" style="25"/>
    <col min="1025" max="1025" width="44.42578125" style="25" customWidth="1"/>
    <col min="1026" max="1026" width="13" style="25" customWidth="1"/>
    <col min="1027" max="1032" width="2" style="25" customWidth="1"/>
    <col min="1033" max="1033" width="2.42578125" style="25" customWidth="1"/>
    <col min="1034" max="1034" width="3" style="25" customWidth="1"/>
    <col min="1035" max="1037" width="2" style="25" customWidth="1"/>
    <col min="1038" max="1038" width="2.85546875" style="25" customWidth="1"/>
    <col min="1039" max="1039" width="3" style="25" customWidth="1"/>
    <col min="1040" max="1040" width="2.7109375" style="25" customWidth="1"/>
    <col min="1041" max="1041" width="2.42578125" style="25" customWidth="1"/>
    <col min="1042" max="1042" width="3.28515625" style="25" customWidth="1"/>
    <col min="1043" max="1043" width="3.5703125" style="25" customWidth="1"/>
    <col min="1044" max="1044" width="4" style="25" customWidth="1"/>
    <col min="1045" max="1045" width="3.42578125" style="25" customWidth="1"/>
    <col min="1046" max="1046" width="3" style="25" customWidth="1"/>
    <col min="1047" max="1280" width="11.42578125" style="25"/>
    <col min="1281" max="1281" width="44.42578125" style="25" customWidth="1"/>
    <col min="1282" max="1282" width="13" style="25" customWidth="1"/>
    <col min="1283" max="1288" width="2" style="25" customWidth="1"/>
    <col min="1289" max="1289" width="2.42578125" style="25" customWidth="1"/>
    <col min="1290" max="1290" width="3" style="25" customWidth="1"/>
    <col min="1291" max="1293" width="2" style="25" customWidth="1"/>
    <col min="1294" max="1294" width="2.85546875" style="25" customWidth="1"/>
    <col min="1295" max="1295" width="3" style="25" customWidth="1"/>
    <col min="1296" max="1296" width="2.7109375" style="25" customWidth="1"/>
    <col min="1297" max="1297" width="2.42578125" style="25" customWidth="1"/>
    <col min="1298" max="1298" width="3.28515625" style="25" customWidth="1"/>
    <col min="1299" max="1299" width="3.5703125" style="25" customWidth="1"/>
    <col min="1300" max="1300" width="4" style="25" customWidth="1"/>
    <col min="1301" max="1301" width="3.42578125" style="25" customWidth="1"/>
    <col min="1302" max="1302" width="3" style="25" customWidth="1"/>
    <col min="1303" max="1536" width="11.42578125" style="25"/>
    <col min="1537" max="1537" width="44.42578125" style="25" customWidth="1"/>
    <col min="1538" max="1538" width="13" style="25" customWidth="1"/>
    <col min="1539" max="1544" width="2" style="25" customWidth="1"/>
    <col min="1545" max="1545" width="2.42578125" style="25" customWidth="1"/>
    <col min="1546" max="1546" width="3" style="25" customWidth="1"/>
    <col min="1547" max="1549" width="2" style="25" customWidth="1"/>
    <col min="1550" max="1550" width="2.85546875" style="25" customWidth="1"/>
    <col min="1551" max="1551" width="3" style="25" customWidth="1"/>
    <col min="1552" max="1552" width="2.7109375" style="25" customWidth="1"/>
    <col min="1553" max="1553" width="2.42578125" style="25" customWidth="1"/>
    <col min="1554" max="1554" width="3.28515625" style="25" customWidth="1"/>
    <col min="1555" max="1555" width="3.5703125" style="25" customWidth="1"/>
    <col min="1556" max="1556" width="4" style="25" customWidth="1"/>
    <col min="1557" max="1557" width="3.42578125" style="25" customWidth="1"/>
    <col min="1558" max="1558" width="3" style="25" customWidth="1"/>
    <col min="1559" max="1792" width="11.42578125" style="25"/>
    <col min="1793" max="1793" width="44.42578125" style="25" customWidth="1"/>
    <col min="1794" max="1794" width="13" style="25" customWidth="1"/>
    <col min="1795" max="1800" width="2" style="25" customWidth="1"/>
    <col min="1801" max="1801" width="2.42578125" style="25" customWidth="1"/>
    <col min="1802" max="1802" width="3" style="25" customWidth="1"/>
    <col min="1803" max="1805" width="2" style="25" customWidth="1"/>
    <col min="1806" max="1806" width="2.85546875" style="25" customWidth="1"/>
    <col min="1807" max="1807" width="3" style="25" customWidth="1"/>
    <col min="1808" max="1808" width="2.7109375" style="25" customWidth="1"/>
    <col min="1809" max="1809" width="2.42578125" style="25" customWidth="1"/>
    <col min="1810" max="1810" width="3.28515625" style="25" customWidth="1"/>
    <col min="1811" max="1811" width="3.5703125" style="25" customWidth="1"/>
    <col min="1812" max="1812" width="4" style="25" customWidth="1"/>
    <col min="1813" max="1813" width="3.42578125" style="25" customWidth="1"/>
    <col min="1814" max="1814" width="3" style="25" customWidth="1"/>
    <col min="1815" max="2048" width="11.42578125" style="25"/>
    <col min="2049" max="2049" width="44.42578125" style="25" customWidth="1"/>
    <col min="2050" max="2050" width="13" style="25" customWidth="1"/>
    <col min="2051" max="2056" width="2" style="25" customWidth="1"/>
    <col min="2057" max="2057" width="2.42578125" style="25" customWidth="1"/>
    <col min="2058" max="2058" width="3" style="25" customWidth="1"/>
    <col min="2059" max="2061" width="2" style="25" customWidth="1"/>
    <col min="2062" max="2062" width="2.85546875" style="25" customWidth="1"/>
    <col min="2063" max="2063" width="3" style="25" customWidth="1"/>
    <col min="2064" max="2064" width="2.7109375" style="25" customWidth="1"/>
    <col min="2065" max="2065" width="2.42578125" style="25" customWidth="1"/>
    <col min="2066" max="2066" width="3.28515625" style="25" customWidth="1"/>
    <col min="2067" max="2067" width="3.5703125" style="25" customWidth="1"/>
    <col min="2068" max="2068" width="4" style="25" customWidth="1"/>
    <col min="2069" max="2069" width="3.42578125" style="25" customWidth="1"/>
    <col min="2070" max="2070" width="3" style="25" customWidth="1"/>
    <col min="2071" max="2304" width="11.42578125" style="25"/>
    <col min="2305" max="2305" width="44.42578125" style="25" customWidth="1"/>
    <col min="2306" max="2306" width="13" style="25" customWidth="1"/>
    <col min="2307" max="2312" width="2" style="25" customWidth="1"/>
    <col min="2313" max="2313" width="2.42578125" style="25" customWidth="1"/>
    <col min="2314" max="2314" width="3" style="25" customWidth="1"/>
    <col min="2315" max="2317" width="2" style="25" customWidth="1"/>
    <col min="2318" max="2318" width="2.85546875" style="25" customWidth="1"/>
    <col min="2319" max="2319" width="3" style="25" customWidth="1"/>
    <col min="2320" max="2320" width="2.7109375" style="25" customWidth="1"/>
    <col min="2321" max="2321" width="2.42578125" style="25" customWidth="1"/>
    <col min="2322" max="2322" width="3.28515625" style="25" customWidth="1"/>
    <col min="2323" max="2323" width="3.5703125" style="25" customWidth="1"/>
    <col min="2324" max="2324" width="4" style="25" customWidth="1"/>
    <col min="2325" max="2325" width="3.42578125" style="25" customWidth="1"/>
    <col min="2326" max="2326" width="3" style="25" customWidth="1"/>
    <col min="2327" max="2560" width="11.42578125" style="25"/>
    <col min="2561" max="2561" width="44.42578125" style="25" customWidth="1"/>
    <col min="2562" max="2562" width="13" style="25" customWidth="1"/>
    <col min="2563" max="2568" width="2" style="25" customWidth="1"/>
    <col min="2569" max="2569" width="2.42578125" style="25" customWidth="1"/>
    <col min="2570" max="2570" width="3" style="25" customWidth="1"/>
    <col min="2571" max="2573" width="2" style="25" customWidth="1"/>
    <col min="2574" max="2574" width="2.85546875" style="25" customWidth="1"/>
    <col min="2575" max="2575" width="3" style="25" customWidth="1"/>
    <col min="2576" max="2576" width="2.7109375" style="25" customWidth="1"/>
    <col min="2577" max="2577" width="2.42578125" style="25" customWidth="1"/>
    <col min="2578" max="2578" width="3.28515625" style="25" customWidth="1"/>
    <col min="2579" max="2579" width="3.5703125" style="25" customWidth="1"/>
    <col min="2580" max="2580" width="4" style="25" customWidth="1"/>
    <col min="2581" max="2581" width="3.42578125" style="25" customWidth="1"/>
    <col min="2582" max="2582" width="3" style="25" customWidth="1"/>
    <col min="2583" max="2816" width="11.42578125" style="25"/>
    <col min="2817" max="2817" width="44.42578125" style="25" customWidth="1"/>
    <col min="2818" max="2818" width="13" style="25" customWidth="1"/>
    <col min="2819" max="2824" width="2" style="25" customWidth="1"/>
    <col min="2825" max="2825" width="2.42578125" style="25" customWidth="1"/>
    <col min="2826" max="2826" width="3" style="25" customWidth="1"/>
    <col min="2827" max="2829" width="2" style="25" customWidth="1"/>
    <col min="2830" max="2830" width="2.85546875" style="25" customWidth="1"/>
    <col min="2831" max="2831" width="3" style="25" customWidth="1"/>
    <col min="2832" max="2832" width="2.7109375" style="25" customWidth="1"/>
    <col min="2833" max="2833" width="2.42578125" style="25" customWidth="1"/>
    <col min="2834" max="2834" width="3.28515625" style="25" customWidth="1"/>
    <col min="2835" max="2835" width="3.5703125" style="25" customWidth="1"/>
    <col min="2836" max="2836" width="4" style="25" customWidth="1"/>
    <col min="2837" max="2837" width="3.42578125" style="25" customWidth="1"/>
    <col min="2838" max="2838" width="3" style="25" customWidth="1"/>
    <col min="2839" max="3072" width="11.42578125" style="25"/>
    <col min="3073" max="3073" width="44.42578125" style="25" customWidth="1"/>
    <col min="3074" max="3074" width="13" style="25" customWidth="1"/>
    <col min="3075" max="3080" width="2" style="25" customWidth="1"/>
    <col min="3081" max="3081" width="2.42578125" style="25" customWidth="1"/>
    <col min="3082" max="3082" width="3" style="25" customWidth="1"/>
    <col min="3083" max="3085" width="2" style="25" customWidth="1"/>
    <col min="3086" max="3086" width="2.85546875" style="25" customWidth="1"/>
    <col min="3087" max="3087" width="3" style="25" customWidth="1"/>
    <col min="3088" max="3088" width="2.7109375" style="25" customWidth="1"/>
    <col min="3089" max="3089" width="2.42578125" style="25" customWidth="1"/>
    <col min="3090" max="3090" width="3.28515625" style="25" customWidth="1"/>
    <col min="3091" max="3091" width="3.5703125" style="25" customWidth="1"/>
    <col min="3092" max="3092" width="4" style="25" customWidth="1"/>
    <col min="3093" max="3093" width="3.42578125" style="25" customWidth="1"/>
    <col min="3094" max="3094" width="3" style="25" customWidth="1"/>
    <col min="3095" max="3328" width="11.42578125" style="25"/>
    <col min="3329" max="3329" width="44.42578125" style="25" customWidth="1"/>
    <col min="3330" max="3330" width="13" style="25" customWidth="1"/>
    <col min="3331" max="3336" width="2" style="25" customWidth="1"/>
    <col min="3337" max="3337" width="2.42578125" style="25" customWidth="1"/>
    <col min="3338" max="3338" width="3" style="25" customWidth="1"/>
    <col min="3339" max="3341" width="2" style="25" customWidth="1"/>
    <col min="3342" max="3342" width="2.85546875" style="25" customWidth="1"/>
    <col min="3343" max="3343" width="3" style="25" customWidth="1"/>
    <col min="3344" max="3344" width="2.7109375" style="25" customWidth="1"/>
    <col min="3345" max="3345" width="2.42578125" style="25" customWidth="1"/>
    <col min="3346" max="3346" width="3.28515625" style="25" customWidth="1"/>
    <col min="3347" max="3347" width="3.5703125" style="25" customWidth="1"/>
    <col min="3348" max="3348" width="4" style="25" customWidth="1"/>
    <col min="3349" max="3349" width="3.42578125" style="25" customWidth="1"/>
    <col min="3350" max="3350" width="3" style="25" customWidth="1"/>
    <col min="3351" max="3584" width="11.42578125" style="25"/>
    <col min="3585" max="3585" width="44.42578125" style="25" customWidth="1"/>
    <col min="3586" max="3586" width="13" style="25" customWidth="1"/>
    <col min="3587" max="3592" width="2" style="25" customWidth="1"/>
    <col min="3593" max="3593" width="2.42578125" style="25" customWidth="1"/>
    <col min="3594" max="3594" width="3" style="25" customWidth="1"/>
    <col min="3595" max="3597" width="2" style="25" customWidth="1"/>
    <col min="3598" max="3598" width="2.85546875" style="25" customWidth="1"/>
    <col min="3599" max="3599" width="3" style="25" customWidth="1"/>
    <col min="3600" max="3600" width="2.7109375" style="25" customWidth="1"/>
    <col min="3601" max="3601" width="2.42578125" style="25" customWidth="1"/>
    <col min="3602" max="3602" width="3.28515625" style="25" customWidth="1"/>
    <col min="3603" max="3603" width="3.5703125" style="25" customWidth="1"/>
    <col min="3604" max="3604" width="4" style="25" customWidth="1"/>
    <col min="3605" max="3605" width="3.42578125" style="25" customWidth="1"/>
    <col min="3606" max="3606" width="3" style="25" customWidth="1"/>
    <col min="3607" max="3840" width="11.42578125" style="25"/>
    <col min="3841" max="3841" width="44.42578125" style="25" customWidth="1"/>
    <col min="3842" max="3842" width="13" style="25" customWidth="1"/>
    <col min="3843" max="3848" width="2" style="25" customWidth="1"/>
    <col min="3849" max="3849" width="2.42578125" style="25" customWidth="1"/>
    <col min="3850" max="3850" width="3" style="25" customWidth="1"/>
    <col min="3851" max="3853" width="2" style="25" customWidth="1"/>
    <col min="3854" max="3854" width="2.85546875" style="25" customWidth="1"/>
    <col min="3855" max="3855" width="3" style="25" customWidth="1"/>
    <col min="3856" max="3856" width="2.7109375" style="25" customWidth="1"/>
    <col min="3857" max="3857" width="2.42578125" style="25" customWidth="1"/>
    <col min="3858" max="3858" width="3.28515625" style="25" customWidth="1"/>
    <col min="3859" max="3859" width="3.5703125" style="25" customWidth="1"/>
    <col min="3860" max="3860" width="4" style="25" customWidth="1"/>
    <col min="3861" max="3861" width="3.42578125" style="25" customWidth="1"/>
    <col min="3862" max="3862" width="3" style="25" customWidth="1"/>
    <col min="3863" max="4096" width="11.42578125" style="25"/>
    <col min="4097" max="4097" width="44.42578125" style="25" customWidth="1"/>
    <col min="4098" max="4098" width="13" style="25" customWidth="1"/>
    <col min="4099" max="4104" width="2" style="25" customWidth="1"/>
    <col min="4105" max="4105" width="2.42578125" style="25" customWidth="1"/>
    <col min="4106" max="4106" width="3" style="25" customWidth="1"/>
    <col min="4107" max="4109" width="2" style="25" customWidth="1"/>
    <col min="4110" max="4110" width="2.85546875" style="25" customWidth="1"/>
    <col min="4111" max="4111" width="3" style="25" customWidth="1"/>
    <col min="4112" max="4112" width="2.7109375" style="25" customWidth="1"/>
    <col min="4113" max="4113" width="2.42578125" style="25" customWidth="1"/>
    <col min="4114" max="4114" width="3.28515625" style="25" customWidth="1"/>
    <col min="4115" max="4115" width="3.5703125" style="25" customWidth="1"/>
    <col min="4116" max="4116" width="4" style="25" customWidth="1"/>
    <col min="4117" max="4117" width="3.42578125" style="25" customWidth="1"/>
    <col min="4118" max="4118" width="3" style="25" customWidth="1"/>
    <col min="4119" max="4352" width="11.42578125" style="25"/>
    <col min="4353" max="4353" width="44.42578125" style="25" customWidth="1"/>
    <col min="4354" max="4354" width="13" style="25" customWidth="1"/>
    <col min="4355" max="4360" width="2" style="25" customWidth="1"/>
    <col min="4361" max="4361" width="2.42578125" style="25" customWidth="1"/>
    <col min="4362" max="4362" width="3" style="25" customWidth="1"/>
    <col min="4363" max="4365" width="2" style="25" customWidth="1"/>
    <col min="4366" max="4366" width="2.85546875" style="25" customWidth="1"/>
    <col min="4367" max="4367" width="3" style="25" customWidth="1"/>
    <col min="4368" max="4368" width="2.7109375" style="25" customWidth="1"/>
    <col min="4369" max="4369" width="2.42578125" style="25" customWidth="1"/>
    <col min="4370" max="4370" width="3.28515625" style="25" customWidth="1"/>
    <col min="4371" max="4371" width="3.5703125" style="25" customWidth="1"/>
    <col min="4372" max="4372" width="4" style="25" customWidth="1"/>
    <col min="4373" max="4373" width="3.42578125" style="25" customWidth="1"/>
    <col min="4374" max="4374" width="3" style="25" customWidth="1"/>
    <col min="4375" max="4608" width="11.42578125" style="25"/>
    <col min="4609" max="4609" width="44.42578125" style="25" customWidth="1"/>
    <col min="4610" max="4610" width="13" style="25" customWidth="1"/>
    <col min="4611" max="4616" width="2" style="25" customWidth="1"/>
    <col min="4617" max="4617" width="2.42578125" style="25" customWidth="1"/>
    <col min="4618" max="4618" width="3" style="25" customWidth="1"/>
    <col min="4619" max="4621" width="2" style="25" customWidth="1"/>
    <col min="4622" max="4622" width="2.85546875" style="25" customWidth="1"/>
    <col min="4623" max="4623" width="3" style="25" customWidth="1"/>
    <col min="4624" max="4624" width="2.7109375" style="25" customWidth="1"/>
    <col min="4625" max="4625" width="2.42578125" style="25" customWidth="1"/>
    <col min="4626" max="4626" width="3.28515625" style="25" customWidth="1"/>
    <col min="4627" max="4627" width="3.5703125" style="25" customWidth="1"/>
    <col min="4628" max="4628" width="4" style="25" customWidth="1"/>
    <col min="4629" max="4629" width="3.42578125" style="25" customWidth="1"/>
    <col min="4630" max="4630" width="3" style="25" customWidth="1"/>
    <col min="4631" max="4864" width="11.42578125" style="25"/>
    <col min="4865" max="4865" width="44.42578125" style="25" customWidth="1"/>
    <col min="4866" max="4866" width="13" style="25" customWidth="1"/>
    <col min="4867" max="4872" width="2" style="25" customWidth="1"/>
    <col min="4873" max="4873" width="2.42578125" style="25" customWidth="1"/>
    <col min="4874" max="4874" width="3" style="25" customWidth="1"/>
    <col min="4875" max="4877" width="2" style="25" customWidth="1"/>
    <col min="4878" max="4878" width="2.85546875" style="25" customWidth="1"/>
    <col min="4879" max="4879" width="3" style="25" customWidth="1"/>
    <col min="4880" max="4880" width="2.7109375" style="25" customWidth="1"/>
    <col min="4881" max="4881" width="2.42578125" style="25" customWidth="1"/>
    <col min="4882" max="4882" width="3.28515625" style="25" customWidth="1"/>
    <col min="4883" max="4883" width="3.5703125" style="25" customWidth="1"/>
    <col min="4884" max="4884" width="4" style="25" customWidth="1"/>
    <col min="4885" max="4885" width="3.42578125" style="25" customWidth="1"/>
    <col min="4886" max="4886" width="3" style="25" customWidth="1"/>
    <col min="4887" max="5120" width="11.42578125" style="25"/>
    <col min="5121" max="5121" width="44.42578125" style="25" customWidth="1"/>
    <col min="5122" max="5122" width="13" style="25" customWidth="1"/>
    <col min="5123" max="5128" width="2" style="25" customWidth="1"/>
    <col min="5129" max="5129" width="2.42578125" style="25" customWidth="1"/>
    <col min="5130" max="5130" width="3" style="25" customWidth="1"/>
    <col min="5131" max="5133" width="2" style="25" customWidth="1"/>
    <col min="5134" max="5134" width="2.85546875" style="25" customWidth="1"/>
    <col min="5135" max="5135" width="3" style="25" customWidth="1"/>
    <col min="5136" max="5136" width="2.7109375" style="25" customWidth="1"/>
    <col min="5137" max="5137" width="2.42578125" style="25" customWidth="1"/>
    <col min="5138" max="5138" width="3.28515625" style="25" customWidth="1"/>
    <col min="5139" max="5139" width="3.5703125" style="25" customWidth="1"/>
    <col min="5140" max="5140" width="4" style="25" customWidth="1"/>
    <col min="5141" max="5141" width="3.42578125" style="25" customWidth="1"/>
    <col min="5142" max="5142" width="3" style="25" customWidth="1"/>
    <col min="5143" max="5376" width="11.42578125" style="25"/>
    <col min="5377" max="5377" width="44.42578125" style="25" customWidth="1"/>
    <col min="5378" max="5378" width="13" style="25" customWidth="1"/>
    <col min="5379" max="5384" width="2" style="25" customWidth="1"/>
    <col min="5385" max="5385" width="2.42578125" style="25" customWidth="1"/>
    <col min="5386" max="5386" width="3" style="25" customWidth="1"/>
    <col min="5387" max="5389" width="2" style="25" customWidth="1"/>
    <col min="5390" max="5390" width="2.85546875" style="25" customWidth="1"/>
    <col min="5391" max="5391" width="3" style="25" customWidth="1"/>
    <col min="5392" max="5392" width="2.7109375" style="25" customWidth="1"/>
    <col min="5393" max="5393" width="2.42578125" style="25" customWidth="1"/>
    <col min="5394" max="5394" width="3.28515625" style="25" customWidth="1"/>
    <col min="5395" max="5395" width="3.5703125" style="25" customWidth="1"/>
    <col min="5396" max="5396" width="4" style="25" customWidth="1"/>
    <col min="5397" max="5397" width="3.42578125" style="25" customWidth="1"/>
    <col min="5398" max="5398" width="3" style="25" customWidth="1"/>
    <col min="5399" max="5632" width="11.42578125" style="25"/>
    <col min="5633" max="5633" width="44.42578125" style="25" customWidth="1"/>
    <col min="5634" max="5634" width="13" style="25" customWidth="1"/>
    <col min="5635" max="5640" width="2" style="25" customWidth="1"/>
    <col min="5641" max="5641" width="2.42578125" style="25" customWidth="1"/>
    <col min="5642" max="5642" width="3" style="25" customWidth="1"/>
    <col min="5643" max="5645" width="2" style="25" customWidth="1"/>
    <col min="5646" max="5646" width="2.85546875" style="25" customWidth="1"/>
    <col min="5647" max="5647" width="3" style="25" customWidth="1"/>
    <col min="5648" max="5648" width="2.7109375" style="25" customWidth="1"/>
    <col min="5649" max="5649" width="2.42578125" style="25" customWidth="1"/>
    <col min="5650" max="5650" width="3.28515625" style="25" customWidth="1"/>
    <col min="5651" max="5651" width="3.5703125" style="25" customWidth="1"/>
    <col min="5652" max="5652" width="4" style="25" customWidth="1"/>
    <col min="5653" max="5653" width="3.42578125" style="25" customWidth="1"/>
    <col min="5654" max="5654" width="3" style="25" customWidth="1"/>
    <col min="5655" max="5888" width="11.42578125" style="25"/>
    <col min="5889" max="5889" width="44.42578125" style="25" customWidth="1"/>
    <col min="5890" max="5890" width="13" style="25" customWidth="1"/>
    <col min="5891" max="5896" width="2" style="25" customWidth="1"/>
    <col min="5897" max="5897" width="2.42578125" style="25" customWidth="1"/>
    <col min="5898" max="5898" width="3" style="25" customWidth="1"/>
    <col min="5899" max="5901" width="2" style="25" customWidth="1"/>
    <col min="5902" max="5902" width="2.85546875" style="25" customWidth="1"/>
    <col min="5903" max="5903" width="3" style="25" customWidth="1"/>
    <col min="5904" max="5904" width="2.7109375" style="25" customWidth="1"/>
    <col min="5905" max="5905" width="2.42578125" style="25" customWidth="1"/>
    <col min="5906" max="5906" width="3.28515625" style="25" customWidth="1"/>
    <col min="5907" max="5907" width="3.5703125" style="25" customWidth="1"/>
    <col min="5908" max="5908" width="4" style="25" customWidth="1"/>
    <col min="5909" max="5909" width="3.42578125" style="25" customWidth="1"/>
    <col min="5910" max="5910" width="3" style="25" customWidth="1"/>
    <col min="5911" max="6144" width="11.42578125" style="25"/>
    <col min="6145" max="6145" width="44.42578125" style="25" customWidth="1"/>
    <col min="6146" max="6146" width="13" style="25" customWidth="1"/>
    <col min="6147" max="6152" width="2" style="25" customWidth="1"/>
    <col min="6153" max="6153" width="2.42578125" style="25" customWidth="1"/>
    <col min="6154" max="6154" width="3" style="25" customWidth="1"/>
    <col min="6155" max="6157" width="2" style="25" customWidth="1"/>
    <col min="6158" max="6158" width="2.85546875" style="25" customWidth="1"/>
    <col min="6159" max="6159" width="3" style="25" customWidth="1"/>
    <col min="6160" max="6160" width="2.7109375" style="25" customWidth="1"/>
    <col min="6161" max="6161" width="2.42578125" style="25" customWidth="1"/>
    <col min="6162" max="6162" width="3.28515625" style="25" customWidth="1"/>
    <col min="6163" max="6163" width="3.5703125" style="25" customWidth="1"/>
    <col min="6164" max="6164" width="4" style="25" customWidth="1"/>
    <col min="6165" max="6165" width="3.42578125" style="25" customWidth="1"/>
    <col min="6166" max="6166" width="3" style="25" customWidth="1"/>
    <col min="6167" max="6400" width="11.42578125" style="25"/>
    <col min="6401" max="6401" width="44.42578125" style="25" customWidth="1"/>
    <col min="6402" max="6402" width="13" style="25" customWidth="1"/>
    <col min="6403" max="6408" width="2" style="25" customWidth="1"/>
    <col min="6409" max="6409" width="2.42578125" style="25" customWidth="1"/>
    <col min="6410" max="6410" width="3" style="25" customWidth="1"/>
    <col min="6411" max="6413" width="2" style="25" customWidth="1"/>
    <col min="6414" max="6414" width="2.85546875" style="25" customWidth="1"/>
    <col min="6415" max="6415" width="3" style="25" customWidth="1"/>
    <col min="6416" max="6416" width="2.7109375" style="25" customWidth="1"/>
    <col min="6417" max="6417" width="2.42578125" style="25" customWidth="1"/>
    <col min="6418" max="6418" width="3.28515625" style="25" customWidth="1"/>
    <col min="6419" max="6419" width="3.5703125" style="25" customWidth="1"/>
    <col min="6420" max="6420" width="4" style="25" customWidth="1"/>
    <col min="6421" max="6421" width="3.42578125" style="25" customWidth="1"/>
    <col min="6422" max="6422" width="3" style="25" customWidth="1"/>
    <col min="6423" max="6656" width="11.42578125" style="25"/>
    <col min="6657" max="6657" width="44.42578125" style="25" customWidth="1"/>
    <col min="6658" max="6658" width="13" style="25" customWidth="1"/>
    <col min="6659" max="6664" width="2" style="25" customWidth="1"/>
    <col min="6665" max="6665" width="2.42578125" style="25" customWidth="1"/>
    <col min="6666" max="6666" width="3" style="25" customWidth="1"/>
    <col min="6667" max="6669" width="2" style="25" customWidth="1"/>
    <col min="6670" max="6670" width="2.85546875" style="25" customWidth="1"/>
    <col min="6671" max="6671" width="3" style="25" customWidth="1"/>
    <col min="6672" max="6672" width="2.7109375" style="25" customWidth="1"/>
    <col min="6673" max="6673" width="2.42578125" style="25" customWidth="1"/>
    <col min="6674" max="6674" width="3.28515625" style="25" customWidth="1"/>
    <col min="6675" max="6675" width="3.5703125" style="25" customWidth="1"/>
    <col min="6676" max="6676" width="4" style="25" customWidth="1"/>
    <col min="6677" max="6677" width="3.42578125" style="25" customWidth="1"/>
    <col min="6678" max="6678" width="3" style="25" customWidth="1"/>
    <col min="6679" max="6912" width="11.42578125" style="25"/>
    <col min="6913" max="6913" width="44.42578125" style="25" customWidth="1"/>
    <col min="6914" max="6914" width="13" style="25" customWidth="1"/>
    <col min="6915" max="6920" width="2" style="25" customWidth="1"/>
    <col min="6921" max="6921" width="2.42578125" style="25" customWidth="1"/>
    <col min="6922" max="6922" width="3" style="25" customWidth="1"/>
    <col min="6923" max="6925" width="2" style="25" customWidth="1"/>
    <col min="6926" max="6926" width="2.85546875" style="25" customWidth="1"/>
    <col min="6927" max="6927" width="3" style="25" customWidth="1"/>
    <col min="6928" max="6928" width="2.7109375" style="25" customWidth="1"/>
    <col min="6929" max="6929" width="2.42578125" style="25" customWidth="1"/>
    <col min="6930" max="6930" width="3.28515625" style="25" customWidth="1"/>
    <col min="6931" max="6931" width="3.5703125" style="25" customWidth="1"/>
    <col min="6932" max="6932" width="4" style="25" customWidth="1"/>
    <col min="6933" max="6933" width="3.42578125" style="25" customWidth="1"/>
    <col min="6934" max="6934" width="3" style="25" customWidth="1"/>
    <col min="6935" max="7168" width="11.42578125" style="25"/>
    <col min="7169" max="7169" width="44.42578125" style="25" customWidth="1"/>
    <col min="7170" max="7170" width="13" style="25" customWidth="1"/>
    <col min="7171" max="7176" width="2" style="25" customWidth="1"/>
    <col min="7177" max="7177" width="2.42578125" style="25" customWidth="1"/>
    <col min="7178" max="7178" width="3" style="25" customWidth="1"/>
    <col min="7179" max="7181" width="2" style="25" customWidth="1"/>
    <col min="7182" max="7182" width="2.85546875" style="25" customWidth="1"/>
    <col min="7183" max="7183" width="3" style="25" customWidth="1"/>
    <col min="7184" max="7184" width="2.7109375" style="25" customWidth="1"/>
    <col min="7185" max="7185" width="2.42578125" style="25" customWidth="1"/>
    <col min="7186" max="7186" width="3.28515625" style="25" customWidth="1"/>
    <col min="7187" max="7187" width="3.5703125" style="25" customWidth="1"/>
    <col min="7188" max="7188" width="4" style="25" customWidth="1"/>
    <col min="7189" max="7189" width="3.42578125" style="25" customWidth="1"/>
    <col min="7190" max="7190" width="3" style="25" customWidth="1"/>
    <col min="7191" max="7424" width="11.42578125" style="25"/>
    <col min="7425" max="7425" width="44.42578125" style="25" customWidth="1"/>
    <col min="7426" max="7426" width="13" style="25" customWidth="1"/>
    <col min="7427" max="7432" width="2" style="25" customWidth="1"/>
    <col min="7433" max="7433" width="2.42578125" style="25" customWidth="1"/>
    <col min="7434" max="7434" width="3" style="25" customWidth="1"/>
    <col min="7435" max="7437" width="2" style="25" customWidth="1"/>
    <col min="7438" max="7438" width="2.85546875" style="25" customWidth="1"/>
    <col min="7439" max="7439" width="3" style="25" customWidth="1"/>
    <col min="7440" max="7440" width="2.7109375" style="25" customWidth="1"/>
    <col min="7441" max="7441" width="2.42578125" style="25" customWidth="1"/>
    <col min="7442" max="7442" width="3.28515625" style="25" customWidth="1"/>
    <col min="7443" max="7443" width="3.5703125" style="25" customWidth="1"/>
    <col min="7444" max="7444" width="4" style="25" customWidth="1"/>
    <col min="7445" max="7445" width="3.42578125" style="25" customWidth="1"/>
    <col min="7446" max="7446" width="3" style="25" customWidth="1"/>
    <col min="7447" max="7680" width="11.42578125" style="25"/>
    <col min="7681" max="7681" width="44.42578125" style="25" customWidth="1"/>
    <col min="7682" max="7682" width="13" style="25" customWidth="1"/>
    <col min="7683" max="7688" width="2" style="25" customWidth="1"/>
    <col min="7689" max="7689" width="2.42578125" style="25" customWidth="1"/>
    <col min="7690" max="7690" width="3" style="25" customWidth="1"/>
    <col min="7691" max="7693" width="2" style="25" customWidth="1"/>
    <col min="7694" max="7694" width="2.85546875" style="25" customWidth="1"/>
    <col min="7695" max="7695" width="3" style="25" customWidth="1"/>
    <col min="7696" max="7696" width="2.7109375" style="25" customWidth="1"/>
    <col min="7697" max="7697" width="2.42578125" style="25" customWidth="1"/>
    <col min="7698" max="7698" width="3.28515625" style="25" customWidth="1"/>
    <col min="7699" max="7699" width="3.5703125" style="25" customWidth="1"/>
    <col min="7700" max="7700" width="4" style="25" customWidth="1"/>
    <col min="7701" max="7701" width="3.42578125" style="25" customWidth="1"/>
    <col min="7702" max="7702" width="3" style="25" customWidth="1"/>
    <col min="7703" max="7936" width="11.42578125" style="25"/>
    <col min="7937" max="7937" width="44.42578125" style="25" customWidth="1"/>
    <col min="7938" max="7938" width="13" style="25" customWidth="1"/>
    <col min="7939" max="7944" width="2" style="25" customWidth="1"/>
    <col min="7945" max="7945" width="2.42578125" style="25" customWidth="1"/>
    <col min="7946" max="7946" width="3" style="25" customWidth="1"/>
    <col min="7947" max="7949" width="2" style="25" customWidth="1"/>
    <col min="7950" max="7950" width="2.85546875" style="25" customWidth="1"/>
    <col min="7951" max="7951" width="3" style="25" customWidth="1"/>
    <col min="7952" max="7952" width="2.7109375" style="25" customWidth="1"/>
    <col min="7953" max="7953" width="2.42578125" style="25" customWidth="1"/>
    <col min="7954" max="7954" width="3.28515625" style="25" customWidth="1"/>
    <col min="7955" max="7955" width="3.5703125" style="25" customWidth="1"/>
    <col min="7956" max="7956" width="4" style="25" customWidth="1"/>
    <col min="7957" max="7957" width="3.42578125" style="25" customWidth="1"/>
    <col min="7958" max="7958" width="3" style="25" customWidth="1"/>
    <col min="7959" max="8192" width="11.42578125" style="25"/>
    <col min="8193" max="8193" width="44.42578125" style="25" customWidth="1"/>
    <col min="8194" max="8194" width="13" style="25" customWidth="1"/>
    <col min="8195" max="8200" width="2" style="25" customWidth="1"/>
    <col min="8201" max="8201" width="2.42578125" style="25" customWidth="1"/>
    <col min="8202" max="8202" width="3" style="25" customWidth="1"/>
    <col min="8203" max="8205" width="2" style="25" customWidth="1"/>
    <col min="8206" max="8206" width="2.85546875" style="25" customWidth="1"/>
    <col min="8207" max="8207" width="3" style="25" customWidth="1"/>
    <col min="8208" max="8208" width="2.7109375" style="25" customWidth="1"/>
    <col min="8209" max="8209" width="2.42578125" style="25" customWidth="1"/>
    <col min="8210" max="8210" width="3.28515625" style="25" customWidth="1"/>
    <col min="8211" max="8211" width="3.5703125" style="25" customWidth="1"/>
    <col min="8212" max="8212" width="4" style="25" customWidth="1"/>
    <col min="8213" max="8213" width="3.42578125" style="25" customWidth="1"/>
    <col min="8214" max="8214" width="3" style="25" customWidth="1"/>
    <col min="8215" max="8448" width="11.42578125" style="25"/>
    <col min="8449" max="8449" width="44.42578125" style="25" customWidth="1"/>
    <col min="8450" max="8450" width="13" style="25" customWidth="1"/>
    <col min="8451" max="8456" width="2" style="25" customWidth="1"/>
    <col min="8457" max="8457" width="2.42578125" style="25" customWidth="1"/>
    <col min="8458" max="8458" width="3" style="25" customWidth="1"/>
    <col min="8459" max="8461" width="2" style="25" customWidth="1"/>
    <col min="8462" max="8462" width="2.85546875" style="25" customWidth="1"/>
    <col min="8463" max="8463" width="3" style="25" customWidth="1"/>
    <col min="8464" max="8464" width="2.7109375" style="25" customWidth="1"/>
    <col min="8465" max="8465" width="2.42578125" style="25" customWidth="1"/>
    <col min="8466" max="8466" width="3.28515625" style="25" customWidth="1"/>
    <col min="8467" max="8467" width="3.5703125" style="25" customWidth="1"/>
    <col min="8468" max="8468" width="4" style="25" customWidth="1"/>
    <col min="8469" max="8469" width="3.42578125" style="25" customWidth="1"/>
    <col min="8470" max="8470" width="3" style="25" customWidth="1"/>
    <col min="8471" max="8704" width="11.42578125" style="25"/>
    <col min="8705" max="8705" width="44.42578125" style="25" customWidth="1"/>
    <col min="8706" max="8706" width="13" style="25" customWidth="1"/>
    <col min="8707" max="8712" width="2" style="25" customWidth="1"/>
    <col min="8713" max="8713" width="2.42578125" style="25" customWidth="1"/>
    <col min="8714" max="8714" width="3" style="25" customWidth="1"/>
    <col min="8715" max="8717" width="2" style="25" customWidth="1"/>
    <col min="8718" max="8718" width="2.85546875" style="25" customWidth="1"/>
    <col min="8719" max="8719" width="3" style="25" customWidth="1"/>
    <col min="8720" max="8720" width="2.7109375" style="25" customWidth="1"/>
    <col min="8721" max="8721" width="2.42578125" style="25" customWidth="1"/>
    <col min="8722" max="8722" width="3.28515625" style="25" customWidth="1"/>
    <col min="8723" max="8723" width="3.5703125" style="25" customWidth="1"/>
    <col min="8724" max="8724" width="4" style="25" customWidth="1"/>
    <col min="8725" max="8725" width="3.42578125" style="25" customWidth="1"/>
    <col min="8726" max="8726" width="3" style="25" customWidth="1"/>
    <col min="8727" max="8960" width="11.42578125" style="25"/>
    <col min="8961" max="8961" width="44.42578125" style="25" customWidth="1"/>
    <col min="8962" max="8962" width="13" style="25" customWidth="1"/>
    <col min="8963" max="8968" width="2" style="25" customWidth="1"/>
    <col min="8969" max="8969" width="2.42578125" style="25" customWidth="1"/>
    <col min="8970" max="8970" width="3" style="25" customWidth="1"/>
    <col min="8971" max="8973" width="2" style="25" customWidth="1"/>
    <col min="8974" max="8974" width="2.85546875" style="25" customWidth="1"/>
    <col min="8975" max="8975" width="3" style="25" customWidth="1"/>
    <col min="8976" max="8976" width="2.7109375" style="25" customWidth="1"/>
    <col min="8977" max="8977" width="2.42578125" style="25" customWidth="1"/>
    <col min="8978" max="8978" width="3.28515625" style="25" customWidth="1"/>
    <col min="8979" max="8979" width="3.5703125" style="25" customWidth="1"/>
    <col min="8980" max="8980" width="4" style="25" customWidth="1"/>
    <col min="8981" max="8981" width="3.42578125" style="25" customWidth="1"/>
    <col min="8982" max="8982" width="3" style="25" customWidth="1"/>
    <col min="8983" max="9216" width="11.42578125" style="25"/>
    <col min="9217" max="9217" width="44.42578125" style="25" customWidth="1"/>
    <col min="9218" max="9218" width="13" style="25" customWidth="1"/>
    <col min="9219" max="9224" width="2" style="25" customWidth="1"/>
    <col min="9225" max="9225" width="2.42578125" style="25" customWidth="1"/>
    <col min="9226" max="9226" width="3" style="25" customWidth="1"/>
    <col min="9227" max="9229" width="2" style="25" customWidth="1"/>
    <col min="9230" max="9230" width="2.85546875" style="25" customWidth="1"/>
    <col min="9231" max="9231" width="3" style="25" customWidth="1"/>
    <col min="9232" max="9232" width="2.7109375" style="25" customWidth="1"/>
    <col min="9233" max="9233" width="2.42578125" style="25" customWidth="1"/>
    <col min="9234" max="9234" width="3.28515625" style="25" customWidth="1"/>
    <col min="9235" max="9235" width="3.5703125" style="25" customWidth="1"/>
    <col min="9236" max="9236" width="4" style="25" customWidth="1"/>
    <col min="9237" max="9237" width="3.42578125" style="25" customWidth="1"/>
    <col min="9238" max="9238" width="3" style="25" customWidth="1"/>
    <col min="9239" max="9472" width="11.42578125" style="25"/>
    <col min="9473" max="9473" width="44.42578125" style="25" customWidth="1"/>
    <col min="9474" max="9474" width="13" style="25" customWidth="1"/>
    <col min="9475" max="9480" width="2" style="25" customWidth="1"/>
    <col min="9481" max="9481" width="2.42578125" style="25" customWidth="1"/>
    <col min="9482" max="9482" width="3" style="25" customWidth="1"/>
    <col min="9483" max="9485" width="2" style="25" customWidth="1"/>
    <col min="9486" max="9486" width="2.85546875" style="25" customWidth="1"/>
    <col min="9487" max="9487" width="3" style="25" customWidth="1"/>
    <col min="9488" max="9488" width="2.7109375" style="25" customWidth="1"/>
    <col min="9489" max="9489" width="2.42578125" style="25" customWidth="1"/>
    <col min="9490" max="9490" width="3.28515625" style="25" customWidth="1"/>
    <col min="9491" max="9491" width="3.5703125" style="25" customWidth="1"/>
    <col min="9492" max="9492" width="4" style="25" customWidth="1"/>
    <col min="9493" max="9493" width="3.42578125" style="25" customWidth="1"/>
    <col min="9494" max="9494" width="3" style="25" customWidth="1"/>
    <col min="9495" max="9728" width="11.42578125" style="25"/>
    <col min="9729" max="9729" width="44.42578125" style="25" customWidth="1"/>
    <col min="9730" max="9730" width="13" style="25" customWidth="1"/>
    <col min="9731" max="9736" width="2" style="25" customWidth="1"/>
    <col min="9737" max="9737" width="2.42578125" style="25" customWidth="1"/>
    <col min="9738" max="9738" width="3" style="25" customWidth="1"/>
    <col min="9739" max="9741" width="2" style="25" customWidth="1"/>
    <col min="9742" max="9742" width="2.85546875" style="25" customWidth="1"/>
    <col min="9743" max="9743" width="3" style="25" customWidth="1"/>
    <col min="9744" max="9744" width="2.7109375" style="25" customWidth="1"/>
    <col min="9745" max="9745" width="2.42578125" style="25" customWidth="1"/>
    <col min="9746" max="9746" width="3.28515625" style="25" customWidth="1"/>
    <col min="9747" max="9747" width="3.5703125" style="25" customWidth="1"/>
    <col min="9748" max="9748" width="4" style="25" customWidth="1"/>
    <col min="9749" max="9749" width="3.42578125" style="25" customWidth="1"/>
    <col min="9750" max="9750" width="3" style="25" customWidth="1"/>
    <col min="9751" max="9984" width="11.42578125" style="25"/>
    <col min="9985" max="9985" width="44.42578125" style="25" customWidth="1"/>
    <col min="9986" max="9986" width="13" style="25" customWidth="1"/>
    <col min="9987" max="9992" width="2" style="25" customWidth="1"/>
    <col min="9993" max="9993" width="2.42578125" style="25" customWidth="1"/>
    <col min="9994" max="9994" width="3" style="25" customWidth="1"/>
    <col min="9995" max="9997" width="2" style="25" customWidth="1"/>
    <col min="9998" max="9998" width="2.85546875" style="25" customWidth="1"/>
    <col min="9999" max="9999" width="3" style="25" customWidth="1"/>
    <col min="10000" max="10000" width="2.7109375" style="25" customWidth="1"/>
    <col min="10001" max="10001" width="2.42578125" style="25" customWidth="1"/>
    <col min="10002" max="10002" width="3.28515625" style="25" customWidth="1"/>
    <col min="10003" max="10003" width="3.5703125" style="25" customWidth="1"/>
    <col min="10004" max="10004" width="4" style="25" customWidth="1"/>
    <col min="10005" max="10005" width="3.42578125" style="25" customWidth="1"/>
    <col min="10006" max="10006" width="3" style="25" customWidth="1"/>
    <col min="10007" max="10240" width="11.42578125" style="25"/>
    <col min="10241" max="10241" width="44.42578125" style="25" customWidth="1"/>
    <col min="10242" max="10242" width="13" style="25" customWidth="1"/>
    <col min="10243" max="10248" width="2" style="25" customWidth="1"/>
    <col min="10249" max="10249" width="2.42578125" style="25" customWidth="1"/>
    <col min="10250" max="10250" width="3" style="25" customWidth="1"/>
    <col min="10251" max="10253" width="2" style="25" customWidth="1"/>
    <col min="10254" max="10254" width="2.85546875" style="25" customWidth="1"/>
    <col min="10255" max="10255" width="3" style="25" customWidth="1"/>
    <col min="10256" max="10256" width="2.7109375" style="25" customWidth="1"/>
    <col min="10257" max="10257" width="2.42578125" style="25" customWidth="1"/>
    <col min="10258" max="10258" width="3.28515625" style="25" customWidth="1"/>
    <col min="10259" max="10259" width="3.5703125" style="25" customWidth="1"/>
    <col min="10260" max="10260" width="4" style="25" customWidth="1"/>
    <col min="10261" max="10261" width="3.42578125" style="25" customWidth="1"/>
    <col min="10262" max="10262" width="3" style="25" customWidth="1"/>
    <col min="10263" max="10496" width="11.42578125" style="25"/>
    <col min="10497" max="10497" width="44.42578125" style="25" customWidth="1"/>
    <col min="10498" max="10498" width="13" style="25" customWidth="1"/>
    <col min="10499" max="10504" width="2" style="25" customWidth="1"/>
    <col min="10505" max="10505" width="2.42578125" style="25" customWidth="1"/>
    <col min="10506" max="10506" width="3" style="25" customWidth="1"/>
    <col min="10507" max="10509" width="2" style="25" customWidth="1"/>
    <col min="10510" max="10510" width="2.85546875" style="25" customWidth="1"/>
    <col min="10511" max="10511" width="3" style="25" customWidth="1"/>
    <col min="10512" max="10512" width="2.7109375" style="25" customWidth="1"/>
    <col min="10513" max="10513" width="2.42578125" style="25" customWidth="1"/>
    <col min="10514" max="10514" width="3.28515625" style="25" customWidth="1"/>
    <col min="10515" max="10515" width="3.5703125" style="25" customWidth="1"/>
    <col min="10516" max="10516" width="4" style="25" customWidth="1"/>
    <col min="10517" max="10517" width="3.42578125" style="25" customWidth="1"/>
    <col min="10518" max="10518" width="3" style="25" customWidth="1"/>
    <col min="10519" max="10752" width="11.42578125" style="25"/>
    <col min="10753" max="10753" width="44.42578125" style="25" customWidth="1"/>
    <col min="10754" max="10754" width="13" style="25" customWidth="1"/>
    <col min="10755" max="10760" width="2" style="25" customWidth="1"/>
    <col min="10761" max="10761" width="2.42578125" style="25" customWidth="1"/>
    <col min="10762" max="10762" width="3" style="25" customWidth="1"/>
    <col min="10763" max="10765" width="2" style="25" customWidth="1"/>
    <col min="10766" max="10766" width="2.85546875" style="25" customWidth="1"/>
    <col min="10767" max="10767" width="3" style="25" customWidth="1"/>
    <col min="10768" max="10768" width="2.7109375" style="25" customWidth="1"/>
    <col min="10769" max="10769" width="2.42578125" style="25" customWidth="1"/>
    <col min="10770" max="10770" width="3.28515625" style="25" customWidth="1"/>
    <col min="10771" max="10771" width="3.5703125" style="25" customWidth="1"/>
    <col min="10772" max="10772" width="4" style="25" customWidth="1"/>
    <col min="10773" max="10773" width="3.42578125" style="25" customWidth="1"/>
    <col min="10774" max="10774" width="3" style="25" customWidth="1"/>
    <col min="10775" max="11008" width="11.42578125" style="25"/>
    <col min="11009" max="11009" width="44.42578125" style="25" customWidth="1"/>
    <col min="11010" max="11010" width="13" style="25" customWidth="1"/>
    <col min="11011" max="11016" width="2" style="25" customWidth="1"/>
    <col min="11017" max="11017" width="2.42578125" style="25" customWidth="1"/>
    <col min="11018" max="11018" width="3" style="25" customWidth="1"/>
    <col min="11019" max="11021" width="2" style="25" customWidth="1"/>
    <col min="11022" max="11022" width="2.85546875" style="25" customWidth="1"/>
    <col min="11023" max="11023" width="3" style="25" customWidth="1"/>
    <col min="11024" max="11024" width="2.7109375" style="25" customWidth="1"/>
    <col min="11025" max="11025" width="2.42578125" style="25" customWidth="1"/>
    <col min="11026" max="11026" width="3.28515625" style="25" customWidth="1"/>
    <col min="11027" max="11027" width="3.5703125" style="25" customWidth="1"/>
    <col min="11028" max="11028" width="4" style="25" customWidth="1"/>
    <col min="11029" max="11029" width="3.42578125" style="25" customWidth="1"/>
    <col min="11030" max="11030" width="3" style="25" customWidth="1"/>
    <col min="11031" max="11264" width="11.42578125" style="25"/>
    <col min="11265" max="11265" width="44.42578125" style="25" customWidth="1"/>
    <col min="11266" max="11266" width="13" style="25" customWidth="1"/>
    <col min="11267" max="11272" width="2" style="25" customWidth="1"/>
    <col min="11273" max="11273" width="2.42578125" style="25" customWidth="1"/>
    <col min="11274" max="11274" width="3" style="25" customWidth="1"/>
    <col min="11275" max="11277" width="2" style="25" customWidth="1"/>
    <col min="11278" max="11278" width="2.85546875" style="25" customWidth="1"/>
    <col min="11279" max="11279" width="3" style="25" customWidth="1"/>
    <col min="11280" max="11280" width="2.7109375" style="25" customWidth="1"/>
    <col min="11281" max="11281" width="2.42578125" style="25" customWidth="1"/>
    <col min="11282" max="11282" width="3.28515625" style="25" customWidth="1"/>
    <col min="11283" max="11283" width="3.5703125" style="25" customWidth="1"/>
    <col min="11284" max="11284" width="4" style="25" customWidth="1"/>
    <col min="11285" max="11285" width="3.42578125" style="25" customWidth="1"/>
    <col min="11286" max="11286" width="3" style="25" customWidth="1"/>
    <col min="11287" max="11520" width="11.42578125" style="25"/>
    <col min="11521" max="11521" width="44.42578125" style="25" customWidth="1"/>
    <col min="11522" max="11522" width="13" style="25" customWidth="1"/>
    <col min="11523" max="11528" width="2" style="25" customWidth="1"/>
    <col min="11529" max="11529" width="2.42578125" style="25" customWidth="1"/>
    <col min="11530" max="11530" width="3" style="25" customWidth="1"/>
    <col min="11531" max="11533" width="2" style="25" customWidth="1"/>
    <col min="11534" max="11534" width="2.85546875" style="25" customWidth="1"/>
    <col min="11535" max="11535" width="3" style="25" customWidth="1"/>
    <col min="11536" max="11536" width="2.7109375" style="25" customWidth="1"/>
    <col min="11537" max="11537" width="2.42578125" style="25" customWidth="1"/>
    <col min="11538" max="11538" width="3.28515625" style="25" customWidth="1"/>
    <col min="11539" max="11539" width="3.5703125" style="25" customWidth="1"/>
    <col min="11540" max="11540" width="4" style="25" customWidth="1"/>
    <col min="11541" max="11541" width="3.42578125" style="25" customWidth="1"/>
    <col min="11542" max="11542" width="3" style="25" customWidth="1"/>
    <col min="11543" max="11776" width="11.42578125" style="25"/>
    <col min="11777" max="11777" width="44.42578125" style="25" customWidth="1"/>
    <col min="11778" max="11778" width="13" style="25" customWidth="1"/>
    <col min="11779" max="11784" width="2" style="25" customWidth="1"/>
    <col min="11785" max="11785" width="2.42578125" style="25" customWidth="1"/>
    <col min="11786" max="11786" width="3" style="25" customWidth="1"/>
    <col min="11787" max="11789" width="2" style="25" customWidth="1"/>
    <col min="11790" max="11790" width="2.85546875" style="25" customWidth="1"/>
    <col min="11791" max="11791" width="3" style="25" customWidth="1"/>
    <col min="11792" max="11792" width="2.7109375" style="25" customWidth="1"/>
    <col min="11793" max="11793" width="2.42578125" style="25" customWidth="1"/>
    <col min="11794" max="11794" width="3.28515625" style="25" customWidth="1"/>
    <col min="11795" max="11795" width="3.5703125" style="25" customWidth="1"/>
    <col min="11796" max="11796" width="4" style="25" customWidth="1"/>
    <col min="11797" max="11797" width="3.42578125" style="25" customWidth="1"/>
    <col min="11798" max="11798" width="3" style="25" customWidth="1"/>
    <col min="11799" max="12032" width="11.42578125" style="25"/>
    <col min="12033" max="12033" width="44.42578125" style="25" customWidth="1"/>
    <col min="12034" max="12034" width="13" style="25" customWidth="1"/>
    <col min="12035" max="12040" width="2" style="25" customWidth="1"/>
    <col min="12041" max="12041" width="2.42578125" style="25" customWidth="1"/>
    <col min="12042" max="12042" width="3" style="25" customWidth="1"/>
    <col min="12043" max="12045" width="2" style="25" customWidth="1"/>
    <col min="12046" max="12046" width="2.85546875" style="25" customWidth="1"/>
    <col min="12047" max="12047" width="3" style="25" customWidth="1"/>
    <col min="12048" max="12048" width="2.7109375" style="25" customWidth="1"/>
    <col min="12049" max="12049" width="2.42578125" style="25" customWidth="1"/>
    <col min="12050" max="12050" width="3.28515625" style="25" customWidth="1"/>
    <col min="12051" max="12051" width="3.5703125" style="25" customWidth="1"/>
    <col min="12052" max="12052" width="4" style="25" customWidth="1"/>
    <col min="12053" max="12053" width="3.42578125" style="25" customWidth="1"/>
    <col min="12054" max="12054" width="3" style="25" customWidth="1"/>
    <col min="12055" max="12288" width="11.42578125" style="25"/>
    <col min="12289" max="12289" width="44.42578125" style="25" customWidth="1"/>
    <col min="12290" max="12290" width="13" style="25" customWidth="1"/>
    <col min="12291" max="12296" width="2" style="25" customWidth="1"/>
    <col min="12297" max="12297" width="2.42578125" style="25" customWidth="1"/>
    <col min="12298" max="12298" width="3" style="25" customWidth="1"/>
    <col min="12299" max="12301" width="2" style="25" customWidth="1"/>
    <col min="12302" max="12302" width="2.85546875" style="25" customWidth="1"/>
    <col min="12303" max="12303" width="3" style="25" customWidth="1"/>
    <col min="12304" max="12304" width="2.7109375" style="25" customWidth="1"/>
    <col min="12305" max="12305" width="2.42578125" style="25" customWidth="1"/>
    <col min="12306" max="12306" width="3.28515625" style="25" customWidth="1"/>
    <col min="12307" max="12307" width="3.5703125" style="25" customWidth="1"/>
    <col min="12308" max="12308" width="4" style="25" customWidth="1"/>
    <col min="12309" max="12309" width="3.42578125" style="25" customWidth="1"/>
    <col min="12310" max="12310" width="3" style="25" customWidth="1"/>
    <col min="12311" max="12544" width="11.42578125" style="25"/>
    <col min="12545" max="12545" width="44.42578125" style="25" customWidth="1"/>
    <col min="12546" max="12546" width="13" style="25" customWidth="1"/>
    <col min="12547" max="12552" width="2" style="25" customWidth="1"/>
    <col min="12553" max="12553" width="2.42578125" style="25" customWidth="1"/>
    <col min="12554" max="12554" width="3" style="25" customWidth="1"/>
    <col min="12555" max="12557" width="2" style="25" customWidth="1"/>
    <col min="12558" max="12558" width="2.85546875" style="25" customWidth="1"/>
    <col min="12559" max="12559" width="3" style="25" customWidth="1"/>
    <col min="12560" max="12560" width="2.7109375" style="25" customWidth="1"/>
    <col min="12561" max="12561" width="2.42578125" style="25" customWidth="1"/>
    <col min="12562" max="12562" width="3.28515625" style="25" customWidth="1"/>
    <col min="12563" max="12563" width="3.5703125" style="25" customWidth="1"/>
    <col min="12564" max="12564" width="4" style="25" customWidth="1"/>
    <col min="12565" max="12565" width="3.42578125" style="25" customWidth="1"/>
    <col min="12566" max="12566" width="3" style="25" customWidth="1"/>
    <col min="12567" max="12800" width="11.42578125" style="25"/>
    <col min="12801" max="12801" width="44.42578125" style="25" customWidth="1"/>
    <col min="12802" max="12802" width="13" style="25" customWidth="1"/>
    <col min="12803" max="12808" width="2" style="25" customWidth="1"/>
    <col min="12809" max="12809" width="2.42578125" style="25" customWidth="1"/>
    <col min="12810" max="12810" width="3" style="25" customWidth="1"/>
    <col min="12811" max="12813" width="2" style="25" customWidth="1"/>
    <col min="12814" max="12814" width="2.85546875" style="25" customWidth="1"/>
    <col min="12815" max="12815" width="3" style="25" customWidth="1"/>
    <col min="12816" max="12816" width="2.7109375" style="25" customWidth="1"/>
    <col min="12817" max="12817" width="2.42578125" style="25" customWidth="1"/>
    <col min="12818" max="12818" width="3.28515625" style="25" customWidth="1"/>
    <col min="12819" max="12819" width="3.5703125" style="25" customWidth="1"/>
    <col min="12820" max="12820" width="4" style="25" customWidth="1"/>
    <col min="12821" max="12821" width="3.42578125" style="25" customWidth="1"/>
    <col min="12822" max="12822" width="3" style="25" customWidth="1"/>
    <col min="12823" max="13056" width="11.42578125" style="25"/>
    <col min="13057" max="13057" width="44.42578125" style="25" customWidth="1"/>
    <col min="13058" max="13058" width="13" style="25" customWidth="1"/>
    <col min="13059" max="13064" width="2" style="25" customWidth="1"/>
    <col min="13065" max="13065" width="2.42578125" style="25" customWidth="1"/>
    <col min="13066" max="13066" width="3" style="25" customWidth="1"/>
    <col min="13067" max="13069" width="2" style="25" customWidth="1"/>
    <col min="13070" max="13070" width="2.85546875" style="25" customWidth="1"/>
    <col min="13071" max="13071" width="3" style="25" customWidth="1"/>
    <col min="13072" max="13072" width="2.7109375" style="25" customWidth="1"/>
    <col min="13073" max="13073" width="2.42578125" style="25" customWidth="1"/>
    <col min="13074" max="13074" width="3.28515625" style="25" customWidth="1"/>
    <col min="13075" max="13075" width="3.5703125" style="25" customWidth="1"/>
    <col min="13076" max="13076" width="4" style="25" customWidth="1"/>
    <col min="13077" max="13077" width="3.42578125" style="25" customWidth="1"/>
    <col min="13078" max="13078" width="3" style="25" customWidth="1"/>
    <col min="13079" max="13312" width="11.42578125" style="25"/>
    <col min="13313" max="13313" width="44.42578125" style="25" customWidth="1"/>
    <col min="13314" max="13314" width="13" style="25" customWidth="1"/>
    <col min="13315" max="13320" width="2" style="25" customWidth="1"/>
    <col min="13321" max="13321" width="2.42578125" style="25" customWidth="1"/>
    <col min="13322" max="13322" width="3" style="25" customWidth="1"/>
    <col min="13323" max="13325" width="2" style="25" customWidth="1"/>
    <col min="13326" max="13326" width="2.85546875" style="25" customWidth="1"/>
    <col min="13327" max="13327" width="3" style="25" customWidth="1"/>
    <col min="13328" max="13328" width="2.7109375" style="25" customWidth="1"/>
    <col min="13329" max="13329" width="2.42578125" style="25" customWidth="1"/>
    <col min="13330" max="13330" width="3.28515625" style="25" customWidth="1"/>
    <col min="13331" max="13331" width="3.5703125" style="25" customWidth="1"/>
    <col min="13332" max="13332" width="4" style="25" customWidth="1"/>
    <col min="13333" max="13333" width="3.42578125" style="25" customWidth="1"/>
    <col min="13334" max="13334" width="3" style="25" customWidth="1"/>
    <col min="13335" max="13568" width="11.42578125" style="25"/>
    <col min="13569" max="13569" width="44.42578125" style="25" customWidth="1"/>
    <col min="13570" max="13570" width="13" style="25" customWidth="1"/>
    <col min="13571" max="13576" width="2" style="25" customWidth="1"/>
    <col min="13577" max="13577" width="2.42578125" style="25" customWidth="1"/>
    <col min="13578" max="13578" width="3" style="25" customWidth="1"/>
    <col min="13579" max="13581" width="2" style="25" customWidth="1"/>
    <col min="13582" max="13582" width="2.85546875" style="25" customWidth="1"/>
    <col min="13583" max="13583" width="3" style="25" customWidth="1"/>
    <col min="13584" max="13584" width="2.7109375" style="25" customWidth="1"/>
    <col min="13585" max="13585" width="2.42578125" style="25" customWidth="1"/>
    <col min="13586" max="13586" width="3.28515625" style="25" customWidth="1"/>
    <col min="13587" max="13587" width="3.5703125" style="25" customWidth="1"/>
    <col min="13588" max="13588" width="4" style="25" customWidth="1"/>
    <col min="13589" max="13589" width="3.42578125" style="25" customWidth="1"/>
    <col min="13590" max="13590" width="3" style="25" customWidth="1"/>
    <col min="13591" max="13824" width="11.42578125" style="25"/>
    <col min="13825" max="13825" width="44.42578125" style="25" customWidth="1"/>
    <col min="13826" max="13826" width="13" style="25" customWidth="1"/>
    <col min="13827" max="13832" width="2" style="25" customWidth="1"/>
    <col min="13833" max="13833" width="2.42578125" style="25" customWidth="1"/>
    <col min="13834" max="13834" width="3" style="25" customWidth="1"/>
    <col min="13835" max="13837" width="2" style="25" customWidth="1"/>
    <col min="13838" max="13838" width="2.85546875" style="25" customWidth="1"/>
    <col min="13839" max="13839" width="3" style="25" customWidth="1"/>
    <col min="13840" max="13840" width="2.7109375" style="25" customWidth="1"/>
    <col min="13841" max="13841" width="2.42578125" style="25" customWidth="1"/>
    <col min="13842" max="13842" width="3.28515625" style="25" customWidth="1"/>
    <col min="13843" max="13843" width="3.5703125" style="25" customWidth="1"/>
    <col min="13844" max="13844" width="4" style="25" customWidth="1"/>
    <col min="13845" max="13845" width="3.42578125" style="25" customWidth="1"/>
    <col min="13846" max="13846" width="3" style="25" customWidth="1"/>
    <col min="13847" max="14080" width="11.42578125" style="25"/>
    <col min="14081" max="14081" width="44.42578125" style="25" customWidth="1"/>
    <col min="14082" max="14082" width="13" style="25" customWidth="1"/>
    <col min="14083" max="14088" width="2" style="25" customWidth="1"/>
    <col min="14089" max="14089" width="2.42578125" style="25" customWidth="1"/>
    <col min="14090" max="14090" width="3" style="25" customWidth="1"/>
    <col min="14091" max="14093" width="2" style="25" customWidth="1"/>
    <col min="14094" max="14094" width="2.85546875" style="25" customWidth="1"/>
    <col min="14095" max="14095" width="3" style="25" customWidth="1"/>
    <col min="14096" max="14096" width="2.7109375" style="25" customWidth="1"/>
    <col min="14097" max="14097" width="2.42578125" style="25" customWidth="1"/>
    <col min="14098" max="14098" width="3.28515625" style="25" customWidth="1"/>
    <col min="14099" max="14099" width="3.5703125" style="25" customWidth="1"/>
    <col min="14100" max="14100" width="4" style="25" customWidth="1"/>
    <col min="14101" max="14101" width="3.42578125" style="25" customWidth="1"/>
    <col min="14102" max="14102" width="3" style="25" customWidth="1"/>
    <col min="14103" max="14336" width="11.42578125" style="25"/>
    <col min="14337" max="14337" width="44.42578125" style="25" customWidth="1"/>
    <col min="14338" max="14338" width="13" style="25" customWidth="1"/>
    <col min="14339" max="14344" width="2" style="25" customWidth="1"/>
    <col min="14345" max="14345" width="2.42578125" style="25" customWidth="1"/>
    <col min="14346" max="14346" width="3" style="25" customWidth="1"/>
    <col min="14347" max="14349" width="2" style="25" customWidth="1"/>
    <col min="14350" max="14350" width="2.85546875" style="25" customWidth="1"/>
    <col min="14351" max="14351" width="3" style="25" customWidth="1"/>
    <col min="14352" max="14352" width="2.7109375" style="25" customWidth="1"/>
    <col min="14353" max="14353" width="2.42578125" style="25" customWidth="1"/>
    <col min="14354" max="14354" width="3.28515625" style="25" customWidth="1"/>
    <col min="14355" max="14355" width="3.5703125" style="25" customWidth="1"/>
    <col min="14356" max="14356" width="4" style="25" customWidth="1"/>
    <col min="14357" max="14357" width="3.42578125" style="25" customWidth="1"/>
    <col min="14358" max="14358" width="3" style="25" customWidth="1"/>
    <col min="14359" max="14592" width="11.42578125" style="25"/>
    <col min="14593" max="14593" width="44.42578125" style="25" customWidth="1"/>
    <col min="14594" max="14594" width="13" style="25" customWidth="1"/>
    <col min="14595" max="14600" width="2" style="25" customWidth="1"/>
    <col min="14601" max="14601" width="2.42578125" style="25" customWidth="1"/>
    <col min="14602" max="14602" width="3" style="25" customWidth="1"/>
    <col min="14603" max="14605" width="2" style="25" customWidth="1"/>
    <col min="14606" max="14606" width="2.85546875" style="25" customWidth="1"/>
    <col min="14607" max="14607" width="3" style="25" customWidth="1"/>
    <col min="14608" max="14608" width="2.7109375" style="25" customWidth="1"/>
    <col min="14609" max="14609" width="2.42578125" style="25" customWidth="1"/>
    <col min="14610" max="14610" width="3.28515625" style="25" customWidth="1"/>
    <col min="14611" max="14611" width="3.5703125" style="25" customWidth="1"/>
    <col min="14612" max="14612" width="4" style="25" customWidth="1"/>
    <col min="14613" max="14613" width="3.42578125" style="25" customWidth="1"/>
    <col min="14614" max="14614" width="3" style="25" customWidth="1"/>
    <col min="14615" max="14848" width="11.42578125" style="25"/>
    <col min="14849" max="14849" width="44.42578125" style="25" customWidth="1"/>
    <col min="14850" max="14850" width="13" style="25" customWidth="1"/>
    <col min="14851" max="14856" width="2" style="25" customWidth="1"/>
    <col min="14857" max="14857" width="2.42578125" style="25" customWidth="1"/>
    <col min="14858" max="14858" width="3" style="25" customWidth="1"/>
    <col min="14859" max="14861" width="2" style="25" customWidth="1"/>
    <col min="14862" max="14862" width="2.85546875" style="25" customWidth="1"/>
    <col min="14863" max="14863" width="3" style="25" customWidth="1"/>
    <col min="14864" max="14864" width="2.7109375" style="25" customWidth="1"/>
    <col min="14865" max="14865" width="2.42578125" style="25" customWidth="1"/>
    <col min="14866" max="14866" width="3.28515625" style="25" customWidth="1"/>
    <col min="14867" max="14867" width="3.5703125" style="25" customWidth="1"/>
    <col min="14868" max="14868" width="4" style="25" customWidth="1"/>
    <col min="14869" max="14869" width="3.42578125" style="25" customWidth="1"/>
    <col min="14870" max="14870" width="3" style="25" customWidth="1"/>
    <col min="14871" max="15104" width="11.42578125" style="25"/>
    <col min="15105" max="15105" width="44.42578125" style="25" customWidth="1"/>
    <col min="15106" max="15106" width="13" style="25" customWidth="1"/>
    <col min="15107" max="15112" width="2" style="25" customWidth="1"/>
    <col min="15113" max="15113" width="2.42578125" style="25" customWidth="1"/>
    <col min="15114" max="15114" width="3" style="25" customWidth="1"/>
    <col min="15115" max="15117" width="2" style="25" customWidth="1"/>
    <col min="15118" max="15118" width="2.85546875" style="25" customWidth="1"/>
    <col min="15119" max="15119" width="3" style="25" customWidth="1"/>
    <col min="15120" max="15120" width="2.7109375" style="25" customWidth="1"/>
    <col min="15121" max="15121" width="2.42578125" style="25" customWidth="1"/>
    <col min="15122" max="15122" width="3.28515625" style="25" customWidth="1"/>
    <col min="15123" max="15123" width="3.5703125" style="25" customWidth="1"/>
    <col min="15124" max="15124" width="4" style="25" customWidth="1"/>
    <col min="15125" max="15125" width="3.42578125" style="25" customWidth="1"/>
    <col min="15126" max="15126" width="3" style="25" customWidth="1"/>
    <col min="15127" max="15360" width="11.42578125" style="25"/>
    <col min="15361" max="15361" width="44.42578125" style="25" customWidth="1"/>
    <col min="15362" max="15362" width="13" style="25" customWidth="1"/>
    <col min="15363" max="15368" width="2" style="25" customWidth="1"/>
    <col min="15369" max="15369" width="2.42578125" style="25" customWidth="1"/>
    <col min="15370" max="15370" width="3" style="25" customWidth="1"/>
    <col min="15371" max="15373" width="2" style="25" customWidth="1"/>
    <col min="15374" max="15374" width="2.85546875" style="25" customWidth="1"/>
    <col min="15375" max="15375" width="3" style="25" customWidth="1"/>
    <col min="15376" max="15376" width="2.7109375" style="25" customWidth="1"/>
    <col min="15377" max="15377" width="2.42578125" style="25" customWidth="1"/>
    <col min="15378" max="15378" width="3.28515625" style="25" customWidth="1"/>
    <col min="15379" max="15379" width="3.5703125" style="25" customWidth="1"/>
    <col min="15380" max="15380" width="4" style="25" customWidth="1"/>
    <col min="15381" max="15381" width="3.42578125" style="25" customWidth="1"/>
    <col min="15382" max="15382" width="3" style="25" customWidth="1"/>
    <col min="15383" max="15616" width="11.42578125" style="25"/>
    <col min="15617" max="15617" width="44.42578125" style="25" customWidth="1"/>
    <col min="15618" max="15618" width="13" style="25" customWidth="1"/>
    <col min="15619" max="15624" width="2" style="25" customWidth="1"/>
    <col min="15625" max="15625" width="2.42578125" style="25" customWidth="1"/>
    <col min="15626" max="15626" width="3" style="25" customWidth="1"/>
    <col min="15627" max="15629" width="2" style="25" customWidth="1"/>
    <col min="15630" max="15630" width="2.85546875" style="25" customWidth="1"/>
    <col min="15631" max="15631" width="3" style="25" customWidth="1"/>
    <col min="15632" max="15632" width="2.7109375" style="25" customWidth="1"/>
    <col min="15633" max="15633" width="2.42578125" style="25" customWidth="1"/>
    <col min="15634" max="15634" width="3.28515625" style="25" customWidth="1"/>
    <col min="15635" max="15635" width="3.5703125" style="25" customWidth="1"/>
    <col min="15636" max="15636" width="4" style="25" customWidth="1"/>
    <col min="15637" max="15637" width="3.42578125" style="25" customWidth="1"/>
    <col min="15638" max="15638" width="3" style="25" customWidth="1"/>
    <col min="15639" max="15872" width="11.42578125" style="25"/>
    <col min="15873" max="15873" width="44.42578125" style="25" customWidth="1"/>
    <col min="15874" max="15874" width="13" style="25" customWidth="1"/>
    <col min="15875" max="15880" width="2" style="25" customWidth="1"/>
    <col min="15881" max="15881" width="2.42578125" style="25" customWidth="1"/>
    <col min="15882" max="15882" width="3" style="25" customWidth="1"/>
    <col min="15883" max="15885" width="2" style="25" customWidth="1"/>
    <col min="15886" max="15886" width="2.85546875" style="25" customWidth="1"/>
    <col min="15887" max="15887" width="3" style="25" customWidth="1"/>
    <col min="15888" max="15888" width="2.7109375" style="25" customWidth="1"/>
    <col min="15889" max="15889" width="2.42578125" style="25" customWidth="1"/>
    <col min="15890" max="15890" width="3.28515625" style="25" customWidth="1"/>
    <col min="15891" max="15891" width="3.5703125" style="25" customWidth="1"/>
    <col min="15892" max="15892" width="4" style="25" customWidth="1"/>
    <col min="15893" max="15893" width="3.42578125" style="25" customWidth="1"/>
    <col min="15894" max="15894" width="3" style="25" customWidth="1"/>
    <col min="15895" max="16128" width="11.42578125" style="25"/>
    <col min="16129" max="16129" width="44.42578125" style="25" customWidth="1"/>
    <col min="16130" max="16130" width="13" style="25" customWidth="1"/>
    <col min="16131" max="16136" width="2" style="25" customWidth="1"/>
    <col min="16137" max="16137" width="2.42578125" style="25" customWidth="1"/>
    <col min="16138" max="16138" width="3" style="25" customWidth="1"/>
    <col min="16139" max="16141" width="2" style="25" customWidth="1"/>
    <col min="16142" max="16142" width="2.85546875" style="25" customWidth="1"/>
    <col min="16143" max="16143" width="3" style="25" customWidth="1"/>
    <col min="16144" max="16144" width="2.7109375" style="25" customWidth="1"/>
    <col min="16145" max="16145" width="2.42578125" style="25" customWidth="1"/>
    <col min="16146" max="16146" width="3.28515625" style="25" customWidth="1"/>
    <col min="16147" max="16147" width="3.5703125" style="25" customWidth="1"/>
    <col min="16148" max="16148" width="4" style="25" customWidth="1"/>
    <col min="16149" max="16149" width="3.42578125" style="25" customWidth="1"/>
    <col min="16150" max="16150" width="3" style="25" customWidth="1"/>
    <col min="16151" max="16384" width="11.42578125" style="25"/>
  </cols>
  <sheetData>
    <row r="1" spans="1:94" x14ac:dyDescent="0.2">
      <c r="A1" s="636" t="s">
        <v>7</v>
      </c>
      <c r="B1" s="636"/>
      <c r="C1" s="21"/>
      <c r="D1" s="22"/>
      <c r="E1" s="22"/>
      <c r="F1" s="22"/>
      <c r="G1" s="23"/>
      <c r="H1" s="23"/>
      <c r="I1" s="23"/>
      <c r="J1" s="23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94" x14ac:dyDescent="0.2">
      <c r="A2" s="637" t="s">
        <v>8</v>
      </c>
      <c r="B2" s="637"/>
    </row>
    <row r="3" spans="1:94" x14ac:dyDescent="0.2">
      <c r="A3" s="30"/>
    </row>
    <row r="4" spans="1:94" x14ac:dyDescent="0.2">
      <c r="A4" s="637" t="str">
        <f>+'Cuadro de Costos'!A1:F1</f>
        <v xml:space="preserve">PROGRAMA DE MEJORAMIENTO Y CONSERVACION DE CORREDORES AGROINDUSTRIALES </v>
      </c>
      <c r="B4" s="637"/>
    </row>
    <row r="5" spans="1:94" x14ac:dyDescent="0.2">
      <c r="A5" s="30"/>
    </row>
    <row r="6" spans="1:94" x14ac:dyDescent="0.2">
      <c r="A6" s="638" t="s">
        <v>9</v>
      </c>
      <c r="B6" s="638"/>
    </row>
    <row r="7" spans="1:94" s="24" customFormat="1" x14ac:dyDescent="0.2">
      <c r="A7" s="32"/>
      <c r="B7" s="33"/>
      <c r="C7" s="34"/>
      <c r="D7" s="34"/>
      <c r="E7" s="35"/>
      <c r="F7" s="35"/>
      <c r="G7" s="36" t="s">
        <v>10</v>
      </c>
      <c r="H7" s="36" t="s">
        <v>10</v>
      </c>
      <c r="I7" s="36" t="s">
        <v>10</v>
      </c>
      <c r="J7" s="36" t="s">
        <v>11</v>
      </c>
      <c r="K7" s="632" t="s">
        <v>12</v>
      </c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 t="s">
        <v>13</v>
      </c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 t="s">
        <v>14</v>
      </c>
      <c r="AJ7" s="632"/>
      <c r="AK7" s="632"/>
      <c r="AL7" s="632"/>
      <c r="AM7" s="632"/>
      <c r="AN7" s="632"/>
      <c r="AO7" s="632"/>
      <c r="AP7" s="632"/>
      <c r="AQ7" s="632"/>
      <c r="AR7" s="632"/>
      <c r="AS7" s="632"/>
      <c r="AT7" s="632"/>
      <c r="AU7" s="632" t="s">
        <v>15</v>
      </c>
      <c r="AV7" s="632"/>
      <c r="AW7" s="632"/>
      <c r="AX7" s="632"/>
      <c r="AY7" s="632"/>
      <c r="AZ7" s="632"/>
      <c r="BA7" s="632"/>
      <c r="BB7" s="632"/>
      <c r="BC7" s="632"/>
      <c r="BD7" s="632"/>
      <c r="BE7" s="632"/>
      <c r="BF7" s="632"/>
      <c r="BG7" s="632" t="s">
        <v>16</v>
      </c>
      <c r="BH7" s="632"/>
      <c r="BI7" s="632"/>
      <c r="BJ7" s="632"/>
      <c r="BK7" s="632"/>
      <c r="BL7" s="632"/>
      <c r="BM7" s="632"/>
      <c r="BN7" s="632"/>
      <c r="BO7" s="632"/>
      <c r="BP7" s="632"/>
      <c r="BQ7" s="632"/>
      <c r="BR7" s="632"/>
      <c r="BS7" s="632" t="s">
        <v>88</v>
      </c>
      <c r="BT7" s="632"/>
      <c r="BU7" s="632"/>
      <c r="BV7" s="632"/>
      <c r="BW7" s="632"/>
      <c r="BX7" s="632"/>
      <c r="BY7" s="632"/>
      <c r="BZ7" s="632"/>
      <c r="CA7" s="632"/>
      <c r="CB7" s="632"/>
      <c r="CC7" s="632"/>
      <c r="CD7" s="632"/>
      <c r="CE7" s="632" t="s">
        <v>89</v>
      </c>
      <c r="CF7" s="632"/>
      <c r="CG7" s="632"/>
      <c r="CH7" s="632"/>
      <c r="CI7" s="632"/>
      <c r="CJ7" s="632"/>
      <c r="CK7" s="632"/>
      <c r="CL7" s="632"/>
      <c r="CM7" s="632"/>
      <c r="CN7" s="632"/>
      <c r="CO7" s="632"/>
      <c r="CP7" s="632"/>
    </row>
    <row r="8" spans="1:94" x14ac:dyDescent="0.2">
      <c r="A8" s="633"/>
      <c r="B8" s="634" t="s">
        <v>17</v>
      </c>
      <c r="C8" s="634" t="s">
        <v>18</v>
      </c>
      <c r="D8" s="635" t="s">
        <v>19</v>
      </c>
      <c r="E8" s="635" t="s">
        <v>20</v>
      </c>
      <c r="F8" s="635" t="s">
        <v>21</v>
      </c>
      <c r="G8" s="37" t="s">
        <v>22</v>
      </c>
      <c r="H8" s="37" t="s">
        <v>360</v>
      </c>
      <c r="I8" s="37" t="s">
        <v>6</v>
      </c>
      <c r="J8" s="37"/>
      <c r="K8" s="631" t="s">
        <v>23</v>
      </c>
      <c r="L8" s="631"/>
      <c r="M8" s="631"/>
      <c r="N8" s="631" t="s">
        <v>24</v>
      </c>
      <c r="O8" s="631"/>
      <c r="P8" s="631"/>
      <c r="Q8" s="631" t="s">
        <v>25</v>
      </c>
      <c r="R8" s="631"/>
      <c r="S8" s="631"/>
      <c r="T8" s="631" t="s">
        <v>26</v>
      </c>
      <c r="U8" s="631"/>
      <c r="V8" s="631"/>
      <c r="W8" s="631" t="s">
        <v>23</v>
      </c>
      <c r="X8" s="631"/>
      <c r="Y8" s="631"/>
      <c r="Z8" s="631" t="s">
        <v>24</v>
      </c>
      <c r="AA8" s="631"/>
      <c r="AB8" s="631"/>
      <c r="AC8" s="631" t="s">
        <v>25</v>
      </c>
      <c r="AD8" s="631"/>
      <c r="AE8" s="631"/>
      <c r="AF8" s="631" t="s">
        <v>26</v>
      </c>
      <c r="AG8" s="631"/>
      <c r="AH8" s="631"/>
      <c r="AI8" s="631" t="s">
        <v>23</v>
      </c>
      <c r="AJ8" s="631"/>
      <c r="AK8" s="631"/>
      <c r="AL8" s="631" t="s">
        <v>24</v>
      </c>
      <c r="AM8" s="631"/>
      <c r="AN8" s="631"/>
      <c r="AO8" s="631" t="s">
        <v>25</v>
      </c>
      <c r="AP8" s="631"/>
      <c r="AQ8" s="631"/>
      <c r="AR8" s="631" t="s">
        <v>26</v>
      </c>
      <c r="AS8" s="631"/>
      <c r="AT8" s="631"/>
      <c r="AU8" s="631" t="s">
        <v>23</v>
      </c>
      <c r="AV8" s="631"/>
      <c r="AW8" s="631"/>
      <c r="AX8" s="631" t="s">
        <v>24</v>
      </c>
      <c r="AY8" s="631"/>
      <c r="AZ8" s="631"/>
      <c r="BA8" s="631" t="s">
        <v>25</v>
      </c>
      <c r="BB8" s="631"/>
      <c r="BC8" s="631"/>
      <c r="BD8" s="631" t="s">
        <v>26</v>
      </c>
      <c r="BE8" s="631"/>
      <c r="BF8" s="631"/>
      <c r="BG8" s="631" t="s">
        <v>23</v>
      </c>
      <c r="BH8" s="631"/>
      <c r="BI8" s="631"/>
      <c r="BJ8" s="631" t="s">
        <v>24</v>
      </c>
      <c r="BK8" s="631"/>
      <c r="BL8" s="631"/>
      <c r="BM8" s="631" t="s">
        <v>25</v>
      </c>
      <c r="BN8" s="631"/>
      <c r="BO8" s="631"/>
      <c r="BP8" s="631" t="s">
        <v>26</v>
      </c>
      <c r="BQ8" s="631"/>
      <c r="BR8" s="631"/>
      <c r="BS8" s="631" t="s">
        <v>23</v>
      </c>
      <c r="BT8" s="631"/>
      <c r="BU8" s="631"/>
      <c r="BV8" s="631" t="s">
        <v>24</v>
      </c>
      <c r="BW8" s="631"/>
      <c r="BX8" s="631"/>
      <c r="BY8" s="631" t="s">
        <v>25</v>
      </c>
      <c r="BZ8" s="631"/>
      <c r="CA8" s="631"/>
      <c r="CB8" s="631" t="s">
        <v>26</v>
      </c>
      <c r="CC8" s="631"/>
      <c r="CD8" s="631"/>
      <c r="CE8" s="631" t="s">
        <v>23</v>
      </c>
      <c r="CF8" s="631"/>
      <c r="CG8" s="631"/>
      <c r="CH8" s="631" t="s">
        <v>24</v>
      </c>
      <c r="CI8" s="631"/>
      <c r="CJ8" s="631"/>
      <c r="CK8" s="631" t="s">
        <v>25</v>
      </c>
      <c r="CL8" s="631"/>
      <c r="CM8" s="631"/>
      <c r="CN8" s="631" t="s">
        <v>26</v>
      </c>
      <c r="CO8" s="631"/>
      <c r="CP8" s="631"/>
    </row>
    <row r="9" spans="1:94" x14ac:dyDescent="0.2">
      <c r="A9" s="633"/>
      <c r="B9" s="634"/>
      <c r="C9" s="634"/>
      <c r="D9" s="635"/>
      <c r="E9" s="635"/>
      <c r="F9" s="635"/>
      <c r="G9" s="37" t="s">
        <v>187</v>
      </c>
      <c r="H9" s="37" t="s">
        <v>187</v>
      </c>
      <c r="I9" s="37" t="s">
        <v>187</v>
      </c>
      <c r="J9" s="37"/>
      <c r="K9" s="142">
        <v>1</v>
      </c>
      <c r="L9" s="142">
        <v>2</v>
      </c>
      <c r="M9" s="142">
        <v>3</v>
      </c>
      <c r="N9" s="142">
        <v>4</v>
      </c>
      <c r="O9" s="142">
        <v>5</v>
      </c>
      <c r="P9" s="142">
        <v>6</v>
      </c>
      <c r="Q9" s="142">
        <v>7</v>
      </c>
      <c r="R9" s="142">
        <v>8</v>
      </c>
      <c r="S9" s="142">
        <v>9</v>
      </c>
      <c r="T9" s="142">
        <v>10</v>
      </c>
      <c r="U9" s="142">
        <v>11</v>
      </c>
      <c r="V9" s="142">
        <v>12</v>
      </c>
      <c r="W9" s="142">
        <v>13</v>
      </c>
      <c r="X9" s="142">
        <v>14</v>
      </c>
      <c r="Y9" s="142">
        <v>15</v>
      </c>
      <c r="Z9" s="142">
        <v>16</v>
      </c>
      <c r="AA9" s="142">
        <v>17</v>
      </c>
      <c r="AB9" s="142">
        <v>18</v>
      </c>
      <c r="AC9" s="142">
        <v>19</v>
      </c>
      <c r="AD9" s="142">
        <v>20</v>
      </c>
      <c r="AE9" s="142">
        <v>21</v>
      </c>
      <c r="AF9" s="142">
        <v>22</v>
      </c>
      <c r="AG9" s="142">
        <v>23</v>
      </c>
      <c r="AH9" s="142">
        <v>24</v>
      </c>
      <c r="AI9" s="142">
        <v>25</v>
      </c>
      <c r="AJ9" s="142">
        <v>26</v>
      </c>
      <c r="AK9" s="142">
        <v>27</v>
      </c>
      <c r="AL9" s="142">
        <v>28</v>
      </c>
      <c r="AM9" s="142">
        <v>29</v>
      </c>
      <c r="AN9" s="142">
        <v>30</v>
      </c>
      <c r="AO9" s="142">
        <v>31</v>
      </c>
      <c r="AP9" s="142">
        <v>32</v>
      </c>
      <c r="AQ9" s="142">
        <v>33</v>
      </c>
      <c r="AR9" s="142">
        <v>34</v>
      </c>
      <c r="AS9" s="142">
        <v>35</v>
      </c>
      <c r="AT9" s="142">
        <v>36</v>
      </c>
      <c r="AU9" s="142">
        <v>37</v>
      </c>
      <c r="AV9" s="142">
        <v>38</v>
      </c>
      <c r="AW9" s="142">
        <v>39</v>
      </c>
      <c r="AX9" s="142">
        <v>40</v>
      </c>
      <c r="AY9" s="142">
        <v>41</v>
      </c>
      <c r="AZ9" s="142">
        <v>42</v>
      </c>
      <c r="BA9" s="142">
        <v>43</v>
      </c>
      <c r="BB9" s="142">
        <v>44</v>
      </c>
      <c r="BC9" s="142">
        <v>45</v>
      </c>
      <c r="BD9" s="142">
        <v>46</v>
      </c>
      <c r="BE9" s="142">
        <v>47</v>
      </c>
      <c r="BF9" s="142">
        <v>48</v>
      </c>
      <c r="BG9" s="142">
        <v>49</v>
      </c>
      <c r="BH9" s="142">
        <v>50</v>
      </c>
      <c r="BI9" s="142">
        <v>51</v>
      </c>
      <c r="BJ9" s="142">
        <v>52</v>
      </c>
      <c r="BK9" s="142">
        <v>53</v>
      </c>
      <c r="BL9" s="142">
        <v>54</v>
      </c>
      <c r="BM9" s="142">
        <v>55</v>
      </c>
      <c r="BN9" s="142">
        <v>56</v>
      </c>
      <c r="BO9" s="142">
        <v>57</v>
      </c>
      <c r="BP9" s="142">
        <v>58</v>
      </c>
      <c r="BQ9" s="142">
        <v>59</v>
      </c>
      <c r="BR9" s="142">
        <v>60</v>
      </c>
      <c r="BS9" s="144">
        <v>61</v>
      </c>
      <c r="BT9" s="144">
        <v>62</v>
      </c>
      <c r="BU9" s="144">
        <v>63</v>
      </c>
      <c r="BV9" s="144">
        <v>64</v>
      </c>
      <c r="BW9" s="144">
        <v>65</v>
      </c>
      <c r="BX9" s="144">
        <v>66</v>
      </c>
      <c r="BY9" s="144">
        <v>67</v>
      </c>
      <c r="BZ9" s="144">
        <v>68</v>
      </c>
      <c r="CA9" s="144">
        <v>69</v>
      </c>
      <c r="CB9" s="144">
        <v>70</v>
      </c>
      <c r="CC9" s="144">
        <v>71</v>
      </c>
      <c r="CD9" s="144">
        <v>72</v>
      </c>
      <c r="CE9" s="144">
        <v>73</v>
      </c>
      <c r="CF9" s="144">
        <v>74</v>
      </c>
      <c r="CG9" s="144">
        <v>75</v>
      </c>
      <c r="CH9" s="144">
        <v>76</v>
      </c>
      <c r="CI9" s="144">
        <v>77</v>
      </c>
      <c r="CJ9" s="144">
        <v>78</v>
      </c>
      <c r="CK9" s="144">
        <v>79</v>
      </c>
      <c r="CL9" s="144">
        <v>80</v>
      </c>
      <c r="CM9" s="144">
        <v>81</v>
      </c>
      <c r="CN9" s="144">
        <v>82</v>
      </c>
      <c r="CO9" s="144">
        <v>83</v>
      </c>
      <c r="CP9" s="144">
        <v>84</v>
      </c>
    </row>
    <row r="10" spans="1:94" x14ac:dyDescent="0.2">
      <c r="A10" s="38" t="s">
        <v>27</v>
      </c>
      <c r="B10" s="39" t="s">
        <v>28</v>
      </c>
      <c r="C10" s="40"/>
      <c r="D10" s="41"/>
      <c r="E10" s="42"/>
      <c r="F10" s="42"/>
      <c r="G10" s="43"/>
      <c r="H10" s="43"/>
      <c r="I10" s="43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</row>
    <row r="11" spans="1:94" x14ac:dyDescent="0.2">
      <c r="A11" s="46" t="s">
        <v>29</v>
      </c>
      <c r="B11" s="47" t="s">
        <v>30</v>
      </c>
      <c r="C11" s="48"/>
      <c r="D11" s="49"/>
      <c r="E11" s="50"/>
      <c r="F11" s="50"/>
      <c r="G11" s="51"/>
      <c r="H11" s="51"/>
      <c r="I11" s="51"/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45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</row>
    <row r="12" spans="1:94" x14ac:dyDescent="0.2">
      <c r="A12" s="53" t="s">
        <v>31</v>
      </c>
      <c r="B12" s="54" t="s">
        <v>32</v>
      </c>
      <c r="C12" s="55"/>
      <c r="D12" s="56"/>
      <c r="E12" s="57"/>
      <c r="F12" s="57"/>
      <c r="G12" s="58"/>
      <c r="H12" s="58"/>
      <c r="I12" s="58"/>
      <c r="J12" s="5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45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</row>
    <row r="13" spans="1:94" x14ac:dyDescent="0.2">
      <c r="A13" s="53" t="s">
        <v>33</v>
      </c>
      <c r="B13" s="54" t="s">
        <v>34</v>
      </c>
      <c r="C13" s="55"/>
      <c r="D13" s="56"/>
      <c r="E13" s="57"/>
      <c r="F13" s="57"/>
      <c r="G13" s="58"/>
      <c r="H13" s="58"/>
      <c r="I13" s="58"/>
      <c r="J13" s="58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45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</row>
    <row r="14" spans="1:94" x14ac:dyDescent="0.2">
      <c r="A14" s="53" t="s">
        <v>35</v>
      </c>
      <c r="B14" s="54" t="s">
        <v>36</v>
      </c>
      <c r="C14" s="55"/>
      <c r="D14" s="56"/>
      <c r="E14" s="57"/>
      <c r="F14" s="57"/>
      <c r="G14" s="58"/>
      <c r="H14" s="58"/>
      <c r="I14" s="58"/>
      <c r="J14" s="5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45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</row>
    <row r="15" spans="1:94" x14ac:dyDescent="0.2">
      <c r="A15" s="53" t="s">
        <v>37</v>
      </c>
      <c r="B15" s="54" t="s">
        <v>38</v>
      </c>
      <c r="C15" s="55"/>
      <c r="D15" s="56"/>
      <c r="E15" s="57"/>
      <c r="F15" s="57"/>
      <c r="G15" s="58"/>
      <c r="H15" s="58"/>
      <c r="I15" s="58"/>
      <c r="J15" s="58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45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</row>
    <row r="16" spans="1:94" x14ac:dyDescent="0.2">
      <c r="A16" s="53" t="s">
        <v>39</v>
      </c>
      <c r="B16" s="54" t="s">
        <v>40</v>
      </c>
      <c r="C16" s="55"/>
      <c r="D16" s="56"/>
      <c r="E16" s="57"/>
      <c r="F16" s="57"/>
      <c r="G16" s="58"/>
      <c r="H16" s="58"/>
      <c r="I16" s="58"/>
      <c r="J16" s="5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4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</row>
    <row r="17" spans="1:94" x14ac:dyDescent="0.2">
      <c r="A17" s="53" t="s">
        <v>41</v>
      </c>
      <c r="B17" s="54" t="s">
        <v>42</v>
      </c>
      <c r="C17" s="55"/>
      <c r="D17" s="56"/>
      <c r="E17" s="57"/>
      <c r="F17" s="57"/>
      <c r="G17" s="58"/>
      <c r="H17" s="58"/>
      <c r="I17" s="58"/>
      <c r="J17" s="58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45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</row>
    <row r="18" spans="1:94" x14ac:dyDescent="0.2">
      <c r="A18" s="46"/>
      <c r="B18" s="47" t="s">
        <v>43</v>
      </c>
      <c r="C18" s="48"/>
      <c r="D18" s="49"/>
      <c r="E18" s="50"/>
      <c r="F18" s="50"/>
      <c r="G18" s="51"/>
      <c r="H18" s="51"/>
      <c r="I18" s="51"/>
      <c r="J18" s="51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5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</row>
    <row r="19" spans="1:94" x14ac:dyDescent="0.2">
      <c r="A19" s="53" t="s">
        <v>44</v>
      </c>
      <c r="B19" s="54" t="s">
        <v>45</v>
      </c>
      <c r="C19" s="55"/>
      <c r="D19" s="56"/>
      <c r="E19" s="57"/>
      <c r="F19" s="57"/>
      <c r="G19" s="58"/>
      <c r="H19" s="58"/>
      <c r="I19" s="58"/>
      <c r="J19" s="58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45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</row>
    <row r="20" spans="1:94" x14ac:dyDescent="0.2">
      <c r="A20" s="53" t="s">
        <v>46</v>
      </c>
      <c r="B20" s="54" t="s">
        <v>47</v>
      </c>
      <c r="C20" s="55"/>
      <c r="D20" s="56"/>
      <c r="E20" s="57"/>
      <c r="F20" s="57"/>
      <c r="G20" s="58"/>
      <c r="H20" s="58"/>
      <c r="I20" s="58"/>
      <c r="J20" s="58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45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</row>
    <row r="21" spans="1:94" x14ac:dyDescent="0.2">
      <c r="A21" s="53" t="s">
        <v>48</v>
      </c>
      <c r="B21" s="54" t="s">
        <v>49</v>
      </c>
      <c r="C21" s="55"/>
      <c r="D21" s="56"/>
      <c r="E21" s="57"/>
      <c r="F21" s="57"/>
      <c r="G21" s="58"/>
      <c r="H21" s="58"/>
      <c r="I21" s="58"/>
      <c r="J21" s="58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45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</row>
    <row r="22" spans="1:94" x14ac:dyDescent="0.2">
      <c r="A22" s="53" t="s">
        <v>50</v>
      </c>
      <c r="B22" s="54" t="s">
        <v>51</v>
      </c>
      <c r="C22" s="55"/>
      <c r="D22" s="56"/>
      <c r="E22" s="57"/>
      <c r="F22" s="57"/>
      <c r="G22" s="58"/>
      <c r="H22" s="58"/>
      <c r="I22" s="58"/>
      <c r="J22" s="58"/>
      <c r="K22" s="5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</row>
    <row r="23" spans="1:94" x14ac:dyDescent="0.2">
      <c r="A23" s="53" t="s">
        <v>52</v>
      </c>
      <c r="B23" s="54" t="s">
        <v>53</v>
      </c>
      <c r="C23" s="55"/>
      <c r="D23" s="56"/>
      <c r="E23" s="57"/>
      <c r="F23" s="57"/>
      <c r="G23" s="58"/>
      <c r="H23" s="58"/>
      <c r="I23" s="58"/>
      <c r="J23" s="58"/>
      <c r="K23" s="62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</row>
    <row r="24" spans="1:94" s="71" customFormat="1" x14ac:dyDescent="0.2">
      <c r="A24" s="64" t="s">
        <v>54</v>
      </c>
      <c r="B24" s="65" t="s">
        <v>55</v>
      </c>
      <c r="C24" s="66"/>
      <c r="D24" s="67"/>
      <c r="E24" s="67"/>
      <c r="F24" s="67"/>
      <c r="G24" s="68"/>
      <c r="H24" s="68"/>
      <c r="I24" s="68"/>
      <c r="J24" s="68"/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</row>
    <row r="25" spans="1:94" s="71" customFormat="1" x14ac:dyDescent="0.2">
      <c r="A25" s="72">
        <f>'[2]4. CC D'!A8</f>
        <v>0</v>
      </c>
      <c r="B25" s="73" t="str">
        <f>+A4</f>
        <v xml:space="preserve">PROGRAMA DE MEJORAMIENTO Y CONSERVACION DE CORREDORES AGROINDUSTRIALES </v>
      </c>
      <c r="C25" s="74"/>
      <c r="D25" s="75"/>
      <c r="E25" s="75"/>
      <c r="F25" s="75"/>
      <c r="G25" s="76">
        <f>+G26+G52</f>
        <v>185000000.00000003</v>
      </c>
      <c r="H25" s="76">
        <f>+H26+H52</f>
        <v>49999999.999999985</v>
      </c>
      <c r="I25" s="76">
        <f>+I26+I52</f>
        <v>235000000</v>
      </c>
      <c r="J25" s="76">
        <f>'[2]4. CC D'!G8</f>
        <v>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</row>
    <row r="26" spans="1:94" s="71" customFormat="1" ht="20.25" customHeight="1" x14ac:dyDescent="0.2">
      <c r="A26" s="77" t="str">
        <f>+'4. CC D'!A9</f>
        <v>1.</v>
      </c>
      <c r="B26" s="78" t="str">
        <f>+'Cuadro de Costos'!B8</f>
        <v>Componente Unico Obras civiles</v>
      </c>
      <c r="C26" s="79"/>
      <c r="D26" s="80"/>
      <c r="E26" s="80"/>
      <c r="F26" s="80"/>
      <c r="G26" s="81">
        <f>+G27+G35+G45+G47+G50</f>
        <v>180670212.76595747</v>
      </c>
      <c r="H26" s="81">
        <f t="shared" ref="H26" si="0">+H27+H35+H45+H47+H50</f>
        <v>48829787.23404254</v>
      </c>
      <c r="I26" s="81">
        <f>+I27+I35+I45+I47+I50</f>
        <v>229500000</v>
      </c>
      <c r="J26" s="81">
        <f>'[2]4. CC D'!G9</f>
        <v>0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</row>
    <row r="27" spans="1:94" s="71" customFormat="1" ht="25.5" x14ac:dyDescent="0.2">
      <c r="A27" s="481" t="s">
        <v>87</v>
      </c>
      <c r="B27" s="82" t="str">
        <f>+'4. CC D'!B10</f>
        <v>Producto 1: 270,42 Km de carreteras de la red vial de caminos departamentales y nacionales pavimentados y mantenidos por el programa</v>
      </c>
      <c r="C27" s="83"/>
      <c r="D27" s="84"/>
      <c r="E27" s="84"/>
      <c r="F27" s="84"/>
      <c r="G27" s="85">
        <f>+SUM(G28:G34)</f>
        <v>167154358.50106382</v>
      </c>
      <c r="H27" s="85">
        <f t="shared" ref="H27:I27" si="1">+SUM(H28:H34)</f>
        <v>45176853.648936167</v>
      </c>
      <c r="I27" s="85">
        <f t="shared" si="1"/>
        <v>212331212.15000001</v>
      </c>
      <c r="J27" s="85" t="s">
        <v>427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</row>
    <row r="28" spans="1:94" s="71" customFormat="1" ht="39.75" customHeight="1" x14ac:dyDescent="0.2">
      <c r="A28" s="166" t="str">
        <f>+'4. CC D'!A11</f>
        <v>1.1.1</v>
      </c>
      <c r="B28" s="86" t="str">
        <f>+'4. CC D'!B11</f>
        <v>Contratación de Empresa Constructora para la Pavimentación  y mantenimiento del Tramo Cruce Pioneros (Ruta Nacional N° 9) – Paratodo, y accesos– Región Occidental (104 Km)</v>
      </c>
      <c r="C28" s="87" t="str">
        <f>+'4. CC D'!H11</f>
        <v>72 meses</v>
      </c>
      <c r="D28" s="87" t="s">
        <v>428</v>
      </c>
      <c r="E28" s="93" t="s">
        <v>418</v>
      </c>
      <c r="F28" s="87" t="s">
        <v>436</v>
      </c>
      <c r="G28" s="613">
        <f>+'4. CC D'!I11</f>
        <v>78058951.170212761</v>
      </c>
      <c r="H28" s="88">
        <f>+'4. CC D'!J11</f>
        <v>21097013.829787236</v>
      </c>
      <c r="I28" s="88">
        <f>+G28+H28</f>
        <v>99155965</v>
      </c>
      <c r="J28" s="88"/>
      <c r="K28" s="89"/>
      <c r="L28" s="89"/>
      <c r="M28" s="90"/>
      <c r="N28" s="90"/>
      <c r="O28" s="90"/>
      <c r="P28" s="90"/>
      <c r="Q28" s="91">
        <v>1</v>
      </c>
      <c r="R28" s="91">
        <v>2</v>
      </c>
      <c r="S28" s="91">
        <v>3</v>
      </c>
      <c r="T28" s="91">
        <v>4</v>
      </c>
      <c r="U28" s="91">
        <v>5</v>
      </c>
      <c r="V28" s="91">
        <v>6</v>
      </c>
      <c r="W28" s="91">
        <v>7</v>
      </c>
      <c r="X28" s="91">
        <v>8</v>
      </c>
      <c r="Y28" s="91">
        <v>9</v>
      </c>
      <c r="Z28" s="91">
        <v>10</v>
      </c>
      <c r="AA28" s="91">
        <v>11</v>
      </c>
      <c r="AB28" s="91">
        <v>12</v>
      </c>
      <c r="AC28" s="91">
        <v>13</v>
      </c>
      <c r="AD28" s="91">
        <v>14</v>
      </c>
      <c r="AE28" s="91">
        <v>15</v>
      </c>
      <c r="AF28" s="91">
        <v>16</v>
      </c>
      <c r="AG28" s="91">
        <v>17</v>
      </c>
      <c r="AH28" s="91">
        <v>18</v>
      </c>
      <c r="AI28" s="91">
        <v>19</v>
      </c>
      <c r="AJ28" s="91">
        <v>20</v>
      </c>
      <c r="AK28" s="91">
        <v>21</v>
      </c>
      <c r="AL28" s="91">
        <v>22</v>
      </c>
      <c r="AM28" s="91">
        <v>23</v>
      </c>
      <c r="AN28" s="91">
        <v>24</v>
      </c>
      <c r="AO28" s="91">
        <v>25</v>
      </c>
      <c r="AP28" s="91">
        <v>26</v>
      </c>
      <c r="AQ28" s="91">
        <v>27</v>
      </c>
      <c r="AR28" s="91">
        <v>28</v>
      </c>
      <c r="AS28" s="91">
        <v>29</v>
      </c>
      <c r="AT28" s="91">
        <v>30</v>
      </c>
      <c r="AU28" s="91">
        <v>31</v>
      </c>
      <c r="AV28" s="91">
        <v>32</v>
      </c>
      <c r="AW28" s="91">
        <v>33</v>
      </c>
      <c r="AX28" s="91">
        <v>34</v>
      </c>
      <c r="AY28" s="91">
        <v>35</v>
      </c>
      <c r="AZ28" s="91">
        <v>36</v>
      </c>
      <c r="BA28" s="91">
        <v>37</v>
      </c>
      <c r="BB28" s="91">
        <v>38</v>
      </c>
      <c r="BC28" s="91">
        <v>39</v>
      </c>
      <c r="BD28" s="91">
        <v>40</v>
      </c>
      <c r="BE28" s="91">
        <v>41</v>
      </c>
      <c r="BF28" s="91">
        <v>42</v>
      </c>
      <c r="BG28" s="91">
        <v>43</v>
      </c>
      <c r="BH28" s="91">
        <v>44</v>
      </c>
      <c r="BI28" s="91">
        <v>45</v>
      </c>
      <c r="BJ28" s="91">
        <v>46</v>
      </c>
      <c r="BK28" s="91">
        <v>47</v>
      </c>
      <c r="BL28" s="91">
        <v>48</v>
      </c>
      <c r="BM28" s="91">
        <v>49</v>
      </c>
      <c r="BN28" s="91">
        <v>50</v>
      </c>
      <c r="BO28" s="91">
        <v>51</v>
      </c>
      <c r="BP28" s="91">
        <v>52</v>
      </c>
      <c r="BQ28" s="91">
        <v>53</v>
      </c>
      <c r="BR28" s="91">
        <v>54</v>
      </c>
      <c r="BS28" s="91">
        <v>55</v>
      </c>
      <c r="BT28" s="91">
        <v>56</v>
      </c>
      <c r="BU28" s="91">
        <v>57</v>
      </c>
      <c r="BV28" s="91">
        <v>58</v>
      </c>
      <c r="BW28" s="91">
        <v>59</v>
      </c>
      <c r="BX28" s="91">
        <v>60</v>
      </c>
      <c r="BY28" s="91">
        <v>61</v>
      </c>
      <c r="BZ28" s="91">
        <v>62</v>
      </c>
      <c r="CA28" s="91">
        <v>63</v>
      </c>
      <c r="CB28" s="91">
        <v>64</v>
      </c>
      <c r="CC28" s="91">
        <v>65</v>
      </c>
      <c r="CD28" s="91">
        <v>66</v>
      </c>
      <c r="CE28" s="91">
        <v>67</v>
      </c>
      <c r="CF28" s="91">
        <v>68</v>
      </c>
      <c r="CG28" s="91">
        <v>69</v>
      </c>
      <c r="CH28" s="91">
        <v>70</v>
      </c>
      <c r="CI28" s="91">
        <v>71</v>
      </c>
      <c r="CJ28" s="91">
        <v>72</v>
      </c>
      <c r="CK28" s="88"/>
      <c r="CL28" s="88"/>
      <c r="CM28" s="88"/>
      <c r="CN28" s="88"/>
      <c r="CO28" s="88"/>
      <c r="CP28" s="88"/>
    </row>
    <row r="29" spans="1:94" s="71" customFormat="1" ht="39.75" customHeight="1" x14ac:dyDescent="0.2">
      <c r="A29" s="166" t="str">
        <f>+'4. CC D'!A12</f>
        <v>1.1.2</v>
      </c>
      <c r="B29" s="86" t="str">
        <f>+'4. CC D'!B12</f>
        <v>Contratación de Empresa Constructora para la Pavimentación y mantenimiento del Tramo Villa del Rosario - Volendam - San Pablo - Ruta 11, y accesos– Región Oriental (80,36 Km)</v>
      </c>
      <c r="C29" s="87" t="str">
        <f>+'4. CC D'!H12</f>
        <v>72 meses</v>
      </c>
      <c r="D29" s="87" t="s">
        <v>428</v>
      </c>
      <c r="E29" s="93" t="s">
        <v>418</v>
      </c>
      <c r="F29" s="87" t="s">
        <v>436</v>
      </c>
      <c r="G29" s="613">
        <f>+'4. CC D'!I12</f>
        <v>47470212.765957452</v>
      </c>
      <c r="H29" s="88">
        <f>+'4. CC D'!J12</f>
        <v>12829787.234042553</v>
      </c>
      <c r="I29" s="88">
        <f t="shared" ref="I29:I33" si="2">+G29+H29</f>
        <v>60300000.000000007</v>
      </c>
      <c r="J29" s="88"/>
      <c r="K29" s="89"/>
      <c r="L29" s="89"/>
      <c r="M29" s="90"/>
      <c r="N29" s="90"/>
      <c r="O29" s="90"/>
      <c r="P29" s="90"/>
      <c r="Q29" s="91">
        <v>1</v>
      </c>
      <c r="R29" s="91">
        <v>2</v>
      </c>
      <c r="S29" s="91">
        <v>3</v>
      </c>
      <c r="T29" s="91">
        <v>4</v>
      </c>
      <c r="U29" s="91">
        <v>5</v>
      </c>
      <c r="V29" s="91">
        <v>6</v>
      </c>
      <c r="W29" s="91">
        <v>7</v>
      </c>
      <c r="X29" s="91">
        <v>8</v>
      </c>
      <c r="Y29" s="91">
        <v>9</v>
      </c>
      <c r="Z29" s="91">
        <v>10</v>
      </c>
      <c r="AA29" s="91">
        <v>11</v>
      </c>
      <c r="AB29" s="91">
        <v>12</v>
      </c>
      <c r="AC29" s="91">
        <v>13</v>
      </c>
      <c r="AD29" s="91">
        <v>14</v>
      </c>
      <c r="AE29" s="91">
        <v>15</v>
      </c>
      <c r="AF29" s="91">
        <v>16</v>
      </c>
      <c r="AG29" s="91">
        <v>17</v>
      </c>
      <c r="AH29" s="91">
        <v>18</v>
      </c>
      <c r="AI29" s="91">
        <v>19</v>
      </c>
      <c r="AJ29" s="91">
        <v>20</v>
      </c>
      <c r="AK29" s="91">
        <v>21</v>
      </c>
      <c r="AL29" s="91">
        <v>22</v>
      </c>
      <c r="AM29" s="91">
        <v>23</v>
      </c>
      <c r="AN29" s="91">
        <v>24</v>
      </c>
      <c r="AO29" s="91">
        <v>25</v>
      </c>
      <c r="AP29" s="91">
        <v>26</v>
      </c>
      <c r="AQ29" s="91">
        <v>27</v>
      </c>
      <c r="AR29" s="91">
        <v>28</v>
      </c>
      <c r="AS29" s="91">
        <v>29</v>
      </c>
      <c r="AT29" s="91">
        <v>30</v>
      </c>
      <c r="AU29" s="91">
        <v>31</v>
      </c>
      <c r="AV29" s="91">
        <v>32</v>
      </c>
      <c r="AW29" s="91">
        <v>33</v>
      </c>
      <c r="AX29" s="91">
        <v>34</v>
      </c>
      <c r="AY29" s="91">
        <v>35</v>
      </c>
      <c r="AZ29" s="91">
        <v>36</v>
      </c>
      <c r="BA29" s="91">
        <v>37</v>
      </c>
      <c r="BB29" s="91">
        <v>38</v>
      </c>
      <c r="BC29" s="91">
        <v>39</v>
      </c>
      <c r="BD29" s="91">
        <v>40</v>
      </c>
      <c r="BE29" s="91">
        <v>41</v>
      </c>
      <c r="BF29" s="91">
        <v>42</v>
      </c>
      <c r="BG29" s="91">
        <v>43</v>
      </c>
      <c r="BH29" s="91">
        <v>44</v>
      </c>
      <c r="BI29" s="91">
        <v>45</v>
      </c>
      <c r="BJ29" s="91">
        <v>46</v>
      </c>
      <c r="BK29" s="91">
        <v>47</v>
      </c>
      <c r="BL29" s="91">
        <v>48</v>
      </c>
      <c r="BM29" s="91">
        <v>49</v>
      </c>
      <c r="BN29" s="91">
        <v>50</v>
      </c>
      <c r="BO29" s="91">
        <v>51</v>
      </c>
      <c r="BP29" s="91">
        <v>52</v>
      </c>
      <c r="BQ29" s="91">
        <v>53</v>
      </c>
      <c r="BR29" s="91">
        <v>54</v>
      </c>
      <c r="BS29" s="91">
        <v>55</v>
      </c>
      <c r="BT29" s="91">
        <v>56</v>
      </c>
      <c r="BU29" s="91">
        <v>57</v>
      </c>
      <c r="BV29" s="91">
        <v>58</v>
      </c>
      <c r="BW29" s="91">
        <v>59</v>
      </c>
      <c r="BX29" s="91">
        <v>60</v>
      </c>
      <c r="BY29" s="91">
        <v>61</v>
      </c>
      <c r="BZ29" s="91">
        <v>62</v>
      </c>
      <c r="CA29" s="91">
        <v>63</v>
      </c>
      <c r="CB29" s="91">
        <v>64</v>
      </c>
      <c r="CC29" s="91">
        <v>65</v>
      </c>
      <c r="CD29" s="91">
        <v>66</v>
      </c>
      <c r="CE29" s="91">
        <v>67</v>
      </c>
      <c r="CF29" s="91">
        <v>68</v>
      </c>
      <c r="CG29" s="91">
        <v>69</v>
      </c>
      <c r="CH29" s="91">
        <v>70</v>
      </c>
      <c r="CI29" s="91">
        <v>71</v>
      </c>
      <c r="CJ29" s="91">
        <v>72</v>
      </c>
      <c r="CK29" s="88"/>
      <c r="CL29" s="88"/>
      <c r="CM29" s="88"/>
      <c r="CN29" s="88"/>
      <c r="CO29" s="88"/>
      <c r="CP29" s="88"/>
    </row>
    <row r="30" spans="1:94" s="71" customFormat="1" ht="39.75" customHeight="1" x14ac:dyDescent="0.2">
      <c r="A30" s="166" t="str">
        <f>+'4. CC D'!A13</f>
        <v>1.1.3</v>
      </c>
      <c r="B30" s="86" t="str">
        <f>+'4. CC D'!B13</f>
        <v xml:space="preserve">Contratación de Empresa Constructora para la Pavimentación y mantenimiento del Tramo Campo Aceval – Cruce Jordán (35 km) </v>
      </c>
      <c r="C30" s="87" t="str">
        <f>+'4. CC D'!H13</f>
        <v>60 meses</v>
      </c>
      <c r="D30" s="93" t="s">
        <v>430</v>
      </c>
      <c r="E30" s="87" t="s">
        <v>463</v>
      </c>
      <c r="F30" s="87" t="s">
        <v>446</v>
      </c>
      <c r="G30" s="613">
        <f>+'4. CC D'!I13</f>
        <v>18920510.5106383</v>
      </c>
      <c r="H30" s="88">
        <f>+'4. CC D'!J13</f>
        <v>5113651.4893617025</v>
      </c>
      <c r="I30" s="88">
        <f t="shared" si="2"/>
        <v>24034162.000000004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89"/>
      <c r="AB30" s="89"/>
      <c r="AC30" s="90"/>
      <c r="AD30" s="90"/>
      <c r="AE30" s="90"/>
      <c r="AF30" s="90"/>
      <c r="AG30" s="90"/>
      <c r="AH30" s="90"/>
      <c r="AI30" s="91">
        <v>1</v>
      </c>
      <c r="AJ30" s="91">
        <v>2</v>
      </c>
      <c r="AK30" s="91">
        <v>3</v>
      </c>
      <c r="AL30" s="91">
        <v>4</v>
      </c>
      <c r="AM30" s="91">
        <v>5</v>
      </c>
      <c r="AN30" s="91">
        <v>6</v>
      </c>
      <c r="AO30" s="91">
        <v>7</v>
      </c>
      <c r="AP30" s="91">
        <v>8</v>
      </c>
      <c r="AQ30" s="91">
        <v>9</v>
      </c>
      <c r="AR30" s="91">
        <v>10</v>
      </c>
      <c r="AS30" s="91">
        <v>11</v>
      </c>
      <c r="AT30" s="91">
        <v>12</v>
      </c>
      <c r="AU30" s="91">
        <v>13</v>
      </c>
      <c r="AV30" s="91">
        <v>14</v>
      </c>
      <c r="AW30" s="91">
        <v>15</v>
      </c>
      <c r="AX30" s="91">
        <v>16</v>
      </c>
      <c r="AY30" s="91">
        <v>17</v>
      </c>
      <c r="AZ30" s="91">
        <v>18</v>
      </c>
      <c r="BA30" s="91">
        <v>19</v>
      </c>
      <c r="BB30" s="91">
        <v>20</v>
      </c>
      <c r="BC30" s="91">
        <v>21</v>
      </c>
      <c r="BD30" s="91">
        <v>22</v>
      </c>
      <c r="BE30" s="91">
        <v>23</v>
      </c>
      <c r="BF30" s="91">
        <v>24</v>
      </c>
      <c r="BG30" s="91">
        <v>25</v>
      </c>
      <c r="BH30" s="91">
        <v>26</v>
      </c>
      <c r="BI30" s="91">
        <v>27</v>
      </c>
      <c r="BJ30" s="91">
        <v>28</v>
      </c>
      <c r="BK30" s="91">
        <v>29</v>
      </c>
      <c r="BL30" s="91">
        <v>30</v>
      </c>
      <c r="BM30" s="91">
        <v>31</v>
      </c>
      <c r="BN30" s="91">
        <v>32</v>
      </c>
      <c r="BO30" s="91">
        <v>33</v>
      </c>
      <c r="BP30" s="91">
        <v>34</v>
      </c>
      <c r="BQ30" s="91">
        <v>35</v>
      </c>
      <c r="BR30" s="91">
        <v>36</v>
      </c>
      <c r="BS30" s="91">
        <v>37</v>
      </c>
      <c r="BT30" s="91">
        <v>38</v>
      </c>
      <c r="BU30" s="91">
        <v>39</v>
      </c>
      <c r="BV30" s="91">
        <v>40</v>
      </c>
      <c r="BW30" s="91">
        <v>41</v>
      </c>
      <c r="BX30" s="91">
        <v>42</v>
      </c>
      <c r="BY30" s="91">
        <v>43</v>
      </c>
      <c r="BZ30" s="91">
        <v>44</v>
      </c>
      <c r="CA30" s="91">
        <v>45</v>
      </c>
      <c r="CB30" s="91">
        <v>46</v>
      </c>
      <c r="CC30" s="91">
        <v>47</v>
      </c>
      <c r="CD30" s="91">
        <v>48</v>
      </c>
      <c r="CE30" s="91">
        <v>49</v>
      </c>
      <c r="CF30" s="91">
        <v>50</v>
      </c>
      <c r="CG30" s="91">
        <v>51</v>
      </c>
      <c r="CH30" s="91">
        <v>52</v>
      </c>
      <c r="CI30" s="91">
        <v>53</v>
      </c>
      <c r="CJ30" s="91">
        <v>54</v>
      </c>
      <c r="CK30" s="91">
        <v>55</v>
      </c>
      <c r="CL30" s="91">
        <v>56</v>
      </c>
      <c r="CM30" s="91">
        <v>57</v>
      </c>
      <c r="CN30" s="91">
        <v>58</v>
      </c>
      <c r="CO30" s="91">
        <v>59</v>
      </c>
      <c r="CP30" s="91">
        <v>60</v>
      </c>
    </row>
    <row r="31" spans="1:94" s="71" customFormat="1" ht="39.75" customHeight="1" x14ac:dyDescent="0.2">
      <c r="A31" s="166" t="str">
        <f>+'4. CC D'!A14</f>
        <v>1.1.4</v>
      </c>
      <c r="B31" s="86" t="str">
        <f>+'4. CC D'!B14</f>
        <v xml:space="preserve">Contratación de Empresa Constructora para realización de Obras básicas de mejoramiento y mantenimiento de tramos críticos en la Región Occidental (51 km) - (Cruce Jordan – Avalos Sanchez; y  Paratodo – Cruce Douglas.) </v>
      </c>
      <c r="C31" s="87" t="str">
        <f>+'4. CC D'!H14</f>
        <v>60 meses</v>
      </c>
      <c r="D31" s="93" t="s">
        <v>430</v>
      </c>
      <c r="E31" s="87" t="s">
        <v>463</v>
      </c>
      <c r="F31" s="87" t="s">
        <v>446</v>
      </c>
      <c r="G31" s="613">
        <f>+'4. CC D'!I14</f>
        <v>11769352.042553192</v>
      </c>
      <c r="H31" s="88">
        <f>+'4. CC D'!J14</f>
        <v>3180905.9574468085</v>
      </c>
      <c r="I31" s="88">
        <f t="shared" ref="I31" si="3">+G31+H31</f>
        <v>14950258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  <c r="AA31" s="89"/>
      <c r="AB31" s="89"/>
      <c r="AC31" s="90"/>
      <c r="AD31" s="90"/>
      <c r="AE31" s="90"/>
      <c r="AF31" s="90"/>
      <c r="AG31" s="90"/>
      <c r="AH31" s="90"/>
      <c r="AI31" s="91">
        <v>1</v>
      </c>
      <c r="AJ31" s="91">
        <v>2</v>
      </c>
      <c r="AK31" s="91">
        <v>3</v>
      </c>
      <c r="AL31" s="91">
        <v>4</v>
      </c>
      <c r="AM31" s="91">
        <v>5</v>
      </c>
      <c r="AN31" s="91">
        <v>6</v>
      </c>
      <c r="AO31" s="91">
        <v>7</v>
      </c>
      <c r="AP31" s="91">
        <v>8</v>
      </c>
      <c r="AQ31" s="91">
        <v>9</v>
      </c>
      <c r="AR31" s="91">
        <v>10</v>
      </c>
      <c r="AS31" s="91">
        <v>11</v>
      </c>
      <c r="AT31" s="91">
        <v>12</v>
      </c>
      <c r="AU31" s="91">
        <v>13</v>
      </c>
      <c r="AV31" s="91">
        <v>14</v>
      </c>
      <c r="AW31" s="91">
        <v>15</v>
      </c>
      <c r="AX31" s="91">
        <v>16</v>
      </c>
      <c r="AY31" s="91">
        <v>17</v>
      </c>
      <c r="AZ31" s="91">
        <v>18</v>
      </c>
      <c r="BA31" s="91">
        <v>19</v>
      </c>
      <c r="BB31" s="91">
        <v>20</v>
      </c>
      <c r="BC31" s="91">
        <v>21</v>
      </c>
      <c r="BD31" s="91">
        <v>22</v>
      </c>
      <c r="BE31" s="91">
        <v>23</v>
      </c>
      <c r="BF31" s="91">
        <v>24</v>
      </c>
      <c r="BG31" s="91">
        <v>25</v>
      </c>
      <c r="BH31" s="91">
        <v>26</v>
      </c>
      <c r="BI31" s="91">
        <v>27</v>
      </c>
      <c r="BJ31" s="91">
        <v>28</v>
      </c>
      <c r="BK31" s="91">
        <v>29</v>
      </c>
      <c r="BL31" s="91">
        <v>30</v>
      </c>
      <c r="BM31" s="91">
        <v>31</v>
      </c>
      <c r="BN31" s="91">
        <v>32</v>
      </c>
      <c r="BO31" s="91">
        <v>33</v>
      </c>
      <c r="BP31" s="91">
        <v>34</v>
      </c>
      <c r="BQ31" s="91">
        <v>35</v>
      </c>
      <c r="BR31" s="91">
        <v>36</v>
      </c>
      <c r="BS31" s="91">
        <v>37</v>
      </c>
      <c r="BT31" s="91">
        <v>38</v>
      </c>
      <c r="BU31" s="91">
        <v>39</v>
      </c>
      <c r="BV31" s="91">
        <v>40</v>
      </c>
      <c r="BW31" s="91">
        <v>41</v>
      </c>
      <c r="BX31" s="91">
        <v>42</v>
      </c>
      <c r="BY31" s="91">
        <v>43</v>
      </c>
      <c r="BZ31" s="91">
        <v>44</v>
      </c>
      <c r="CA31" s="91">
        <v>45</v>
      </c>
      <c r="CB31" s="91">
        <v>46</v>
      </c>
      <c r="CC31" s="91">
        <v>47</v>
      </c>
      <c r="CD31" s="91">
        <v>48</v>
      </c>
      <c r="CE31" s="91">
        <v>49</v>
      </c>
      <c r="CF31" s="91">
        <v>50</v>
      </c>
      <c r="CG31" s="91">
        <v>51</v>
      </c>
      <c r="CH31" s="91">
        <v>52</v>
      </c>
      <c r="CI31" s="91">
        <v>53</v>
      </c>
      <c r="CJ31" s="91">
        <v>54</v>
      </c>
      <c r="CK31" s="91">
        <v>55</v>
      </c>
      <c r="CL31" s="91">
        <v>56</v>
      </c>
      <c r="CM31" s="91">
        <v>57</v>
      </c>
      <c r="CN31" s="91">
        <v>58</v>
      </c>
      <c r="CO31" s="91">
        <v>59</v>
      </c>
      <c r="CP31" s="91">
        <v>60</v>
      </c>
    </row>
    <row r="32" spans="1:94" s="71" customFormat="1" ht="39.75" customHeight="1" x14ac:dyDescent="0.2">
      <c r="A32" s="166" t="str">
        <f>+'4. CC D'!A15</f>
        <v>1.1.5</v>
      </c>
      <c r="B32" s="86" t="str">
        <f>+'4. CC D'!B15</f>
        <v>Contratación de Firma Consultora para Fiscalización de obras de   Mejoramiento y Conservación de Tramo Cruce Pioneros (Ruta Nacional N° 9) – Paratodo, y accesos – Región Occidental (104 Km)</v>
      </c>
      <c r="C32" s="87" t="str">
        <f>+'4. CC D'!H15</f>
        <v>72 meses</v>
      </c>
      <c r="D32" s="87" t="s">
        <v>428</v>
      </c>
      <c r="E32" s="93" t="s">
        <v>418</v>
      </c>
      <c r="F32" s="87" t="s">
        <v>436</v>
      </c>
      <c r="G32" s="613">
        <f>+'4. CC D'!I15</f>
        <v>5464126.7393617034</v>
      </c>
      <c r="H32" s="88">
        <f>+'4. CC D'!J15</f>
        <v>1476791.010638298</v>
      </c>
      <c r="I32" s="88">
        <f t="shared" si="2"/>
        <v>6940917.7500000019</v>
      </c>
      <c r="J32" s="88"/>
      <c r="K32" s="89"/>
      <c r="L32" s="89"/>
      <c r="M32" s="90"/>
      <c r="N32" s="90"/>
      <c r="O32" s="90"/>
      <c r="P32" s="90"/>
      <c r="Q32" s="91">
        <v>1</v>
      </c>
      <c r="R32" s="91">
        <v>2</v>
      </c>
      <c r="S32" s="91">
        <v>3</v>
      </c>
      <c r="T32" s="91">
        <v>4</v>
      </c>
      <c r="U32" s="91">
        <v>5</v>
      </c>
      <c r="V32" s="91">
        <v>6</v>
      </c>
      <c r="W32" s="91">
        <v>7</v>
      </c>
      <c r="X32" s="91">
        <v>8</v>
      </c>
      <c r="Y32" s="91">
        <v>9</v>
      </c>
      <c r="Z32" s="91">
        <v>10</v>
      </c>
      <c r="AA32" s="91">
        <v>11</v>
      </c>
      <c r="AB32" s="91">
        <v>12</v>
      </c>
      <c r="AC32" s="91">
        <v>13</v>
      </c>
      <c r="AD32" s="91">
        <v>14</v>
      </c>
      <c r="AE32" s="91">
        <v>15</v>
      </c>
      <c r="AF32" s="91">
        <v>16</v>
      </c>
      <c r="AG32" s="91">
        <v>17</v>
      </c>
      <c r="AH32" s="91">
        <v>18</v>
      </c>
      <c r="AI32" s="91">
        <v>19</v>
      </c>
      <c r="AJ32" s="91">
        <v>20</v>
      </c>
      <c r="AK32" s="91">
        <v>21</v>
      </c>
      <c r="AL32" s="91">
        <v>22</v>
      </c>
      <c r="AM32" s="91">
        <v>23</v>
      </c>
      <c r="AN32" s="91">
        <v>24</v>
      </c>
      <c r="AO32" s="91">
        <v>25</v>
      </c>
      <c r="AP32" s="91">
        <v>26</v>
      </c>
      <c r="AQ32" s="91">
        <v>27</v>
      </c>
      <c r="AR32" s="91">
        <v>28</v>
      </c>
      <c r="AS32" s="91">
        <v>29</v>
      </c>
      <c r="AT32" s="91">
        <v>30</v>
      </c>
      <c r="AU32" s="91">
        <v>31</v>
      </c>
      <c r="AV32" s="91">
        <v>32</v>
      </c>
      <c r="AW32" s="91">
        <v>33</v>
      </c>
      <c r="AX32" s="91">
        <v>34</v>
      </c>
      <c r="AY32" s="91">
        <v>35</v>
      </c>
      <c r="AZ32" s="91">
        <v>36</v>
      </c>
      <c r="BA32" s="91">
        <v>37</v>
      </c>
      <c r="BB32" s="91">
        <v>38</v>
      </c>
      <c r="BC32" s="91">
        <v>39</v>
      </c>
      <c r="BD32" s="91">
        <v>40</v>
      </c>
      <c r="BE32" s="91">
        <v>41</v>
      </c>
      <c r="BF32" s="91">
        <v>42</v>
      </c>
      <c r="BG32" s="91">
        <v>43</v>
      </c>
      <c r="BH32" s="91">
        <v>44</v>
      </c>
      <c r="BI32" s="91">
        <v>45</v>
      </c>
      <c r="BJ32" s="91">
        <v>46</v>
      </c>
      <c r="BK32" s="91">
        <v>47</v>
      </c>
      <c r="BL32" s="91">
        <v>48</v>
      </c>
      <c r="BM32" s="91">
        <v>49</v>
      </c>
      <c r="BN32" s="91">
        <v>50</v>
      </c>
      <c r="BO32" s="91">
        <v>51</v>
      </c>
      <c r="BP32" s="91">
        <v>52</v>
      </c>
      <c r="BQ32" s="91">
        <v>53</v>
      </c>
      <c r="BR32" s="91">
        <v>54</v>
      </c>
      <c r="BS32" s="91">
        <v>55</v>
      </c>
      <c r="BT32" s="91">
        <v>56</v>
      </c>
      <c r="BU32" s="91">
        <v>57</v>
      </c>
      <c r="BV32" s="91">
        <v>58</v>
      </c>
      <c r="BW32" s="91">
        <v>59</v>
      </c>
      <c r="BX32" s="91">
        <v>60</v>
      </c>
      <c r="BY32" s="91">
        <v>61</v>
      </c>
      <c r="BZ32" s="91">
        <v>62</v>
      </c>
      <c r="CA32" s="91">
        <v>63</v>
      </c>
      <c r="CB32" s="91">
        <v>64</v>
      </c>
      <c r="CC32" s="91">
        <v>65</v>
      </c>
      <c r="CD32" s="91">
        <v>66</v>
      </c>
      <c r="CE32" s="91">
        <v>67</v>
      </c>
      <c r="CF32" s="91">
        <v>68</v>
      </c>
      <c r="CG32" s="91">
        <v>69</v>
      </c>
      <c r="CH32" s="91">
        <v>70</v>
      </c>
      <c r="CI32" s="91">
        <v>71</v>
      </c>
      <c r="CJ32" s="91">
        <v>72</v>
      </c>
      <c r="CK32" s="88"/>
      <c r="CL32" s="88"/>
      <c r="CM32" s="88"/>
      <c r="CN32" s="88"/>
      <c r="CO32" s="88"/>
      <c r="CP32" s="88"/>
    </row>
    <row r="33" spans="1:94" s="71" customFormat="1" ht="39.75" customHeight="1" x14ac:dyDescent="0.2">
      <c r="A33" s="166" t="str">
        <f>+'4. CC D'!A16</f>
        <v>1.1.6</v>
      </c>
      <c r="B33" s="86" t="str">
        <f>+'4. CC D'!B16</f>
        <v>Contratación de Firma Consultora para Fiscalización de las Obras de Mejoramiento y Conservación del tramo Villa del Rosario - Volendam - San Pablo - Ruta 11, y accesos– Región Oriental (80,36 Km)</v>
      </c>
      <c r="C33" s="87" t="str">
        <f>+'4. CC D'!H16</f>
        <v>72 meses</v>
      </c>
      <c r="D33" s="87" t="s">
        <v>428</v>
      </c>
      <c r="E33" s="93" t="s">
        <v>418</v>
      </c>
      <c r="F33" s="87" t="s">
        <v>436</v>
      </c>
      <c r="G33" s="613">
        <f>+'4. CC D'!I16</f>
        <v>4647350.6293617031</v>
      </c>
      <c r="H33" s="88">
        <f>+'4. CC D'!J16</f>
        <v>1256040.710638298</v>
      </c>
      <c r="I33" s="88">
        <f t="shared" si="2"/>
        <v>5903391.3400000008</v>
      </c>
      <c r="J33" s="88"/>
      <c r="K33" s="89"/>
      <c r="L33" s="89"/>
      <c r="M33" s="90"/>
      <c r="N33" s="90"/>
      <c r="O33" s="90"/>
      <c r="P33" s="90"/>
      <c r="Q33" s="91">
        <v>1</v>
      </c>
      <c r="R33" s="91">
        <v>2</v>
      </c>
      <c r="S33" s="91">
        <v>3</v>
      </c>
      <c r="T33" s="91">
        <v>4</v>
      </c>
      <c r="U33" s="91">
        <v>5</v>
      </c>
      <c r="V33" s="91">
        <v>6</v>
      </c>
      <c r="W33" s="91">
        <v>7</v>
      </c>
      <c r="X33" s="91">
        <v>8</v>
      </c>
      <c r="Y33" s="91">
        <v>9</v>
      </c>
      <c r="Z33" s="91">
        <v>10</v>
      </c>
      <c r="AA33" s="91">
        <v>11</v>
      </c>
      <c r="AB33" s="91">
        <v>12</v>
      </c>
      <c r="AC33" s="91">
        <v>13</v>
      </c>
      <c r="AD33" s="91">
        <v>14</v>
      </c>
      <c r="AE33" s="91">
        <v>15</v>
      </c>
      <c r="AF33" s="91">
        <v>16</v>
      </c>
      <c r="AG33" s="91">
        <v>17</v>
      </c>
      <c r="AH33" s="91">
        <v>18</v>
      </c>
      <c r="AI33" s="91">
        <v>19</v>
      </c>
      <c r="AJ33" s="91">
        <v>20</v>
      </c>
      <c r="AK33" s="91">
        <v>21</v>
      </c>
      <c r="AL33" s="91">
        <v>22</v>
      </c>
      <c r="AM33" s="91">
        <v>23</v>
      </c>
      <c r="AN33" s="91">
        <v>24</v>
      </c>
      <c r="AO33" s="91">
        <v>25</v>
      </c>
      <c r="AP33" s="91">
        <v>26</v>
      </c>
      <c r="AQ33" s="91">
        <v>27</v>
      </c>
      <c r="AR33" s="91">
        <v>28</v>
      </c>
      <c r="AS33" s="91">
        <v>29</v>
      </c>
      <c r="AT33" s="91">
        <v>30</v>
      </c>
      <c r="AU33" s="91">
        <v>31</v>
      </c>
      <c r="AV33" s="91">
        <v>32</v>
      </c>
      <c r="AW33" s="91">
        <v>33</v>
      </c>
      <c r="AX33" s="91">
        <v>34</v>
      </c>
      <c r="AY33" s="91">
        <v>35</v>
      </c>
      <c r="AZ33" s="91">
        <v>36</v>
      </c>
      <c r="BA33" s="91">
        <v>37</v>
      </c>
      <c r="BB33" s="91">
        <v>38</v>
      </c>
      <c r="BC33" s="91">
        <v>39</v>
      </c>
      <c r="BD33" s="91">
        <v>40</v>
      </c>
      <c r="BE33" s="91">
        <v>41</v>
      </c>
      <c r="BF33" s="91">
        <v>42</v>
      </c>
      <c r="BG33" s="91">
        <v>43</v>
      </c>
      <c r="BH33" s="91">
        <v>44</v>
      </c>
      <c r="BI33" s="91">
        <v>45</v>
      </c>
      <c r="BJ33" s="91">
        <v>46</v>
      </c>
      <c r="BK33" s="91">
        <v>47</v>
      </c>
      <c r="BL33" s="91">
        <v>48</v>
      </c>
      <c r="BM33" s="91">
        <v>49</v>
      </c>
      <c r="BN33" s="91">
        <v>50</v>
      </c>
      <c r="BO33" s="91">
        <v>51</v>
      </c>
      <c r="BP33" s="91">
        <v>52</v>
      </c>
      <c r="BQ33" s="91">
        <v>53</v>
      </c>
      <c r="BR33" s="91">
        <v>54</v>
      </c>
      <c r="BS33" s="91">
        <v>55</v>
      </c>
      <c r="BT33" s="91">
        <v>56</v>
      </c>
      <c r="BU33" s="91">
        <v>57</v>
      </c>
      <c r="BV33" s="91">
        <v>58</v>
      </c>
      <c r="BW33" s="91">
        <v>59</v>
      </c>
      <c r="BX33" s="91">
        <v>60</v>
      </c>
      <c r="BY33" s="91">
        <v>61</v>
      </c>
      <c r="BZ33" s="91">
        <v>62</v>
      </c>
      <c r="CA33" s="91">
        <v>63</v>
      </c>
      <c r="CB33" s="91">
        <v>64</v>
      </c>
      <c r="CC33" s="91">
        <v>65</v>
      </c>
      <c r="CD33" s="91">
        <v>66</v>
      </c>
      <c r="CE33" s="91">
        <v>67</v>
      </c>
      <c r="CF33" s="91">
        <v>68</v>
      </c>
      <c r="CG33" s="91">
        <v>69</v>
      </c>
      <c r="CH33" s="91">
        <v>70</v>
      </c>
      <c r="CI33" s="91">
        <v>71</v>
      </c>
      <c r="CJ33" s="91">
        <v>72</v>
      </c>
      <c r="CK33" s="88"/>
      <c r="CL33" s="88"/>
      <c r="CM33" s="88"/>
      <c r="CN33" s="88"/>
      <c r="CO33" s="88"/>
      <c r="CP33" s="88"/>
    </row>
    <row r="34" spans="1:94" s="71" customFormat="1" ht="39.75" customHeight="1" x14ac:dyDescent="0.2">
      <c r="A34" s="166" t="str">
        <f>+'4. CC D'!A17</f>
        <v>1.1.7</v>
      </c>
      <c r="B34" s="86" t="str">
        <f>+'4. CC D'!B17</f>
        <v>Contratación de Firma Consultora para Fiscalización de las Obras básicas de Mejoramiento y Conservación de caminos complementarios tramos Paratodo-Cruce Douglas y Campo Aceval – Avalos Sanchez – Región Occidental (86 Km)</v>
      </c>
      <c r="C34" s="87" t="str">
        <f>+'4. CC D'!H17</f>
        <v>60 meses</v>
      </c>
      <c r="D34" s="93" t="s">
        <v>429</v>
      </c>
      <c r="E34" s="87" t="s">
        <v>417</v>
      </c>
      <c r="F34" s="87" t="s">
        <v>438</v>
      </c>
      <c r="G34" s="613">
        <f>+'4. CC D'!I17</f>
        <v>823854.64297872351</v>
      </c>
      <c r="H34" s="88">
        <f>+'4. CC D'!J17</f>
        <v>222663.4170212766</v>
      </c>
      <c r="I34" s="88">
        <f>+G34+H34</f>
        <v>1046518.06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9"/>
      <c r="AA34" s="89"/>
      <c r="AB34" s="89"/>
      <c r="AC34" s="90"/>
      <c r="AD34" s="90"/>
      <c r="AE34" s="90"/>
      <c r="AF34" s="90"/>
      <c r="AG34" s="90"/>
      <c r="AH34" s="90"/>
      <c r="AI34" s="91">
        <v>1</v>
      </c>
      <c r="AJ34" s="91">
        <v>2</v>
      </c>
      <c r="AK34" s="91">
        <v>3</v>
      </c>
      <c r="AL34" s="91">
        <v>4</v>
      </c>
      <c r="AM34" s="91">
        <v>5</v>
      </c>
      <c r="AN34" s="91">
        <v>6</v>
      </c>
      <c r="AO34" s="91">
        <v>7</v>
      </c>
      <c r="AP34" s="91">
        <v>8</v>
      </c>
      <c r="AQ34" s="91">
        <v>9</v>
      </c>
      <c r="AR34" s="91">
        <v>10</v>
      </c>
      <c r="AS34" s="91">
        <v>11</v>
      </c>
      <c r="AT34" s="91">
        <v>12</v>
      </c>
      <c r="AU34" s="91">
        <v>13</v>
      </c>
      <c r="AV34" s="91">
        <v>14</v>
      </c>
      <c r="AW34" s="91">
        <v>15</v>
      </c>
      <c r="AX34" s="91">
        <v>16</v>
      </c>
      <c r="AY34" s="91">
        <v>17</v>
      </c>
      <c r="AZ34" s="91">
        <v>18</v>
      </c>
      <c r="BA34" s="91">
        <v>19</v>
      </c>
      <c r="BB34" s="91">
        <v>20</v>
      </c>
      <c r="BC34" s="91">
        <v>21</v>
      </c>
      <c r="BD34" s="91">
        <v>22</v>
      </c>
      <c r="BE34" s="91">
        <v>23</v>
      </c>
      <c r="BF34" s="91">
        <v>24</v>
      </c>
      <c r="BG34" s="91">
        <v>25</v>
      </c>
      <c r="BH34" s="91">
        <v>26</v>
      </c>
      <c r="BI34" s="91">
        <v>27</v>
      </c>
      <c r="BJ34" s="91">
        <v>28</v>
      </c>
      <c r="BK34" s="91">
        <v>29</v>
      </c>
      <c r="BL34" s="91">
        <v>30</v>
      </c>
      <c r="BM34" s="91">
        <v>31</v>
      </c>
      <c r="BN34" s="91">
        <v>32</v>
      </c>
      <c r="BO34" s="91">
        <v>33</v>
      </c>
      <c r="BP34" s="91">
        <v>34</v>
      </c>
      <c r="BQ34" s="91">
        <v>35</v>
      </c>
      <c r="BR34" s="91">
        <v>36</v>
      </c>
      <c r="BS34" s="91">
        <v>37</v>
      </c>
      <c r="BT34" s="91">
        <v>38</v>
      </c>
      <c r="BU34" s="91">
        <v>39</v>
      </c>
      <c r="BV34" s="91">
        <v>40</v>
      </c>
      <c r="BW34" s="91">
        <v>41</v>
      </c>
      <c r="BX34" s="91">
        <v>42</v>
      </c>
      <c r="BY34" s="91">
        <v>43</v>
      </c>
      <c r="BZ34" s="91">
        <v>44</v>
      </c>
      <c r="CA34" s="91">
        <v>45</v>
      </c>
      <c r="CB34" s="91">
        <v>46</v>
      </c>
      <c r="CC34" s="91">
        <v>47</v>
      </c>
      <c r="CD34" s="91">
        <v>48</v>
      </c>
      <c r="CE34" s="91">
        <v>49</v>
      </c>
      <c r="CF34" s="91">
        <v>50</v>
      </c>
      <c r="CG34" s="91">
        <v>51</v>
      </c>
      <c r="CH34" s="91">
        <v>52</v>
      </c>
      <c r="CI34" s="91">
        <v>53</v>
      </c>
      <c r="CJ34" s="91">
        <v>54</v>
      </c>
      <c r="CK34" s="91">
        <v>55</v>
      </c>
      <c r="CL34" s="91">
        <v>56</v>
      </c>
      <c r="CM34" s="91">
        <v>57</v>
      </c>
      <c r="CN34" s="91">
        <v>58</v>
      </c>
      <c r="CO34" s="91">
        <v>59</v>
      </c>
      <c r="CP34" s="91">
        <v>60</v>
      </c>
    </row>
    <row r="35" spans="1:94" s="71" customFormat="1" x14ac:dyDescent="0.2">
      <c r="A35" s="481" t="s">
        <v>451</v>
      </c>
      <c r="B35" s="82" t="str">
        <f>+'4. CC D'!B18</f>
        <v>Gestión Socio Ambiental</v>
      </c>
      <c r="C35" s="95"/>
      <c r="D35" s="96"/>
      <c r="E35" s="96"/>
      <c r="F35" s="96"/>
      <c r="G35" s="97">
        <f>+G36+G40</f>
        <v>1102127.6595744682</v>
      </c>
      <c r="H35" s="97">
        <f t="shared" ref="H35:I35" si="4">+H36+H40</f>
        <v>297872.3404255319</v>
      </c>
      <c r="I35" s="97">
        <f t="shared" si="4"/>
        <v>1400000</v>
      </c>
      <c r="J35" s="85" t="s">
        <v>427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</row>
    <row r="36" spans="1:94" s="71" customFormat="1" x14ac:dyDescent="0.2">
      <c r="A36" s="482" t="str">
        <f>+'4. CC D'!A19</f>
        <v>1.2.1</v>
      </c>
      <c r="B36" s="483" t="str">
        <f>+'4. CC D'!B19</f>
        <v>Plan de Gestión Ambiental y Social - Región Occidental</v>
      </c>
      <c r="C36" s="487"/>
      <c r="D36" s="487"/>
      <c r="E36" s="487"/>
      <c r="F36" s="487"/>
      <c r="G36" s="488">
        <f>+SUM(G37:G39)</f>
        <v>515638.29787234048</v>
      </c>
      <c r="H36" s="488">
        <f t="shared" ref="H36:I36" si="5">+SUM(H37:H39)</f>
        <v>139361.70212765958</v>
      </c>
      <c r="I36" s="488">
        <f t="shared" si="5"/>
        <v>655000</v>
      </c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8"/>
      <c r="AJ36" s="488"/>
      <c r="AK36" s="488"/>
      <c r="AL36" s="488"/>
      <c r="AM36" s="488"/>
      <c r="AN36" s="488"/>
      <c r="AO36" s="488"/>
      <c r="AP36" s="488"/>
      <c r="AQ36" s="488"/>
      <c r="AR36" s="488"/>
      <c r="AS36" s="488"/>
      <c r="AT36" s="488"/>
      <c r="AU36" s="488"/>
      <c r="AV36" s="488"/>
      <c r="AW36" s="488"/>
      <c r="AX36" s="488"/>
      <c r="AY36" s="488"/>
      <c r="AZ36" s="488"/>
      <c r="BA36" s="488"/>
      <c r="BB36" s="488"/>
      <c r="BC36" s="488"/>
      <c r="BD36" s="488"/>
      <c r="BE36" s="488"/>
      <c r="BF36" s="488"/>
      <c r="BG36" s="488"/>
      <c r="BH36" s="488"/>
      <c r="BI36" s="488"/>
      <c r="BJ36" s="488"/>
      <c r="BK36" s="488"/>
      <c r="BL36" s="488"/>
      <c r="BM36" s="488"/>
      <c r="BN36" s="488"/>
      <c r="BO36" s="488"/>
      <c r="BP36" s="488"/>
      <c r="BQ36" s="488"/>
      <c r="BR36" s="488"/>
      <c r="BS36" s="488"/>
      <c r="BT36" s="488"/>
      <c r="BU36" s="488"/>
      <c r="BV36" s="488"/>
      <c r="BW36" s="488"/>
      <c r="BX36" s="488"/>
      <c r="BY36" s="488"/>
      <c r="BZ36" s="488"/>
      <c r="CA36" s="488"/>
      <c r="CB36" s="488"/>
      <c r="CC36" s="488"/>
      <c r="CD36" s="488"/>
      <c r="CE36" s="488"/>
      <c r="CF36" s="488"/>
      <c r="CG36" s="488"/>
      <c r="CH36" s="488"/>
      <c r="CI36" s="488"/>
      <c r="CJ36" s="488"/>
      <c r="CK36" s="488"/>
      <c r="CL36" s="488"/>
      <c r="CM36" s="488"/>
      <c r="CN36" s="488"/>
      <c r="CO36" s="488"/>
      <c r="CP36" s="488"/>
    </row>
    <row r="37" spans="1:94" s="71" customFormat="1" ht="21" customHeight="1" x14ac:dyDescent="0.2">
      <c r="A37" s="166" t="str">
        <f>+'4. CC D'!A20</f>
        <v>1.2.1.1</v>
      </c>
      <c r="B37" s="484" t="str">
        <f>+'4. CC D'!B20</f>
        <v>PGAS obras del Chaco</v>
      </c>
      <c r="C37" s="93" t="str">
        <f>+'4. CC D'!H20</f>
        <v>48 meses</v>
      </c>
      <c r="D37" s="93" t="s">
        <v>430</v>
      </c>
      <c r="E37" s="93" t="s">
        <v>437</v>
      </c>
      <c r="F37" s="93" t="s">
        <v>436</v>
      </c>
      <c r="G37" s="88">
        <f>+'4. CC D'!I20</f>
        <v>332212.76595744683</v>
      </c>
      <c r="H37" s="88">
        <f>+'4. CC D'!J20</f>
        <v>89787.234042553187</v>
      </c>
      <c r="I37" s="88">
        <f>+G37+H37</f>
        <v>422000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9"/>
      <c r="AJ37" s="89"/>
      <c r="AK37" s="90"/>
      <c r="AL37" s="90"/>
      <c r="AM37" s="90"/>
      <c r="AN37" s="91">
        <v>1</v>
      </c>
      <c r="AO37" s="91">
        <v>2</v>
      </c>
      <c r="AP37" s="91">
        <v>3</v>
      </c>
      <c r="AQ37" s="91">
        <v>4</v>
      </c>
      <c r="AR37" s="91">
        <v>5</v>
      </c>
      <c r="AS37" s="91">
        <v>6</v>
      </c>
      <c r="AT37" s="91">
        <v>7</v>
      </c>
      <c r="AU37" s="91">
        <v>8</v>
      </c>
      <c r="AV37" s="91">
        <v>9</v>
      </c>
      <c r="AW37" s="91">
        <v>10</v>
      </c>
      <c r="AX37" s="91">
        <v>11</v>
      </c>
      <c r="AY37" s="91">
        <v>12</v>
      </c>
      <c r="AZ37" s="91">
        <v>13</v>
      </c>
      <c r="BA37" s="91">
        <v>14</v>
      </c>
      <c r="BB37" s="91">
        <v>15</v>
      </c>
      <c r="BC37" s="91">
        <v>16</v>
      </c>
      <c r="BD37" s="91">
        <v>17</v>
      </c>
      <c r="BE37" s="91">
        <v>18</v>
      </c>
      <c r="BF37" s="91">
        <v>19</v>
      </c>
      <c r="BG37" s="91">
        <v>20</v>
      </c>
      <c r="BH37" s="91">
        <v>21</v>
      </c>
      <c r="BI37" s="91">
        <v>22</v>
      </c>
      <c r="BJ37" s="91">
        <v>23</v>
      </c>
      <c r="BK37" s="91">
        <v>24</v>
      </c>
      <c r="BL37" s="91">
        <v>25</v>
      </c>
      <c r="BM37" s="91">
        <v>26</v>
      </c>
      <c r="BN37" s="91">
        <v>27</v>
      </c>
      <c r="BO37" s="91">
        <v>28</v>
      </c>
      <c r="BP37" s="91">
        <v>29</v>
      </c>
      <c r="BQ37" s="91">
        <v>30</v>
      </c>
      <c r="BR37" s="91">
        <v>31</v>
      </c>
      <c r="BS37" s="91">
        <v>32</v>
      </c>
      <c r="BT37" s="91">
        <v>33</v>
      </c>
      <c r="BU37" s="91">
        <v>34</v>
      </c>
      <c r="BV37" s="91">
        <v>35</v>
      </c>
      <c r="BW37" s="91">
        <v>36</v>
      </c>
      <c r="BX37" s="91">
        <v>37</v>
      </c>
      <c r="BY37" s="91">
        <v>38</v>
      </c>
      <c r="BZ37" s="91">
        <v>39</v>
      </c>
      <c r="CA37" s="91">
        <v>40</v>
      </c>
      <c r="CB37" s="91">
        <v>41</v>
      </c>
      <c r="CC37" s="91">
        <v>42</v>
      </c>
      <c r="CD37" s="91">
        <v>43</v>
      </c>
      <c r="CE37" s="91">
        <v>44</v>
      </c>
      <c r="CF37" s="91">
        <v>45</v>
      </c>
      <c r="CG37" s="91">
        <v>46</v>
      </c>
      <c r="CH37" s="91">
        <v>47</v>
      </c>
      <c r="CI37" s="91">
        <v>48</v>
      </c>
      <c r="CJ37" s="88"/>
      <c r="CK37" s="88"/>
      <c r="CL37" s="88"/>
      <c r="CM37" s="88"/>
      <c r="CN37" s="88"/>
      <c r="CO37" s="88"/>
      <c r="CP37" s="88"/>
    </row>
    <row r="38" spans="1:94" s="71" customFormat="1" ht="21" customHeight="1" x14ac:dyDescent="0.2">
      <c r="A38" s="166" t="str">
        <f>+'4. CC D'!A21</f>
        <v>1.2.1.2</v>
      </c>
      <c r="B38" s="484" t="str">
        <f>+'4. CC D'!B21</f>
        <v>Reposición Forestal</v>
      </c>
      <c r="C38" s="93" t="str">
        <f>+'4. CC D'!H21</f>
        <v>48 meses</v>
      </c>
      <c r="D38" s="93" t="s">
        <v>431</v>
      </c>
      <c r="E38" s="93" t="s">
        <v>417</v>
      </c>
      <c r="F38" s="93" t="s">
        <v>439</v>
      </c>
      <c r="G38" s="88">
        <f>+'4. CC D'!I21</f>
        <v>73212.765957446813</v>
      </c>
      <c r="H38" s="88">
        <f>+'4. CC D'!J21</f>
        <v>19787.234042553191</v>
      </c>
      <c r="I38" s="88">
        <f t="shared" ref="I38:I39" si="6">+G38+H38</f>
        <v>93000</v>
      </c>
      <c r="J38" s="88"/>
      <c r="K38" s="88"/>
      <c r="L38" s="88"/>
      <c r="M38" s="88"/>
      <c r="N38" s="88"/>
      <c r="O38" s="88"/>
      <c r="P38" s="88"/>
      <c r="Q38" s="89"/>
      <c r="R38" s="89"/>
      <c r="S38" s="90"/>
      <c r="T38" s="90"/>
      <c r="U38" s="90"/>
      <c r="V38" s="91">
        <v>1</v>
      </c>
      <c r="W38" s="91">
        <v>2</v>
      </c>
      <c r="X38" s="91">
        <v>3</v>
      </c>
      <c r="Y38" s="91">
        <v>4</v>
      </c>
      <c r="Z38" s="91">
        <v>5</v>
      </c>
      <c r="AA38" s="91">
        <v>6</v>
      </c>
      <c r="AB38" s="91">
        <v>7</v>
      </c>
      <c r="AC38" s="91">
        <v>8</v>
      </c>
      <c r="AD38" s="91">
        <v>9</v>
      </c>
      <c r="AE38" s="91">
        <v>10</v>
      </c>
      <c r="AF38" s="91">
        <v>11</v>
      </c>
      <c r="AG38" s="91">
        <v>12</v>
      </c>
      <c r="AH38" s="91">
        <v>13</v>
      </c>
      <c r="AI38" s="91">
        <v>14</v>
      </c>
      <c r="AJ38" s="91">
        <v>15</v>
      </c>
      <c r="AK38" s="91">
        <v>16</v>
      </c>
      <c r="AL38" s="91">
        <v>17</v>
      </c>
      <c r="AM38" s="91">
        <v>18</v>
      </c>
      <c r="AN38" s="91">
        <v>19</v>
      </c>
      <c r="AO38" s="91">
        <v>20</v>
      </c>
      <c r="AP38" s="91">
        <v>21</v>
      </c>
      <c r="AQ38" s="91">
        <v>22</v>
      </c>
      <c r="AR38" s="91">
        <v>23</v>
      </c>
      <c r="AS38" s="91">
        <v>24</v>
      </c>
      <c r="AT38" s="91">
        <v>25</v>
      </c>
      <c r="AU38" s="91">
        <v>26</v>
      </c>
      <c r="AV38" s="91">
        <v>27</v>
      </c>
      <c r="AW38" s="91">
        <v>28</v>
      </c>
      <c r="AX38" s="91">
        <v>29</v>
      </c>
      <c r="AY38" s="91">
        <v>30</v>
      </c>
      <c r="AZ38" s="91">
        <v>31</v>
      </c>
      <c r="BA38" s="91">
        <v>32</v>
      </c>
      <c r="BB38" s="91">
        <v>33</v>
      </c>
      <c r="BC38" s="91">
        <v>34</v>
      </c>
      <c r="BD38" s="91">
        <v>35</v>
      </c>
      <c r="BE38" s="91">
        <v>36</v>
      </c>
      <c r="BF38" s="91">
        <v>37</v>
      </c>
      <c r="BG38" s="91">
        <v>38</v>
      </c>
      <c r="BH38" s="91">
        <v>39</v>
      </c>
      <c r="BI38" s="91">
        <v>40</v>
      </c>
      <c r="BJ38" s="91">
        <v>41</v>
      </c>
      <c r="BK38" s="91">
        <v>42</v>
      </c>
      <c r="BL38" s="91">
        <v>43</v>
      </c>
      <c r="BM38" s="91">
        <v>44</v>
      </c>
      <c r="BN38" s="91">
        <v>45</v>
      </c>
      <c r="BO38" s="91">
        <v>46</v>
      </c>
      <c r="BP38" s="91">
        <v>47</v>
      </c>
      <c r="BQ38" s="91">
        <v>48</v>
      </c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</row>
    <row r="39" spans="1:94" s="71" customFormat="1" ht="21" customHeight="1" x14ac:dyDescent="0.2">
      <c r="A39" s="166" t="str">
        <f>+'4. CC D'!A22</f>
        <v>1.2.1.3</v>
      </c>
      <c r="B39" s="484" t="str">
        <f>+'4. CC D'!B22</f>
        <v>Monitoreo de Fauna</v>
      </c>
      <c r="C39" s="93" t="str">
        <f>+'4. CC D'!H22</f>
        <v>48 meses</v>
      </c>
      <c r="D39" s="93" t="s">
        <v>429</v>
      </c>
      <c r="E39" s="93" t="s">
        <v>441</v>
      </c>
      <c r="F39" s="93" t="s">
        <v>442</v>
      </c>
      <c r="G39" s="88">
        <f>+'4. CC D'!I22</f>
        <v>110212.76595744681</v>
      </c>
      <c r="H39" s="88">
        <f>+'4. CC D'!J22</f>
        <v>29787.234042553191</v>
      </c>
      <c r="I39" s="88">
        <f t="shared" si="6"/>
        <v>140000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89"/>
      <c r="Y39" s="90"/>
      <c r="Z39" s="90"/>
      <c r="AA39" s="90"/>
      <c r="AB39" s="91">
        <v>1</v>
      </c>
      <c r="AC39" s="91">
        <v>2</v>
      </c>
      <c r="AD39" s="91">
        <v>3</v>
      </c>
      <c r="AE39" s="91">
        <v>4</v>
      </c>
      <c r="AF39" s="91">
        <v>5</v>
      </c>
      <c r="AG39" s="91">
        <v>6</v>
      </c>
      <c r="AH39" s="91">
        <v>7</v>
      </c>
      <c r="AI39" s="91">
        <v>8</v>
      </c>
      <c r="AJ39" s="91">
        <v>9</v>
      </c>
      <c r="AK39" s="91">
        <v>10</v>
      </c>
      <c r="AL39" s="91">
        <v>11</v>
      </c>
      <c r="AM39" s="91">
        <v>12</v>
      </c>
      <c r="AN39" s="91">
        <v>13</v>
      </c>
      <c r="AO39" s="91">
        <v>14</v>
      </c>
      <c r="AP39" s="91">
        <v>15</v>
      </c>
      <c r="AQ39" s="91">
        <v>16</v>
      </c>
      <c r="AR39" s="91">
        <v>17</v>
      </c>
      <c r="AS39" s="91">
        <v>18</v>
      </c>
      <c r="AT39" s="91">
        <v>19</v>
      </c>
      <c r="AU39" s="91">
        <v>20</v>
      </c>
      <c r="AV39" s="91">
        <v>21</v>
      </c>
      <c r="AW39" s="91">
        <v>22</v>
      </c>
      <c r="AX39" s="91">
        <v>23</v>
      </c>
      <c r="AY39" s="91">
        <v>24</v>
      </c>
      <c r="AZ39" s="91">
        <v>25</v>
      </c>
      <c r="BA39" s="91">
        <v>26</v>
      </c>
      <c r="BB39" s="91">
        <v>27</v>
      </c>
      <c r="BC39" s="91">
        <v>28</v>
      </c>
      <c r="BD39" s="91">
        <v>29</v>
      </c>
      <c r="BE39" s="91">
        <v>30</v>
      </c>
      <c r="BF39" s="91">
        <v>31</v>
      </c>
      <c r="BG39" s="91">
        <v>32</v>
      </c>
      <c r="BH39" s="91">
        <v>33</v>
      </c>
      <c r="BI39" s="91">
        <v>34</v>
      </c>
      <c r="BJ39" s="91">
        <v>35</v>
      </c>
      <c r="BK39" s="91">
        <v>36</v>
      </c>
      <c r="BL39" s="91">
        <v>37</v>
      </c>
      <c r="BM39" s="91">
        <v>38</v>
      </c>
      <c r="BN39" s="91">
        <v>39</v>
      </c>
      <c r="BO39" s="91">
        <v>40</v>
      </c>
      <c r="BP39" s="91">
        <v>41</v>
      </c>
      <c r="BQ39" s="91">
        <v>42</v>
      </c>
      <c r="BR39" s="91">
        <v>43</v>
      </c>
      <c r="BS39" s="91">
        <v>44</v>
      </c>
      <c r="BT39" s="91">
        <v>45</v>
      </c>
      <c r="BU39" s="91">
        <v>46</v>
      </c>
      <c r="BV39" s="91">
        <v>47</v>
      </c>
      <c r="BW39" s="91">
        <v>48</v>
      </c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</row>
    <row r="40" spans="1:94" s="71" customFormat="1" x14ac:dyDescent="0.2">
      <c r="A40" s="482" t="str">
        <f>+'4. CC D'!A23</f>
        <v>1.2.2</v>
      </c>
      <c r="B40" s="485" t="str">
        <f>+'4. CC D'!B23</f>
        <v>Plan de Gestión Ambiental y Social - Región Oriental</v>
      </c>
      <c r="C40" s="487"/>
      <c r="D40" s="487"/>
      <c r="E40" s="487"/>
      <c r="F40" s="487"/>
      <c r="G40" s="488">
        <f>+SUM(G41:G44)</f>
        <v>586489.36170212761</v>
      </c>
      <c r="H40" s="488">
        <f t="shared" ref="H40:I40" si="7">+SUM(H41:H44)</f>
        <v>158510.63829787233</v>
      </c>
      <c r="I40" s="488">
        <f t="shared" si="7"/>
        <v>745000</v>
      </c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8"/>
      <c r="BM40" s="488"/>
      <c r="BN40" s="488"/>
      <c r="BO40" s="488"/>
      <c r="BP40" s="488"/>
      <c r="BQ40" s="488"/>
      <c r="BR40" s="488"/>
      <c r="BS40" s="488"/>
      <c r="BT40" s="488"/>
      <c r="BU40" s="488"/>
      <c r="BV40" s="488"/>
      <c r="BW40" s="488"/>
      <c r="BX40" s="488"/>
      <c r="BY40" s="488"/>
      <c r="BZ40" s="488"/>
      <c r="CA40" s="488"/>
      <c r="CB40" s="488"/>
      <c r="CC40" s="488"/>
      <c r="CD40" s="488"/>
      <c r="CE40" s="488"/>
      <c r="CF40" s="488"/>
      <c r="CG40" s="488"/>
      <c r="CH40" s="488"/>
      <c r="CI40" s="488"/>
      <c r="CJ40" s="488"/>
      <c r="CK40" s="488"/>
      <c r="CL40" s="488"/>
      <c r="CM40" s="488"/>
      <c r="CN40" s="488"/>
      <c r="CO40" s="488"/>
      <c r="CP40" s="488"/>
    </row>
    <row r="41" spans="1:94" s="71" customFormat="1" ht="24" customHeight="1" x14ac:dyDescent="0.2">
      <c r="A41" s="166" t="str">
        <f>+'4. CC D'!A24</f>
        <v>1.2.2.1</v>
      </c>
      <c r="B41" s="484" t="str">
        <f>+'4. CC D'!B24</f>
        <v>PGAS otras obras de pavimentación y mantenimiento</v>
      </c>
      <c r="C41" s="93" t="str">
        <f>+'4. CC D'!H24</f>
        <v>48 meses</v>
      </c>
      <c r="D41" s="93" t="s">
        <v>430</v>
      </c>
      <c r="E41" s="93" t="s">
        <v>437</v>
      </c>
      <c r="F41" s="93" t="s">
        <v>436</v>
      </c>
      <c r="G41" s="88">
        <f>+'4. CC D'!I24</f>
        <v>157446.80851063831</v>
      </c>
      <c r="H41" s="88">
        <f>+'4. CC D'!J24</f>
        <v>42553.191489361699</v>
      </c>
      <c r="I41" s="88">
        <f>+G41+H41</f>
        <v>200000</v>
      </c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89"/>
      <c r="AK41" s="90"/>
      <c r="AL41" s="90"/>
      <c r="AM41" s="90"/>
      <c r="AN41" s="91">
        <v>1</v>
      </c>
      <c r="AO41" s="91">
        <v>2</v>
      </c>
      <c r="AP41" s="91">
        <v>3</v>
      </c>
      <c r="AQ41" s="91">
        <v>4</v>
      </c>
      <c r="AR41" s="91">
        <v>5</v>
      </c>
      <c r="AS41" s="91">
        <v>6</v>
      </c>
      <c r="AT41" s="91">
        <v>7</v>
      </c>
      <c r="AU41" s="91">
        <v>8</v>
      </c>
      <c r="AV41" s="91">
        <v>9</v>
      </c>
      <c r="AW41" s="91">
        <v>10</v>
      </c>
      <c r="AX41" s="91">
        <v>11</v>
      </c>
      <c r="AY41" s="91">
        <v>12</v>
      </c>
      <c r="AZ41" s="91">
        <v>13</v>
      </c>
      <c r="BA41" s="91">
        <v>14</v>
      </c>
      <c r="BB41" s="91">
        <v>15</v>
      </c>
      <c r="BC41" s="91">
        <v>16</v>
      </c>
      <c r="BD41" s="91">
        <v>17</v>
      </c>
      <c r="BE41" s="91">
        <v>18</v>
      </c>
      <c r="BF41" s="91">
        <v>19</v>
      </c>
      <c r="BG41" s="91">
        <v>20</v>
      </c>
      <c r="BH41" s="91">
        <v>21</v>
      </c>
      <c r="BI41" s="91">
        <v>22</v>
      </c>
      <c r="BJ41" s="91">
        <v>23</v>
      </c>
      <c r="BK41" s="91">
        <v>24</v>
      </c>
      <c r="BL41" s="91">
        <v>25</v>
      </c>
      <c r="BM41" s="91">
        <v>26</v>
      </c>
      <c r="BN41" s="91">
        <v>27</v>
      </c>
      <c r="BO41" s="91">
        <v>28</v>
      </c>
      <c r="BP41" s="91">
        <v>29</v>
      </c>
      <c r="BQ41" s="91">
        <v>30</v>
      </c>
      <c r="BR41" s="91">
        <v>31</v>
      </c>
      <c r="BS41" s="91">
        <v>32</v>
      </c>
      <c r="BT41" s="91">
        <v>33</v>
      </c>
      <c r="BU41" s="91">
        <v>34</v>
      </c>
      <c r="BV41" s="91">
        <v>35</v>
      </c>
      <c r="BW41" s="91">
        <v>36</v>
      </c>
      <c r="BX41" s="91">
        <v>37</v>
      </c>
      <c r="BY41" s="91">
        <v>38</v>
      </c>
      <c r="BZ41" s="91">
        <v>39</v>
      </c>
      <c r="CA41" s="91">
        <v>40</v>
      </c>
      <c r="CB41" s="91">
        <v>41</v>
      </c>
      <c r="CC41" s="91">
        <v>42</v>
      </c>
      <c r="CD41" s="91">
        <v>43</v>
      </c>
      <c r="CE41" s="91">
        <v>44</v>
      </c>
      <c r="CF41" s="91">
        <v>45</v>
      </c>
      <c r="CG41" s="91">
        <v>46</v>
      </c>
      <c r="CH41" s="91">
        <v>47</v>
      </c>
      <c r="CI41" s="91">
        <v>48</v>
      </c>
      <c r="CJ41" s="88"/>
      <c r="CK41" s="88"/>
      <c r="CL41" s="88"/>
      <c r="CM41" s="88"/>
      <c r="CN41" s="88"/>
      <c r="CO41" s="88"/>
      <c r="CP41" s="88"/>
    </row>
    <row r="42" spans="1:94" s="71" customFormat="1" ht="24" customHeight="1" x14ac:dyDescent="0.2">
      <c r="A42" s="166" t="str">
        <f>+'4. CC D'!A25</f>
        <v>1.2.2.2</v>
      </c>
      <c r="B42" s="484" t="str">
        <f>+'4. CC D'!B25</f>
        <v>Plan de reposición forestal</v>
      </c>
      <c r="C42" s="93" t="str">
        <f>+'4. CC D'!H25</f>
        <v>48 meses</v>
      </c>
      <c r="D42" s="93" t="s">
        <v>431</v>
      </c>
      <c r="E42" s="93" t="s">
        <v>417</v>
      </c>
      <c r="F42" s="93" t="s">
        <v>439</v>
      </c>
      <c r="G42" s="88">
        <f>+'4. CC D'!I25</f>
        <v>70851.063829787236</v>
      </c>
      <c r="H42" s="88">
        <f>+'4. CC D'!J25</f>
        <v>19148.936170212764</v>
      </c>
      <c r="I42" s="88">
        <f t="shared" ref="I42:I51" si="8">+G42+H42</f>
        <v>90000</v>
      </c>
      <c r="J42" s="88"/>
      <c r="K42" s="88"/>
      <c r="L42" s="88"/>
      <c r="M42" s="88"/>
      <c r="N42" s="88"/>
      <c r="O42" s="88"/>
      <c r="P42" s="88"/>
      <c r="Q42" s="89"/>
      <c r="R42" s="89"/>
      <c r="S42" s="90"/>
      <c r="T42" s="90"/>
      <c r="U42" s="90"/>
      <c r="V42" s="91">
        <v>1</v>
      </c>
      <c r="W42" s="91">
        <v>2</v>
      </c>
      <c r="X42" s="91">
        <v>3</v>
      </c>
      <c r="Y42" s="91">
        <v>4</v>
      </c>
      <c r="Z42" s="91">
        <v>5</v>
      </c>
      <c r="AA42" s="91">
        <v>6</v>
      </c>
      <c r="AB42" s="91">
        <v>7</v>
      </c>
      <c r="AC42" s="91">
        <v>8</v>
      </c>
      <c r="AD42" s="91">
        <v>9</v>
      </c>
      <c r="AE42" s="91">
        <v>10</v>
      </c>
      <c r="AF42" s="91">
        <v>11</v>
      </c>
      <c r="AG42" s="91">
        <v>12</v>
      </c>
      <c r="AH42" s="91">
        <v>13</v>
      </c>
      <c r="AI42" s="91">
        <v>14</v>
      </c>
      <c r="AJ42" s="91">
        <v>15</v>
      </c>
      <c r="AK42" s="91">
        <v>16</v>
      </c>
      <c r="AL42" s="91">
        <v>17</v>
      </c>
      <c r="AM42" s="91">
        <v>18</v>
      </c>
      <c r="AN42" s="91">
        <v>19</v>
      </c>
      <c r="AO42" s="91">
        <v>20</v>
      </c>
      <c r="AP42" s="91">
        <v>21</v>
      </c>
      <c r="AQ42" s="91">
        <v>22</v>
      </c>
      <c r="AR42" s="91">
        <v>23</v>
      </c>
      <c r="AS42" s="91">
        <v>24</v>
      </c>
      <c r="AT42" s="91">
        <v>25</v>
      </c>
      <c r="AU42" s="91">
        <v>26</v>
      </c>
      <c r="AV42" s="91">
        <v>27</v>
      </c>
      <c r="AW42" s="91">
        <v>28</v>
      </c>
      <c r="AX42" s="91">
        <v>29</v>
      </c>
      <c r="AY42" s="91">
        <v>30</v>
      </c>
      <c r="AZ42" s="91">
        <v>31</v>
      </c>
      <c r="BA42" s="91">
        <v>32</v>
      </c>
      <c r="BB42" s="91">
        <v>33</v>
      </c>
      <c r="BC42" s="91">
        <v>34</v>
      </c>
      <c r="BD42" s="91">
        <v>35</v>
      </c>
      <c r="BE42" s="91">
        <v>36</v>
      </c>
      <c r="BF42" s="91">
        <v>37</v>
      </c>
      <c r="BG42" s="91">
        <v>38</v>
      </c>
      <c r="BH42" s="91">
        <v>39</v>
      </c>
      <c r="BI42" s="91">
        <v>40</v>
      </c>
      <c r="BJ42" s="91">
        <v>41</v>
      </c>
      <c r="BK42" s="91">
        <v>42</v>
      </c>
      <c r="BL42" s="91">
        <v>43</v>
      </c>
      <c r="BM42" s="91">
        <v>44</v>
      </c>
      <c r="BN42" s="91">
        <v>45</v>
      </c>
      <c r="BO42" s="91">
        <v>46</v>
      </c>
      <c r="BP42" s="91">
        <v>47</v>
      </c>
      <c r="BQ42" s="91">
        <v>48</v>
      </c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</row>
    <row r="43" spans="1:94" s="71" customFormat="1" ht="24" customHeight="1" x14ac:dyDescent="0.2">
      <c r="A43" s="166" t="str">
        <f>+'4. CC D'!A26</f>
        <v>1.2.2.3</v>
      </c>
      <c r="B43" s="484" t="str">
        <f>+'4. CC D'!B26</f>
        <v>Caracterización y monitoreo de fauna</v>
      </c>
      <c r="C43" s="93" t="str">
        <f>+'4. CC D'!H26</f>
        <v>48 meses</v>
      </c>
      <c r="D43" s="93" t="s">
        <v>431</v>
      </c>
      <c r="E43" s="93" t="s">
        <v>417</v>
      </c>
      <c r="F43" s="93" t="s">
        <v>443</v>
      </c>
      <c r="G43" s="88">
        <f>+'4. CC D'!I26</f>
        <v>55106.382978723406</v>
      </c>
      <c r="H43" s="88">
        <f>+'4. CC D'!J26</f>
        <v>14893.617021276596</v>
      </c>
      <c r="I43" s="88">
        <f t="shared" si="8"/>
        <v>70000</v>
      </c>
      <c r="J43" s="88"/>
      <c r="K43" s="88"/>
      <c r="L43" s="88"/>
      <c r="M43" s="88"/>
      <c r="N43" s="88"/>
      <c r="O43" s="88"/>
      <c r="P43" s="88"/>
      <c r="Q43" s="88"/>
      <c r="R43" s="88"/>
      <c r="S43" s="89"/>
      <c r="T43" s="89"/>
      <c r="U43" s="90"/>
      <c r="V43" s="90"/>
      <c r="W43" s="90"/>
      <c r="X43" s="91">
        <v>1</v>
      </c>
      <c r="Y43" s="91">
        <v>2</v>
      </c>
      <c r="Z43" s="91">
        <v>3</v>
      </c>
      <c r="AA43" s="91">
        <v>4</v>
      </c>
      <c r="AB43" s="91">
        <v>5</v>
      </c>
      <c r="AC43" s="91">
        <v>6</v>
      </c>
      <c r="AD43" s="91">
        <v>7</v>
      </c>
      <c r="AE43" s="91">
        <v>8</v>
      </c>
      <c r="AF43" s="91">
        <v>9</v>
      </c>
      <c r="AG43" s="91">
        <v>10</v>
      </c>
      <c r="AH43" s="91">
        <v>11</v>
      </c>
      <c r="AI43" s="91">
        <v>12</v>
      </c>
      <c r="AJ43" s="91">
        <v>13</v>
      </c>
      <c r="AK43" s="91">
        <v>14</v>
      </c>
      <c r="AL43" s="91">
        <v>15</v>
      </c>
      <c r="AM43" s="91">
        <v>16</v>
      </c>
      <c r="AN43" s="91">
        <v>17</v>
      </c>
      <c r="AO43" s="91">
        <v>18</v>
      </c>
      <c r="AP43" s="91">
        <v>19</v>
      </c>
      <c r="AQ43" s="91">
        <v>20</v>
      </c>
      <c r="AR43" s="91">
        <v>21</v>
      </c>
      <c r="AS43" s="91">
        <v>22</v>
      </c>
      <c r="AT43" s="91">
        <v>23</v>
      </c>
      <c r="AU43" s="91">
        <v>24</v>
      </c>
      <c r="AV43" s="91">
        <v>25</v>
      </c>
      <c r="AW43" s="91">
        <v>26</v>
      </c>
      <c r="AX43" s="91">
        <v>27</v>
      </c>
      <c r="AY43" s="91">
        <v>28</v>
      </c>
      <c r="AZ43" s="91">
        <v>29</v>
      </c>
      <c r="BA43" s="91">
        <v>30</v>
      </c>
      <c r="BB43" s="91">
        <v>31</v>
      </c>
      <c r="BC43" s="91">
        <v>32</v>
      </c>
      <c r="BD43" s="91">
        <v>33</v>
      </c>
      <c r="BE43" s="91">
        <v>34</v>
      </c>
      <c r="BF43" s="91">
        <v>35</v>
      </c>
      <c r="BG43" s="91">
        <v>36</v>
      </c>
      <c r="BH43" s="91">
        <v>37</v>
      </c>
      <c r="BI43" s="91">
        <v>38</v>
      </c>
      <c r="BJ43" s="91">
        <v>39</v>
      </c>
      <c r="BK43" s="91">
        <v>40</v>
      </c>
      <c r="BL43" s="91">
        <v>41</v>
      </c>
      <c r="BM43" s="91">
        <v>42</v>
      </c>
      <c r="BN43" s="91">
        <v>43</v>
      </c>
      <c r="BO43" s="91">
        <v>44</v>
      </c>
      <c r="BP43" s="91">
        <v>45</v>
      </c>
      <c r="BQ43" s="91">
        <v>46</v>
      </c>
      <c r="BR43" s="91">
        <v>47</v>
      </c>
      <c r="BS43" s="91">
        <v>48</v>
      </c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</row>
    <row r="44" spans="1:94" s="71" customFormat="1" ht="24" customHeight="1" x14ac:dyDescent="0.2">
      <c r="A44" s="166" t="str">
        <f>+'4. CC D'!A27</f>
        <v>1.2.2.4</v>
      </c>
      <c r="B44" s="484" t="str">
        <f>+'4. CC D'!B27</f>
        <v>Monitoreo de Recursos Hídricos</v>
      </c>
      <c r="C44" s="93" t="str">
        <f>+'4. CC D'!H27</f>
        <v>48 meses</v>
      </c>
      <c r="D44" s="93" t="s">
        <v>429</v>
      </c>
      <c r="E44" s="93" t="s">
        <v>441</v>
      </c>
      <c r="F44" s="93" t="s">
        <v>442</v>
      </c>
      <c r="G44" s="88">
        <f>+'4. CC D'!I27</f>
        <v>303085.10638297873</v>
      </c>
      <c r="H44" s="88">
        <f>+'4. CC D'!J27</f>
        <v>81914.893617021284</v>
      </c>
      <c r="I44" s="88">
        <f t="shared" si="8"/>
        <v>385000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89"/>
      <c r="Y44" s="90"/>
      <c r="Z44" s="90"/>
      <c r="AA44" s="90"/>
      <c r="AB44" s="91">
        <v>1</v>
      </c>
      <c r="AC44" s="91">
        <v>2</v>
      </c>
      <c r="AD44" s="91">
        <v>3</v>
      </c>
      <c r="AE44" s="91">
        <v>4</v>
      </c>
      <c r="AF44" s="91">
        <v>5</v>
      </c>
      <c r="AG44" s="91">
        <v>6</v>
      </c>
      <c r="AH44" s="91">
        <v>7</v>
      </c>
      <c r="AI44" s="91">
        <v>8</v>
      </c>
      <c r="AJ44" s="91">
        <v>9</v>
      </c>
      <c r="AK44" s="91">
        <v>10</v>
      </c>
      <c r="AL44" s="91">
        <v>11</v>
      </c>
      <c r="AM44" s="91">
        <v>12</v>
      </c>
      <c r="AN44" s="91">
        <v>13</v>
      </c>
      <c r="AO44" s="91">
        <v>14</v>
      </c>
      <c r="AP44" s="91">
        <v>15</v>
      </c>
      <c r="AQ44" s="91">
        <v>16</v>
      </c>
      <c r="AR44" s="91">
        <v>17</v>
      </c>
      <c r="AS44" s="91">
        <v>18</v>
      </c>
      <c r="AT44" s="91">
        <v>19</v>
      </c>
      <c r="AU44" s="91">
        <v>20</v>
      </c>
      <c r="AV44" s="91">
        <v>21</v>
      </c>
      <c r="AW44" s="91">
        <v>22</v>
      </c>
      <c r="AX44" s="91">
        <v>23</v>
      </c>
      <c r="AY44" s="91">
        <v>24</v>
      </c>
      <c r="AZ44" s="91">
        <v>25</v>
      </c>
      <c r="BA44" s="91">
        <v>26</v>
      </c>
      <c r="BB44" s="91">
        <v>27</v>
      </c>
      <c r="BC44" s="91">
        <v>28</v>
      </c>
      <c r="BD44" s="91">
        <v>29</v>
      </c>
      <c r="BE44" s="91">
        <v>30</v>
      </c>
      <c r="BF44" s="91">
        <v>31</v>
      </c>
      <c r="BG44" s="91">
        <v>32</v>
      </c>
      <c r="BH44" s="91">
        <v>33</v>
      </c>
      <c r="BI44" s="91">
        <v>34</v>
      </c>
      <c r="BJ44" s="91">
        <v>35</v>
      </c>
      <c r="BK44" s="91">
        <v>36</v>
      </c>
      <c r="BL44" s="91">
        <v>37</v>
      </c>
      <c r="BM44" s="91">
        <v>38</v>
      </c>
      <c r="BN44" s="91">
        <v>39</v>
      </c>
      <c r="BO44" s="91">
        <v>40</v>
      </c>
      <c r="BP44" s="91">
        <v>41</v>
      </c>
      <c r="BQ44" s="91">
        <v>42</v>
      </c>
      <c r="BR44" s="91">
        <v>43</v>
      </c>
      <c r="BS44" s="91">
        <v>44</v>
      </c>
      <c r="BT44" s="91">
        <v>45</v>
      </c>
      <c r="BU44" s="91">
        <v>46</v>
      </c>
      <c r="BV44" s="91">
        <v>47</v>
      </c>
      <c r="BW44" s="91">
        <v>48</v>
      </c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</row>
    <row r="45" spans="1:94" s="71" customFormat="1" x14ac:dyDescent="0.2">
      <c r="A45" s="481" t="s">
        <v>410</v>
      </c>
      <c r="B45" s="82" t="str">
        <f>+'4. CC D'!B28</f>
        <v>Pago por Servicios Ambientales</v>
      </c>
      <c r="C45" s="95"/>
      <c r="D45" s="96"/>
      <c r="E45" s="96"/>
      <c r="F45" s="96"/>
      <c r="G45" s="97">
        <f>+G46</f>
        <v>1562190.2648936172</v>
      </c>
      <c r="H45" s="97">
        <f t="shared" ref="H45:I45" si="9">+H46</f>
        <v>422213.58510638302</v>
      </c>
      <c r="I45" s="97">
        <f t="shared" si="9"/>
        <v>1984403.8500000003</v>
      </c>
      <c r="J45" s="85" t="s">
        <v>427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</row>
    <row r="46" spans="1:94" s="71" customFormat="1" x14ac:dyDescent="0.2">
      <c r="A46" s="166" t="str">
        <f>+'4. CC D'!A29</f>
        <v>1.3.1</v>
      </c>
      <c r="B46" s="484" t="str">
        <f>+'4. CC D'!B29</f>
        <v>Servicios Ambientales</v>
      </c>
      <c r="C46" s="93" t="str">
        <f>+'4. CC D'!H29</f>
        <v>N/A</v>
      </c>
      <c r="D46" s="93" t="s">
        <v>432</v>
      </c>
      <c r="E46" s="93" t="s">
        <v>432</v>
      </c>
      <c r="F46" s="93" t="s">
        <v>432</v>
      </c>
      <c r="G46" s="88">
        <f>+'4. CC D'!I29</f>
        <v>1562190.2648936172</v>
      </c>
      <c r="H46" s="88">
        <f>+'4. CC D'!J29</f>
        <v>422213.58510638302</v>
      </c>
      <c r="I46" s="88">
        <f t="shared" si="8"/>
        <v>1984403.8500000003</v>
      </c>
      <c r="J46" s="88"/>
      <c r="K46" s="88"/>
      <c r="L46" s="88"/>
      <c r="M46" s="88"/>
      <c r="N46" s="88"/>
      <c r="O46" s="88"/>
      <c r="P46" s="88"/>
      <c r="Q46" s="91">
        <v>1</v>
      </c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91">
        <v>2</v>
      </c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91">
        <v>3</v>
      </c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91">
        <v>4</v>
      </c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</row>
    <row r="47" spans="1:94" s="71" customFormat="1" x14ac:dyDescent="0.2">
      <c r="A47" s="481" t="s">
        <v>411</v>
      </c>
      <c r="B47" s="82" t="str">
        <f>+'4. CC D'!B30</f>
        <v>Expropiaciones</v>
      </c>
      <c r="C47" s="95"/>
      <c r="D47" s="96"/>
      <c r="E47" s="96"/>
      <c r="F47" s="96"/>
      <c r="G47" s="97">
        <f>+SUM(G48:G49)</f>
        <v>842340.42553191492</v>
      </c>
      <c r="H47" s="97">
        <f t="shared" ref="H47:I47" si="10">+SUM(H48:H49)</f>
        <v>227659.57446808511</v>
      </c>
      <c r="I47" s="97">
        <f t="shared" si="10"/>
        <v>1070000</v>
      </c>
      <c r="J47" s="85" t="s">
        <v>427</v>
      </c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</row>
    <row r="48" spans="1:94" s="71" customFormat="1" x14ac:dyDescent="0.2">
      <c r="A48" s="166" t="str">
        <f>+'4. CC D'!A31</f>
        <v>1.4.1</v>
      </c>
      <c r="B48" s="484" t="str">
        <f>+'4. CC D'!B31</f>
        <v>Expropiaciones Región Occidental</v>
      </c>
      <c r="C48" s="93" t="str">
        <f>+'4. CC D'!H31</f>
        <v>36 meses</v>
      </c>
      <c r="D48" s="87" t="s">
        <v>428</v>
      </c>
      <c r="E48" s="93" t="s">
        <v>416</v>
      </c>
      <c r="F48" s="93" t="s">
        <v>444</v>
      </c>
      <c r="G48" s="88">
        <f>+'4. CC D'!I31</f>
        <v>448723.40425531915</v>
      </c>
      <c r="H48" s="88">
        <f>+'4. CC D'!J31</f>
        <v>121276.59574468085</v>
      </c>
      <c r="I48" s="88">
        <f t="shared" si="8"/>
        <v>570000</v>
      </c>
      <c r="J48" s="88"/>
      <c r="K48" s="91">
        <v>1</v>
      </c>
      <c r="L48" s="91">
        <v>2</v>
      </c>
      <c r="M48" s="91">
        <v>3</v>
      </c>
      <c r="N48" s="91">
        <v>4</v>
      </c>
      <c r="O48" s="91">
        <v>5</v>
      </c>
      <c r="P48" s="91">
        <v>6</v>
      </c>
      <c r="Q48" s="91">
        <v>7</v>
      </c>
      <c r="R48" s="91">
        <v>8</v>
      </c>
      <c r="S48" s="91">
        <v>9</v>
      </c>
      <c r="T48" s="91">
        <v>10</v>
      </c>
      <c r="U48" s="91">
        <v>11</v>
      </c>
      <c r="V48" s="91">
        <v>12</v>
      </c>
      <c r="W48" s="91">
        <v>13</v>
      </c>
      <c r="X48" s="91">
        <v>14</v>
      </c>
      <c r="Y48" s="91">
        <v>15</v>
      </c>
      <c r="Z48" s="91">
        <v>16</v>
      </c>
      <c r="AA48" s="91">
        <v>17</v>
      </c>
      <c r="AB48" s="91">
        <v>18</v>
      </c>
      <c r="AC48" s="91">
        <v>19</v>
      </c>
      <c r="AD48" s="91">
        <v>20</v>
      </c>
      <c r="AE48" s="91">
        <v>21</v>
      </c>
      <c r="AF48" s="91">
        <v>22</v>
      </c>
      <c r="AG48" s="91">
        <v>23</v>
      </c>
      <c r="AH48" s="91">
        <v>24</v>
      </c>
      <c r="AI48" s="91">
        <v>25</v>
      </c>
      <c r="AJ48" s="91">
        <v>26</v>
      </c>
      <c r="AK48" s="91">
        <v>27</v>
      </c>
      <c r="AL48" s="91">
        <v>28</v>
      </c>
      <c r="AM48" s="91">
        <v>29</v>
      </c>
      <c r="AN48" s="91">
        <v>30</v>
      </c>
      <c r="AO48" s="91">
        <v>31</v>
      </c>
      <c r="AP48" s="91">
        <v>32</v>
      </c>
      <c r="AQ48" s="91">
        <v>33</v>
      </c>
      <c r="AR48" s="91">
        <v>34</v>
      </c>
      <c r="AS48" s="91">
        <v>35</v>
      </c>
      <c r="AT48" s="91">
        <v>36</v>
      </c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</row>
    <row r="49" spans="1:94" s="71" customFormat="1" x14ac:dyDescent="0.2">
      <c r="A49" s="166" t="str">
        <f>+'4. CC D'!A32</f>
        <v>1.4.2</v>
      </c>
      <c r="B49" s="484" t="str">
        <f>+'4. CC D'!B32</f>
        <v>Expropiaciones Región Oriental</v>
      </c>
      <c r="C49" s="93" t="str">
        <f>+'4. CC D'!H32</f>
        <v>36 meses</v>
      </c>
      <c r="D49" s="87" t="s">
        <v>428</v>
      </c>
      <c r="E49" s="93" t="s">
        <v>416</v>
      </c>
      <c r="F49" s="93" t="s">
        <v>444</v>
      </c>
      <c r="G49" s="88">
        <f>+'4. CC D'!I32</f>
        <v>393617.02127659577</v>
      </c>
      <c r="H49" s="88">
        <f>+'4. CC D'!J32</f>
        <v>106382.97872340426</v>
      </c>
      <c r="I49" s="88">
        <f t="shared" si="8"/>
        <v>500000</v>
      </c>
      <c r="J49" s="88"/>
      <c r="K49" s="91">
        <v>1</v>
      </c>
      <c r="L49" s="91">
        <v>2</v>
      </c>
      <c r="M49" s="91">
        <v>3</v>
      </c>
      <c r="N49" s="91">
        <v>4</v>
      </c>
      <c r="O49" s="91">
        <v>5</v>
      </c>
      <c r="P49" s="91">
        <v>6</v>
      </c>
      <c r="Q49" s="91">
        <v>7</v>
      </c>
      <c r="R49" s="91">
        <v>8</v>
      </c>
      <c r="S49" s="91">
        <v>9</v>
      </c>
      <c r="T49" s="91">
        <v>10</v>
      </c>
      <c r="U49" s="91">
        <v>11</v>
      </c>
      <c r="V49" s="91">
        <v>12</v>
      </c>
      <c r="W49" s="91">
        <v>13</v>
      </c>
      <c r="X49" s="91">
        <v>14</v>
      </c>
      <c r="Y49" s="91">
        <v>15</v>
      </c>
      <c r="Z49" s="91">
        <v>16</v>
      </c>
      <c r="AA49" s="91">
        <v>17</v>
      </c>
      <c r="AB49" s="91">
        <v>18</v>
      </c>
      <c r="AC49" s="91">
        <v>19</v>
      </c>
      <c r="AD49" s="91">
        <v>20</v>
      </c>
      <c r="AE49" s="91">
        <v>21</v>
      </c>
      <c r="AF49" s="91">
        <v>22</v>
      </c>
      <c r="AG49" s="91">
        <v>23</v>
      </c>
      <c r="AH49" s="91">
        <v>24</v>
      </c>
      <c r="AI49" s="91">
        <v>25</v>
      </c>
      <c r="AJ49" s="91">
        <v>26</v>
      </c>
      <c r="AK49" s="91">
        <v>27</v>
      </c>
      <c r="AL49" s="91">
        <v>28</v>
      </c>
      <c r="AM49" s="91">
        <v>29</v>
      </c>
      <c r="AN49" s="91">
        <v>30</v>
      </c>
      <c r="AO49" s="91">
        <v>31</v>
      </c>
      <c r="AP49" s="91">
        <v>32</v>
      </c>
      <c r="AQ49" s="91">
        <v>33</v>
      </c>
      <c r="AR49" s="91">
        <v>34</v>
      </c>
      <c r="AS49" s="91">
        <v>35</v>
      </c>
      <c r="AT49" s="91">
        <v>36</v>
      </c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</row>
    <row r="50" spans="1:94" s="71" customFormat="1" x14ac:dyDescent="0.2">
      <c r="A50" s="481" t="s">
        <v>412</v>
      </c>
      <c r="B50" s="82" t="str">
        <f>+'4. CC D'!B33</f>
        <v>Contingencias y Escalamientos</v>
      </c>
      <c r="C50" s="95"/>
      <c r="D50" s="96"/>
      <c r="E50" s="96"/>
      <c r="F50" s="96"/>
      <c r="G50" s="97">
        <f>+G51</f>
        <v>10009195.914893618</v>
      </c>
      <c r="H50" s="97">
        <f t="shared" ref="H50:I50" si="11">+H51</f>
        <v>2705188.0851063831</v>
      </c>
      <c r="I50" s="97">
        <f t="shared" si="11"/>
        <v>12714384</v>
      </c>
      <c r="J50" s="85" t="s">
        <v>427</v>
      </c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</row>
    <row r="51" spans="1:94" s="71" customFormat="1" x14ac:dyDescent="0.2">
      <c r="A51" s="166" t="str">
        <f>+'4. CC D'!A34</f>
        <v>1.5.1</v>
      </c>
      <c r="B51" s="486" t="str">
        <f>+'4. CC D'!B34</f>
        <v>Contingencias y Escalamientos</v>
      </c>
      <c r="C51" s="93">
        <f>+'4. CC D'!H34</f>
        <v>0</v>
      </c>
      <c r="D51" s="93" t="s">
        <v>450</v>
      </c>
      <c r="E51" s="93" t="s">
        <v>433</v>
      </c>
      <c r="F51" s="93" t="s">
        <v>433</v>
      </c>
      <c r="G51" s="88">
        <f>+'4. CC D'!I34</f>
        <v>10009195.914893618</v>
      </c>
      <c r="H51" s="88">
        <f>+'4. CC D'!J34</f>
        <v>2705188.0851063831</v>
      </c>
      <c r="I51" s="88">
        <f t="shared" si="8"/>
        <v>12714384</v>
      </c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91">
        <v>1</v>
      </c>
      <c r="AV51" s="91">
        <v>2</v>
      </c>
      <c r="AW51" s="91">
        <v>3</v>
      </c>
      <c r="AX51" s="91">
        <v>4</v>
      </c>
      <c r="AY51" s="91">
        <v>5</v>
      </c>
      <c r="AZ51" s="91">
        <v>6</v>
      </c>
      <c r="BA51" s="91">
        <v>7</v>
      </c>
      <c r="BB51" s="91">
        <v>8</v>
      </c>
      <c r="BC51" s="91">
        <v>9</v>
      </c>
      <c r="BD51" s="91">
        <v>10</v>
      </c>
      <c r="BE51" s="91">
        <v>11</v>
      </c>
      <c r="BF51" s="91">
        <v>12</v>
      </c>
      <c r="BG51" s="91">
        <v>13</v>
      </c>
      <c r="BH51" s="91">
        <v>14</v>
      </c>
      <c r="BI51" s="91">
        <v>15</v>
      </c>
      <c r="BJ51" s="91">
        <v>16</v>
      </c>
      <c r="BK51" s="91">
        <v>17</v>
      </c>
      <c r="BL51" s="91">
        <v>18</v>
      </c>
      <c r="BM51" s="91">
        <v>19</v>
      </c>
      <c r="BN51" s="91">
        <v>20</v>
      </c>
      <c r="BO51" s="91">
        <v>21</v>
      </c>
      <c r="BP51" s="91">
        <v>22</v>
      </c>
      <c r="BQ51" s="91">
        <v>23</v>
      </c>
      <c r="BR51" s="91">
        <v>24</v>
      </c>
      <c r="BS51" s="91">
        <v>25</v>
      </c>
      <c r="BT51" s="91">
        <v>26</v>
      </c>
      <c r="BU51" s="91">
        <v>27</v>
      </c>
      <c r="BV51" s="91">
        <v>28</v>
      </c>
      <c r="BW51" s="91">
        <v>29</v>
      </c>
      <c r="BX51" s="91">
        <v>30</v>
      </c>
      <c r="BY51" s="91">
        <v>31</v>
      </c>
      <c r="BZ51" s="91">
        <v>32</v>
      </c>
      <c r="CA51" s="91">
        <v>33</v>
      </c>
      <c r="CB51" s="91">
        <v>34</v>
      </c>
      <c r="CC51" s="91">
        <v>35</v>
      </c>
      <c r="CD51" s="91">
        <v>36</v>
      </c>
      <c r="CE51" s="91">
        <v>37</v>
      </c>
      <c r="CF51" s="91">
        <v>38</v>
      </c>
      <c r="CG51" s="91">
        <v>39</v>
      </c>
      <c r="CH51" s="91">
        <v>40</v>
      </c>
      <c r="CI51" s="91">
        <v>41</v>
      </c>
      <c r="CJ51" s="91">
        <v>42</v>
      </c>
      <c r="CK51" s="91">
        <v>43</v>
      </c>
      <c r="CL51" s="91">
        <v>44</v>
      </c>
      <c r="CM51" s="91">
        <v>45</v>
      </c>
      <c r="CN51" s="91">
        <v>46</v>
      </c>
      <c r="CO51" s="91">
        <v>47</v>
      </c>
      <c r="CP51" s="91">
        <v>48</v>
      </c>
    </row>
    <row r="52" spans="1:94" s="71" customFormat="1" ht="17.25" customHeight="1" x14ac:dyDescent="0.2">
      <c r="A52" s="99">
        <f>+'4. CC D'!A35</f>
        <v>2</v>
      </c>
      <c r="B52" s="78" t="str">
        <f>+'4. CC D'!B35</f>
        <v>Otros Costos</v>
      </c>
      <c r="C52" s="79"/>
      <c r="D52" s="80"/>
      <c r="E52" s="80"/>
      <c r="F52" s="80"/>
      <c r="G52" s="81">
        <f>+G53+G55</f>
        <v>4329787.2340425532</v>
      </c>
      <c r="H52" s="81">
        <f t="shared" ref="H52:I52" si="12">+H53+H55</f>
        <v>1170212.7659574468</v>
      </c>
      <c r="I52" s="81">
        <f t="shared" si="12"/>
        <v>5500000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</row>
    <row r="53" spans="1:94" x14ac:dyDescent="0.2">
      <c r="A53" s="94">
        <f>+'4. CC D'!A36</f>
        <v>2.1</v>
      </c>
      <c r="B53" s="82" t="str">
        <f>+'4. CC D'!B36</f>
        <v>Administración del Programa</v>
      </c>
      <c r="C53" s="95"/>
      <c r="D53" s="95"/>
      <c r="E53" s="95"/>
      <c r="F53" s="95"/>
      <c r="G53" s="97">
        <f>+G54</f>
        <v>3542553.1914893617</v>
      </c>
      <c r="H53" s="97">
        <f t="shared" ref="H53:I53" si="13">+H54</f>
        <v>957446.80851063831</v>
      </c>
      <c r="I53" s="97">
        <f t="shared" si="13"/>
        <v>4500000</v>
      </c>
      <c r="J53" s="97" t="str">
        <f>'[2]4. CC D'!G33</f>
        <v>ECATEF/DCV</v>
      </c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</row>
    <row r="54" spans="1:94" ht="21.75" customHeight="1" x14ac:dyDescent="0.2">
      <c r="A54" s="100" t="str">
        <f>+'4. CC D'!A37</f>
        <v>2.1.1</v>
      </c>
      <c r="B54" s="101" t="str">
        <f>+'4. CC D'!B37</f>
        <v xml:space="preserve">Contratación de la ECATEF para apoyo en la ejecución del Programa </v>
      </c>
      <c r="C54" s="493" t="s">
        <v>346</v>
      </c>
      <c r="D54" s="493" t="s">
        <v>430</v>
      </c>
      <c r="E54" s="493" t="s">
        <v>440</v>
      </c>
      <c r="F54" s="493" t="s">
        <v>442</v>
      </c>
      <c r="G54" s="103">
        <f>+'4. CC D'!I37</f>
        <v>3542553.1914893617</v>
      </c>
      <c r="H54" s="103">
        <f>+'4. CC D'!J37</f>
        <v>957446.80851063831</v>
      </c>
      <c r="I54" s="88">
        <f t="shared" ref="I54" si="14">+G54+H54</f>
        <v>4500000</v>
      </c>
      <c r="J54" s="103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89"/>
      <c r="AJ54" s="89"/>
      <c r="AK54" s="90"/>
      <c r="AL54" s="90"/>
      <c r="AM54" s="90"/>
      <c r="AN54" s="91">
        <v>1</v>
      </c>
      <c r="AO54" s="91">
        <v>2</v>
      </c>
      <c r="AP54" s="91">
        <v>3</v>
      </c>
      <c r="AQ54" s="91">
        <v>4</v>
      </c>
      <c r="AR54" s="91">
        <v>5</v>
      </c>
      <c r="AS54" s="91">
        <v>6</v>
      </c>
      <c r="AT54" s="91">
        <v>7</v>
      </c>
      <c r="AU54" s="91">
        <v>8</v>
      </c>
      <c r="AV54" s="91">
        <v>9</v>
      </c>
      <c r="AW54" s="91">
        <v>10</v>
      </c>
      <c r="AX54" s="91">
        <v>11</v>
      </c>
      <c r="AY54" s="91">
        <v>12</v>
      </c>
      <c r="AZ54" s="91">
        <v>13</v>
      </c>
      <c r="BA54" s="91">
        <v>14</v>
      </c>
      <c r="BB54" s="91">
        <v>15</v>
      </c>
      <c r="BC54" s="91">
        <v>16</v>
      </c>
      <c r="BD54" s="91">
        <v>17</v>
      </c>
      <c r="BE54" s="91">
        <v>18</v>
      </c>
      <c r="BF54" s="91">
        <v>19</v>
      </c>
      <c r="BG54" s="91">
        <v>20</v>
      </c>
      <c r="BH54" s="91">
        <v>21</v>
      </c>
      <c r="BI54" s="91">
        <v>22</v>
      </c>
      <c r="BJ54" s="91">
        <v>23</v>
      </c>
      <c r="BK54" s="91">
        <v>24</v>
      </c>
      <c r="BL54" s="91">
        <v>25</v>
      </c>
      <c r="BM54" s="91">
        <v>26</v>
      </c>
      <c r="BN54" s="91">
        <v>27</v>
      </c>
      <c r="BO54" s="91">
        <v>28</v>
      </c>
      <c r="BP54" s="91">
        <v>29</v>
      </c>
      <c r="BQ54" s="91">
        <v>30</v>
      </c>
      <c r="BR54" s="91">
        <v>31</v>
      </c>
      <c r="BS54" s="91">
        <v>32</v>
      </c>
      <c r="BT54" s="91">
        <v>33</v>
      </c>
      <c r="BU54" s="91">
        <v>34</v>
      </c>
      <c r="BV54" s="91">
        <v>35</v>
      </c>
      <c r="BW54" s="91">
        <v>36</v>
      </c>
      <c r="BX54" s="88"/>
      <c r="BY54" s="88"/>
      <c r="BZ54" s="88"/>
      <c r="CA54" s="88"/>
      <c r="CB54" s="88"/>
      <c r="CC54" s="88"/>
      <c r="CD54" s="88"/>
      <c r="CE54" s="8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</row>
    <row r="55" spans="1:94" x14ac:dyDescent="0.2">
      <c r="A55" s="94">
        <f>+'4. CC D'!A38</f>
        <v>2.2000000000000002</v>
      </c>
      <c r="B55" s="82" t="str">
        <f>+'4. CC D'!B38</f>
        <v>Evaluaciones, estudios y auditorías.</v>
      </c>
      <c r="C55" s="95"/>
      <c r="D55" s="95"/>
      <c r="E55" s="95"/>
      <c r="F55" s="95"/>
      <c r="G55" s="97">
        <f>+G56+G57+G58+G59+G60</f>
        <v>787234.04255319154</v>
      </c>
      <c r="H55" s="97">
        <f>+H56+H57+H58+H59+H60</f>
        <v>212765.95744680849</v>
      </c>
      <c r="I55" s="97">
        <f>+I56+I57+I58+I59+I60</f>
        <v>1000000</v>
      </c>
      <c r="J55" s="97" t="str">
        <f>'[2]4. CC D'!G35</f>
        <v>ECATEF/DCV</v>
      </c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</row>
    <row r="56" spans="1:94" x14ac:dyDescent="0.2">
      <c r="A56" s="100" t="str">
        <f>+'4. CC D'!A39</f>
        <v>2.2.1</v>
      </c>
      <c r="B56" s="101" t="str">
        <f>+'4. CC D'!B39</f>
        <v>Auditoría financiera</v>
      </c>
      <c r="C56" s="104" t="str">
        <f>+'4. CC D'!H39</f>
        <v>74 meses</v>
      </c>
      <c r="D56" s="102" t="s">
        <v>56</v>
      </c>
      <c r="E56" s="102" t="s">
        <v>417</v>
      </c>
      <c r="F56" s="102" t="s">
        <v>419</v>
      </c>
      <c r="G56" s="105">
        <f>+'4. CC D'!I39</f>
        <v>275531.91489361704</v>
      </c>
      <c r="H56" s="105">
        <f>+'4. CC D'!J39</f>
        <v>74468.085106382976</v>
      </c>
      <c r="I56" s="88">
        <f t="shared" ref="I56:I60" si="15">+G56+H56</f>
        <v>350000</v>
      </c>
      <c r="J56" s="105"/>
      <c r="K56" s="105"/>
      <c r="L56" s="105"/>
      <c r="M56" s="105"/>
      <c r="N56" s="105"/>
      <c r="O56" s="106"/>
      <c r="P56" s="106"/>
      <c r="Q56" s="106"/>
      <c r="R56" s="90"/>
      <c r="S56" s="90"/>
      <c r="T56" s="90"/>
      <c r="U56" s="91">
        <v>1</v>
      </c>
      <c r="V56" s="91">
        <v>2</v>
      </c>
      <c r="W56" s="91">
        <v>3</v>
      </c>
      <c r="X56" s="91">
        <v>4</v>
      </c>
      <c r="Y56" s="91">
        <v>5</v>
      </c>
      <c r="Z56" s="91">
        <v>6</v>
      </c>
      <c r="AA56" s="91">
        <v>7</v>
      </c>
      <c r="AB56" s="91">
        <v>8</v>
      </c>
      <c r="AC56" s="91">
        <v>9</v>
      </c>
      <c r="AD56" s="91">
        <v>10</v>
      </c>
      <c r="AE56" s="91">
        <v>11</v>
      </c>
      <c r="AF56" s="91">
        <v>12</v>
      </c>
      <c r="AG56" s="91">
        <v>13</v>
      </c>
      <c r="AH56" s="91">
        <v>14</v>
      </c>
      <c r="AI56" s="91">
        <v>15</v>
      </c>
      <c r="AJ56" s="91">
        <v>16</v>
      </c>
      <c r="AK56" s="91">
        <v>17</v>
      </c>
      <c r="AL56" s="91">
        <v>18</v>
      </c>
      <c r="AM56" s="91">
        <v>19</v>
      </c>
      <c r="AN56" s="91">
        <v>20</v>
      </c>
      <c r="AO56" s="91">
        <v>21</v>
      </c>
      <c r="AP56" s="91">
        <v>22</v>
      </c>
      <c r="AQ56" s="91">
        <v>23</v>
      </c>
      <c r="AR56" s="91">
        <v>24</v>
      </c>
      <c r="AS56" s="91">
        <v>25</v>
      </c>
      <c r="AT56" s="91">
        <v>26</v>
      </c>
      <c r="AU56" s="91">
        <v>27</v>
      </c>
      <c r="AV56" s="91">
        <v>28</v>
      </c>
      <c r="AW56" s="91">
        <v>29</v>
      </c>
      <c r="AX56" s="91">
        <v>30</v>
      </c>
      <c r="AY56" s="91">
        <v>31</v>
      </c>
      <c r="AZ56" s="91">
        <v>32</v>
      </c>
      <c r="BA56" s="91">
        <v>33</v>
      </c>
      <c r="BB56" s="91">
        <v>34</v>
      </c>
      <c r="BC56" s="91">
        <v>35</v>
      </c>
      <c r="BD56" s="91">
        <v>36</v>
      </c>
      <c r="BE56" s="91">
        <v>37</v>
      </c>
      <c r="BF56" s="91">
        <v>38</v>
      </c>
      <c r="BG56" s="91">
        <v>39</v>
      </c>
      <c r="BH56" s="91">
        <v>40</v>
      </c>
      <c r="BI56" s="91">
        <v>41</v>
      </c>
      <c r="BJ56" s="91">
        <v>42</v>
      </c>
      <c r="BK56" s="91">
        <v>43</v>
      </c>
      <c r="BL56" s="91">
        <v>44</v>
      </c>
      <c r="BM56" s="91">
        <v>45</v>
      </c>
      <c r="BN56" s="91">
        <v>46</v>
      </c>
      <c r="BO56" s="91">
        <v>47</v>
      </c>
      <c r="BP56" s="91">
        <v>48</v>
      </c>
      <c r="BQ56" s="91">
        <v>49</v>
      </c>
      <c r="BR56" s="91">
        <v>50</v>
      </c>
      <c r="BS56" s="91">
        <v>51</v>
      </c>
      <c r="BT56" s="91">
        <v>52</v>
      </c>
      <c r="BU56" s="91">
        <v>53</v>
      </c>
      <c r="BV56" s="91">
        <v>54</v>
      </c>
      <c r="BW56" s="91">
        <v>55</v>
      </c>
      <c r="BX56" s="91">
        <v>56</v>
      </c>
      <c r="BY56" s="91">
        <v>57</v>
      </c>
      <c r="BZ56" s="91">
        <v>58</v>
      </c>
      <c r="CA56" s="91">
        <v>59</v>
      </c>
      <c r="CB56" s="91">
        <v>60</v>
      </c>
      <c r="CC56" s="91">
        <v>61</v>
      </c>
      <c r="CD56" s="91">
        <v>62</v>
      </c>
      <c r="CE56" s="91">
        <v>63</v>
      </c>
      <c r="CF56" s="91">
        <v>64</v>
      </c>
      <c r="CG56" s="91">
        <v>65</v>
      </c>
      <c r="CH56" s="91">
        <v>66</v>
      </c>
      <c r="CI56" s="91">
        <v>67</v>
      </c>
      <c r="CJ56" s="91">
        <v>68</v>
      </c>
      <c r="CK56" s="91">
        <v>69</v>
      </c>
      <c r="CL56" s="91">
        <v>70</v>
      </c>
      <c r="CM56" s="91">
        <v>71</v>
      </c>
      <c r="CN56" s="91">
        <v>72</v>
      </c>
      <c r="CO56" s="91">
        <v>73</v>
      </c>
      <c r="CP56" s="91">
        <v>74</v>
      </c>
    </row>
    <row r="57" spans="1:94" x14ac:dyDescent="0.2">
      <c r="A57" s="100" t="str">
        <f>+'4. CC D'!A40</f>
        <v>2.2.2</v>
      </c>
      <c r="B57" s="101" t="str">
        <f>+'4. CC D'!B40</f>
        <v xml:space="preserve">Estudios de pre inversión y diseños de ingeniería </v>
      </c>
      <c r="C57" s="104" t="str">
        <f>+'4. CC D'!H40</f>
        <v>6 meses</v>
      </c>
      <c r="D57" s="102" t="s">
        <v>434</v>
      </c>
      <c r="E57" s="102" t="s">
        <v>417</v>
      </c>
      <c r="F57" s="102" t="s">
        <v>445</v>
      </c>
      <c r="G57" s="105">
        <f>+'4. CC D'!I40</f>
        <v>236170.21276595746</v>
      </c>
      <c r="H57" s="105">
        <f>+'4. CC D'!J40</f>
        <v>63829.787234042553</v>
      </c>
      <c r="I57" s="88">
        <f t="shared" si="15"/>
        <v>300000</v>
      </c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6"/>
      <c r="U57" s="106"/>
      <c r="V57" s="106"/>
      <c r="W57" s="90"/>
      <c r="X57" s="90"/>
      <c r="Y57" s="90"/>
      <c r="Z57" s="91">
        <v>1</v>
      </c>
      <c r="AA57" s="91">
        <v>2</v>
      </c>
      <c r="AB57" s="91">
        <v>3</v>
      </c>
      <c r="AC57" s="91">
        <v>4</v>
      </c>
      <c r="AD57" s="91">
        <v>5</v>
      </c>
      <c r="AE57" s="91">
        <v>6</v>
      </c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</row>
    <row r="58" spans="1:94" ht="25.5" x14ac:dyDescent="0.2">
      <c r="A58" s="100" t="str">
        <f>+'4. CC D'!A41</f>
        <v>2.2.3</v>
      </c>
      <c r="B58" s="101" t="str">
        <f>+'4. CC D'!B41</f>
        <v>Fortalecimiento de departamentos de conservación vial y gobiernos locales para implementación del plan de mantenimiento</v>
      </c>
      <c r="C58" s="104" t="str">
        <f>+'4. CC D'!H41</f>
        <v>6 meses</v>
      </c>
      <c r="D58" s="102" t="s">
        <v>430</v>
      </c>
      <c r="E58" s="102" t="s">
        <v>437</v>
      </c>
      <c r="F58" s="102" t="s">
        <v>444</v>
      </c>
      <c r="G58" s="105">
        <f>+'4. CC D'!I41</f>
        <v>118085.10638297873</v>
      </c>
      <c r="H58" s="105">
        <f>+'4. CC D'!J41</f>
        <v>31914.893617021276</v>
      </c>
      <c r="I58" s="88">
        <f t="shared" si="15"/>
        <v>150000</v>
      </c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6"/>
      <c r="AJ58" s="106"/>
      <c r="AK58" s="106"/>
      <c r="AL58" s="90"/>
      <c r="AM58" s="90"/>
      <c r="AN58" s="90"/>
      <c r="AO58" s="91">
        <v>1</v>
      </c>
      <c r="AP58" s="91">
        <v>2</v>
      </c>
      <c r="AQ58" s="91">
        <v>3</v>
      </c>
      <c r="AR58" s="91">
        <v>4</v>
      </c>
      <c r="AS58" s="91">
        <v>5</v>
      </c>
      <c r="AT58" s="91">
        <v>6</v>
      </c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</row>
    <row r="59" spans="1:94" ht="28.5" customHeight="1" x14ac:dyDescent="0.2">
      <c r="A59" s="100" t="str">
        <f>+'4. CC D'!A42</f>
        <v>2.2.4</v>
      </c>
      <c r="B59" s="101" t="str">
        <f>+'4. CC D'!B42</f>
        <v>Evaluación final del programa, incluyendo evaluación de impacto</v>
      </c>
      <c r="C59" s="104" t="str">
        <f>+'4. CC D'!H42</f>
        <v>6 meses</v>
      </c>
      <c r="D59" s="102" t="s">
        <v>435</v>
      </c>
      <c r="E59" s="102" t="s">
        <v>446</v>
      </c>
      <c r="F59" s="102" t="s">
        <v>436</v>
      </c>
      <c r="G59" s="105">
        <f>+'4. CC D'!I42</f>
        <v>118085.10638297873</v>
      </c>
      <c r="H59" s="105">
        <f>+'4. CC D'!J42</f>
        <v>31914.893617021276</v>
      </c>
      <c r="I59" s="88">
        <f t="shared" si="15"/>
        <v>150000</v>
      </c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6"/>
      <c r="BZ59" s="106"/>
      <c r="CA59" s="106"/>
      <c r="CB59" s="90"/>
      <c r="CC59" s="90"/>
      <c r="CD59" s="90"/>
      <c r="CE59" s="91">
        <v>1</v>
      </c>
      <c r="CF59" s="91">
        <v>2</v>
      </c>
      <c r="CG59" s="91">
        <v>3</v>
      </c>
      <c r="CH59" s="91">
        <v>4</v>
      </c>
      <c r="CI59" s="91">
        <v>5</v>
      </c>
      <c r="CJ59" s="91">
        <v>6</v>
      </c>
      <c r="CK59" s="105"/>
      <c r="CL59" s="105"/>
      <c r="CM59" s="105"/>
      <c r="CN59" s="105"/>
      <c r="CO59" s="105"/>
      <c r="CP59" s="105"/>
    </row>
    <row r="60" spans="1:94" x14ac:dyDescent="0.2">
      <c r="A60" s="100" t="str">
        <f>+'4. CC D'!A43</f>
        <v>2.2.5</v>
      </c>
      <c r="B60" s="101" t="str">
        <f>+'4. CC D'!B43</f>
        <v>Levantamiento de Línea de Base</v>
      </c>
      <c r="C60" s="104" t="str">
        <f>+'4. CC D'!H43</f>
        <v>4 meses</v>
      </c>
      <c r="D60" s="102" t="s">
        <v>490</v>
      </c>
      <c r="E60" s="102" t="s">
        <v>491</v>
      </c>
      <c r="F60" s="102" t="s">
        <v>418</v>
      </c>
      <c r="G60" s="105">
        <f>+'4. CC D'!I43</f>
        <v>39361.702127659577</v>
      </c>
      <c r="H60" s="105">
        <f>+'4. CC D'!J43</f>
        <v>10638.297872340425</v>
      </c>
      <c r="I60" s="88">
        <f t="shared" si="15"/>
        <v>50000</v>
      </c>
      <c r="J60" s="105"/>
      <c r="K60" s="89"/>
      <c r="L60" s="89"/>
      <c r="M60" s="90"/>
      <c r="N60" s="90"/>
      <c r="O60" s="90"/>
      <c r="P60" s="91">
        <v>1</v>
      </c>
      <c r="Q60" s="91">
        <v>2</v>
      </c>
      <c r="R60" s="91">
        <v>3</v>
      </c>
      <c r="S60" s="91">
        <v>4</v>
      </c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6"/>
      <c r="BZ60" s="106"/>
      <c r="CA60" s="106"/>
      <c r="CB60" s="90"/>
      <c r="CC60" s="90"/>
      <c r="CD60" s="90"/>
      <c r="CE60" s="91">
        <v>1</v>
      </c>
      <c r="CF60" s="91">
        <v>2</v>
      </c>
      <c r="CG60" s="91">
        <v>3</v>
      </c>
      <c r="CH60" s="91">
        <v>4</v>
      </c>
      <c r="CI60" s="91">
        <v>5</v>
      </c>
      <c r="CJ60" s="91">
        <v>6</v>
      </c>
      <c r="CK60" s="105"/>
      <c r="CL60" s="105"/>
      <c r="CM60" s="105"/>
      <c r="CN60" s="105"/>
      <c r="CO60" s="105"/>
      <c r="CP60" s="105"/>
    </row>
  </sheetData>
  <mergeCells count="45">
    <mergeCell ref="CE8:CG8"/>
    <mergeCell ref="CH8:CJ8"/>
    <mergeCell ref="CK8:CM8"/>
    <mergeCell ref="CN8:CP8"/>
    <mergeCell ref="CE7:CP7"/>
    <mergeCell ref="BS7:CD7"/>
    <mergeCell ref="BS8:BU8"/>
    <mergeCell ref="BV8:BX8"/>
    <mergeCell ref="BY8:CA8"/>
    <mergeCell ref="CB8:CD8"/>
    <mergeCell ref="A1:B1"/>
    <mergeCell ref="A2:B2"/>
    <mergeCell ref="A4:B4"/>
    <mergeCell ref="A6:B6"/>
    <mergeCell ref="K7:V7"/>
    <mergeCell ref="AI7:AT7"/>
    <mergeCell ref="AU7:BF7"/>
    <mergeCell ref="BG7:BR7"/>
    <mergeCell ref="A8:A9"/>
    <mergeCell ref="B8:B9"/>
    <mergeCell ref="C8:C9"/>
    <mergeCell ref="D8:D9"/>
    <mergeCell ref="E8:E9"/>
    <mergeCell ref="F8:F9"/>
    <mergeCell ref="K8:M8"/>
    <mergeCell ref="W7:AH7"/>
    <mergeCell ref="AU8:AW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BP8:BR8"/>
    <mergeCell ref="AX8:AZ8"/>
    <mergeCell ref="BA8:BC8"/>
    <mergeCell ref="BD8:BF8"/>
    <mergeCell ref="BG8:BI8"/>
    <mergeCell ref="BJ8:BL8"/>
    <mergeCell ref="BM8:BO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CM47"/>
  <sheetViews>
    <sheetView showGridLines="0" zoomScale="72" zoomScaleNormal="72" workbookViewId="0">
      <pane xSplit="2" ySplit="9" topLeftCell="C19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 x14ac:dyDescent="0.2"/>
  <cols>
    <col min="1" max="1" width="8.85546875" style="163" customWidth="1"/>
    <col min="2" max="2" width="77.28515625" style="164" customWidth="1"/>
    <col min="3" max="3" width="21.7109375" style="165" bestFit="1" customWidth="1"/>
    <col min="4" max="5" width="21.7109375" style="165" customWidth="1"/>
    <col min="6" max="15" width="16.42578125" style="148" customWidth="1"/>
    <col min="16" max="16" width="14.5703125" style="148" bestFit="1" customWidth="1"/>
    <col min="17" max="53" width="17.42578125" style="148" customWidth="1"/>
    <col min="54" max="62" width="17.42578125" style="149" customWidth="1"/>
    <col min="63" max="65" width="18.28515625" style="149" customWidth="1"/>
    <col min="66" max="67" width="18.28515625" style="150" customWidth="1"/>
    <col min="68" max="68" width="18.28515625" style="151" customWidth="1"/>
    <col min="69" max="89" width="18.28515625" style="148" customWidth="1"/>
    <col min="90" max="90" width="22.85546875" style="148" customWidth="1"/>
    <col min="91" max="91" width="19.5703125" style="148" bestFit="1" customWidth="1"/>
    <col min="92" max="92" width="18.140625" style="148" bestFit="1" customWidth="1"/>
    <col min="93" max="16384" width="9.140625" style="148"/>
  </cols>
  <sheetData>
    <row r="1" spans="1:91" x14ac:dyDescent="0.2">
      <c r="A1" s="146" t="s">
        <v>91</v>
      </c>
      <c r="B1" s="146"/>
      <c r="C1" s="147"/>
      <c r="D1" s="147"/>
      <c r="E1" s="147"/>
    </row>
    <row r="2" spans="1:91" x14ac:dyDescent="0.2">
      <c r="A2" s="146" t="s">
        <v>8</v>
      </c>
      <c r="B2" s="146"/>
      <c r="C2" s="147"/>
      <c r="D2" s="147"/>
      <c r="E2" s="147"/>
    </row>
    <row r="3" spans="1:91" x14ac:dyDescent="0.2">
      <c r="A3" s="146"/>
      <c r="B3" s="146"/>
      <c r="C3" s="152"/>
      <c r="D3" s="152"/>
      <c r="E3" s="152"/>
    </row>
    <row r="4" spans="1:91" x14ac:dyDescent="0.2">
      <c r="A4" s="642" t="str">
        <f>+'4. CC D'!A4</f>
        <v>Operación: Programa de Mejoramiento y conservación de corredores agroindustriales</v>
      </c>
      <c r="B4" s="642"/>
      <c r="C4" s="147"/>
      <c r="D4" s="147"/>
      <c r="E4" s="147"/>
    </row>
    <row r="5" spans="1:91" x14ac:dyDescent="0.2">
      <c r="A5" s="146"/>
      <c r="B5" s="146"/>
      <c r="C5" s="147"/>
      <c r="D5" s="147"/>
      <c r="E5" s="147"/>
    </row>
    <row r="6" spans="1:91" x14ac:dyDescent="0.2">
      <c r="A6" s="146" t="s">
        <v>9</v>
      </c>
      <c r="B6" s="146"/>
      <c r="C6" s="147"/>
      <c r="D6" s="147"/>
      <c r="E6" s="147"/>
    </row>
    <row r="7" spans="1:91" s="155" customFormat="1" x14ac:dyDescent="0.2">
      <c r="A7" s="643" t="s">
        <v>334</v>
      </c>
      <c r="B7" s="644"/>
      <c r="C7" s="153" t="str">
        <f>+'3. PEP'!G7</f>
        <v>COSTO</v>
      </c>
      <c r="D7" s="153" t="str">
        <f>+'3. PEP'!H7</f>
        <v>COSTO</v>
      </c>
      <c r="E7" s="153" t="str">
        <f>+'3. PEP'!I7</f>
        <v>COSTO</v>
      </c>
      <c r="F7" s="632" t="s">
        <v>12</v>
      </c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 t="s">
        <v>13</v>
      </c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 t="s">
        <v>14</v>
      </c>
      <c r="AE7" s="632"/>
      <c r="AF7" s="632"/>
      <c r="AG7" s="632"/>
      <c r="AH7" s="632"/>
      <c r="AI7" s="632"/>
      <c r="AJ7" s="632"/>
      <c r="AK7" s="632"/>
      <c r="AL7" s="632"/>
      <c r="AM7" s="632"/>
      <c r="AN7" s="632"/>
      <c r="AO7" s="632"/>
      <c r="AP7" s="632" t="s">
        <v>15</v>
      </c>
      <c r="AQ7" s="632"/>
      <c r="AR7" s="632"/>
      <c r="AS7" s="632"/>
      <c r="AT7" s="632"/>
      <c r="AU7" s="632"/>
      <c r="AV7" s="632"/>
      <c r="AW7" s="632"/>
      <c r="AX7" s="632"/>
      <c r="AY7" s="632"/>
      <c r="AZ7" s="632"/>
      <c r="BA7" s="632"/>
      <c r="BB7" s="632" t="s">
        <v>16</v>
      </c>
      <c r="BC7" s="632"/>
      <c r="BD7" s="632"/>
      <c r="BE7" s="632"/>
      <c r="BF7" s="632"/>
      <c r="BG7" s="632"/>
      <c r="BH7" s="632"/>
      <c r="BI7" s="632"/>
      <c r="BJ7" s="632"/>
      <c r="BK7" s="632"/>
      <c r="BL7" s="632"/>
      <c r="BM7" s="632"/>
      <c r="BN7" s="639" t="s">
        <v>88</v>
      </c>
      <c r="BO7" s="640"/>
      <c r="BP7" s="640"/>
      <c r="BQ7" s="640"/>
      <c r="BR7" s="640"/>
      <c r="BS7" s="640"/>
      <c r="BT7" s="640"/>
      <c r="BU7" s="640"/>
      <c r="BV7" s="640"/>
      <c r="BW7" s="640"/>
      <c r="BX7" s="640"/>
      <c r="BY7" s="641"/>
      <c r="BZ7" s="639" t="s">
        <v>89</v>
      </c>
      <c r="CA7" s="640"/>
      <c r="CB7" s="640"/>
      <c r="CC7" s="640"/>
      <c r="CD7" s="640"/>
      <c r="CE7" s="640"/>
      <c r="CF7" s="640"/>
      <c r="CG7" s="640"/>
      <c r="CH7" s="640"/>
      <c r="CI7" s="640"/>
      <c r="CJ7" s="640"/>
      <c r="CK7" s="641"/>
    </row>
    <row r="8" spans="1:91" s="155" customFormat="1" x14ac:dyDescent="0.2">
      <c r="A8" s="645"/>
      <c r="B8" s="646"/>
      <c r="C8" s="153" t="str">
        <f>+'3. PEP'!G8</f>
        <v>BID</v>
      </c>
      <c r="D8" s="153" t="s">
        <v>360</v>
      </c>
      <c r="E8" s="153" t="str">
        <f>+'3. PEP'!I8</f>
        <v>TOTAL</v>
      </c>
      <c r="F8" s="632" t="s">
        <v>92</v>
      </c>
      <c r="G8" s="632"/>
      <c r="H8" s="632"/>
      <c r="I8" s="632" t="s">
        <v>93</v>
      </c>
      <c r="J8" s="632"/>
      <c r="K8" s="632"/>
      <c r="L8" s="632" t="s">
        <v>94</v>
      </c>
      <c r="M8" s="632"/>
      <c r="N8" s="632"/>
      <c r="O8" s="632" t="s">
        <v>95</v>
      </c>
      <c r="P8" s="632"/>
      <c r="Q8" s="632"/>
      <c r="R8" s="632" t="s">
        <v>92</v>
      </c>
      <c r="S8" s="632"/>
      <c r="T8" s="632"/>
      <c r="U8" s="632" t="s">
        <v>93</v>
      </c>
      <c r="V8" s="632"/>
      <c r="W8" s="632"/>
      <c r="X8" s="632" t="s">
        <v>94</v>
      </c>
      <c r="Y8" s="632"/>
      <c r="Z8" s="632"/>
      <c r="AA8" s="632" t="s">
        <v>95</v>
      </c>
      <c r="AB8" s="632"/>
      <c r="AC8" s="632"/>
      <c r="AD8" s="632" t="s">
        <v>92</v>
      </c>
      <c r="AE8" s="632"/>
      <c r="AF8" s="632"/>
      <c r="AG8" s="632" t="s">
        <v>93</v>
      </c>
      <c r="AH8" s="632"/>
      <c r="AI8" s="632"/>
      <c r="AJ8" s="632" t="s">
        <v>94</v>
      </c>
      <c r="AK8" s="632"/>
      <c r="AL8" s="632"/>
      <c r="AM8" s="632" t="s">
        <v>95</v>
      </c>
      <c r="AN8" s="632"/>
      <c r="AO8" s="632"/>
      <c r="AP8" s="632" t="s">
        <v>92</v>
      </c>
      <c r="AQ8" s="632"/>
      <c r="AR8" s="632"/>
      <c r="AS8" s="632" t="s">
        <v>93</v>
      </c>
      <c r="AT8" s="632"/>
      <c r="AU8" s="632"/>
      <c r="AV8" s="632" t="s">
        <v>94</v>
      </c>
      <c r="AW8" s="632"/>
      <c r="AX8" s="632"/>
      <c r="AY8" s="632" t="s">
        <v>95</v>
      </c>
      <c r="AZ8" s="632"/>
      <c r="BA8" s="632"/>
      <c r="BB8" s="632" t="s">
        <v>92</v>
      </c>
      <c r="BC8" s="632"/>
      <c r="BD8" s="632"/>
      <c r="BE8" s="632" t="s">
        <v>93</v>
      </c>
      <c r="BF8" s="632"/>
      <c r="BG8" s="632"/>
      <c r="BH8" s="632" t="s">
        <v>94</v>
      </c>
      <c r="BI8" s="632"/>
      <c r="BJ8" s="632"/>
      <c r="BK8" s="632" t="s">
        <v>95</v>
      </c>
      <c r="BL8" s="632"/>
      <c r="BM8" s="632"/>
      <c r="BN8" s="632" t="s">
        <v>92</v>
      </c>
      <c r="BO8" s="632"/>
      <c r="BP8" s="632"/>
      <c r="BQ8" s="632" t="s">
        <v>93</v>
      </c>
      <c r="BR8" s="632"/>
      <c r="BS8" s="632"/>
      <c r="BT8" s="632" t="s">
        <v>94</v>
      </c>
      <c r="BU8" s="632"/>
      <c r="BV8" s="632"/>
      <c r="BW8" s="632" t="s">
        <v>95</v>
      </c>
      <c r="BX8" s="632"/>
      <c r="BY8" s="632"/>
      <c r="BZ8" s="632" t="s">
        <v>92</v>
      </c>
      <c r="CA8" s="632"/>
      <c r="CB8" s="632"/>
      <c r="CC8" s="632" t="s">
        <v>93</v>
      </c>
      <c r="CD8" s="632"/>
      <c r="CE8" s="632"/>
      <c r="CF8" s="632" t="s">
        <v>94</v>
      </c>
      <c r="CG8" s="632"/>
      <c r="CH8" s="632"/>
      <c r="CI8" s="632" t="s">
        <v>95</v>
      </c>
      <c r="CJ8" s="632"/>
      <c r="CK8" s="632"/>
    </row>
    <row r="9" spans="1:91" s="155" customFormat="1" x14ac:dyDescent="0.2">
      <c r="A9" s="645"/>
      <c r="B9" s="646"/>
      <c r="C9" s="153" t="str">
        <f>+'3. PEP'!G9</f>
        <v>USD</v>
      </c>
      <c r="D9" s="153" t="str">
        <f>+'3. PEP'!H9</f>
        <v>USD</v>
      </c>
      <c r="E9" s="153" t="str">
        <f>+'3. PEP'!I9</f>
        <v>USD</v>
      </c>
      <c r="F9" s="145" t="s">
        <v>96</v>
      </c>
      <c r="G9" s="145" t="s">
        <v>97</v>
      </c>
      <c r="H9" s="145" t="s">
        <v>98</v>
      </c>
      <c r="I9" s="145" t="s">
        <v>99</v>
      </c>
      <c r="J9" s="145" t="s">
        <v>100</v>
      </c>
      <c r="K9" s="145" t="s">
        <v>101</v>
      </c>
      <c r="L9" s="145" t="s">
        <v>102</v>
      </c>
      <c r="M9" s="145" t="s">
        <v>103</v>
      </c>
      <c r="N9" s="145" t="s">
        <v>104</v>
      </c>
      <c r="O9" s="145" t="s">
        <v>105</v>
      </c>
      <c r="P9" s="145" t="s">
        <v>106</v>
      </c>
      <c r="Q9" s="145" t="s">
        <v>107</v>
      </c>
      <c r="R9" s="145" t="s">
        <v>108</v>
      </c>
      <c r="S9" s="145" t="s">
        <v>109</v>
      </c>
      <c r="T9" s="145" t="s">
        <v>110</v>
      </c>
      <c r="U9" s="145" t="s">
        <v>111</v>
      </c>
      <c r="V9" s="145" t="s">
        <v>112</v>
      </c>
      <c r="W9" s="145" t="s">
        <v>113</v>
      </c>
      <c r="X9" s="145" t="s">
        <v>114</v>
      </c>
      <c r="Y9" s="145" t="s">
        <v>115</v>
      </c>
      <c r="Z9" s="145" t="s">
        <v>116</v>
      </c>
      <c r="AA9" s="145" t="s">
        <v>117</v>
      </c>
      <c r="AB9" s="145" t="s">
        <v>118</v>
      </c>
      <c r="AC9" s="145" t="s">
        <v>119</v>
      </c>
      <c r="AD9" s="145" t="s">
        <v>120</v>
      </c>
      <c r="AE9" s="145" t="s">
        <v>121</v>
      </c>
      <c r="AF9" s="145" t="s">
        <v>122</v>
      </c>
      <c r="AG9" s="145" t="s">
        <v>123</v>
      </c>
      <c r="AH9" s="145" t="s">
        <v>124</v>
      </c>
      <c r="AI9" s="145" t="s">
        <v>125</v>
      </c>
      <c r="AJ9" s="145" t="s">
        <v>126</v>
      </c>
      <c r="AK9" s="145" t="s">
        <v>127</v>
      </c>
      <c r="AL9" s="145" t="s">
        <v>128</v>
      </c>
      <c r="AM9" s="145" t="s">
        <v>129</v>
      </c>
      <c r="AN9" s="145" t="s">
        <v>130</v>
      </c>
      <c r="AO9" s="145" t="s">
        <v>131</v>
      </c>
      <c r="AP9" s="145" t="s">
        <v>132</v>
      </c>
      <c r="AQ9" s="145" t="s">
        <v>133</v>
      </c>
      <c r="AR9" s="145" t="s">
        <v>134</v>
      </c>
      <c r="AS9" s="145" t="s">
        <v>135</v>
      </c>
      <c r="AT9" s="145" t="s">
        <v>136</v>
      </c>
      <c r="AU9" s="145" t="s">
        <v>137</v>
      </c>
      <c r="AV9" s="145" t="s">
        <v>138</v>
      </c>
      <c r="AW9" s="145" t="s">
        <v>139</v>
      </c>
      <c r="AX9" s="145" t="s">
        <v>140</v>
      </c>
      <c r="AY9" s="145" t="s">
        <v>141</v>
      </c>
      <c r="AZ9" s="145" t="s">
        <v>142</v>
      </c>
      <c r="BA9" s="145" t="s">
        <v>143</v>
      </c>
      <c r="BB9" s="145" t="s">
        <v>144</v>
      </c>
      <c r="BC9" s="145" t="s">
        <v>145</v>
      </c>
      <c r="BD9" s="145" t="s">
        <v>146</v>
      </c>
      <c r="BE9" s="145" t="s">
        <v>147</v>
      </c>
      <c r="BF9" s="145" t="s">
        <v>148</v>
      </c>
      <c r="BG9" s="145" t="s">
        <v>149</v>
      </c>
      <c r="BH9" s="145" t="s">
        <v>150</v>
      </c>
      <c r="BI9" s="145" t="s">
        <v>151</v>
      </c>
      <c r="BJ9" s="145" t="s">
        <v>152</v>
      </c>
      <c r="BK9" s="145" t="s">
        <v>153</v>
      </c>
      <c r="BL9" s="145" t="s">
        <v>154</v>
      </c>
      <c r="BM9" s="145" t="s">
        <v>155</v>
      </c>
      <c r="BN9" s="145" t="s">
        <v>157</v>
      </c>
      <c r="BO9" s="145" t="s">
        <v>158</v>
      </c>
      <c r="BP9" s="145" t="s">
        <v>159</v>
      </c>
      <c r="BQ9" s="145" t="s">
        <v>160</v>
      </c>
      <c r="BR9" s="145" t="s">
        <v>161</v>
      </c>
      <c r="BS9" s="145" t="s">
        <v>162</v>
      </c>
      <c r="BT9" s="145" t="s">
        <v>163</v>
      </c>
      <c r="BU9" s="145" t="s">
        <v>164</v>
      </c>
      <c r="BV9" s="145" t="s">
        <v>165</v>
      </c>
      <c r="BW9" s="145" t="s">
        <v>166</v>
      </c>
      <c r="BX9" s="145" t="s">
        <v>167</v>
      </c>
      <c r="BY9" s="145" t="s">
        <v>168</v>
      </c>
      <c r="BZ9" s="145" t="s">
        <v>169</v>
      </c>
      <c r="CA9" s="145" t="s">
        <v>170</v>
      </c>
      <c r="CB9" s="145" t="s">
        <v>171</v>
      </c>
      <c r="CC9" s="145" t="s">
        <v>172</v>
      </c>
      <c r="CD9" s="145" t="s">
        <v>173</v>
      </c>
      <c r="CE9" s="145" t="s">
        <v>174</v>
      </c>
      <c r="CF9" s="145" t="s">
        <v>175</v>
      </c>
      <c r="CG9" s="145" t="s">
        <v>176</v>
      </c>
      <c r="CH9" s="145" t="s">
        <v>177</v>
      </c>
      <c r="CI9" s="145" t="s">
        <v>178</v>
      </c>
      <c r="CJ9" s="145" t="s">
        <v>179</v>
      </c>
      <c r="CK9" s="145" t="s">
        <v>180</v>
      </c>
    </row>
    <row r="10" spans="1:91" s="155" customFormat="1" x14ac:dyDescent="0.2">
      <c r="A10" s="645"/>
      <c r="B10" s="646"/>
      <c r="C10" s="156" t="s">
        <v>156</v>
      </c>
      <c r="D10" s="156"/>
      <c r="E10" s="156"/>
      <c r="F10" s="157">
        <v>43831</v>
      </c>
      <c r="G10" s="157">
        <v>43862</v>
      </c>
      <c r="H10" s="157">
        <v>43891</v>
      </c>
      <c r="I10" s="157">
        <v>43922</v>
      </c>
      <c r="J10" s="157">
        <v>43952</v>
      </c>
      <c r="K10" s="157">
        <v>43983</v>
      </c>
      <c r="L10" s="157">
        <v>44013</v>
      </c>
      <c r="M10" s="157">
        <v>44044</v>
      </c>
      <c r="N10" s="157">
        <v>44075</v>
      </c>
      <c r="O10" s="157">
        <v>44105</v>
      </c>
      <c r="P10" s="157">
        <v>44136</v>
      </c>
      <c r="Q10" s="157">
        <v>44166</v>
      </c>
      <c r="R10" s="157">
        <v>44197</v>
      </c>
      <c r="S10" s="157">
        <v>44228</v>
      </c>
      <c r="T10" s="157">
        <v>44256</v>
      </c>
      <c r="U10" s="157">
        <v>44287</v>
      </c>
      <c r="V10" s="157">
        <v>44317</v>
      </c>
      <c r="W10" s="157">
        <v>44348</v>
      </c>
      <c r="X10" s="157">
        <v>44378</v>
      </c>
      <c r="Y10" s="157">
        <v>44409</v>
      </c>
      <c r="Z10" s="157">
        <v>44440</v>
      </c>
      <c r="AA10" s="157">
        <v>44470</v>
      </c>
      <c r="AB10" s="157">
        <v>44501</v>
      </c>
      <c r="AC10" s="157">
        <v>44531</v>
      </c>
      <c r="AD10" s="157">
        <v>44562</v>
      </c>
      <c r="AE10" s="157">
        <v>44593</v>
      </c>
      <c r="AF10" s="157">
        <v>44621</v>
      </c>
      <c r="AG10" s="157">
        <v>44652</v>
      </c>
      <c r="AH10" s="157">
        <v>44682</v>
      </c>
      <c r="AI10" s="157">
        <v>44713</v>
      </c>
      <c r="AJ10" s="157">
        <v>44743</v>
      </c>
      <c r="AK10" s="157">
        <v>44774</v>
      </c>
      <c r="AL10" s="157">
        <v>44805</v>
      </c>
      <c r="AM10" s="157">
        <v>44835</v>
      </c>
      <c r="AN10" s="157">
        <v>44866</v>
      </c>
      <c r="AO10" s="157">
        <v>44896</v>
      </c>
      <c r="AP10" s="157">
        <v>44927</v>
      </c>
      <c r="AQ10" s="157">
        <v>44958</v>
      </c>
      <c r="AR10" s="157">
        <v>44986</v>
      </c>
      <c r="AS10" s="157">
        <v>45017</v>
      </c>
      <c r="AT10" s="157">
        <v>45047</v>
      </c>
      <c r="AU10" s="157">
        <v>45078</v>
      </c>
      <c r="AV10" s="157">
        <v>45108</v>
      </c>
      <c r="AW10" s="157">
        <v>45139</v>
      </c>
      <c r="AX10" s="157">
        <v>45170</v>
      </c>
      <c r="AY10" s="157">
        <v>45200</v>
      </c>
      <c r="AZ10" s="157">
        <v>45231</v>
      </c>
      <c r="BA10" s="157">
        <v>45261</v>
      </c>
      <c r="BB10" s="157">
        <v>45292</v>
      </c>
      <c r="BC10" s="157">
        <v>45323</v>
      </c>
      <c r="BD10" s="157">
        <v>45352</v>
      </c>
      <c r="BE10" s="157">
        <v>45383</v>
      </c>
      <c r="BF10" s="157">
        <v>45413</v>
      </c>
      <c r="BG10" s="157">
        <v>45444</v>
      </c>
      <c r="BH10" s="157">
        <v>45474</v>
      </c>
      <c r="BI10" s="157">
        <v>45505</v>
      </c>
      <c r="BJ10" s="157">
        <v>45536</v>
      </c>
      <c r="BK10" s="157">
        <v>45566</v>
      </c>
      <c r="BL10" s="157">
        <v>45597</v>
      </c>
      <c r="BM10" s="157">
        <v>45627</v>
      </c>
      <c r="BN10" s="157">
        <v>45658</v>
      </c>
      <c r="BO10" s="157">
        <v>45689</v>
      </c>
      <c r="BP10" s="157">
        <v>45717</v>
      </c>
      <c r="BQ10" s="157">
        <v>45748</v>
      </c>
      <c r="BR10" s="157">
        <v>45778</v>
      </c>
      <c r="BS10" s="157">
        <v>45809</v>
      </c>
      <c r="BT10" s="157">
        <v>45839</v>
      </c>
      <c r="BU10" s="157">
        <v>45870</v>
      </c>
      <c r="BV10" s="157">
        <v>45901</v>
      </c>
      <c r="BW10" s="157">
        <v>45931</v>
      </c>
      <c r="BX10" s="157">
        <v>45962</v>
      </c>
      <c r="BY10" s="157">
        <v>45992</v>
      </c>
      <c r="BZ10" s="157">
        <v>46023</v>
      </c>
      <c r="CA10" s="157">
        <v>46054</v>
      </c>
      <c r="CB10" s="157">
        <v>46082</v>
      </c>
      <c r="CC10" s="157">
        <v>46113</v>
      </c>
      <c r="CD10" s="157">
        <v>46143</v>
      </c>
      <c r="CE10" s="157">
        <v>46174</v>
      </c>
      <c r="CF10" s="157">
        <v>46204</v>
      </c>
      <c r="CG10" s="157">
        <v>46235</v>
      </c>
      <c r="CH10" s="157">
        <v>46266</v>
      </c>
      <c r="CI10" s="157">
        <v>46296</v>
      </c>
      <c r="CJ10" s="157">
        <v>46327</v>
      </c>
      <c r="CK10" s="157">
        <v>46357</v>
      </c>
      <c r="CL10" s="150"/>
    </row>
    <row r="11" spans="1:91" s="158" customFormat="1" x14ac:dyDescent="0.2">
      <c r="A11" s="72">
        <f>+'4. CC D'!A8</f>
        <v>0</v>
      </c>
      <c r="B11" s="73" t="str">
        <f>+'4. CC D'!B8</f>
        <v>Programa de Mejoramiento y conservación de Corredores Viales</v>
      </c>
      <c r="C11" s="76">
        <f>+'3. PEP'!G25</f>
        <v>185000000.00000003</v>
      </c>
      <c r="D11" s="76">
        <f>+'3. PEP'!H25</f>
        <v>49999999.999999985</v>
      </c>
      <c r="E11" s="76">
        <f>+'3. PEP'!I25</f>
        <v>235000000</v>
      </c>
      <c r="F11" s="76">
        <f t="shared" ref="F11:AK11" si="0">+F12+F38</f>
        <v>29722.222222222223</v>
      </c>
      <c r="G11" s="76">
        <f t="shared" si="0"/>
        <v>29722.222222222223</v>
      </c>
      <c r="H11" s="76">
        <f t="shared" si="0"/>
        <v>29722.222222222223</v>
      </c>
      <c r="I11" s="76">
        <f t="shared" si="0"/>
        <v>79722.222222222219</v>
      </c>
      <c r="J11" s="76">
        <f t="shared" si="0"/>
        <v>29722.222222222223</v>
      </c>
      <c r="K11" s="76">
        <f t="shared" si="0"/>
        <v>29722.222222222223</v>
      </c>
      <c r="L11" s="76">
        <f t="shared" si="0"/>
        <v>32013541.131222222</v>
      </c>
      <c r="M11" s="76">
        <f t="shared" si="0"/>
        <v>3473908.9949222221</v>
      </c>
      <c r="N11" s="76">
        <f t="shared" si="0"/>
        <v>4116658.077874722</v>
      </c>
      <c r="O11" s="76">
        <f t="shared" si="0"/>
        <v>4759407.1608272223</v>
      </c>
      <c r="P11" s="76">
        <f t="shared" si="0"/>
        <v>4809407.1608272223</v>
      </c>
      <c r="Q11" s="76">
        <f t="shared" si="0"/>
        <v>5488756.2437797217</v>
      </c>
      <c r="R11" s="76">
        <f t="shared" si="0"/>
        <v>6158905.326732222</v>
      </c>
      <c r="S11" s="76">
        <f t="shared" si="0"/>
        <v>6094905.326732222</v>
      </c>
      <c r="T11" s="76">
        <f t="shared" si="0"/>
        <v>6737654.4096847223</v>
      </c>
      <c r="U11" s="76">
        <f t="shared" si="0"/>
        <v>7485402.4926372226</v>
      </c>
      <c r="V11" s="76">
        <f t="shared" si="0"/>
        <v>7330402.4926372226</v>
      </c>
      <c r="W11" s="76">
        <f t="shared" si="0"/>
        <v>7330402.4926372226</v>
      </c>
      <c r="X11" s="76">
        <f t="shared" si="0"/>
        <v>9957555.4255897216</v>
      </c>
      <c r="Y11" s="76">
        <f t="shared" si="0"/>
        <v>9258649.7414947208</v>
      </c>
      <c r="Z11" s="76">
        <f t="shared" si="0"/>
        <v>9258649.7414947208</v>
      </c>
      <c r="AA11" s="76">
        <f t="shared" si="0"/>
        <v>8615900.6585422214</v>
      </c>
      <c r="AB11" s="76">
        <f t="shared" si="0"/>
        <v>8615900.6585422214</v>
      </c>
      <c r="AC11" s="76">
        <f t="shared" si="0"/>
        <v>6749254.4096847223</v>
      </c>
      <c r="AD11" s="76">
        <f t="shared" si="0"/>
        <v>14442294.709684722</v>
      </c>
      <c r="AE11" s="76">
        <f t="shared" si="0"/>
        <v>6187690.6337797213</v>
      </c>
      <c r="AF11" s="76">
        <f t="shared" si="0"/>
        <v>3765244.2374697221</v>
      </c>
      <c r="AG11" s="76">
        <f t="shared" si="0"/>
        <v>3107697.007064722</v>
      </c>
      <c r="AH11" s="76">
        <f t="shared" si="0"/>
        <v>2628297.007064722</v>
      </c>
      <c r="AI11" s="76">
        <f t="shared" si="0"/>
        <v>2751846.9425647217</v>
      </c>
      <c r="AJ11" s="76">
        <f t="shared" si="0"/>
        <v>3150396.8780647214</v>
      </c>
      <c r="AK11" s="76">
        <f t="shared" si="0"/>
        <v>1517138.2691158394</v>
      </c>
      <c r="AL11" s="76">
        <f t="shared" ref="AL11:BQ11" si="1">+AL12+AL38</f>
        <v>1665688.2046158393</v>
      </c>
      <c r="AM11" s="76">
        <f t="shared" si="1"/>
        <v>2064238.1401158397</v>
      </c>
      <c r="AN11" s="76">
        <f t="shared" si="1"/>
        <v>1814238.1401158397</v>
      </c>
      <c r="AO11" s="76">
        <f t="shared" si="1"/>
        <v>1850838.1401158397</v>
      </c>
      <c r="AP11" s="76">
        <f t="shared" si="1"/>
        <v>2511948.8533936171</v>
      </c>
      <c r="AQ11" s="76">
        <f t="shared" si="1"/>
        <v>2495048.7243936174</v>
      </c>
      <c r="AR11" s="76">
        <f t="shared" si="1"/>
        <v>2495048.7243936174</v>
      </c>
      <c r="AS11" s="76">
        <f t="shared" si="1"/>
        <v>2596498.7888936177</v>
      </c>
      <c r="AT11" s="76">
        <f t="shared" si="1"/>
        <v>2575898.7888936177</v>
      </c>
      <c r="AU11" s="76">
        <f t="shared" si="1"/>
        <v>1900848.982393617</v>
      </c>
      <c r="AV11" s="76">
        <f t="shared" si="1"/>
        <v>2150848.9823936168</v>
      </c>
      <c r="AW11" s="76">
        <f t="shared" si="1"/>
        <v>1603749.1113936172</v>
      </c>
      <c r="AX11" s="76">
        <f t="shared" si="1"/>
        <v>1009549.3693936171</v>
      </c>
      <c r="AY11" s="76">
        <f t="shared" si="1"/>
        <v>962449.49839361699</v>
      </c>
      <c r="AZ11" s="76">
        <f t="shared" si="1"/>
        <v>712449.49839361699</v>
      </c>
      <c r="BA11" s="76">
        <f t="shared" si="1"/>
        <v>749049.49839361699</v>
      </c>
      <c r="BB11" s="76">
        <f t="shared" si="1"/>
        <v>1026449.498393617</v>
      </c>
      <c r="BC11" s="76">
        <f t="shared" si="1"/>
        <v>468378.55775075988</v>
      </c>
      <c r="BD11" s="76">
        <f t="shared" si="1"/>
        <v>468378.55775075988</v>
      </c>
      <c r="BE11" s="76">
        <f t="shared" si="1"/>
        <v>947778.55775075988</v>
      </c>
      <c r="BF11" s="76">
        <f t="shared" si="1"/>
        <v>468378.55775075988</v>
      </c>
      <c r="BG11" s="76">
        <f t="shared" si="1"/>
        <v>468378.55775075988</v>
      </c>
      <c r="BH11" s="76">
        <f t="shared" si="1"/>
        <v>718378.55775075988</v>
      </c>
      <c r="BI11" s="76">
        <f t="shared" si="1"/>
        <v>468378.55775075988</v>
      </c>
      <c r="BJ11" s="76">
        <f t="shared" si="1"/>
        <v>482378.55775075988</v>
      </c>
      <c r="BK11" s="76">
        <f t="shared" si="1"/>
        <v>718378.55775075988</v>
      </c>
      <c r="BL11" s="76">
        <f t="shared" si="1"/>
        <v>504978.55775075988</v>
      </c>
      <c r="BM11" s="76">
        <f t="shared" si="1"/>
        <v>468378.55775075988</v>
      </c>
      <c r="BN11" s="76">
        <f t="shared" si="1"/>
        <v>718378.55775075988</v>
      </c>
      <c r="BO11" s="76">
        <f t="shared" si="1"/>
        <v>518378.55775075988</v>
      </c>
      <c r="BP11" s="76">
        <f t="shared" si="1"/>
        <v>468378.55775075988</v>
      </c>
      <c r="BQ11" s="76">
        <f t="shared" si="1"/>
        <v>823378.55775075988</v>
      </c>
      <c r="BR11" s="76">
        <f t="shared" ref="BR11:CK11" si="2">+BR12+BR38</f>
        <v>592778.55775075988</v>
      </c>
      <c r="BS11" s="76">
        <f t="shared" si="2"/>
        <v>468378.55775075988</v>
      </c>
      <c r="BT11" s="76">
        <f t="shared" si="2"/>
        <v>743378.55775075988</v>
      </c>
      <c r="BU11" s="76">
        <f t="shared" si="2"/>
        <v>493378.55775075988</v>
      </c>
      <c r="BV11" s="76">
        <f t="shared" si="2"/>
        <v>493378.55775075988</v>
      </c>
      <c r="BW11" s="76">
        <f t="shared" si="2"/>
        <v>743378.55775075988</v>
      </c>
      <c r="BX11" s="76">
        <f t="shared" si="2"/>
        <v>493378.55775075988</v>
      </c>
      <c r="BY11" s="76">
        <f t="shared" si="2"/>
        <v>493378.55775075988</v>
      </c>
      <c r="BZ11" s="76">
        <f t="shared" si="2"/>
        <v>842778.55775075988</v>
      </c>
      <c r="CA11" s="76">
        <f t="shared" si="2"/>
        <v>518378.55775075988</v>
      </c>
      <c r="CB11" s="76">
        <f t="shared" si="2"/>
        <v>468378.55775075988</v>
      </c>
      <c r="CC11" s="76">
        <f t="shared" si="2"/>
        <v>718378.55775075988</v>
      </c>
      <c r="CD11" s="76">
        <f t="shared" si="2"/>
        <v>468378.55775075988</v>
      </c>
      <c r="CE11" s="76">
        <f t="shared" si="2"/>
        <v>468378.55775075988</v>
      </c>
      <c r="CF11" s="76">
        <f t="shared" si="2"/>
        <v>335696.64285714284</v>
      </c>
      <c r="CG11" s="76">
        <f t="shared" si="2"/>
        <v>335696.64285714284</v>
      </c>
      <c r="CH11" s="76">
        <f t="shared" si="2"/>
        <v>335696.64285714284</v>
      </c>
      <c r="CI11" s="76">
        <f t="shared" si="2"/>
        <v>335696.64285714284</v>
      </c>
      <c r="CJ11" s="76">
        <f t="shared" si="2"/>
        <v>335696.64285714284</v>
      </c>
      <c r="CK11" s="76">
        <f t="shared" si="2"/>
        <v>335696.64285714284</v>
      </c>
      <c r="CL11" s="76">
        <f>+CL12+CL38</f>
        <v>234999999.94000009</v>
      </c>
      <c r="CM11" s="76">
        <f>E11-CL11</f>
        <v>5.9999912977218628E-2</v>
      </c>
    </row>
    <row r="12" spans="1:91" s="161" customFormat="1" x14ac:dyDescent="0.2">
      <c r="A12" s="159" t="str">
        <f>+'4. CC D'!A9</f>
        <v>1.</v>
      </c>
      <c r="B12" s="160" t="str">
        <f>+'4. CC D'!B9</f>
        <v>Componente Unico Obras civiles</v>
      </c>
      <c r="C12" s="81">
        <f>+'3. PEP'!G26</f>
        <v>180670212.76595747</v>
      </c>
      <c r="D12" s="81">
        <f>+'3. PEP'!H26</f>
        <v>48829787.23404254</v>
      </c>
      <c r="E12" s="81">
        <f>+'3. PEP'!I26</f>
        <v>229500000</v>
      </c>
      <c r="F12" s="81">
        <f>+F13+F21+F31+F33+F36</f>
        <v>29722.222222222223</v>
      </c>
      <c r="G12" s="81">
        <f t="shared" ref="G12:BR12" si="3">+G13+G21+G31+G33+G36</f>
        <v>29722.222222222223</v>
      </c>
      <c r="H12" s="81">
        <f t="shared" si="3"/>
        <v>29722.222222222223</v>
      </c>
      <c r="I12" s="81">
        <f t="shared" si="3"/>
        <v>29722.222222222223</v>
      </c>
      <c r="J12" s="81">
        <f t="shared" si="3"/>
        <v>29722.222222222223</v>
      </c>
      <c r="K12" s="81">
        <f t="shared" si="3"/>
        <v>29722.222222222223</v>
      </c>
      <c r="L12" s="81">
        <f t="shared" si="3"/>
        <v>32013541.131222222</v>
      </c>
      <c r="M12" s="81">
        <f t="shared" si="3"/>
        <v>3473908.9949222221</v>
      </c>
      <c r="N12" s="81">
        <f t="shared" si="3"/>
        <v>4116658.077874722</v>
      </c>
      <c r="O12" s="81">
        <f t="shared" si="3"/>
        <v>4759407.1608272223</v>
      </c>
      <c r="P12" s="81">
        <f t="shared" si="3"/>
        <v>4759407.1608272223</v>
      </c>
      <c r="Q12" s="81">
        <f t="shared" si="3"/>
        <v>5438756.2437797217</v>
      </c>
      <c r="R12" s="81">
        <f t="shared" si="3"/>
        <v>6058905.326732222</v>
      </c>
      <c r="S12" s="81">
        <f t="shared" si="3"/>
        <v>6044905.326732222</v>
      </c>
      <c r="T12" s="81">
        <f t="shared" si="3"/>
        <v>6687654.4096847223</v>
      </c>
      <c r="U12" s="81">
        <f t="shared" si="3"/>
        <v>7435402.4926372226</v>
      </c>
      <c r="V12" s="81">
        <f t="shared" si="3"/>
        <v>7330402.4926372226</v>
      </c>
      <c r="W12" s="81">
        <f t="shared" si="3"/>
        <v>7330402.4926372226</v>
      </c>
      <c r="X12" s="81">
        <f t="shared" si="3"/>
        <v>9957555.4255897216</v>
      </c>
      <c r="Y12" s="81">
        <f t="shared" si="3"/>
        <v>9258649.7414947208</v>
      </c>
      <c r="Z12" s="81">
        <f t="shared" si="3"/>
        <v>9258649.7414947208</v>
      </c>
      <c r="AA12" s="81">
        <f t="shared" si="3"/>
        <v>8615900.6585422214</v>
      </c>
      <c r="AB12" s="81">
        <f t="shared" si="3"/>
        <v>8615900.6585422214</v>
      </c>
      <c r="AC12" s="81">
        <f t="shared" si="3"/>
        <v>6724254.4096847223</v>
      </c>
      <c r="AD12" s="81">
        <f t="shared" si="3"/>
        <v>14117294.709684722</v>
      </c>
      <c r="AE12" s="81">
        <f t="shared" si="3"/>
        <v>6162690.6337797213</v>
      </c>
      <c r="AF12" s="81">
        <f t="shared" si="3"/>
        <v>3740244.2374697221</v>
      </c>
      <c r="AG12" s="81">
        <f t="shared" si="3"/>
        <v>2832697.007064722</v>
      </c>
      <c r="AH12" s="81">
        <f t="shared" si="3"/>
        <v>2603297.007064722</v>
      </c>
      <c r="AI12" s="81">
        <f t="shared" si="3"/>
        <v>2751846.9425647217</v>
      </c>
      <c r="AJ12" s="81">
        <f t="shared" si="3"/>
        <v>2900396.8780647214</v>
      </c>
      <c r="AK12" s="81">
        <f t="shared" si="3"/>
        <v>1517138.2691158394</v>
      </c>
      <c r="AL12" s="81">
        <f t="shared" si="3"/>
        <v>1665688.2046158393</v>
      </c>
      <c r="AM12" s="81">
        <f t="shared" si="3"/>
        <v>1814238.1401158397</v>
      </c>
      <c r="AN12" s="81">
        <f t="shared" si="3"/>
        <v>1814238.1401158397</v>
      </c>
      <c r="AO12" s="81">
        <f t="shared" si="3"/>
        <v>1850838.1401158397</v>
      </c>
      <c r="AP12" s="81">
        <f t="shared" si="3"/>
        <v>2211948.8533936171</v>
      </c>
      <c r="AQ12" s="81">
        <f t="shared" si="3"/>
        <v>2495048.7243936174</v>
      </c>
      <c r="AR12" s="81">
        <f t="shared" si="3"/>
        <v>2495048.7243936174</v>
      </c>
      <c r="AS12" s="81">
        <f t="shared" si="3"/>
        <v>2346498.7888936177</v>
      </c>
      <c r="AT12" s="81">
        <f t="shared" si="3"/>
        <v>2575898.7888936177</v>
      </c>
      <c r="AU12" s="81">
        <f t="shared" si="3"/>
        <v>1900848.982393617</v>
      </c>
      <c r="AV12" s="81">
        <f t="shared" si="3"/>
        <v>1900848.982393617</v>
      </c>
      <c r="AW12" s="81">
        <f t="shared" si="3"/>
        <v>1603749.1113936172</v>
      </c>
      <c r="AX12" s="81">
        <f t="shared" si="3"/>
        <v>1009549.3693936171</v>
      </c>
      <c r="AY12" s="81">
        <f t="shared" si="3"/>
        <v>712449.49839361699</v>
      </c>
      <c r="AZ12" s="81">
        <f t="shared" si="3"/>
        <v>712449.49839361699</v>
      </c>
      <c r="BA12" s="81">
        <f t="shared" si="3"/>
        <v>749049.49839361699</v>
      </c>
      <c r="BB12" s="81">
        <f t="shared" si="3"/>
        <v>726449.49839361699</v>
      </c>
      <c r="BC12" s="81">
        <f t="shared" si="3"/>
        <v>468378.55775075988</v>
      </c>
      <c r="BD12" s="81">
        <f t="shared" si="3"/>
        <v>468378.55775075988</v>
      </c>
      <c r="BE12" s="81">
        <f t="shared" si="3"/>
        <v>697778.55775075988</v>
      </c>
      <c r="BF12" s="81">
        <f t="shared" si="3"/>
        <v>468378.55775075988</v>
      </c>
      <c r="BG12" s="81">
        <f t="shared" si="3"/>
        <v>468378.55775075988</v>
      </c>
      <c r="BH12" s="81">
        <f t="shared" si="3"/>
        <v>468378.55775075988</v>
      </c>
      <c r="BI12" s="81">
        <f t="shared" si="3"/>
        <v>468378.55775075988</v>
      </c>
      <c r="BJ12" s="81">
        <f t="shared" si="3"/>
        <v>482378.55775075988</v>
      </c>
      <c r="BK12" s="81">
        <f t="shared" si="3"/>
        <v>468378.55775075988</v>
      </c>
      <c r="BL12" s="81">
        <f t="shared" si="3"/>
        <v>504978.55775075988</v>
      </c>
      <c r="BM12" s="81">
        <f t="shared" si="3"/>
        <v>468378.55775075988</v>
      </c>
      <c r="BN12" s="81">
        <f t="shared" si="3"/>
        <v>468378.55775075988</v>
      </c>
      <c r="BO12" s="81">
        <f t="shared" si="3"/>
        <v>468378.55775075988</v>
      </c>
      <c r="BP12" s="81">
        <f t="shared" si="3"/>
        <v>468378.55775075988</v>
      </c>
      <c r="BQ12" s="81">
        <f t="shared" si="3"/>
        <v>573378.55775075988</v>
      </c>
      <c r="BR12" s="81">
        <f t="shared" si="3"/>
        <v>592778.55775075988</v>
      </c>
      <c r="BS12" s="81">
        <f t="shared" ref="BS12:CK12" si="4">+BS13+BS21+BS31+BS33+BS36</f>
        <v>468378.55775075988</v>
      </c>
      <c r="BT12" s="81">
        <f t="shared" si="4"/>
        <v>468378.55775075988</v>
      </c>
      <c r="BU12" s="81">
        <f t="shared" si="4"/>
        <v>468378.55775075988</v>
      </c>
      <c r="BV12" s="81">
        <f t="shared" si="4"/>
        <v>468378.55775075988</v>
      </c>
      <c r="BW12" s="81">
        <f t="shared" si="4"/>
        <v>468378.55775075988</v>
      </c>
      <c r="BX12" s="81">
        <f t="shared" si="4"/>
        <v>468378.55775075988</v>
      </c>
      <c r="BY12" s="81">
        <f t="shared" si="4"/>
        <v>468378.55775075988</v>
      </c>
      <c r="BZ12" s="81">
        <f t="shared" si="4"/>
        <v>592778.55775075988</v>
      </c>
      <c r="CA12" s="81">
        <f t="shared" si="4"/>
        <v>468378.55775075988</v>
      </c>
      <c r="CB12" s="81">
        <f t="shared" si="4"/>
        <v>468378.55775075988</v>
      </c>
      <c r="CC12" s="81">
        <f t="shared" si="4"/>
        <v>468378.55775075988</v>
      </c>
      <c r="CD12" s="81">
        <f t="shared" si="4"/>
        <v>468378.55775075988</v>
      </c>
      <c r="CE12" s="81">
        <f t="shared" si="4"/>
        <v>468378.55775075988</v>
      </c>
      <c r="CF12" s="81">
        <f t="shared" si="4"/>
        <v>335696.64285714284</v>
      </c>
      <c r="CG12" s="81">
        <f t="shared" si="4"/>
        <v>335696.64285714284</v>
      </c>
      <c r="CH12" s="81">
        <f t="shared" si="4"/>
        <v>335696.64285714284</v>
      </c>
      <c r="CI12" s="81">
        <f t="shared" si="4"/>
        <v>335696.64285714284</v>
      </c>
      <c r="CJ12" s="81">
        <f t="shared" si="4"/>
        <v>335696.64285714284</v>
      </c>
      <c r="CK12" s="81">
        <f t="shared" si="4"/>
        <v>335696.64285714284</v>
      </c>
      <c r="CL12" s="81">
        <f>+CL13+CL21+CL31+CL33+CL36</f>
        <v>229499999.94000009</v>
      </c>
    </row>
    <row r="13" spans="1:91" s="161" customFormat="1" ht="25.5" x14ac:dyDescent="0.2">
      <c r="A13" s="94">
        <f>+'4. CC D'!A10</f>
        <v>1.1000000000000001</v>
      </c>
      <c r="B13" s="82" t="str">
        <f>+'4. CC D'!B10</f>
        <v>Producto 1: 270,42 Km de carreteras de la red vial de caminos departamentales y nacionales pavimentados y mantenidos por el programa</v>
      </c>
      <c r="C13" s="85">
        <f>+'3. PEP'!G27</f>
        <v>167154358.50106382</v>
      </c>
      <c r="D13" s="85">
        <f>+'3. PEP'!H27</f>
        <v>45176853.648936167</v>
      </c>
      <c r="E13" s="85">
        <f>+'3. PEP'!I27</f>
        <v>212331212.15000001</v>
      </c>
      <c r="F13" s="85">
        <f>SUM(F14:F20)</f>
        <v>0</v>
      </c>
      <c r="G13" s="85">
        <f t="shared" ref="G13:BR13" si="5">SUM(G14:G20)</f>
        <v>0</v>
      </c>
      <c r="H13" s="85">
        <f t="shared" si="5"/>
        <v>0</v>
      </c>
      <c r="I13" s="85">
        <f t="shared" si="5"/>
        <v>0</v>
      </c>
      <c r="J13" s="85">
        <f t="shared" si="5"/>
        <v>0</v>
      </c>
      <c r="K13" s="85">
        <f t="shared" si="5"/>
        <v>0</v>
      </c>
      <c r="L13" s="85">
        <f t="shared" si="5"/>
        <v>31983818.908999998</v>
      </c>
      <c r="M13" s="85">
        <f t="shared" si="5"/>
        <v>3444186.7727000001</v>
      </c>
      <c r="N13" s="85">
        <f t="shared" si="5"/>
        <v>4086935.8556524999</v>
      </c>
      <c r="O13" s="85">
        <f t="shared" si="5"/>
        <v>4729684.9386050003</v>
      </c>
      <c r="P13" s="85">
        <f t="shared" si="5"/>
        <v>4729684.9386050003</v>
      </c>
      <c r="Q13" s="85">
        <f t="shared" si="5"/>
        <v>5372434.0215574997</v>
      </c>
      <c r="R13" s="85">
        <f t="shared" si="5"/>
        <v>6015183.10451</v>
      </c>
      <c r="S13" s="85">
        <f t="shared" si="5"/>
        <v>6015183.10451</v>
      </c>
      <c r="T13" s="85">
        <f t="shared" si="5"/>
        <v>6657932.1874625003</v>
      </c>
      <c r="U13" s="85">
        <f t="shared" si="5"/>
        <v>7300680.2704150006</v>
      </c>
      <c r="V13" s="85">
        <f t="shared" si="5"/>
        <v>7300680.2704150006</v>
      </c>
      <c r="W13" s="85">
        <f t="shared" si="5"/>
        <v>7300680.2704150006</v>
      </c>
      <c r="X13" s="85">
        <f t="shared" si="5"/>
        <v>7943429.3533675</v>
      </c>
      <c r="Y13" s="85">
        <f t="shared" si="5"/>
        <v>9228927.5192724988</v>
      </c>
      <c r="Z13" s="85">
        <f t="shared" si="5"/>
        <v>9228927.5192724988</v>
      </c>
      <c r="AA13" s="85">
        <f t="shared" si="5"/>
        <v>8586178.4363199994</v>
      </c>
      <c r="AB13" s="85">
        <f t="shared" si="5"/>
        <v>8586178.4363199994</v>
      </c>
      <c r="AC13" s="85">
        <f t="shared" si="5"/>
        <v>6657932.1874625003</v>
      </c>
      <c r="AD13" s="85">
        <f t="shared" si="5"/>
        <v>14073572.4874625</v>
      </c>
      <c r="AE13" s="85">
        <f t="shared" si="5"/>
        <v>6132968.4115574993</v>
      </c>
      <c r="AF13" s="85">
        <f t="shared" si="5"/>
        <v>3710522.0152475</v>
      </c>
      <c r="AG13" s="85">
        <f t="shared" si="5"/>
        <v>2573574.7848425</v>
      </c>
      <c r="AH13" s="85">
        <f t="shared" si="5"/>
        <v>2573574.7848425</v>
      </c>
      <c r="AI13" s="85">
        <f t="shared" si="5"/>
        <v>2722124.7203424997</v>
      </c>
      <c r="AJ13" s="85">
        <f t="shared" si="5"/>
        <v>2870674.6558424993</v>
      </c>
      <c r="AK13" s="85">
        <f t="shared" si="5"/>
        <v>1487416.0468936171</v>
      </c>
      <c r="AL13" s="85">
        <f t="shared" si="5"/>
        <v>1635965.982393617</v>
      </c>
      <c r="AM13" s="85">
        <f t="shared" si="5"/>
        <v>1784515.9178936174</v>
      </c>
      <c r="AN13" s="85">
        <f t="shared" si="5"/>
        <v>1784515.9178936174</v>
      </c>
      <c r="AO13" s="85">
        <f t="shared" si="5"/>
        <v>1784515.9178936174</v>
      </c>
      <c r="AP13" s="85">
        <f t="shared" si="5"/>
        <v>1933065.8533936171</v>
      </c>
      <c r="AQ13" s="85">
        <f t="shared" ref="AQ13:BB13" si="6">SUM(AQ14:AQ20)</f>
        <v>2230165.7243936174</v>
      </c>
      <c r="AR13" s="85">
        <f t="shared" si="6"/>
        <v>2230165.7243936174</v>
      </c>
      <c r="AS13" s="85">
        <f t="shared" si="6"/>
        <v>2081615.7888936175</v>
      </c>
      <c r="AT13" s="85">
        <f t="shared" si="6"/>
        <v>2081615.7888936175</v>
      </c>
      <c r="AU13" s="85">
        <f t="shared" si="6"/>
        <v>1635965.982393617</v>
      </c>
      <c r="AV13" s="85">
        <f t="shared" si="6"/>
        <v>1635965.982393617</v>
      </c>
      <c r="AW13" s="85">
        <f t="shared" si="6"/>
        <v>1338866.1113936172</v>
      </c>
      <c r="AX13" s="85">
        <f t="shared" si="6"/>
        <v>744666.36939361715</v>
      </c>
      <c r="AY13" s="85">
        <f t="shared" si="6"/>
        <v>447566.49839361699</v>
      </c>
      <c r="AZ13" s="85">
        <f t="shared" si="6"/>
        <v>447566.49839361699</v>
      </c>
      <c r="BA13" s="85">
        <f t="shared" si="6"/>
        <v>447566.49839361699</v>
      </c>
      <c r="BB13" s="85">
        <f t="shared" si="6"/>
        <v>447566.49839361699</v>
      </c>
      <c r="BC13" s="85">
        <f t="shared" si="5"/>
        <v>203495.55775075988</v>
      </c>
      <c r="BD13" s="85">
        <f t="shared" si="5"/>
        <v>203495.55775075988</v>
      </c>
      <c r="BE13" s="85">
        <f t="shared" si="5"/>
        <v>203495.55775075988</v>
      </c>
      <c r="BF13" s="85">
        <f t="shared" si="5"/>
        <v>203495.55775075988</v>
      </c>
      <c r="BG13" s="85">
        <f t="shared" si="5"/>
        <v>203495.55775075988</v>
      </c>
      <c r="BH13" s="85">
        <f t="shared" si="5"/>
        <v>203495.55775075988</v>
      </c>
      <c r="BI13" s="85">
        <f t="shared" si="5"/>
        <v>203495.55775075988</v>
      </c>
      <c r="BJ13" s="85">
        <f t="shared" si="5"/>
        <v>203495.55775075988</v>
      </c>
      <c r="BK13" s="85">
        <f t="shared" si="5"/>
        <v>203495.55775075988</v>
      </c>
      <c r="BL13" s="85">
        <f t="shared" si="5"/>
        <v>203495.55775075988</v>
      </c>
      <c r="BM13" s="85">
        <f t="shared" si="5"/>
        <v>203495.55775075988</v>
      </c>
      <c r="BN13" s="85">
        <f t="shared" si="5"/>
        <v>203495.55775075988</v>
      </c>
      <c r="BO13" s="85">
        <f t="shared" si="5"/>
        <v>203495.55775075988</v>
      </c>
      <c r="BP13" s="85">
        <f t="shared" si="5"/>
        <v>203495.55775075988</v>
      </c>
      <c r="BQ13" s="85">
        <f t="shared" si="5"/>
        <v>203495.55775075988</v>
      </c>
      <c r="BR13" s="85">
        <f t="shared" si="5"/>
        <v>203495.55775075988</v>
      </c>
      <c r="BS13" s="85">
        <f t="shared" ref="BS13:CK13" si="7">SUM(BS14:BS20)</f>
        <v>203495.55775075988</v>
      </c>
      <c r="BT13" s="85">
        <f t="shared" si="7"/>
        <v>203495.55775075988</v>
      </c>
      <c r="BU13" s="85">
        <f t="shared" si="7"/>
        <v>203495.55775075988</v>
      </c>
      <c r="BV13" s="85">
        <f t="shared" si="7"/>
        <v>203495.55775075988</v>
      </c>
      <c r="BW13" s="85">
        <f t="shared" si="7"/>
        <v>203495.55775075988</v>
      </c>
      <c r="BX13" s="85">
        <f t="shared" si="7"/>
        <v>203495.55775075988</v>
      </c>
      <c r="BY13" s="85">
        <f t="shared" si="7"/>
        <v>203495.55775075988</v>
      </c>
      <c r="BZ13" s="85">
        <f t="shared" si="7"/>
        <v>203495.55775075988</v>
      </c>
      <c r="CA13" s="85">
        <f t="shared" si="7"/>
        <v>203495.55775075988</v>
      </c>
      <c r="CB13" s="85">
        <f t="shared" si="7"/>
        <v>203495.55775075988</v>
      </c>
      <c r="CC13" s="85">
        <f t="shared" si="7"/>
        <v>203495.55775075988</v>
      </c>
      <c r="CD13" s="85">
        <f t="shared" si="7"/>
        <v>203495.55775075988</v>
      </c>
      <c r="CE13" s="85">
        <f t="shared" si="7"/>
        <v>203495.55775075988</v>
      </c>
      <c r="CF13" s="85">
        <f t="shared" si="7"/>
        <v>70813.642857142855</v>
      </c>
      <c r="CG13" s="85">
        <f t="shared" si="7"/>
        <v>70813.642857142855</v>
      </c>
      <c r="CH13" s="85">
        <f t="shared" si="7"/>
        <v>70813.642857142855</v>
      </c>
      <c r="CI13" s="85">
        <f t="shared" si="7"/>
        <v>70813.642857142855</v>
      </c>
      <c r="CJ13" s="85">
        <f t="shared" si="7"/>
        <v>70813.642857142855</v>
      </c>
      <c r="CK13" s="85">
        <f t="shared" si="7"/>
        <v>70813.642857142855</v>
      </c>
      <c r="CL13" s="85">
        <f>SUM(CL14:CL20)</f>
        <v>212331212.09000009</v>
      </c>
    </row>
    <row r="14" spans="1:91" s="161" customFormat="1" ht="48.75" customHeight="1" x14ac:dyDescent="0.2">
      <c r="A14" s="166" t="str">
        <f>+'3. PEP'!A28</f>
        <v>1.1.1</v>
      </c>
      <c r="B14" s="86" t="str">
        <f>+'3. PEP'!B28</f>
        <v>Contratación de Empresa Constructora para la Pavimentación  y mantenimiento del Tramo Cruce Pioneros (Ruta Nacional N° 9) – Paratodo, y accesos– Región Occidental (104 Km)</v>
      </c>
      <c r="C14" s="88">
        <f>+'3. PEP'!G28</f>
        <v>78058951.170212761</v>
      </c>
      <c r="D14" s="88">
        <f>+'3. PEP'!H28</f>
        <v>21097013.829787236</v>
      </c>
      <c r="E14" s="88">
        <f>+'3. PEP'!I28</f>
        <v>99155965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f>+'Paratodo-Douglas'!B51</f>
        <v>19176893</v>
      </c>
      <c r="M14" s="88">
        <f>+'Paratodo-Douglas'!C51</f>
        <v>1917689</v>
      </c>
      <c r="N14" s="88">
        <f>+'Paratodo-Douglas'!D51</f>
        <v>2301227</v>
      </c>
      <c r="O14" s="88">
        <f>+'Paratodo-Douglas'!E51</f>
        <v>2684765</v>
      </c>
      <c r="P14" s="88">
        <f>+'Paratodo-Douglas'!F51</f>
        <v>2684765</v>
      </c>
      <c r="Q14" s="88">
        <f>+'Paratodo-Douglas'!G51</f>
        <v>3068303</v>
      </c>
      <c r="R14" s="88">
        <f>+'Paratodo-Douglas'!H51</f>
        <v>3451841</v>
      </c>
      <c r="S14" s="88">
        <f>+'Paratodo-Douglas'!I51</f>
        <v>3451841</v>
      </c>
      <c r="T14" s="88">
        <f>+'Paratodo-Douglas'!J51</f>
        <v>3835379</v>
      </c>
      <c r="U14" s="88">
        <f>+'Paratodo-Douglas'!K51</f>
        <v>4218916</v>
      </c>
      <c r="V14" s="88">
        <f>+'Paratodo-Douglas'!L51</f>
        <v>4218916</v>
      </c>
      <c r="W14" s="88">
        <f>+'Paratodo-Douglas'!M51</f>
        <v>4218916</v>
      </c>
      <c r="X14" s="88">
        <f>+'Paratodo-Douglas'!N51</f>
        <v>4602454</v>
      </c>
      <c r="Y14" s="88">
        <f>+'Paratodo-Douglas'!O51</f>
        <v>5369530</v>
      </c>
      <c r="Z14" s="88">
        <f>+'Paratodo-Douglas'!P51</f>
        <v>5369530</v>
      </c>
      <c r="AA14" s="88">
        <f>+'Paratodo-Douglas'!Q51</f>
        <v>4985992</v>
      </c>
      <c r="AB14" s="88">
        <f>+'Paratodo-Douglas'!R51</f>
        <v>4985992</v>
      </c>
      <c r="AC14" s="88">
        <f>+'Paratodo-Douglas'!S51</f>
        <v>3835379</v>
      </c>
      <c r="AD14" s="88">
        <f>+'Paratodo-Douglas'!T51</f>
        <v>3835379</v>
      </c>
      <c r="AE14" s="88">
        <f>+'Paratodo-Douglas'!U51</f>
        <v>3068303</v>
      </c>
      <c r="AF14" s="88">
        <f>+'Paratodo-Douglas'!V51</f>
        <v>1534151</v>
      </c>
      <c r="AG14" s="88">
        <f>+'Paratodo-Douglas'!W51</f>
        <v>767076</v>
      </c>
      <c r="AH14" s="88">
        <f>+'Paratodo-Douglas'!X51</f>
        <v>767076</v>
      </c>
      <c r="AI14" s="88">
        <f>+'Paratodo-Douglas'!Y51</f>
        <v>767076</v>
      </c>
      <c r="AJ14" s="88">
        <f>+'Paratodo-Douglas'!Z51</f>
        <v>767076</v>
      </c>
      <c r="AK14" s="88">
        <f>+' Cuadro de Costos Detallado'!$E$6/47</f>
        <v>69606.382978723399</v>
      </c>
      <c r="AL14" s="88">
        <f>+' Cuadro de Costos Detallado'!$E$6/47</f>
        <v>69606.382978723399</v>
      </c>
      <c r="AM14" s="88">
        <f>+' Cuadro de Costos Detallado'!$E$6/47</f>
        <v>69606.382978723399</v>
      </c>
      <c r="AN14" s="88">
        <f>+' Cuadro de Costos Detallado'!$E$6/47</f>
        <v>69606.382978723399</v>
      </c>
      <c r="AO14" s="88">
        <f>+' Cuadro de Costos Detallado'!$E$6/47</f>
        <v>69606.382978723399</v>
      </c>
      <c r="AP14" s="88">
        <f>+' Cuadro de Costos Detallado'!$E$6/47</f>
        <v>69606.382978723399</v>
      </c>
      <c r="AQ14" s="88">
        <f>+' Cuadro de Costos Detallado'!$E$6/47</f>
        <v>69606.382978723399</v>
      </c>
      <c r="AR14" s="88">
        <f>+' Cuadro de Costos Detallado'!$E$6/47</f>
        <v>69606.382978723399</v>
      </c>
      <c r="AS14" s="88">
        <f>+' Cuadro de Costos Detallado'!$E$6/47</f>
        <v>69606.382978723399</v>
      </c>
      <c r="AT14" s="88">
        <f>+' Cuadro de Costos Detallado'!$E$6/47</f>
        <v>69606.382978723399</v>
      </c>
      <c r="AU14" s="88">
        <f>+' Cuadro de Costos Detallado'!$E$6/47</f>
        <v>69606.382978723399</v>
      </c>
      <c r="AV14" s="88">
        <f>+' Cuadro de Costos Detallado'!$E$6/47</f>
        <v>69606.382978723399</v>
      </c>
      <c r="AW14" s="88">
        <f>+' Cuadro de Costos Detallado'!$E$6/47</f>
        <v>69606.382978723399</v>
      </c>
      <c r="AX14" s="88">
        <f>+' Cuadro de Costos Detallado'!$E$6/47</f>
        <v>69606.382978723399</v>
      </c>
      <c r="AY14" s="88">
        <f>+' Cuadro de Costos Detallado'!$E$6/47</f>
        <v>69606.382978723399</v>
      </c>
      <c r="AZ14" s="88">
        <f>+' Cuadro de Costos Detallado'!$E$6/47</f>
        <v>69606.382978723399</v>
      </c>
      <c r="BA14" s="88">
        <f>+' Cuadro de Costos Detallado'!$E$6/47</f>
        <v>69606.382978723399</v>
      </c>
      <c r="BB14" s="88">
        <f>+' Cuadro de Costos Detallado'!$E$6/47</f>
        <v>69606.382978723399</v>
      </c>
      <c r="BC14" s="88">
        <f>+' Cuadro de Costos Detallado'!$E$6/47</f>
        <v>69606.382978723399</v>
      </c>
      <c r="BD14" s="88">
        <f>+' Cuadro de Costos Detallado'!$E$6/47</f>
        <v>69606.382978723399</v>
      </c>
      <c r="BE14" s="88">
        <f>+' Cuadro de Costos Detallado'!$E$6/47</f>
        <v>69606.382978723399</v>
      </c>
      <c r="BF14" s="88">
        <f>+' Cuadro de Costos Detallado'!$E$6/47</f>
        <v>69606.382978723399</v>
      </c>
      <c r="BG14" s="88">
        <f>+' Cuadro de Costos Detallado'!$E$6/47</f>
        <v>69606.382978723399</v>
      </c>
      <c r="BH14" s="88">
        <f>+' Cuadro de Costos Detallado'!$E$6/47</f>
        <v>69606.382978723399</v>
      </c>
      <c r="BI14" s="88">
        <f>+' Cuadro de Costos Detallado'!$E$6/47</f>
        <v>69606.382978723399</v>
      </c>
      <c r="BJ14" s="88">
        <f>+' Cuadro de Costos Detallado'!$E$6/47</f>
        <v>69606.382978723399</v>
      </c>
      <c r="BK14" s="88">
        <f>+' Cuadro de Costos Detallado'!$E$6/47</f>
        <v>69606.382978723399</v>
      </c>
      <c r="BL14" s="88">
        <f>+' Cuadro de Costos Detallado'!$E$6/47</f>
        <v>69606.382978723399</v>
      </c>
      <c r="BM14" s="88">
        <f>+' Cuadro de Costos Detallado'!$E$6/47</f>
        <v>69606.382978723399</v>
      </c>
      <c r="BN14" s="88">
        <f>+' Cuadro de Costos Detallado'!$E$6/47</f>
        <v>69606.382978723399</v>
      </c>
      <c r="BO14" s="88">
        <f>+' Cuadro de Costos Detallado'!$E$6/47</f>
        <v>69606.382978723399</v>
      </c>
      <c r="BP14" s="88">
        <f>+' Cuadro de Costos Detallado'!$E$6/47</f>
        <v>69606.382978723399</v>
      </c>
      <c r="BQ14" s="88">
        <f>+' Cuadro de Costos Detallado'!$E$6/47</f>
        <v>69606.382978723399</v>
      </c>
      <c r="BR14" s="88">
        <f>+' Cuadro de Costos Detallado'!$E$6/47</f>
        <v>69606.382978723399</v>
      </c>
      <c r="BS14" s="88">
        <f>+' Cuadro de Costos Detallado'!$E$6/47</f>
        <v>69606.382978723399</v>
      </c>
      <c r="BT14" s="88">
        <f>+' Cuadro de Costos Detallado'!$E$6/47</f>
        <v>69606.382978723399</v>
      </c>
      <c r="BU14" s="88">
        <f>+' Cuadro de Costos Detallado'!$E$6/47</f>
        <v>69606.382978723399</v>
      </c>
      <c r="BV14" s="88">
        <f>+' Cuadro de Costos Detallado'!$E$6/47</f>
        <v>69606.382978723399</v>
      </c>
      <c r="BW14" s="88">
        <f>+' Cuadro de Costos Detallado'!$E$6/47</f>
        <v>69606.382978723399</v>
      </c>
      <c r="BX14" s="88">
        <f>+' Cuadro de Costos Detallado'!$E$6/47</f>
        <v>69606.382978723399</v>
      </c>
      <c r="BY14" s="88">
        <f>+' Cuadro de Costos Detallado'!$E$6/47</f>
        <v>69606.382978723399</v>
      </c>
      <c r="BZ14" s="88">
        <f>+' Cuadro de Costos Detallado'!$E$6/47</f>
        <v>69606.382978723399</v>
      </c>
      <c r="CA14" s="88">
        <f>+' Cuadro de Costos Detallado'!$E$6/47</f>
        <v>69606.382978723399</v>
      </c>
      <c r="CB14" s="88">
        <f>+' Cuadro de Costos Detallado'!$E$6/47</f>
        <v>69606.382978723399</v>
      </c>
      <c r="CC14" s="88">
        <f>+' Cuadro de Costos Detallado'!$E$6/47</f>
        <v>69606.382978723399</v>
      </c>
      <c r="CD14" s="88">
        <f>+' Cuadro de Costos Detallado'!$E$6/47</f>
        <v>69606.382978723399</v>
      </c>
      <c r="CE14" s="88">
        <f>+' Cuadro de Costos Detallado'!$E$6/47</f>
        <v>69606.382978723399</v>
      </c>
      <c r="CF14" s="88">
        <v>0</v>
      </c>
      <c r="CG14" s="88">
        <v>0</v>
      </c>
      <c r="CH14" s="88">
        <v>0</v>
      </c>
      <c r="CI14" s="88"/>
      <c r="CJ14" s="88"/>
      <c r="CK14" s="88"/>
      <c r="CL14" s="98">
        <f>SUM(F14:CK14)</f>
        <v>99155964.999999955</v>
      </c>
    </row>
    <row r="15" spans="1:91" s="161" customFormat="1" ht="48.75" customHeight="1" x14ac:dyDescent="0.2">
      <c r="A15" s="166" t="str">
        <f>+'3. PEP'!A29</f>
        <v>1.1.2</v>
      </c>
      <c r="B15" s="86" t="str">
        <f>+'3. PEP'!B29</f>
        <v>Contratación de Empresa Constructora para la Pavimentación y mantenimiento del Tramo Villa del Rosario - Volendam - San Pablo - Ruta 11, y accesos– Región Oriental (80,36 Km)</v>
      </c>
      <c r="C15" s="88">
        <f>+'3. PEP'!G29</f>
        <v>47470212.765957452</v>
      </c>
      <c r="D15" s="88">
        <f>+'3. PEP'!H29</f>
        <v>12829787.234042553</v>
      </c>
      <c r="E15" s="88">
        <f>+'3. PEP'!I29</f>
        <v>60300000.000000007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f>+Oriental1!B52</f>
        <v>11577900</v>
      </c>
      <c r="M15" s="88">
        <f>+Oriental1!C52</f>
        <v>1157790</v>
      </c>
      <c r="N15" s="88">
        <f>+Oriental1!D52</f>
        <v>1389348</v>
      </c>
      <c r="O15" s="88">
        <f>+Oriental1!E52</f>
        <v>1620906.0000000002</v>
      </c>
      <c r="P15" s="88">
        <f>+Oriental1!F52</f>
        <v>1620906.0000000002</v>
      </c>
      <c r="Q15" s="88">
        <f>+Oriental1!G52</f>
        <v>1852464</v>
      </c>
      <c r="R15" s="88">
        <f>+Oriental1!H52</f>
        <v>2084022</v>
      </c>
      <c r="S15" s="88">
        <f>+Oriental1!I52</f>
        <v>2084022</v>
      </c>
      <c r="T15" s="88">
        <f>+Oriental1!J52</f>
        <v>2315580</v>
      </c>
      <c r="U15" s="88">
        <f>+Oriental1!K52</f>
        <v>2547138</v>
      </c>
      <c r="V15" s="88">
        <f>+Oriental1!L52</f>
        <v>2547138</v>
      </c>
      <c r="W15" s="88">
        <f>+Oriental1!M52</f>
        <v>2547138</v>
      </c>
      <c r="X15" s="88">
        <f>+Oriental1!N52</f>
        <v>2778696</v>
      </c>
      <c r="Y15" s="88">
        <f>+Oriental1!O52</f>
        <v>3241812.0000000005</v>
      </c>
      <c r="Z15" s="88">
        <f>+Oriental1!P52</f>
        <v>3241812.0000000005</v>
      </c>
      <c r="AA15" s="88">
        <f>+Oriental1!Q52</f>
        <v>3010254</v>
      </c>
      <c r="AB15" s="88">
        <f>+Oriental1!R52</f>
        <v>3010254</v>
      </c>
      <c r="AC15" s="88">
        <f>+Oriental1!S52</f>
        <v>2315580</v>
      </c>
      <c r="AD15" s="88">
        <f>+Oriental1!T52</f>
        <v>2315580</v>
      </c>
      <c r="AE15" s="88">
        <f>+Oriental1!U52</f>
        <v>1852464</v>
      </c>
      <c r="AF15" s="88">
        <f>+Oriental1!V52</f>
        <v>926232</v>
      </c>
      <c r="AG15" s="88">
        <f>+Oriental1!W52</f>
        <v>463116</v>
      </c>
      <c r="AH15" s="88">
        <f>+Oriental1!X52</f>
        <v>463116</v>
      </c>
      <c r="AI15" s="88">
        <f>+Oriental1!Y52</f>
        <v>463116</v>
      </c>
      <c r="AJ15" s="88">
        <f>+Oriental1!Z52</f>
        <v>463116</v>
      </c>
      <c r="AK15" s="88">
        <f>+' Cuadro de Costos Detallado'!$E$9/47</f>
        <v>51287.234042553195</v>
      </c>
      <c r="AL15" s="88">
        <f>+' Cuadro de Costos Detallado'!$E$9/47</f>
        <v>51287.234042553195</v>
      </c>
      <c r="AM15" s="88">
        <f>+' Cuadro de Costos Detallado'!$E$9/47</f>
        <v>51287.234042553195</v>
      </c>
      <c r="AN15" s="88">
        <f>+' Cuadro de Costos Detallado'!$E$9/47</f>
        <v>51287.234042553195</v>
      </c>
      <c r="AO15" s="88">
        <f>+' Cuadro de Costos Detallado'!$E$9/47</f>
        <v>51287.234042553195</v>
      </c>
      <c r="AP15" s="88">
        <f>+' Cuadro de Costos Detallado'!$E$9/47</f>
        <v>51287.234042553195</v>
      </c>
      <c r="AQ15" s="88">
        <f>+' Cuadro de Costos Detallado'!$E$9/47</f>
        <v>51287.234042553195</v>
      </c>
      <c r="AR15" s="88">
        <f>+' Cuadro de Costos Detallado'!$E$9/47</f>
        <v>51287.234042553195</v>
      </c>
      <c r="AS15" s="88">
        <f>+' Cuadro de Costos Detallado'!$E$9/47</f>
        <v>51287.234042553195</v>
      </c>
      <c r="AT15" s="88">
        <f>+' Cuadro de Costos Detallado'!$E$9/47</f>
        <v>51287.234042553195</v>
      </c>
      <c r="AU15" s="88">
        <f>+' Cuadro de Costos Detallado'!$E$9/47</f>
        <v>51287.234042553195</v>
      </c>
      <c r="AV15" s="88">
        <f>+' Cuadro de Costos Detallado'!$E$9/47</f>
        <v>51287.234042553195</v>
      </c>
      <c r="AW15" s="88">
        <f>+' Cuadro de Costos Detallado'!$E$9/47</f>
        <v>51287.234042553195</v>
      </c>
      <c r="AX15" s="88">
        <f>+' Cuadro de Costos Detallado'!$E$9/47</f>
        <v>51287.234042553195</v>
      </c>
      <c r="AY15" s="88">
        <f>+' Cuadro de Costos Detallado'!$E$9/47</f>
        <v>51287.234042553195</v>
      </c>
      <c r="AZ15" s="88">
        <f>+' Cuadro de Costos Detallado'!$E$9/47</f>
        <v>51287.234042553195</v>
      </c>
      <c r="BA15" s="88">
        <f>+' Cuadro de Costos Detallado'!$E$9/47</f>
        <v>51287.234042553195</v>
      </c>
      <c r="BB15" s="88">
        <f>+' Cuadro de Costos Detallado'!$E$9/47</f>
        <v>51287.234042553195</v>
      </c>
      <c r="BC15" s="88">
        <f>+' Cuadro de Costos Detallado'!$E$9/47</f>
        <v>51287.234042553195</v>
      </c>
      <c r="BD15" s="88">
        <f>+' Cuadro de Costos Detallado'!$E$9/47</f>
        <v>51287.234042553195</v>
      </c>
      <c r="BE15" s="88">
        <f>+' Cuadro de Costos Detallado'!$E$9/47</f>
        <v>51287.234042553195</v>
      </c>
      <c r="BF15" s="88">
        <f>+' Cuadro de Costos Detallado'!$E$9/47</f>
        <v>51287.234042553195</v>
      </c>
      <c r="BG15" s="88">
        <f>+' Cuadro de Costos Detallado'!$E$9/47</f>
        <v>51287.234042553195</v>
      </c>
      <c r="BH15" s="88">
        <f>+' Cuadro de Costos Detallado'!$E$9/47</f>
        <v>51287.234042553195</v>
      </c>
      <c r="BI15" s="88">
        <f>+' Cuadro de Costos Detallado'!$E$9/47</f>
        <v>51287.234042553195</v>
      </c>
      <c r="BJ15" s="88">
        <f>+' Cuadro de Costos Detallado'!$E$9/47</f>
        <v>51287.234042553195</v>
      </c>
      <c r="BK15" s="88">
        <f>+' Cuadro de Costos Detallado'!$E$9/47</f>
        <v>51287.234042553195</v>
      </c>
      <c r="BL15" s="88">
        <f>+' Cuadro de Costos Detallado'!$E$9/47</f>
        <v>51287.234042553195</v>
      </c>
      <c r="BM15" s="88">
        <f>+' Cuadro de Costos Detallado'!$E$9/47</f>
        <v>51287.234042553195</v>
      </c>
      <c r="BN15" s="88">
        <f>+' Cuadro de Costos Detallado'!$E$9/47</f>
        <v>51287.234042553195</v>
      </c>
      <c r="BO15" s="88">
        <f>+' Cuadro de Costos Detallado'!$E$9/47</f>
        <v>51287.234042553195</v>
      </c>
      <c r="BP15" s="88">
        <f>+' Cuadro de Costos Detallado'!$E$9/47</f>
        <v>51287.234042553195</v>
      </c>
      <c r="BQ15" s="88">
        <f>+' Cuadro de Costos Detallado'!$E$9/47</f>
        <v>51287.234042553195</v>
      </c>
      <c r="BR15" s="88">
        <f>+' Cuadro de Costos Detallado'!$E$9/47</f>
        <v>51287.234042553195</v>
      </c>
      <c r="BS15" s="88">
        <f>+' Cuadro de Costos Detallado'!$E$9/47</f>
        <v>51287.234042553195</v>
      </c>
      <c r="BT15" s="88">
        <f>+' Cuadro de Costos Detallado'!$E$9/47</f>
        <v>51287.234042553195</v>
      </c>
      <c r="BU15" s="88">
        <f>+' Cuadro de Costos Detallado'!$E$9/47</f>
        <v>51287.234042553195</v>
      </c>
      <c r="BV15" s="88">
        <f>+' Cuadro de Costos Detallado'!$E$9/47</f>
        <v>51287.234042553195</v>
      </c>
      <c r="BW15" s="88">
        <f>+' Cuadro de Costos Detallado'!$E$9/47</f>
        <v>51287.234042553195</v>
      </c>
      <c r="BX15" s="88">
        <f>+' Cuadro de Costos Detallado'!$E$9/47</f>
        <v>51287.234042553195</v>
      </c>
      <c r="BY15" s="88">
        <f>+' Cuadro de Costos Detallado'!$E$9/47</f>
        <v>51287.234042553195</v>
      </c>
      <c r="BZ15" s="88">
        <f>+' Cuadro de Costos Detallado'!$E$9/47</f>
        <v>51287.234042553195</v>
      </c>
      <c r="CA15" s="88">
        <f>+' Cuadro de Costos Detallado'!$E$9/47</f>
        <v>51287.234042553195</v>
      </c>
      <c r="CB15" s="88">
        <f>+' Cuadro de Costos Detallado'!$E$9/47</f>
        <v>51287.234042553195</v>
      </c>
      <c r="CC15" s="88">
        <f>+' Cuadro de Costos Detallado'!$E$9/47</f>
        <v>51287.234042553195</v>
      </c>
      <c r="CD15" s="88">
        <f>+' Cuadro de Costos Detallado'!$E$9/47</f>
        <v>51287.234042553195</v>
      </c>
      <c r="CE15" s="88">
        <f>+' Cuadro de Costos Detallado'!$E$9/47</f>
        <v>51287.234042553195</v>
      </c>
      <c r="CF15" s="88">
        <f>+Oriental1!BP52</f>
        <v>0</v>
      </c>
      <c r="CG15" s="88">
        <f>+Oriental1!BQ52</f>
        <v>0</v>
      </c>
      <c r="CH15" s="88">
        <f>+Oriental1!BR52</f>
        <v>0</v>
      </c>
      <c r="CI15" s="88">
        <f>+Oriental1!BS52</f>
        <v>0</v>
      </c>
      <c r="CJ15" s="88">
        <f>+Oriental1!BT52</f>
        <v>0</v>
      </c>
      <c r="CK15" s="88">
        <f>+Oriental1!BU52</f>
        <v>0</v>
      </c>
      <c r="CL15" s="98">
        <f t="shared" ref="CL15:CL19" si="8">SUM(F15:CK15)</f>
        <v>60300000.000000089</v>
      </c>
    </row>
    <row r="16" spans="1:91" s="161" customFormat="1" ht="48.75" customHeight="1" x14ac:dyDescent="0.2">
      <c r="A16" s="166" t="str">
        <f>+'3. PEP'!A30</f>
        <v>1.1.3</v>
      </c>
      <c r="B16" s="86" t="str">
        <f>+'3. PEP'!B30</f>
        <v xml:space="preserve">Contratación de Empresa Constructora para la Pavimentación y mantenimiento del Tramo Campo Aceval – Cruce Jordán (35 km) </v>
      </c>
      <c r="C16" s="88">
        <f>+'3. PEP'!G30</f>
        <v>18920510.5106383</v>
      </c>
      <c r="D16" s="88">
        <f>+'3. PEP'!H30</f>
        <v>5113651.4893617025</v>
      </c>
      <c r="E16" s="88">
        <f>+'3. PEP'!I30</f>
        <v>24034162.000000004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>
        <f>+'Obras Complementarias'!B52</f>
        <v>4489435.4000000004</v>
      </c>
      <c r="AE16" s="88">
        <f>+'Obras Complementarias'!C52</f>
        <v>448943.54</v>
      </c>
      <c r="AF16" s="88">
        <f>+'Obras Complementarias'!D52</f>
        <v>538732.24800000002</v>
      </c>
      <c r="AG16" s="88">
        <f>+'Obras Complementarias'!E52</f>
        <v>628520.95600000012</v>
      </c>
      <c r="AH16" s="88">
        <f>+'Obras Complementarias'!F52</f>
        <v>628520.95600000012</v>
      </c>
      <c r="AI16" s="88">
        <f>+'Obras Complementarias'!G52</f>
        <v>718309.66400000011</v>
      </c>
      <c r="AJ16" s="88">
        <f>+'Obras Complementarias'!H52</f>
        <v>808098.37199999997</v>
      </c>
      <c r="AK16" s="88">
        <f>+'Obras Complementarias'!I52</f>
        <v>808098.37199999997</v>
      </c>
      <c r="AL16" s="88">
        <f>+'Obras Complementarias'!J52</f>
        <v>897887.08</v>
      </c>
      <c r="AM16" s="88">
        <f>+'Obras Complementarias'!K52</f>
        <v>987675.78800000018</v>
      </c>
      <c r="AN16" s="88">
        <f>+'Obras Complementarias'!L52</f>
        <v>987675.78800000018</v>
      </c>
      <c r="AO16" s="88">
        <f>+'Obras Complementarias'!M52</f>
        <v>987675.78800000018</v>
      </c>
      <c r="AP16" s="88">
        <f>+'Obras Complementarias'!N52</f>
        <v>1077464.496</v>
      </c>
      <c r="AQ16" s="88">
        <f>+'Obras Complementarias'!O52</f>
        <v>1257041.9120000002</v>
      </c>
      <c r="AR16" s="88">
        <f>+'Obras Complementarias'!P52</f>
        <v>1257041.9120000002</v>
      </c>
      <c r="AS16" s="88">
        <f>+'Obras Complementarias'!Q52</f>
        <v>1167253.2040000001</v>
      </c>
      <c r="AT16" s="88">
        <f>+'Obras Complementarias'!R52</f>
        <v>1167253.2040000001</v>
      </c>
      <c r="AU16" s="88">
        <f>+'Obras Complementarias'!S52</f>
        <v>897887.08</v>
      </c>
      <c r="AV16" s="88">
        <f>+'Obras Complementarias'!T52</f>
        <v>897887.08</v>
      </c>
      <c r="AW16" s="88">
        <f>+'Obras Complementarias'!U52</f>
        <v>718309.66400000011</v>
      </c>
      <c r="AX16" s="88">
        <f>+'Obras Complementarias'!V52</f>
        <v>359154.83200000005</v>
      </c>
      <c r="AY16" s="88">
        <f>+'Obras Complementarias'!W52</f>
        <v>179577.41600000003</v>
      </c>
      <c r="AZ16" s="88">
        <f>+'Obras Complementarias'!X52</f>
        <v>179577.41600000003</v>
      </c>
      <c r="BA16" s="88">
        <f>+'Obras Complementarias'!Y52</f>
        <v>179577.41600000003</v>
      </c>
      <c r="BB16" s="88">
        <f>+'Obras Complementarias'!Z52</f>
        <v>179577.41600000003</v>
      </c>
      <c r="BC16" s="88">
        <f>1586985/35</f>
        <v>45342.428571428572</v>
      </c>
      <c r="BD16" s="88">
        <f t="shared" ref="BD16:CK16" si="9">1586985/35</f>
        <v>45342.428571428572</v>
      </c>
      <c r="BE16" s="88">
        <f t="shared" si="9"/>
        <v>45342.428571428572</v>
      </c>
      <c r="BF16" s="88">
        <f t="shared" si="9"/>
        <v>45342.428571428572</v>
      </c>
      <c r="BG16" s="88">
        <f t="shared" si="9"/>
        <v>45342.428571428572</v>
      </c>
      <c r="BH16" s="88">
        <f t="shared" si="9"/>
        <v>45342.428571428572</v>
      </c>
      <c r="BI16" s="88">
        <f t="shared" si="9"/>
        <v>45342.428571428572</v>
      </c>
      <c r="BJ16" s="88">
        <f t="shared" si="9"/>
        <v>45342.428571428572</v>
      </c>
      <c r="BK16" s="88">
        <f t="shared" si="9"/>
        <v>45342.428571428572</v>
      </c>
      <c r="BL16" s="88">
        <f t="shared" si="9"/>
        <v>45342.428571428572</v>
      </c>
      <c r="BM16" s="88">
        <f t="shared" si="9"/>
        <v>45342.428571428572</v>
      </c>
      <c r="BN16" s="88">
        <f t="shared" si="9"/>
        <v>45342.428571428572</v>
      </c>
      <c r="BO16" s="88">
        <f t="shared" si="9"/>
        <v>45342.428571428572</v>
      </c>
      <c r="BP16" s="88">
        <f t="shared" si="9"/>
        <v>45342.428571428572</v>
      </c>
      <c r="BQ16" s="88">
        <f t="shared" si="9"/>
        <v>45342.428571428572</v>
      </c>
      <c r="BR16" s="88">
        <f t="shared" si="9"/>
        <v>45342.428571428572</v>
      </c>
      <c r="BS16" s="88">
        <f t="shared" si="9"/>
        <v>45342.428571428572</v>
      </c>
      <c r="BT16" s="88">
        <f t="shared" si="9"/>
        <v>45342.428571428572</v>
      </c>
      <c r="BU16" s="88">
        <f t="shared" si="9"/>
        <v>45342.428571428572</v>
      </c>
      <c r="BV16" s="88">
        <f t="shared" si="9"/>
        <v>45342.428571428572</v>
      </c>
      <c r="BW16" s="88">
        <f t="shared" si="9"/>
        <v>45342.428571428572</v>
      </c>
      <c r="BX16" s="88">
        <f t="shared" si="9"/>
        <v>45342.428571428572</v>
      </c>
      <c r="BY16" s="88">
        <f t="shared" si="9"/>
        <v>45342.428571428572</v>
      </c>
      <c r="BZ16" s="88">
        <f t="shared" si="9"/>
        <v>45342.428571428572</v>
      </c>
      <c r="CA16" s="88">
        <f t="shared" si="9"/>
        <v>45342.428571428572</v>
      </c>
      <c r="CB16" s="88">
        <f t="shared" si="9"/>
        <v>45342.428571428572</v>
      </c>
      <c r="CC16" s="88">
        <f t="shared" si="9"/>
        <v>45342.428571428572</v>
      </c>
      <c r="CD16" s="88">
        <f t="shared" si="9"/>
        <v>45342.428571428572</v>
      </c>
      <c r="CE16" s="88">
        <f t="shared" si="9"/>
        <v>45342.428571428572</v>
      </c>
      <c r="CF16" s="88">
        <f t="shared" si="9"/>
        <v>45342.428571428572</v>
      </c>
      <c r="CG16" s="88">
        <f t="shared" si="9"/>
        <v>45342.428571428572</v>
      </c>
      <c r="CH16" s="88">
        <f t="shared" si="9"/>
        <v>45342.428571428572</v>
      </c>
      <c r="CI16" s="88">
        <f t="shared" si="9"/>
        <v>45342.428571428572</v>
      </c>
      <c r="CJ16" s="88">
        <f t="shared" si="9"/>
        <v>45342.428571428572</v>
      </c>
      <c r="CK16" s="88">
        <f t="shared" si="9"/>
        <v>45342.428571428572</v>
      </c>
      <c r="CL16" s="98">
        <f>SUM(F16:CK16)</f>
        <v>24034162.000000022</v>
      </c>
    </row>
    <row r="17" spans="1:90" s="161" customFormat="1" ht="48.75" customHeight="1" x14ac:dyDescent="0.2">
      <c r="A17" s="166" t="str">
        <f>+'3. PEP'!A31</f>
        <v>1.1.4</v>
      </c>
      <c r="B17" s="86" t="str">
        <f>+'3. PEP'!B31</f>
        <v xml:space="preserve">Contratación de Empresa Constructora para realización de Obras básicas de mejoramiento y mantenimiento de tramos críticos en la Región Occidental (51 km) - (Cruce Jordan – Avalos Sanchez; y  Paratodo – Cruce Douglas.) </v>
      </c>
      <c r="C17" s="88">
        <f>+'3. PEP'!G31</f>
        <v>11769352.042553192</v>
      </c>
      <c r="D17" s="88">
        <f>+'3. PEP'!H31</f>
        <v>3180905.9574468085</v>
      </c>
      <c r="E17" s="88">
        <f>+'3. PEP'!I31</f>
        <v>14950258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>
        <f>+'tramos criticos'!B52</f>
        <v>2831353.1</v>
      </c>
      <c r="AE17" s="88">
        <f>+'tramos criticos'!C52</f>
        <v>283135.31</v>
      </c>
      <c r="AF17" s="88">
        <f>+'tramos criticos'!D52</f>
        <v>339762.37199999997</v>
      </c>
      <c r="AG17" s="88">
        <f>+'tramos criticos'!E52</f>
        <v>396389.43400000007</v>
      </c>
      <c r="AH17" s="88">
        <f>+'tramos criticos'!F52</f>
        <v>396389.43400000007</v>
      </c>
      <c r="AI17" s="88">
        <f>+'tramos criticos'!G52</f>
        <v>453016.49600000004</v>
      </c>
      <c r="AJ17" s="88">
        <f>+'tramos criticos'!H52</f>
        <v>509643.55799999996</v>
      </c>
      <c r="AK17" s="88">
        <f>+'tramos criticos'!I52</f>
        <v>509643.55799999996</v>
      </c>
      <c r="AL17" s="88">
        <f>+'tramos criticos'!J52</f>
        <v>566270.62</v>
      </c>
      <c r="AM17" s="88">
        <f>+'tramos criticos'!K52</f>
        <v>622897.68200000003</v>
      </c>
      <c r="AN17" s="88">
        <f>+'tramos criticos'!L52</f>
        <v>622897.68200000003</v>
      </c>
      <c r="AO17" s="88">
        <f>+'tramos criticos'!M52</f>
        <v>622897.68200000003</v>
      </c>
      <c r="AP17" s="88">
        <f>+'tramos criticos'!N52</f>
        <v>679524.74399999995</v>
      </c>
      <c r="AQ17" s="88">
        <f>+'tramos criticos'!O52</f>
        <v>792778.86800000013</v>
      </c>
      <c r="AR17" s="88">
        <f>+'tramos criticos'!P52</f>
        <v>792778.86800000013</v>
      </c>
      <c r="AS17" s="88">
        <f>+'tramos criticos'!Q52</f>
        <v>736151.8060000001</v>
      </c>
      <c r="AT17" s="88">
        <f>+'tramos criticos'!R52</f>
        <v>736151.8060000001</v>
      </c>
      <c r="AU17" s="88">
        <f>+'tramos criticos'!S52</f>
        <v>566270.62</v>
      </c>
      <c r="AV17" s="88">
        <f>+'tramos criticos'!T52</f>
        <v>566270.62</v>
      </c>
      <c r="AW17" s="88">
        <f>+'tramos criticos'!U52</f>
        <v>453016.49600000004</v>
      </c>
      <c r="AX17" s="88">
        <f>+'tramos criticos'!V52</f>
        <v>226508.24800000002</v>
      </c>
      <c r="AY17" s="88">
        <f>+'tramos criticos'!W52</f>
        <v>113254.12400000001</v>
      </c>
      <c r="AZ17" s="88">
        <f>+'tramos criticos'!X52</f>
        <v>113254.12400000001</v>
      </c>
      <c r="BA17" s="88">
        <f>+'tramos criticos'!Y52</f>
        <v>113254.12400000001</v>
      </c>
      <c r="BB17" s="88">
        <f>+'tramos criticos'!Z52</f>
        <v>113254.12400000001</v>
      </c>
      <c r="BC17" s="88">
        <f>793492.5/35</f>
        <v>22671.214285714286</v>
      </c>
      <c r="BD17" s="88">
        <f t="shared" ref="BD17:CK17" si="10">793492.5/35</f>
        <v>22671.214285714286</v>
      </c>
      <c r="BE17" s="88">
        <f t="shared" si="10"/>
        <v>22671.214285714286</v>
      </c>
      <c r="BF17" s="88">
        <f t="shared" si="10"/>
        <v>22671.214285714286</v>
      </c>
      <c r="BG17" s="88">
        <f t="shared" si="10"/>
        <v>22671.214285714286</v>
      </c>
      <c r="BH17" s="88">
        <f t="shared" si="10"/>
        <v>22671.214285714286</v>
      </c>
      <c r="BI17" s="88">
        <f t="shared" si="10"/>
        <v>22671.214285714286</v>
      </c>
      <c r="BJ17" s="88">
        <f t="shared" si="10"/>
        <v>22671.214285714286</v>
      </c>
      <c r="BK17" s="88">
        <f t="shared" si="10"/>
        <v>22671.214285714286</v>
      </c>
      <c r="BL17" s="88">
        <f t="shared" si="10"/>
        <v>22671.214285714286</v>
      </c>
      <c r="BM17" s="88">
        <f t="shared" si="10"/>
        <v>22671.214285714286</v>
      </c>
      <c r="BN17" s="88">
        <f t="shared" si="10"/>
        <v>22671.214285714286</v>
      </c>
      <c r="BO17" s="88">
        <f t="shared" si="10"/>
        <v>22671.214285714286</v>
      </c>
      <c r="BP17" s="88">
        <f t="shared" si="10"/>
        <v>22671.214285714286</v>
      </c>
      <c r="BQ17" s="88">
        <f t="shared" si="10"/>
        <v>22671.214285714286</v>
      </c>
      <c r="BR17" s="88">
        <f t="shared" si="10"/>
        <v>22671.214285714286</v>
      </c>
      <c r="BS17" s="88">
        <f t="shared" si="10"/>
        <v>22671.214285714286</v>
      </c>
      <c r="BT17" s="88">
        <f t="shared" si="10"/>
        <v>22671.214285714286</v>
      </c>
      <c r="BU17" s="88">
        <f t="shared" si="10"/>
        <v>22671.214285714286</v>
      </c>
      <c r="BV17" s="88">
        <f t="shared" si="10"/>
        <v>22671.214285714286</v>
      </c>
      <c r="BW17" s="88">
        <f t="shared" si="10"/>
        <v>22671.214285714286</v>
      </c>
      <c r="BX17" s="88">
        <f t="shared" si="10"/>
        <v>22671.214285714286</v>
      </c>
      <c r="BY17" s="88">
        <f t="shared" si="10"/>
        <v>22671.214285714286</v>
      </c>
      <c r="BZ17" s="88">
        <f t="shared" si="10"/>
        <v>22671.214285714286</v>
      </c>
      <c r="CA17" s="88">
        <f t="shared" si="10"/>
        <v>22671.214285714286</v>
      </c>
      <c r="CB17" s="88">
        <f t="shared" si="10"/>
        <v>22671.214285714286</v>
      </c>
      <c r="CC17" s="88">
        <f t="shared" si="10"/>
        <v>22671.214285714286</v>
      </c>
      <c r="CD17" s="88">
        <f t="shared" si="10"/>
        <v>22671.214285714286</v>
      </c>
      <c r="CE17" s="88">
        <f t="shared" si="10"/>
        <v>22671.214285714286</v>
      </c>
      <c r="CF17" s="88">
        <f t="shared" si="10"/>
        <v>22671.214285714286</v>
      </c>
      <c r="CG17" s="88">
        <f t="shared" si="10"/>
        <v>22671.214285714286</v>
      </c>
      <c r="CH17" s="88">
        <f t="shared" si="10"/>
        <v>22671.214285714286</v>
      </c>
      <c r="CI17" s="88">
        <f t="shared" si="10"/>
        <v>22671.214285714286</v>
      </c>
      <c r="CJ17" s="88">
        <f t="shared" si="10"/>
        <v>22671.214285714286</v>
      </c>
      <c r="CK17" s="88">
        <f t="shared" si="10"/>
        <v>22671.214285714286</v>
      </c>
      <c r="CL17" s="98">
        <f>SUM(F17:CK17)</f>
        <v>14950258.000000009</v>
      </c>
    </row>
    <row r="18" spans="1:90" s="161" customFormat="1" ht="48.75" customHeight="1" x14ac:dyDescent="0.2">
      <c r="A18" s="166" t="str">
        <f>+'3. PEP'!A32</f>
        <v>1.1.5</v>
      </c>
      <c r="B18" s="86" t="str">
        <f>+'3. PEP'!B32</f>
        <v>Contratación de Firma Consultora para Fiscalización de obras de   Mejoramiento y Conservación de Tramo Cruce Pioneros (Ruta Nacional N° 9) – Paratodo, y accesos – Región Occidental (104 Km)</v>
      </c>
      <c r="C18" s="88">
        <f>+'3. PEP'!G32</f>
        <v>5464126.7393617034</v>
      </c>
      <c r="D18" s="88">
        <f>+'3. PEP'!H32</f>
        <v>1476791.010638298</v>
      </c>
      <c r="E18" s="88">
        <f>+'3. PEP'!I32</f>
        <v>6940917.7500000019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f>+'Fisc Paratodo-Douglas'!B59</f>
        <v>659791.77500000014</v>
      </c>
      <c r="M18" s="88">
        <f>+'Fisc Paratodo-Douglas'!C59</f>
        <v>197937.53250000003</v>
      </c>
      <c r="N18" s="88">
        <f>+'Fisc Paratodo-Douglas'!D59</f>
        <v>212782.84743750002</v>
      </c>
      <c r="O18" s="88">
        <f>+'Fisc Paratodo-Douglas'!E59</f>
        <v>227628.16237500001</v>
      </c>
      <c r="P18" s="88">
        <f>+'Fisc Paratodo-Douglas'!F59</f>
        <v>227628.16237500001</v>
      </c>
      <c r="Q18" s="88">
        <f>+'Fisc Paratodo-Douglas'!G59</f>
        <v>242473.47731250001</v>
      </c>
      <c r="R18" s="88">
        <f>+'Fisc Paratodo-Douglas'!H59</f>
        <v>257318.79225000003</v>
      </c>
      <c r="S18" s="88">
        <f>+'Fisc Paratodo-Douglas'!I59</f>
        <v>257318.79225000003</v>
      </c>
      <c r="T18" s="88">
        <f>+'Fisc Paratodo-Douglas'!J59</f>
        <v>272164.10718750005</v>
      </c>
      <c r="U18" s="88">
        <f>+'Fisc Paratodo-Douglas'!K59</f>
        <v>287009.42212500004</v>
      </c>
      <c r="V18" s="88">
        <f>+'Fisc Paratodo-Douglas'!L59</f>
        <v>287009.42212500004</v>
      </c>
      <c r="W18" s="88">
        <f>+'Fisc Paratodo-Douglas'!M59</f>
        <v>287009.42212500004</v>
      </c>
      <c r="X18" s="88">
        <f>+'Fisc Paratodo-Douglas'!N59</f>
        <v>301854.73706250003</v>
      </c>
      <c r="Y18" s="88">
        <f>+'Fisc Paratodo-Douglas'!O59</f>
        <v>331545.36693750008</v>
      </c>
      <c r="Z18" s="88">
        <f>+'Fisc Paratodo-Douglas'!P59</f>
        <v>331545.36693750008</v>
      </c>
      <c r="AA18" s="88">
        <f>+'Fisc Paratodo-Douglas'!Q59</f>
        <v>316700.05200000003</v>
      </c>
      <c r="AB18" s="88">
        <f>+'Fisc Paratodo-Douglas'!R59</f>
        <v>316700.05200000003</v>
      </c>
      <c r="AC18" s="88">
        <f>+'Fisc Paratodo-Douglas'!S59</f>
        <v>272164.10718750005</v>
      </c>
      <c r="AD18" s="88">
        <f>+'Fisc Paratodo-Douglas'!T59</f>
        <v>272164.10718750005</v>
      </c>
      <c r="AE18" s="88">
        <f>+'Fisc Paratodo-Douglas'!U59</f>
        <v>242473.47731250001</v>
      </c>
      <c r="AF18" s="88">
        <f>+'Fisc Paratodo-Douglas'!V59</f>
        <v>183092.21756250001</v>
      </c>
      <c r="AG18" s="88">
        <f>+'Fisc Paratodo-Douglas'!W59</f>
        <v>153401.58768750002</v>
      </c>
      <c r="AH18" s="88">
        <f>+'Fisc Paratodo-Douglas'!X59</f>
        <v>153401.58768750002</v>
      </c>
      <c r="AI18" s="88">
        <f>+'Fisc Paratodo-Douglas'!Y59</f>
        <v>153401.58768750002</v>
      </c>
      <c r="AJ18" s="88">
        <f>+'Fisc Paratodo-Douglas'!Z59</f>
        <v>153401.58768750002</v>
      </c>
      <c r="AK18" s="88">
        <f>343000/47</f>
        <v>7297.8723404255315</v>
      </c>
      <c r="AL18" s="88">
        <f t="shared" ref="AL18:CE18" si="11">343000/47</f>
        <v>7297.8723404255315</v>
      </c>
      <c r="AM18" s="88">
        <f t="shared" si="11"/>
        <v>7297.8723404255315</v>
      </c>
      <c r="AN18" s="88">
        <f t="shared" si="11"/>
        <v>7297.8723404255315</v>
      </c>
      <c r="AO18" s="88">
        <f t="shared" si="11"/>
        <v>7297.8723404255315</v>
      </c>
      <c r="AP18" s="88">
        <f t="shared" si="11"/>
        <v>7297.8723404255315</v>
      </c>
      <c r="AQ18" s="88">
        <f t="shared" si="11"/>
        <v>7297.8723404255315</v>
      </c>
      <c r="AR18" s="88">
        <f t="shared" si="11"/>
        <v>7297.8723404255315</v>
      </c>
      <c r="AS18" s="88">
        <f t="shared" si="11"/>
        <v>7297.8723404255315</v>
      </c>
      <c r="AT18" s="88">
        <f t="shared" si="11"/>
        <v>7297.8723404255315</v>
      </c>
      <c r="AU18" s="88">
        <f t="shared" si="11"/>
        <v>7297.8723404255315</v>
      </c>
      <c r="AV18" s="88">
        <f t="shared" si="11"/>
        <v>7297.8723404255315</v>
      </c>
      <c r="AW18" s="88">
        <f t="shared" si="11"/>
        <v>7297.8723404255315</v>
      </c>
      <c r="AX18" s="88">
        <f t="shared" si="11"/>
        <v>7297.8723404255315</v>
      </c>
      <c r="AY18" s="88">
        <f t="shared" si="11"/>
        <v>7297.8723404255315</v>
      </c>
      <c r="AZ18" s="88">
        <f t="shared" si="11"/>
        <v>7297.8723404255315</v>
      </c>
      <c r="BA18" s="88">
        <f t="shared" si="11"/>
        <v>7297.8723404255315</v>
      </c>
      <c r="BB18" s="88">
        <f t="shared" si="11"/>
        <v>7297.8723404255315</v>
      </c>
      <c r="BC18" s="88">
        <f t="shared" si="11"/>
        <v>7297.8723404255315</v>
      </c>
      <c r="BD18" s="88">
        <f t="shared" si="11"/>
        <v>7297.8723404255315</v>
      </c>
      <c r="BE18" s="88">
        <f t="shared" si="11"/>
        <v>7297.8723404255315</v>
      </c>
      <c r="BF18" s="88">
        <f t="shared" si="11"/>
        <v>7297.8723404255315</v>
      </c>
      <c r="BG18" s="88">
        <f t="shared" si="11"/>
        <v>7297.8723404255315</v>
      </c>
      <c r="BH18" s="88">
        <f t="shared" si="11"/>
        <v>7297.8723404255315</v>
      </c>
      <c r="BI18" s="88">
        <f t="shared" si="11"/>
        <v>7297.8723404255315</v>
      </c>
      <c r="BJ18" s="88">
        <f t="shared" si="11"/>
        <v>7297.8723404255315</v>
      </c>
      <c r="BK18" s="88">
        <f t="shared" si="11"/>
        <v>7297.8723404255315</v>
      </c>
      <c r="BL18" s="88">
        <f t="shared" si="11"/>
        <v>7297.8723404255315</v>
      </c>
      <c r="BM18" s="88">
        <f t="shared" si="11"/>
        <v>7297.8723404255315</v>
      </c>
      <c r="BN18" s="88">
        <f t="shared" si="11"/>
        <v>7297.8723404255315</v>
      </c>
      <c r="BO18" s="88">
        <f t="shared" si="11"/>
        <v>7297.8723404255315</v>
      </c>
      <c r="BP18" s="88">
        <f t="shared" si="11"/>
        <v>7297.8723404255315</v>
      </c>
      <c r="BQ18" s="88">
        <f t="shared" si="11"/>
        <v>7297.8723404255315</v>
      </c>
      <c r="BR18" s="88">
        <f t="shared" si="11"/>
        <v>7297.8723404255315</v>
      </c>
      <c r="BS18" s="88">
        <f t="shared" si="11"/>
        <v>7297.8723404255315</v>
      </c>
      <c r="BT18" s="88">
        <f t="shared" si="11"/>
        <v>7297.8723404255315</v>
      </c>
      <c r="BU18" s="88">
        <f t="shared" si="11"/>
        <v>7297.8723404255315</v>
      </c>
      <c r="BV18" s="88">
        <f t="shared" si="11"/>
        <v>7297.8723404255315</v>
      </c>
      <c r="BW18" s="88">
        <f t="shared" si="11"/>
        <v>7297.8723404255315</v>
      </c>
      <c r="BX18" s="88">
        <f t="shared" si="11"/>
        <v>7297.8723404255315</v>
      </c>
      <c r="BY18" s="88">
        <f t="shared" si="11"/>
        <v>7297.8723404255315</v>
      </c>
      <c r="BZ18" s="88">
        <f t="shared" si="11"/>
        <v>7297.8723404255315</v>
      </c>
      <c r="CA18" s="88">
        <f t="shared" si="11"/>
        <v>7297.8723404255315</v>
      </c>
      <c r="CB18" s="88">
        <f t="shared" si="11"/>
        <v>7297.8723404255315</v>
      </c>
      <c r="CC18" s="88">
        <f t="shared" si="11"/>
        <v>7297.8723404255315</v>
      </c>
      <c r="CD18" s="88">
        <f t="shared" si="11"/>
        <v>7297.8723404255315</v>
      </c>
      <c r="CE18" s="88">
        <f t="shared" si="11"/>
        <v>7297.8723404255315</v>
      </c>
      <c r="CF18" s="88">
        <f>+'Fisc Paratodo-Douglas'!BV59</f>
        <v>0</v>
      </c>
      <c r="CG18" s="88">
        <f>+'Fisc Paratodo-Douglas'!BW59</f>
        <v>0</v>
      </c>
      <c r="CH18" s="88">
        <f>+'Fisc Paratodo-Douglas'!BX59</f>
        <v>0</v>
      </c>
      <c r="CI18" s="88">
        <f>+'Fisc Paratodo-Douglas'!BY59</f>
        <v>0</v>
      </c>
      <c r="CJ18" s="88">
        <f>+'Fisc Paratodo-Douglas'!BZ59</f>
        <v>0</v>
      </c>
      <c r="CK18" s="88">
        <f>+'Fisc Paratodo-Douglas'!CA59</f>
        <v>0</v>
      </c>
      <c r="CL18" s="583">
        <f>SUM(F18:CK18)</f>
        <v>6940917.7500000158</v>
      </c>
    </row>
    <row r="19" spans="1:90" s="161" customFormat="1" ht="48.75" customHeight="1" x14ac:dyDescent="0.2">
      <c r="A19" s="166" t="str">
        <f>+'3. PEP'!A33</f>
        <v>1.1.6</v>
      </c>
      <c r="B19" s="86" t="str">
        <f>+'3. PEP'!B33</f>
        <v>Contratación de Firma Consultora para Fiscalización de las Obras de Mejoramiento y Conservación del tramo Villa del Rosario - Volendam - San Pablo - Ruta 11, y accesos– Región Oriental (80,36 Km)</v>
      </c>
      <c r="C19" s="88">
        <f>+'3. PEP'!G33</f>
        <v>4647350.6293617031</v>
      </c>
      <c r="D19" s="88">
        <f>+'3. PEP'!H33</f>
        <v>1256040.710638298</v>
      </c>
      <c r="E19" s="88">
        <f>+'3. PEP'!I33</f>
        <v>5903391.3400000008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f>+'Fisc Oriental'!B59</f>
        <v>569234.13399999996</v>
      </c>
      <c r="M19" s="88">
        <f>+'Fisc Oriental'!C59</f>
        <v>170770.2402</v>
      </c>
      <c r="N19" s="88">
        <f>+'Fisc Oriental'!D59</f>
        <v>183578.00821500001</v>
      </c>
      <c r="O19" s="88">
        <f>+'Fisc Oriental'!E59</f>
        <v>196385.77623000002</v>
      </c>
      <c r="P19" s="88">
        <f>+'Fisc Oriental'!F59</f>
        <v>196385.77623000002</v>
      </c>
      <c r="Q19" s="88">
        <f>+'Fisc Oriental'!G59</f>
        <v>209193.544245</v>
      </c>
      <c r="R19" s="88">
        <f>+'Fisc Oriental'!H59</f>
        <v>222001.31225999998</v>
      </c>
      <c r="S19" s="88">
        <f>+'Fisc Oriental'!I59</f>
        <v>222001.31225999998</v>
      </c>
      <c r="T19" s="88">
        <f>+'Fisc Oriental'!J59</f>
        <v>234809.08027500001</v>
      </c>
      <c r="U19" s="88">
        <f>+'Fisc Oriental'!K59</f>
        <v>247616.84828999999</v>
      </c>
      <c r="V19" s="88">
        <f>+'Fisc Oriental'!L59</f>
        <v>247616.84828999999</v>
      </c>
      <c r="W19" s="88">
        <f>+'Fisc Oriental'!M59</f>
        <v>247616.84828999999</v>
      </c>
      <c r="X19" s="88">
        <f>+'Fisc Oriental'!N59</f>
        <v>260424.61630500003</v>
      </c>
      <c r="Y19" s="88">
        <f>+'Fisc Oriental'!O59</f>
        <v>286040.15233499999</v>
      </c>
      <c r="Z19" s="88">
        <f>+'Fisc Oriental'!P59</f>
        <v>286040.15233499999</v>
      </c>
      <c r="AA19" s="88">
        <f>+'Fisc Oriental'!Q59</f>
        <v>273232.38432000001</v>
      </c>
      <c r="AB19" s="88">
        <f>+'Fisc Oriental'!R59</f>
        <v>273232.38432000001</v>
      </c>
      <c r="AC19" s="88">
        <f>+'Fisc Oriental'!S59</f>
        <v>234809.08027500001</v>
      </c>
      <c r="AD19" s="88">
        <f>+'Fisc Oriental'!T59</f>
        <v>234809.08027500001</v>
      </c>
      <c r="AE19" s="88">
        <f>+'Fisc Oriental'!U59</f>
        <v>209193.544245</v>
      </c>
      <c r="AF19" s="88">
        <f>+'Fisc Oriental'!V59</f>
        <v>157962.47218499999</v>
      </c>
      <c r="AG19" s="88">
        <f>+'Fisc Oriental'!W59</f>
        <v>132346.936155</v>
      </c>
      <c r="AH19" s="88">
        <f>+'Fisc Oriental'!X59</f>
        <v>132346.936155</v>
      </c>
      <c r="AI19" s="88">
        <f>+'Fisc Oriental'!Y59</f>
        <v>132346.936155</v>
      </c>
      <c r="AJ19" s="88">
        <f>+'Fisc Oriental'!Z59</f>
        <v>132346.936155</v>
      </c>
      <c r="AK19" s="88">
        <f>211050/47</f>
        <v>4490.4255319148933</v>
      </c>
      <c r="AL19" s="88">
        <f t="shared" ref="AL19:CE19" si="12">211050/47</f>
        <v>4490.4255319148933</v>
      </c>
      <c r="AM19" s="88">
        <f t="shared" si="12"/>
        <v>4490.4255319148933</v>
      </c>
      <c r="AN19" s="88">
        <f t="shared" si="12"/>
        <v>4490.4255319148933</v>
      </c>
      <c r="AO19" s="88">
        <f t="shared" si="12"/>
        <v>4490.4255319148933</v>
      </c>
      <c r="AP19" s="88">
        <f t="shared" si="12"/>
        <v>4490.4255319148933</v>
      </c>
      <c r="AQ19" s="88">
        <f t="shared" si="12"/>
        <v>4490.4255319148933</v>
      </c>
      <c r="AR19" s="88">
        <f t="shared" si="12"/>
        <v>4490.4255319148933</v>
      </c>
      <c r="AS19" s="88">
        <f t="shared" si="12"/>
        <v>4490.4255319148933</v>
      </c>
      <c r="AT19" s="88">
        <f t="shared" si="12"/>
        <v>4490.4255319148933</v>
      </c>
      <c r="AU19" s="88">
        <f t="shared" si="12"/>
        <v>4490.4255319148933</v>
      </c>
      <c r="AV19" s="88">
        <f t="shared" si="12"/>
        <v>4490.4255319148933</v>
      </c>
      <c r="AW19" s="88">
        <f t="shared" si="12"/>
        <v>4490.4255319148933</v>
      </c>
      <c r="AX19" s="88">
        <f t="shared" si="12"/>
        <v>4490.4255319148933</v>
      </c>
      <c r="AY19" s="88">
        <f t="shared" si="12"/>
        <v>4490.4255319148933</v>
      </c>
      <c r="AZ19" s="88">
        <f t="shared" si="12"/>
        <v>4490.4255319148933</v>
      </c>
      <c r="BA19" s="88">
        <f t="shared" si="12"/>
        <v>4490.4255319148933</v>
      </c>
      <c r="BB19" s="88">
        <f t="shared" si="12"/>
        <v>4490.4255319148933</v>
      </c>
      <c r="BC19" s="88">
        <f t="shared" si="12"/>
        <v>4490.4255319148933</v>
      </c>
      <c r="BD19" s="88">
        <f t="shared" si="12"/>
        <v>4490.4255319148933</v>
      </c>
      <c r="BE19" s="88">
        <f t="shared" si="12"/>
        <v>4490.4255319148933</v>
      </c>
      <c r="BF19" s="88">
        <f t="shared" si="12"/>
        <v>4490.4255319148933</v>
      </c>
      <c r="BG19" s="88">
        <f t="shared" si="12"/>
        <v>4490.4255319148933</v>
      </c>
      <c r="BH19" s="88">
        <f t="shared" si="12"/>
        <v>4490.4255319148933</v>
      </c>
      <c r="BI19" s="88">
        <f t="shared" si="12"/>
        <v>4490.4255319148933</v>
      </c>
      <c r="BJ19" s="88">
        <f t="shared" si="12"/>
        <v>4490.4255319148933</v>
      </c>
      <c r="BK19" s="88">
        <f t="shared" si="12"/>
        <v>4490.4255319148933</v>
      </c>
      <c r="BL19" s="88">
        <f t="shared" si="12"/>
        <v>4490.4255319148933</v>
      </c>
      <c r="BM19" s="88">
        <f t="shared" si="12"/>
        <v>4490.4255319148933</v>
      </c>
      <c r="BN19" s="88">
        <f t="shared" si="12"/>
        <v>4490.4255319148933</v>
      </c>
      <c r="BO19" s="88">
        <f t="shared" si="12"/>
        <v>4490.4255319148933</v>
      </c>
      <c r="BP19" s="88">
        <f t="shared" si="12"/>
        <v>4490.4255319148933</v>
      </c>
      <c r="BQ19" s="88">
        <f t="shared" si="12"/>
        <v>4490.4255319148933</v>
      </c>
      <c r="BR19" s="88">
        <f t="shared" si="12"/>
        <v>4490.4255319148933</v>
      </c>
      <c r="BS19" s="88">
        <f t="shared" si="12"/>
        <v>4490.4255319148933</v>
      </c>
      <c r="BT19" s="88">
        <f t="shared" si="12"/>
        <v>4490.4255319148933</v>
      </c>
      <c r="BU19" s="88">
        <f t="shared" si="12"/>
        <v>4490.4255319148933</v>
      </c>
      <c r="BV19" s="88">
        <f t="shared" si="12"/>
        <v>4490.4255319148933</v>
      </c>
      <c r="BW19" s="88">
        <f t="shared" si="12"/>
        <v>4490.4255319148933</v>
      </c>
      <c r="BX19" s="88">
        <f t="shared" si="12"/>
        <v>4490.4255319148933</v>
      </c>
      <c r="BY19" s="88">
        <f t="shared" si="12"/>
        <v>4490.4255319148933</v>
      </c>
      <c r="BZ19" s="88">
        <f t="shared" si="12"/>
        <v>4490.4255319148933</v>
      </c>
      <c r="CA19" s="88">
        <f t="shared" si="12"/>
        <v>4490.4255319148933</v>
      </c>
      <c r="CB19" s="88">
        <f t="shared" si="12"/>
        <v>4490.4255319148933</v>
      </c>
      <c r="CC19" s="88">
        <f t="shared" si="12"/>
        <v>4490.4255319148933</v>
      </c>
      <c r="CD19" s="88">
        <f t="shared" si="12"/>
        <v>4490.4255319148933</v>
      </c>
      <c r="CE19" s="88">
        <f t="shared" si="12"/>
        <v>4490.4255319148933</v>
      </c>
      <c r="CF19" s="88">
        <f>+'Fisc Oriental'!BP59</f>
        <v>0</v>
      </c>
      <c r="CG19" s="88">
        <f>+'Fisc Oriental'!BQ59</f>
        <v>0</v>
      </c>
      <c r="CH19" s="88">
        <f>+'Fisc Oriental'!BR59</f>
        <v>0</v>
      </c>
      <c r="CI19" s="88">
        <f>+'Fisc Oriental'!BS59</f>
        <v>0</v>
      </c>
      <c r="CJ19" s="88">
        <f>+'Fisc Oriental'!BT59</f>
        <v>0</v>
      </c>
      <c r="CK19" s="88">
        <f>+'Fisc Oriental'!BU59</f>
        <v>0</v>
      </c>
      <c r="CL19" s="583">
        <f t="shared" si="8"/>
        <v>5903391.3399999794</v>
      </c>
    </row>
    <row r="20" spans="1:90" s="161" customFormat="1" ht="48.75" customHeight="1" x14ac:dyDescent="0.2">
      <c r="A20" s="166" t="str">
        <f>+'3. PEP'!A34</f>
        <v>1.1.7</v>
      </c>
      <c r="B20" s="86" t="str">
        <f>+'3. PEP'!B34</f>
        <v>Contratación de Firma Consultora para Fiscalización de las Obras básicas de Mejoramiento y Conservación de caminos complementarios tramos Paratodo-Cruce Douglas y Campo Aceval – Avalos Sanchez – Región Occidental (86 Km)</v>
      </c>
      <c r="C20" s="88">
        <f>+'3. PEP'!G34</f>
        <v>823854.64297872351</v>
      </c>
      <c r="D20" s="88">
        <f>+'3. PEP'!H34</f>
        <v>222663.4170212766</v>
      </c>
      <c r="E20" s="88">
        <f>+'3. PEP'!I34</f>
        <v>1046518.06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>
        <f>+'Fisc Complementarias'!B59</f>
        <v>94851.8</v>
      </c>
      <c r="AE20" s="88">
        <f>+'Fisc Complementarias'!C59</f>
        <v>28455.54</v>
      </c>
      <c r="AF20" s="88">
        <f>+'Fisc Complementarias'!D59</f>
        <v>30589.705499999996</v>
      </c>
      <c r="AG20" s="88">
        <f>+'Fisc Complementarias'!E59</f>
        <v>32723.871000000006</v>
      </c>
      <c r="AH20" s="88">
        <f>+'Fisc Complementarias'!F59</f>
        <v>32723.871000000006</v>
      </c>
      <c r="AI20" s="88">
        <f>+'Fisc Complementarias'!G59</f>
        <v>34858.036500000002</v>
      </c>
      <c r="AJ20" s="88">
        <f>+'Fisc Complementarias'!H59</f>
        <v>36992.202000000005</v>
      </c>
      <c r="AK20" s="88">
        <f>+'Fisc Complementarias'!I59</f>
        <v>36992.202000000005</v>
      </c>
      <c r="AL20" s="88">
        <f>+'Fisc Complementarias'!J59</f>
        <v>39126.367500000008</v>
      </c>
      <c r="AM20" s="88">
        <f>+'Fisc Complementarias'!K59</f>
        <v>41260.532999999996</v>
      </c>
      <c r="AN20" s="88">
        <f>+'Fisc Complementarias'!L59</f>
        <v>41260.532999999996</v>
      </c>
      <c r="AO20" s="88">
        <f>+'Fisc Complementarias'!M59</f>
        <v>41260.532999999996</v>
      </c>
      <c r="AP20" s="88">
        <f>+'Fisc Complementarias'!N59</f>
        <v>43394.698499999999</v>
      </c>
      <c r="AQ20" s="88">
        <f>+'Fisc Complementarias'!O59</f>
        <v>47663.029500000004</v>
      </c>
      <c r="AR20" s="88">
        <f>+'Fisc Complementarias'!P59</f>
        <v>47663.029500000004</v>
      </c>
      <c r="AS20" s="88">
        <f>+'Fisc Complementarias'!Q59</f>
        <v>45528.864000000009</v>
      </c>
      <c r="AT20" s="88">
        <f>+'Fisc Complementarias'!R59</f>
        <v>45528.864000000009</v>
      </c>
      <c r="AU20" s="88">
        <f>+'Fisc Complementarias'!S59</f>
        <v>39126.367500000008</v>
      </c>
      <c r="AV20" s="88">
        <f>+'Fisc Complementarias'!T59</f>
        <v>39126.367500000008</v>
      </c>
      <c r="AW20" s="88">
        <f>+'Fisc Complementarias'!U59</f>
        <v>34858.036500000002</v>
      </c>
      <c r="AX20" s="88">
        <f>+'Fisc Complementarias'!V59</f>
        <v>26321.374500000002</v>
      </c>
      <c r="AY20" s="88">
        <f>+'Fisc Complementarias'!W59</f>
        <v>22053.0435</v>
      </c>
      <c r="AZ20" s="88">
        <f>+'Fisc Complementarias'!X59</f>
        <v>22053.0435</v>
      </c>
      <c r="BA20" s="88">
        <f>+'Fisc Complementarias'!Y59</f>
        <v>22053.0435</v>
      </c>
      <c r="BB20" s="88">
        <f>+'Fisc Complementarias'!Z59</f>
        <v>22053.0435</v>
      </c>
      <c r="BC20" s="88">
        <f>98000/35</f>
        <v>2800</v>
      </c>
      <c r="BD20" s="88">
        <f t="shared" ref="BD20:CK20" si="13">98000/35</f>
        <v>2800</v>
      </c>
      <c r="BE20" s="88">
        <f t="shared" si="13"/>
        <v>2800</v>
      </c>
      <c r="BF20" s="88">
        <f t="shared" si="13"/>
        <v>2800</v>
      </c>
      <c r="BG20" s="88">
        <f t="shared" si="13"/>
        <v>2800</v>
      </c>
      <c r="BH20" s="88">
        <f t="shared" si="13"/>
        <v>2800</v>
      </c>
      <c r="BI20" s="88">
        <f t="shared" si="13"/>
        <v>2800</v>
      </c>
      <c r="BJ20" s="88">
        <f t="shared" si="13"/>
        <v>2800</v>
      </c>
      <c r="BK20" s="88">
        <f t="shared" si="13"/>
        <v>2800</v>
      </c>
      <c r="BL20" s="88">
        <f t="shared" si="13"/>
        <v>2800</v>
      </c>
      <c r="BM20" s="88">
        <f t="shared" si="13"/>
        <v>2800</v>
      </c>
      <c r="BN20" s="88">
        <f t="shared" si="13"/>
        <v>2800</v>
      </c>
      <c r="BO20" s="88">
        <f t="shared" si="13"/>
        <v>2800</v>
      </c>
      <c r="BP20" s="88">
        <f t="shared" si="13"/>
        <v>2800</v>
      </c>
      <c r="BQ20" s="88">
        <f t="shared" si="13"/>
        <v>2800</v>
      </c>
      <c r="BR20" s="88">
        <f t="shared" si="13"/>
        <v>2800</v>
      </c>
      <c r="BS20" s="88">
        <f t="shared" si="13"/>
        <v>2800</v>
      </c>
      <c r="BT20" s="88">
        <f t="shared" si="13"/>
        <v>2800</v>
      </c>
      <c r="BU20" s="88">
        <f t="shared" si="13"/>
        <v>2800</v>
      </c>
      <c r="BV20" s="88">
        <f t="shared" si="13"/>
        <v>2800</v>
      </c>
      <c r="BW20" s="88">
        <f t="shared" si="13"/>
        <v>2800</v>
      </c>
      <c r="BX20" s="88">
        <f t="shared" si="13"/>
        <v>2800</v>
      </c>
      <c r="BY20" s="88">
        <f t="shared" si="13"/>
        <v>2800</v>
      </c>
      <c r="BZ20" s="88">
        <f t="shared" si="13"/>
        <v>2800</v>
      </c>
      <c r="CA20" s="88">
        <f t="shared" si="13"/>
        <v>2800</v>
      </c>
      <c r="CB20" s="88">
        <f t="shared" si="13"/>
        <v>2800</v>
      </c>
      <c r="CC20" s="88">
        <f t="shared" si="13"/>
        <v>2800</v>
      </c>
      <c r="CD20" s="88">
        <f t="shared" si="13"/>
        <v>2800</v>
      </c>
      <c r="CE20" s="88">
        <f t="shared" si="13"/>
        <v>2800</v>
      </c>
      <c r="CF20" s="88">
        <f t="shared" si="13"/>
        <v>2800</v>
      </c>
      <c r="CG20" s="88">
        <f t="shared" si="13"/>
        <v>2800</v>
      </c>
      <c r="CH20" s="88">
        <f t="shared" si="13"/>
        <v>2800</v>
      </c>
      <c r="CI20" s="88">
        <f t="shared" si="13"/>
        <v>2800</v>
      </c>
      <c r="CJ20" s="88">
        <f t="shared" si="13"/>
        <v>2800</v>
      </c>
      <c r="CK20" s="88">
        <f t="shared" si="13"/>
        <v>2800</v>
      </c>
      <c r="CL20" s="583">
        <f>SUM(F20:CK20)</f>
        <v>1046518.0000000002</v>
      </c>
    </row>
    <row r="21" spans="1:90" s="161" customFormat="1" x14ac:dyDescent="0.2">
      <c r="A21" s="94" t="str">
        <f>+'3. PEP'!A35</f>
        <v>1.2</v>
      </c>
      <c r="B21" s="82" t="str">
        <f>+'3. PEP'!B35</f>
        <v>Gestión Socio Ambiental</v>
      </c>
      <c r="C21" s="97">
        <f>+'3. PEP'!G35</f>
        <v>1102127.6595744682</v>
      </c>
      <c r="D21" s="97">
        <f>+'3. PEP'!H35</f>
        <v>297872.3404255319</v>
      </c>
      <c r="E21" s="97">
        <f>+'3. PEP'!I35</f>
        <v>1400000</v>
      </c>
      <c r="F21" s="97">
        <f>+F22+F26</f>
        <v>0</v>
      </c>
      <c r="G21" s="97">
        <f t="shared" ref="G21:BR21" si="14">+G22+G26</f>
        <v>0</v>
      </c>
      <c r="H21" s="97">
        <f t="shared" si="14"/>
        <v>0</v>
      </c>
      <c r="I21" s="97">
        <f t="shared" si="14"/>
        <v>0</v>
      </c>
      <c r="J21" s="97">
        <f t="shared" si="14"/>
        <v>0</v>
      </c>
      <c r="K21" s="97">
        <f t="shared" si="14"/>
        <v>0</v>
      </c>
      <c r="L21" s="97">
        <f t="shared" si="14"/>
        <v>0</v>
      </c>
      <c r="M21" s="97">
        <f t="shared" si="14"/>
        <v>0</v>
      </c>
      <c r="N21" s="97">
        <f t="shared" si="14"/>
        <v>0</v>
      </c>
      <c r="O21" s="97">
        <f t="shared" si="14"/>
        <v>0</v>
      </c>
      <c r="P21" s="97">
        <f t="shared" si="14"/>
        <v>0</v>
      </c>
      <c r="Q21" s="97">
        <f t="shared" si="14"/>
        <v>36600</v>
      </c>
      <c r="R21" s="97">
        <f t="shared" si="14"/>
        <v>14000</v>
      </c>
      <c r="S21" s="97">
        <f t="shared" si="14"/>
        <v>0</v>
      </c>
      <c r="T21" s="97">
        <f t="shared" si="14"/>
        <v>0</v>
      </c>
      <c r="U21" s="97">
        <f t="shared" si="14"/>
        <v>105000</v>
      </c>
      <c r="V21" s="97">
        <f t="shared" si="14"/>
        <v>0</v>
      </c>
      <c r="W21" s="97">
        <f t="shared" si="14"/>
        <v>0</v>
      </c>
      <c r="X21" s="97">
        <f t="shared" si="14"/>
        <v>0</v>
      </c>
      <c r="Y21" s="97">
        <f t="shared" si="14"/>
        <v>0</v>
      </c>
      <c r="Z21" s="97">
        <f t="shared" si="14"/>
        <v>0</v>
      </c>
      <c r="AA21" s="97">
        <f t="shared" si="14"/>
        <v>0</v>
      </c>
      <c r="AB21" s="97">
        <f t="shared" si="14"/>
        <v>0</v>
      </c>
      <c r="AC21" s="97">
        <f t="shared" si="14"/>
        <v>36600</v>
      </c>
      <c r="AD21" s="97">
        <f t="shared" si="14"/>
        <v>14000</v>
      </c>
      <c r="AE21" s="97">
        <f t="shared" si="14"/>
        <v>0</v>
      </c>
      <c r="AF21" s="97">
        <f t="shared" si="14"/>
        <v>0</v>
      </c>
      <c r="AG21" s="97">
        <f t="shared" si="14"/>
        <v>229400</v>
      </c>
      <c r="AH21" s="97">
        <f t="shared" si="14"/>
        <v>0</v>
      </c>
      <c r="AI21" s="97">
        <f t="shared" si="14"/>
        <v>0</v>
      </c>
      <c r="AJ21" s="97">
        <f t="shared" si="14"/>
        <v>0</v>
      </c>
      <c r="AK21" s="97">
        <f t="shared" si="14"/>
        <v>0</v>
      </c>
      <c r="AL21" s="97">
        <f t="shared" si="14"/>
        <v>0</v>
      </c>
      <c r="AM21" s="97">
        <f t="shared" si="14"/>
        <v>0</v>
      </c>
      <c r="AN21" s="97">
        <f t="shared" si="14"/>
        <v>0</v>
      </c>
      <c r="AO21" s="97">
        <f t="shared" si="14"/>
        <v>36600</v>
      </c>
      <c r="AP21" s="97">
        <f t="shared" si="14"/>
        <v>14000</v>
      </c>
      <c r="AQ21" s="97">
        <f t="shared" si="14"/>
        <v>0</v>
      </c>
      <c r="AR21" s="97">
        <f t="shared" si="14"/>
        <v>0</v>
      </c>
      <c r="AS21" s="97">
        <f t="shared" si="14"/>
        <v>0</v>
      </c>
      <c r="AT21" s="97">
        <f t="shared" si="14"/>
        <v>229400</v>
      </c>
      <c r="AU21" s="97">
        <f t="shared" si="14"/>
        <v>0</v>
      </c>
      <c r="AV21" s="97">
        <f t="shared" si="14"/>
        <v>0</v>
      </c>
      <c r="AW21" s="97">
        <f t="shared" si="14"/>
        <v>0</v>
      </c>
      <c r="AX21" s="97">
        <f t="shared" si="14"/>
        <v>0</v>
      </c>
      <c r="AY21" s="97">
        <f t="shared" si="14"/>
        <v>0</v>
      </c>
      <c r="AZ21" s="97">
        <f t="shared" si="14"/>
        <v>0</v>
      </c>
      <c r="BA21" s="97">
        <f t="shared" si="14"/>
        <v>36600</v>
      </c>
      <c r="BB21" s="97">
        <f t="shared" si="14"/>
        <v>14000</v>
      </c>
      <c r="BC21" s="97">
        <f t="shared" si="14"/>
        <v>0</v>
      </c>
      <c r="BD21" s="97">
        <f t="shared" si="14"/>
        <v>0</v>
      </c>
      <c r="BE21" s="97">
        <f t="shared" si="14"/>
        <v>229400</v>
      </c>
      <c r="BF21" s="97">
        <f t="shared" si="14"/>
        <v>0</v>
      </c>
      <c r="BG21" s="97">
        <f t="shared" si="14"/>
        <v>0</v>
      </c>
      <c r="BH21" s="97">
        <f t="shared" si="14"/>
        <v>0</v>
      </c>
      <c r="BI21" s="97">
        <f t="shared" si="14"/>
        <v>0</v>
      </c>
      <c r="BJ21" s="97">
        <f t="shared" si="14"/>
        <v>14000</v>
      </c>
      <c r="BK21" s="97">
        <f t="shared" si="14"/>
        <v>0</v>
      </c>
      <c r="BL21" s="97">
        <f t="shared" si="14"/>
        <v>36600</v>
      </c>
      <c r="BM21" s="97">
        <f t="shared" si="14"/>
        <v>0</v>
      </c>
      <c r="BN21" s="97">
        <f t="shared" si="14"/>
        <v>0</v>
      </c>
      <c r="BO21" s="97">
        <f t="shared" si="14"/>
        <v>0</v>
      </c>
      <c r="BP21" s="97">
        <f t="shared" si="14"/>
        <v>0</v>
      </c>
      <c r="BQ21" s="97">
        <f t="shared" si="14"/>
        <v>105000</v>
      </c>
      <c r="BR21" s="97">
        <f t="shared" si="14"/>
        <v>124400</v>
      </c>
      <c r="BS21" s="97">
        <f t="shared" ref="BS21:CK21" si="15">+BS22+BS26</f>
        <v>0</v>
      </c>
      <c r="BT21" s="97">
        <f t="shared" si="15"/>
        <v>0</v>
      </c>
      <c r="BU21" s="97">
        <f t="shared" si="15"/>
        <v>0</v>
      </c>
      <c r="BV21" s="97">
        <f t="shared" si="15"/>
        <v>0</v>
      </c>
      <c r="BW21" s="97">
        <f t="shared" si="15"/>
        <v>0</v>
      </c>
      <c r="BX21" s="97">
        <f t="shared" si="15"/>
        <v>0</v>
      </c>
      <c r="BY21" s="97">
        <f t="shared" si="15"/>
        <v>0</v>
      </c>
      <c r="BZ21" s="97">
        <f t="shared" si="15"/>
        <v>124400</v>
      </c>
      <c r="CA21" s="97">
        <f t="shared" si="15"/>
        <v>0</v>
      </c>
      <c r="CB21" s="97">
        <f t="shared" si="15"/>
        <v>0</v>
      </c>
      <c r="CC21" s="97">
        <f t="shared" si="15"/>
        <v>0</v>
      </c>
      <c r="CD21" s="97">
        <f t="shared" si="15"/>
        <v>0</v>
      </c>
      <c r="CE21" s="97">
        <f t="shared" si="15"/>
        <v>0</v>
      </c>
      <c r="CF21" s="97">
        <f t="shared" si="15"/>
        <v>0</v>
      </c>
      <c r="CG21" s="97">
        <f t="shared" si="15"/>
        <v>0</v>
      </c>
      <c r="CH21" s="97">
        <f t="shared" si="15"/>
        <v>0</v>
      </c>
      <c r="CI21" s="97">
        <f t="shared" si="15"/>
        <v>0</v>
      </c>
      <c r="CJ21" s="97">
        <f t="shared" si="15"/>
        <v>0</v>
      </c>
      <c r="CK21" s="97">
        <f t="shared" si="15"/>
        <v>0</v>
      </c>
      <c r="CL21" s="97">
        <f>+CL22+CL26</f>
        <v>1400000</v>
      </c>
    </row>
    <row r="22" spans="1:90" s="161" customFormat="1" x14ac:dyDescent="0.2">
      <c r="A22" s="490" t="str">
        <f>+'3. PEP'!A36</f>
        <v>1.2.1</v>
      </c>
      <c r="B22" s="485" t="str">
        <f>+'3. PEP'!B36</f>
        <v>Plan de Gestión Ambiental y Social - Región Occidental</v>
      </c>
      <c r="C22" s="488">
        <f>+'3. PEP'!G36</f>
        <v>515638.29787234048</v>
      </c>
      <c r="D22" s="488">
        <f>+'3. PEP'!H36</f>
        <v>139361.70212765958</v>
      </c>
      <c r="E22" s="488">
        <f>+'3. PEP'!I36</f>
        <v>655000</v>
      </c>
      <c r="F22" s="488">
        <f>+F23+F24+F25</f>
        <v>0</v>
      </c>
      <c r="G22" s="488">
        <f t="shared" ref="G22:BR22" si="16">+G23+G24+G25</f>
        <v>0</v>
      </c>
      <c r="H22" s="488">
        <f t="shared" si="16"/>
        <v>0</v>
      </c>
      <c r="I22" s="488">
        <f t="shared" si="16"/>
        <v>0</v>
      </c>
      <c r="J22" s="488">
        <f t="shared" si="16"/>
        <v>0</v>
      </c>
      <c r="K22" s="488">
        <f t="shared" si="16"/>
        <v>0</v>
      </c>
      <c r="L22" s="488">
        <f t="shared" si="16"/>
        <v>0</v>
      </c>
      <c r="M22" s="488">
        <f t="shared" si="16"/>
        <v>0</v>
      </c>
      <c r="N22" s="488">
        <f t="shared" si="16"/>
        <v>0</v>
      </c>
      <c r="O22" s="488">
        <f t="shared" si="16"/>
        <v>0</v>
      </c>
      <c r="P22" s="488">
        <f t="shared" si="16"/>
        <v>0</v>
      </c>
      <c r="Q22" s="488">
        <f t="shared" si="16"/>
        <v>18600</v>
      </c>
      <c r="R22" s="488">
        <f t="shared" si="16"/>
        <v>0</v>
      </c>
      <c r="S22" s="488">
        <f t="shared" si="16"/>
        <v>0</v>
      </c>
      <c r="T22" s="488">
        <f t="shared" si="16"/>
        <v>0</v>
      </c>
      <c r="U22" s="488">
        <f t="shared" si="16"/>
        <v>28000</v>
      </c>
      <c r="V22" s="488">
        <f t="shared" si="16"/>
        <v>0</v>
      </c>
      <c r="W22" s="488">
        <f t="shared" si="16"/>
        <v>0</v>
      </c>
      <c r="X22" s="488">
        <f t="shared" si="16"/>
        <v>0</v>
      </c>
      <c r="Y22" s="488">
        <f t="shared" si="16"/>
        <v>0</v>
      </c>
      <c r="Z22" s="488">
        <f t="shared" si="16"/>
        <v>0</v>
      </c>
      <c r="AA22" s="488">
        <f t="shared" si="16"/>
        <v>0</v>
      </c>
      <c r="AB22" s="488">
        <f t="shared" si="16"/>
        <v>0</v>
      </c>
      <c r="AC22" s="488">
        <f t="shared" si="16"/>
        <v>18600</v>
      </c>
      <c r="AD22" s="488">
        <f t="shared" si="16"/>
        <v>0</v>
      </c>
      <c r="AE22" s="488">
        <f t="shared" si="16"/>
        <v>0</v>
      </c>
      <c r="AF22" s="488">
        <f t="shared" si="16"/>
        <v>0</v>
      </c>
      <c r="AG22" s="488">
        <f t="shared" si="16"/>
        <v>112400</v>
      </c>
      <c r="AH22" s="488">
        <f t="shared" si="16"/>
        <v>0</v>
      </c>
      <c r="AI22" s="488">
        <f t="shared" si="16"/>
        <v>0</v>
      </c>
      <c r="AJ22" s="488">
        <f t="shared" si="16"/>
        <v>0</v>
      </c>
      <c r="AK22" s="488">
        <f t="shared" si="16"/>
        <v>0</v>
      </c>
      <c r="AL22" s="488">
        <f t="shared" si="16"/>
        <v>0</v>
      </c>
      <c r="AM22" s="488">
        <f t="shared" si="16"/>
        <v>0</v>
      </c>
      <c r="AN22" s="488">
        <f t="shared" si="16"/>
        <v>0</v>
      </c>
      <c r="AO22" s="488">
        <f t="shared" si="16"/>
        <v>18600</v>
      </c>
      <c r="AP22" s="488">
        <f t="shared" si="16"/>
        <v>0</v>
      </c>
      <c r="AQ22" s="488">
        <f t="shared" si="16"/>
        <v>0</v>
      </c>
      <c r="AR22" s="488">
        <f t="shared" si="16"/>
        <v>0</v>
      </c>
      <c r="AS22" s="488">
        <f t="shared" si="16"/>
        <v>0</v>
      </c>
      <c r="AT22" s="488">
        <f t="shared" si="16"/>
        <v>112400</v>
      </c>
      <c r="AU22" s="488">
        <f t="shared" si="16"/>
        <v>0</v>
      </c>
      <c r="AV22" s="488">
        <f t="shared" si="16"/>
        <v>0</v>
      </c>
      <c r="AW22" s="488">
        <f t="shared" si="16"/>
        <v>0</v>
      </c>
      <c r="AX22" s="488">
        <f t="shared" si="16"/>
        <v>0</v>
      </c>
      <c r="AY22" s="488">
        <f t="shared" si="16"/>
        <v>0</v>
      </c>
      <c r="AZ22" s="488">
        <f t="shared" si="16"/>
        <v>0</v>
      </c>
      <c r="BA22" s="488">
        <f t="shared" si="16"/>
        <v>18600</v>
      </c>
      <c r="BB22" s="488">
        <f t="shared" si="16"/>
        <v>0</v>
      </c>
      <c r="BC22" s="488">
        <f t="shared" si="16"/>
        <v>0</v>
      </c>
      <c r="BD22" s="488">
        <f t="shared" si="16"/>
        <v>0</v>
      </c>
      <c r="BE22" s="488">
        <f t="shared" si="16"/>
        <v>112400</v>
      </c>
      <c r="BF22" s="488">
        <f t="shared" si="16"/>
        <v>0</v>
      </c>
      <c r="BG22" s="488">
        <f t="shared" si="16"/>
        <v>0</v>
      </c>
      <c r="BH22" s="488">
        <f t="shared" si="16"/>
        <v>0</v>
      </c>
      <c r="BI22" s="488">
        <f t="shared" si="16"/>
        <v>0</v>
      </c>
      <c r="BJ22" s="488">
        <f t="shared" si="16"/>
        <v>0</v>
      </c>
      <c r="BK22" s="488">
        <f t="shared" si="16"/>
        <v>0</v>
      </c>
      <c r="BL22" s="488">
        <f t="shared" si="16"/>
        <v>18600</v>
      </c>
      <c r="BM22" s="488">
        <f t="shared" si="16"/>
        <v>0</v>
      </c>
      <c r="BN22" s="488">
        <f t="shared" si="16"/>
        <v>0</v>
      </c>
      <c r="BO22" s="488">
        <f t="shared" si="16"/>
        <v>0</v>
      </c>
      <c r="BP22" s="488">
        <f t="shared" si="16"/>
        <v>0</v>
      </c>
      <c r="BQ22" s="488">
        <f t="shared" si="16"/>
        <v>28000</v>
      </c>
      <c r="BR22" s="488">
        <f t="shared" si="16"/>
        <v>84400</v>
      </c>
      <c r="BS22" s="488">
        <f t="shared" ref="BS22:CK22" si="17">+BS23+BS24+BS25</f>
        <v>0</v>
      </c>
      <c r="BT22" s="488">
        <f t="shared" si="17"/>
        <v>0</v>
      </c>
      <c r="BU22" s="488">
        <f t="shared" si="17"/>
        <v>0</v>
      </c>
      <c r="BV22" s="488">
        <f t="shared" si="17"/>
        <v>0</v>
      </c>
      <c r="BW22" s="488">
        <f t="shared" si="17"/>
        <v>0</v>
      </c>
      <c r="BX22" s="488">
        <f t="shared" si="17"/>
        <v>0</v>
      </c>
      <c r="BY22" s="488">
        <f t="shared" si="17"/>
        <v>0</v>
      </c>
      <c r="BZ22" s="488">
        <f t="shared" si="17"/>
        <v>84400</v>
      </c>
      <c r="CA22" s="488">
        <f t="shared" si="17"/>
        <v>0</v>
      </c>
      <c r="CB22" s="488">
        <f t="shared" si="17"/>
        <v>0</v>
      </c>
      <c r="CC22" s="488">
        <f t="shared" si="17"/>
        <v>0</v>
      </c>
      <c r="CD22" s="488">
        <f t="shared" si="17"/>
        <v>0</v>
      </c>
      <c r="CE22" s="488">
        <f t="shared" si="17"/>
        <v>0</v>
      </c>
      <c r="CF22" s="488">
        <f t="shared" si="17"/>
        <v>0</v>
      </c>
      <c r="CG22" s="488">
        <f t="shared" si="17"/>
        <v>0</v>
      </c>
      <c r="CH22" s="488">
        <f t="shared" si="17"/>
        <v>0</v>
      </c>
      <c r="CI22" s="488">
        <f t="shared" si="17"/>
        <v>0</v>
      </c>
      <c r="CJ22" s="488">
        <f t="shared" si="17"/>
        <v>0</v>
      </c>
      <c r="CK22" s="488">
        <f t="shared" si="17"/>
        <v>0</v>
      </c>
      <c r="CL22" s="488">
        <f>+CL23+CL24+CL25</f>
        <v>655000</v>
      </c>
    </row>
    <row r="23" spans="1:90" s="161" customFormat="1" x14ac:dyDescent="0.2">
      <c r="A23" s="489" t="str">
        <f>+'3. PEP'!A37</f>
        <v>1.2.1.1</v>
      </c>
      <c r="B23" s="486" t="str">
        <f>+'3. PEP'!B37</f>
        <v>PGAS obras del Chaco</v>
      </c>
      <c r="C23" s="88">
        <f>+'3. PEP'!G37</f>
        <v>332212.76595744683</v>
      </c>
      <c r="D23" s="88">
        <f>+'3. PEP'!H37</f>
        <v>89787.234042553187</v>
      </c>
      <c r="E23" s="88">
        <f>+'3. PEP'!I37</f>
        <v>422000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>
        <f>+$E$23/5</f>
        <v>84400</v>
      </c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>
        <f>+$E$23/5</f>
        <v>84400</v>
      </c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>
        <f>+$E$23/5</f>
        <v>84400</v>
      </c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>
        <f>+$E$23/5</f>
        <v>84400</v>
      </c>
      <c r="BS23" s="88"/>
      <c r="BT23" s="88"/>
      <c r="BU23" s="88"/>
      <c r="BV23" s="88"/>
      <c r="BW23" s="88"/>
      <c r="BX23" s="88"/>
      <c r="BY23" s="88"/>
      <c r="BZ23" s="88">
        <f>+$E$23/5</f>
        <v>84400</v>
      </c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>
        <f t="shared" ref="CL23:CL25" si="18">SUM(F23:CK23)</f>
        <v>422000</v>
      </c>
    </row>
    <row r="24" spans="1:90" s="161" customFormat="1" x14ac:dyDescent="0.2">
      <c r="A24" s="489" t="str">
        <f>+'3. PEP'!A38</f>
        <v>1.2.1.2</v>
      </c>
      <c r="B24" s="486" t="str">
        <f>+'3. PEP'!B38</f>
        <v>Reposición Forestal</v>
      </c>
      <c r="C24" s="88">
        <f>+'3. PEP'!G38</f>
        <v>73212.765957446813</v>
      </c>
      <c r="D24" s="88">
        <f>+'3. PEP'!H38</f>
        <v>19787.234042553191</v>
      </c>
      <c r="E24" s="88">
        <f>+'3. PEP'!I38</f>
        <v>93000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>
        <f>+$E$24/5</f>
        <v>18600</v>
      </c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>
        <f>+$E$24/5</f>
        <v>18600</v>
      </c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>
        <f>+$E$24/5</f>
        <v>18600</v>
      </c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>
        <f>+$E$24/5</f>
        <v>18600</v>
      </c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>
        <f>+$E$24/5</f>
        <v>18600</v>
      </c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>
        <f t="shared" si="18"/>
        <v>93000</v>
      </c>
    </row>
    <row r="25" spans="1:90" s="161" customFormat="1" x14ac:dyDescent="0.2">
      <c r="A25" s="489" t="str">
        <f>+'3. PEP'!A39</f>
        <v>1.2.1.3</v>
      </c>
      <c r="B25" s="486" t="str">
        <f>+'3. PEP'!B39</f>
        <v>Monitoreo de Fauna</v>
      </c>
      <c r="C25" s="88">
        <f>+'3. PEP'!G39</f>
        <v>110212.76595744681</v>
      </c>
      <c r="D25" s="88">
        <f>+'3. PEP'!H39</f>
        <v>29787.234042553191</v>
      </c>
      <c r="E25" s="88">
        <f>+'3. PEP'!I39</f>
        <v>140000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>
        <f>+$E$25/5</f>
        <v>28000</v>
      </c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>
        <f>+$E$25/5</f>
        <v>28000</v>
      </c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>
        <f>+$E$25/5</f>
        <v>28000</v>
      </c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>
        <f>+$E$25/5</f>
        <v>28000</v>
      </c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>
        <f>+$E$25/5</f>
        <v>28000</v>
      </c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>
        <f t="shared" si="18"/>
        <v>140000</v>
      </c>
    </row>
    <row r="26" spans="1:90" s="161" customFormat="1" x14ac:dyDescent="0.2">
      <c r="A26" s="490" t="str">
        <f>+'3. PEP'!A40</f>
        <v>1.2.2</v>
      </c>
      <c r="B26" s="485" t="str">
        <f>+'3. PEP'!B40</f>
        <v>Plan de Gestión Ambiental y Social - Región Oriental</v>
      </c>
      <c r="C26" s="488">
        <f>+'3. PEP'!G40</f>
        <v>586489.36170212761</v>
      </c>
      <c r="D26" s="488">
        <f>+'3. PEP'!H40</f>
        <v>158510.63829787233</v>
      </c>
      <c r="E26" s="488">
        <f>+'3. PEP'!I40</f>
        <v>745000</v>
      </c>
      <c r="F26" s="488">
        <f>+F27+F28+F29+F30</f>
        <v>0</v>
      </c>
      <c r="G26" s="488">
        <f t="shared" ref="G26:BR26" si="19">+G27+G28+G29+G30</f>
        <v>0</v>
      </c>
      <c r="H26" s="488">
        <f t="shared" si="19"/>
        <v>0</v>
      </c>
      <c r="I26" s="488">
        <f t="shared" si="19"/>
        <v>0</v>
      </c>
      <c r="J26" s="488">
        <f t="shared" si="19"/>
        <v>0</v>
      </c>
      <c r="K26" s="488">
        <f t="shared" si="19"/>
        <v>0</v>
      </c>
      <c r="L26" s="488">
        <f t="shared" si="19"/>
        <v>0</v>
      </c>
      <c r="M26" s="488">
        <f t="shared" si="19"/>
        <v>0</v>
      </c>
      <c r="N26" s="488">
        <f t="shared" si="19"/>
        <v>0</v>
      </c>
      <c r="O26" s="488">
        <f t="shared" si="19"/>
        <v>0</v>
      </c>
      <c r="P26" s="488">
        <f t="shared" si="19"/>
        <v>0</v>
      </c>
      <c r="Q26" s="488">
        <f t="shared" si="19"/>
        <v>18000</v>
      </c>
      <c r="R26" s="488">
        <f t="shared" si="19"/>
        <v>14000</v>
      </c>
      <c r="S26" s="488">
        <f t="shared" si="19"/>
        <v>0</v>
      </c>
      <c r="T26" s="488">
        <f t="shared" si="19"/>
        <v>0</v>
      </c>
      <c r="U26" s="488">
        <f t="shared" si="19"/>
        <v>77000</v>
      </c>
      <c r="V26" s="488">
        <f t="shared" si="19"/>
        <v>0</v>
      </c>
      <c r="W26" s="488">
        <f t="shared" si="19"/>
        <v>0</v>
      </c>
      <c r="X26" s="488">
        <f t="shared" si="19"/>
        <v>0</v>
      </c>
      <c r="Y26" s="488">
        <f t="shared" si="19"/>
        <v>0</v>
      </c>
      <c r="Z26" s="488">
        <f t="shared" si="19"/>
        <v>0</v>
      </c>
      <c r="AA26" s="488">
        <f t="shared" si="19"/>
        <v>0</v>
      </c>
      <c r="AB26" s="488">
        <f t="shared" si="19"/>
        <v>0</v>
      </c>
      <c r="AC26" s="488">
        <f t="shared" si="19"/>
        <v>18000</v>
      </c>
      <c r="AD26" s="488">
        <f t="shared" si="19"/>
        <v>14000</v>
      </c>
      <c r="AE26" s="488">
        <f t="shared" si="19"/>
        <v>0</v>
      </c>
      <c r="AF26" s="488">
        <f t="shared" si="19"/>
        <v>0</v>
      </c>
      <c r="AG26" s="488">
        <f t="shared" si="19"/>
        <v>117000</v>
      </c>
      <c r="AH26" s="488">
        <f t="shared" si="19"/>
        <v>0</v>
      </c>
      <c r="AI26" s="488">
        <f t="shared" si="19"/>
        <v>0</v>
      </c>
      <c r="AJ26" s="488">
        <f t="shared" si="19"/>
        <v>0</v>
      </c>
      <c r="AK26" s="488">
        <f t="shared" si="19"/>
        <v>0</v>
      </c>
      <c r="AL26" s="488">
        <f t="shared" si="19"/>
        <v>0</v>
      </c>
      <c r="AM26" s="488">
        <f t="shared" si="19"/>
        <v>0</v>
      </c>
      <c r="AN26" s="488">
        <f t="shared" si="19"/>
        <v>0</v>
      </c>
      <c r="AO26" s="488">
        <f t="shared" si="19"/>
        <v>18000</v>
      </c>
      <c r="AP26" s="488">
        <f t="shared" si="19"/>
        <v>14000</v>
      </c>
      <c r="AQ26" s="488">
        <f t="shared" si="19"/>
        <v>0</v>
      </c>
      <c r="AR26" s="488">
        <f t="shared" si="19"/>
        <v>0</v>
      </c>
      <c r="AS26" s="488">
        <f t="shared" si="19"/>
        <v>0</v>
      </c>
      <c r="AT26" s="488">
        <f t="shared" si="19"/>
        <v>117000</v>
      </c>
      <c r="AU26" s="488">
        <f t="shared" si="19"/>
        <v>0</v>
      </c>
      <c r="AV26" s="488">
        <f t="shared" si="19"/>
        <v>0</v>
      </c>
      <c r="AW26" s="488">
        <f t="shared" si="19"/>
        <v>0</v>
      </c>
      <c r="AX26" s="488">
        <f t="shared" si="19"/>
        <v>0</v>
      </c>
      <c r="AY26" s="488">
        <f t="shared" si="19"/>
        <v>0</v>
      </c>
      <c r="AZ26" s="488">
        <f t="shared" si="19"/>
        <v>0</v>
      </c>
      <c r="BA26" s="488">
        <f t="shared" si="19"/>
        <v>18000</v>
      </c>
      <c r="BB26" s="488">
        <f t="shared" si="19"/>
        <v>14000</v>
      </c>
      <c r="BC26" s="488">
        <f t="shared" si="19"/>
        <v>0</v>
      </c>
      <c r="BD26" s="488">
        <f t="shared" si="19"/>
        <v>0</v>
      </c>
      <c r="BE26" s="488">
        <f t="shared" si="19"/>
        <v>117000</v>
      </c>
      <c r="BF26" s="488">
        <f t="shared" si="19"/>
        <v>0</v>
      </c>
      <c r="BG26" s="488">
        <f t="shared" si="19"/>
        <v>0</v>
      </c>
      <c r="BH26" s="488">
        <f t="shared" si="19"/>
        <v>0</v>
      </c>
      <c r="BI26" s="488">
        <f t="shared" si="19"/>
        <v>0</v>
      </c>
      <c r="BJ26" s="488">
        <f t="shared" si="19"/>
        <v>14000</v>
      </c>
      <c r="BK26" s="488">
        <f t="shared" si="19"/>
        <v>0</v>
      </c>
      <c r="BL26" s="488">
        <f t="shared" si="19"/>
        <v>18000</v>
      </c>
      <c r="BM26" s="488">
        <f t="shared" si="19"/>
        <v>0</v>
      </c>
      <c r="BN26" s="488">
        <f t="shared" si="19"/>
        <v>0</v>
      </c>
      <c r="BO26" s="488">
        <f t="shared" si="19"/>
        <v>0</v>
      </c>
      <c r="BP26" s="488">
        <f t="shared" si="19"/>
        <v>0</v>
      </c>
      <c r="BQ26" s="488">
        <f t="shared" si="19"/>
        <v>77000</v>
      </c>
      <c r="BR26" s="488">
        <f t="shared" si="19"/>
        <v>40000</v>
      </c>
      <c r="BS26" s="488">
        <f t="shared" ref="BS26:CK26" si="20">+BS27+BS28+BS29+BS30</f>
        <v>0</v>
      </c>
      <c r="BT26" s="488">
        <f t="shared" si="20"/>
        <v>0</v>
      </c>
      <c r="BU26" s="488">
        <f t="shared" si="20"/>
        <v>0</v>
      </c>
      <c r="BV26" s="488">
        <f t="shared" si="20"/>
        <v>0</v>
      </c>
      <c r="BW26" s="488">
        <f t="shared" si="20"/>
        <v>0</v>
      </c>
      <c r="BX26" s="488">
        <f t="shared" si="20"/>
        <v>0</v>
      </c>
      <c r="BY26" s="488">
        <f t="shared" si="20"/>
        <v>0</v>
      </c>
      <c r="BZ26" s="488">
        <f t="shared" si="20"/>
        <v>40000</v>
      </c>
      <c r="CA26" s="488">
        <f t="shared" si="20"/>
        <v>0</v>
      </c>
      <c r="CB26" s="488">
        <f t="shared" si="20"/>
        <v>0</v>
      </c>
      <c r="CC26" s="488">
        <f t="shared" si="20"/>
        <v>0</v>
      </c>
      <c r="CD26" s="488">
        <f t="shared" si="20"/>
        <v>0</v>
      </c>
      <c r="CE26" s="488">
        <f t="shared" si="20"/>
        <v>0</v>
      </c>
      <c r="CF26" s="488">
        <f t="shared" si="20"/>
        <v>0</v>
      </c>
      <c r="CG26" s="488">
        <f t="shared" si="20"/>
        <v>0</v>
      </c>
      <c r="CH26" s="488">
        <f t="shared" si="20"/>
        <v>0</v>
      </c>
      <c r="CI26" s="488">
        <f t="shared" si="20"/>
        <v>0</v>
      </c>
      <c r="CJ26" s="488">
        <f t="shared" si="20"/>
        <v>0</v>
      </c>
      <c r="CK26" s="488">
        <f t="shared" si="20"/>
        <v>0</v>
      </c>
      <c r="CL26" s="488">
        <f>+CL27+CL28+CL29+CL30</f>
        <v>745000</v>
      </c>
    </row>
    <row r="27" spans="1:90" s="161" customFormat="1" x14ac:dyDescent="0.2">
      <c r="A27" s="489" t="str">
        <f>+'3. PEP'!A41</f>
        <v>1.2.2.1</v>
      </c>
      <c r="B27" s="486" t="str">
        <f>+'3. PEP'!B41</f>
        <v>PGAS otras obras de pavimentación y mantenimiento</v>
      </c>
      <c r="C27" s="88">
        <f>+'3. PEP'!G41</f>
        <v>157446.80851063831</v>
      </c>
      <c r="D27" s="88">
        <f>+'3. PEP'!H41</f>
        <v>42553.191489361699</v>
      </c>
      <c r="E27" s="88">
        <f>+'3. PEP'!I41</f>
        <v>200000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>
        <f>+$E$27/5</f>
        <v>40000</v>
      </c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>
        <f>+$E$27/5</f>
        <v>40000</v>
      </c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>
        <f>+$E$27/5</f>
        <v>40000</v>
      </c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>
        <f>+$E$27/5</f>
        <v>40000</v>
      </c>
      <c r="BS27" s="88"/>
      <c r="BT27" s="88"/>
      <c r="BU27" s="88"/>
      <c r="BV27" s="88"/>
      <c r="BW27" s="88"/>
      <c r="BX27" s="88"/>
      <c r="BY27" s="88"/>
      <c r="BZ27" s="88">
        <f>+$E$27/5</f>
        <v>40000</v>
      </c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>
        <f t="shared" ref="CL27:CL30" si="21">SUM(F27:CK27)</f>
        <v>200000</v>
      </c>
    </row>
    <row r="28" spans="1:90" s="161" customFormat="1" x14ac:dyDescent="0.2">
      <c r="A28" s="489" t="str">
        <f>+'3. PEP'!A42</f>
        <v>1.2.2.2</v>
      </c>
      <c r="B28" s="486" t="str">
        <f>+'3. PEP'!B42</f>
        <v>Plan de reposición forestal</v>
      </c>
      <c r="C28" s="88">
        <f>+'3. PEP'!G42</f>
        <v>70851.063829787236</v>
      </c>
      <c r="D28" s="88">
        <f>+'3. PEP'!H42</f>
        <v>19148.936170212764</v>
      </c>
      <c r="E28" s="88">
        <f>+'3. PEP'!I42</f>
        <v>90000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>
        <f>+$E$28/5</f>
        <v>18000</v>
      </c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>
        <f>+$E$28/5</f>
        <v>18000</v>
      </c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>
        <f>+$E$28/5</f>
        <v>18000</v>
      </c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>
        <f>+$E$28/5</f>
        <v>18000</v>
      </c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>
        <f>+$E$28/5</f>
        <v>18000</v>
      </c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>
        <f t="shared" si="21"/>
        <v>90000</v>
      </c>
    </row>
    <row r="29" spans="1:90" s="161" customFormat="1" x14ac:dyDescent="0.2">
      <c r="A29" s="489" t="str">
        <f>+'3. PEP'!A43</f>
        <v>1.2.2.3</v>
      </c>
      <c r="B29" s="486" t="str">
        <f>+'3. PEP'!B43</f>
        <v>Caracterización y monitoreo de fauna</v>
      </c>
      <c r="C29" s="88">
        <f>+'3. PEP'!G43</f>
        <v>55106.382978723406</v>
      </c>
      <c r="D29" s="88">
        <f>+'3. PEP'!H43</f>
        <v>14893.617021276596</v>
      </c>
      <c r="E29" s="88">
        <f>+'3. PEP'!I43</f>
        <v>70000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>
        <f>+$E$29/5</f>
        <v>14000</v>
      </c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>
        <f>+$E$29/5</f>
        <v>14000</v>
      </c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>
        <f>+$E$29/5</f>
        <v>14000</v>
      </c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>
        <f>+$E$29/5</f>
        <v>14000</v>
      </c>
      <c r="BC29" s="88"/>
      <c r="BD29" s="88"/>
      <c r="BE29" s="88"/>
      <c r="BF29" s="88"/>
      <c r="BG29" s="88"/>
      <c r="BH29" s="88"/>
      <c r="BI29" s="88"/>
      <c r="BJ29" s="88">
        <f>+$E$29/5</f>
        <v>14000</v>
      </c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>
        <f t="shared" si="21"/>
        <v>70000</v>
      </c>
    </row>
    <row r="30" spans="1:90" s="161" customFormat="1" x14ac:dyDescent="0.2">
      <c r="A30" s="489" t="str">
        <f>+'3. PEP'!A44</f>
        <v>1.2.2.4</v>
      </c>
      <c r="B30" s="486" t="str">
        <f>+'3. PEP'!B44</f>
        <v>Monitoreo de Recursos Hídricos</v>
      </c>
      <c r="C30" s="88">
        <f>+'3. PEP'!G44</f>
        <v>303085.10638297873</v>
      </c>
      <c r="D30" s="88">
        <f>+'3. PEP'!H44</f>
        <v>81914.893617021284</v>
      </c>
      <c r="E30" s="88">
        <f>+'3. PEP'!I44</f>
        <v>385000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>
        <f>+$E$30/5</f>
        <v>77000</v>
      </c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>
        <f>+$E$30/5</f>
        <v>77000</v>
      </c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>
        <f>+$E$30/5</f>
        <v>77000</v>
      </c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f>+$E$30/5</f>
        <v>77000</v>
      </c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>
        <f>+$E$30/5</f>
        <v>77000</v>
      </c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>
        <f t="shared" si="21"/>
        <v>385000</v>
      </c>
    </row>
    <row r="31" spans="1:90" s="161" customFormat="1" x14ac:dyDescent="0.2">
      <c r="A31" s="94" t="str">
        <f>+'3. PEP'!A45</f>
        <v>1.3</v>
      </c>
      <c r="B31" s="82" t="str">
        <f>+'3. PEP'!B45</f>
        <v>Pago por Servicios Ambientales</v>
      </c>
      <c r="C31" s="97">
        <f>+'3. PEP'!G45</f>
        <v>1562190.2648936172</v>
      </c>
      <c r="D31" s="97">
        <f>+'3. PEP'!H45</f>
        <v>422213.58510638302</v>
      </c>
      <c r="E31" s="97">
        <f>+'3. PEP'!I45</f>
        <v>1984403.8500000003</v>
      </c>
      <c r="F31" s="97">
        <f>+F32</f>
        <v>0</v>
      </c>
      <c r="G31" s="97">
        <f t="shared" ref="G31:BR31" si="22">+G32</f>
        <v>0</v>
      </c>
      <c r="H31" s="97">
        <f t="shared" si="22"/>
        <v>0</v>
      </c>
      <c r="I31" s="97">
        <f t="shared" si="22"/>
        <v>0</v>
      </c>
      <c r="J31" s="97">
        <f t="shared" si="22"/>
        <v>0</v>
      </c>
      <c r="K31" s="97">
        <f t="shared" si="22"/>
        <v>0</v>
      </c>
      <c r="L31" s="97">
        <f t="shared" si="22"/>
        <v>0</v>
      </c>
      <c r="M31" s="97">
        <f t="shared" si="22"/>
        <v>0</v>
      </c>
      <c r="N31" s="97">
        <f t="shared" si="22"/>
        <v>0</v>
      </c>
      <c r="O31" s="97">
        <f t="shared" si="22"/>
        <v>0</v>
      </c>
      <c r="P31" s="97">
        <f t="shared" si="22"/>
        <v>0</v>
      </c>
      <c r="Q31" s="97">
        <f t="shared" si="22"/>
        <v>0</v>
      </c>
      <c r="R31" s="97">
        <f t="shared" si="22"/>
        <v>0</v>
      </c>
      <c r="S31" s="97">
        <f t="shared" si="22"/>
        <v>0</v>
      </c>
      <c r="T31" s="97">
        <f t="shared" si="22"/>
        <v>0</v>
      </c>
      <c r="U31" s="97">
        <f t="shared" si="22"/>
        <v>0</v>
      </c>
      <c r="V31" s="97">
        <f t="shared" si="22"/>
        <v>0</v>
      </c>
      <c r="W31" s="97">
        <f t="shared" si="22"/>
        <v>0</v>
      </c>
      <c r="X31" s="97">
        <f t="shared" si="22"/>
        <v>1984403.8500000003</v>
      </c>
      <c r="Y31" s="97">
        <f t="shared" si="22"/>
        <v>0</v>
      </c>
      <c r="Z31" s="97">
        <f t="shared" si="22"/>
        <v>0</v>
      </c>
      <c r="AA31" s="97">
        <f t="shared" si="22"/>
        <v>0</v>
      </c>
      <c r="AB31" s="97">
        <f t="shared" si="22"/>
        <v>0</v>
      </c>
      <c r="AC31" s="97">
        <f t="shared" si="22"/>
        <v>0</v>
      </c>
      <c r="AD31" s="97">
        <f t="shared" si="22"/>
        <v>0</v>
      </c>
      <c r="AE31" s="97">
        <f t="shared" si="22"/>
        <v>0</v>
      </c>
      <c r="AF31" s="97">
        <f t="shared" si="22"/>
        <v>0</v>
      </c>
      <c r="AG31" s="97">
        <f t="shared" si="22"/>
        <v>0</v>
      </c>
      <c r="AH31" s="97">
        <f t="shared" si="22"/>
        <v>0</v>
      </c>
      <c r="AI31" s="97">
        <f t="shared" si="22"/>
        <v>0</v>
      </c>
      <c r="AJ31" s="97">
        <f t="shared" si="22"/>
        <v>0</v>
      </c>
      <c r="AK31" s="97">
        <f t="shared" si="22"/>
        <v>0</v>
      </c>
      <c r="AL31" s="97">
        <f t="shared" si="22"/>
        <v>0</v>
      </c>
      <c r="AM31" s="97">
        <f t="shared" si="22"/>
        <v>0</v>
      </c>
      <c r="AN31" s="97">
        <f t="shared" si="22"/>
        <v>0</v>
      </c>
      <c r="AO31" s="97">
        <f t="shared" si="22"/>
        <v>0</v>
      </c>
      <c r="AP31" s="97">
        <f t="shared" si="22"/>
        <v>0</v>
      </c>
      <c r="AQ31" s="97">
        <f t="shared" si="22"/>
        <v>0</v>
      </c>
      <c r="AR31" s="97">
        <f t="shared" si="22"/>
        <v>0</v>
      </c>
      <c r="AS31" s="97">
        <f t="shared" si="22"/>
        <v>0</v>
      </c>
      <c r="AT31" s="97">
        <f t="shared" si="22"/>
        <v>0</v>
      </c>
      <c r="AU31" s="97">
        <f t="shared" si="22"/>
        <v>0</v>
      </c>
      <c r="AV31" s="97">
        <f t="shared" si="22"/>
        <v>0</v>
      </c>
      <c r="AW31" s="97">
        <f t="shared" si="22"/>
        <v>0</v>
      </c>
      <c r="AX31" s="97">
        <f t="shared" si="22"/>
        <v>0</v>
      </c>
      <c r="AY31" s="97">
        <f t="shared" si="22"/>
        <v>0</v>
      </c>
      <c r="AZ31" s="97">
        <f t="shared" si="22"/>
        <v>0</v>
      </c>
      <c r="BA31" s="97">
        <f t="shared" si="22"/>
        <v>0</v>
      </c>
      <c r="BB31" s="97">
        <f t="shared" si="22"/>
        <v>0</v>
      </c>
      <c r="BC31" s="97">
        <f t="shared" si="22"/>
        <v>0</v>
      </c>
      <c r="BD31" s="97">
        <f t="shared" si="22"/>
        <v>0</v>
      </c>
      <c r="BE31" s="97">
        <f t="shared" si="22"/>
        <v>0</v>
      </c>
      <c r="BF31" s="97">
        <f t="shared" si="22"/>
        <v>0</v>
      </c>
      <c r="BG31" s="97">
        <f t="shared" si="22"/>
        <v>0</v>
      </c>
      <c r="BH31" s="97">
        <f t="shared" si="22"/>
        <v>0</v>
      </c>
      <c r="BI31" s="97">
        <f t="shared" si="22"/>
        <v>0</v>
      </c>
      <c r="BJ31" s="97">
        <f t="shared" si="22"/>
        <v>0</v>
      </c>
      <c r="BK31" s="97">
        <f t="shared" si="22"/>
        <v>0</v>
      </c>
      <c r="BL31" s="97">
        <f t="shared" si="22"/>
        <v>0</v>
      </c>
      <c r="BM31" s="97">
        <f t="shared" si="22"/>
        <v>0</v>
      </c>
      <c r="BN31" s="97">
        <f t="shared" si="22"/>
        <v>0</v>
      </c>
      <c r="BO31" s="97">
        <f t="shared" si="22"/>
        <v>0</v>
      </c>
      <c r="BP31" s="97">
        <f t="shared" si="22"/>
        <v>0</v>
      </c>
      <c r="BQ31" s="97">
        <f t="shared" si="22"/>
        <v>0</v>
      </c>
      <c r="BR31" s="97">
        <f t="shared" si="22"/>
        <v>0</v>
      </c>
      <c r="BS31" s="97">
        <f t="shared" ref="BS31:CK31" si="23">+BS32</f>
        <v>0</v>
      </c>
      <c r="BT31" s="97">
        <f t="shared" si="23"/>
        <v>0</v>
      </c>
      <c r="BU31" s="97">
        <f t="shared" si="23"/>
        <v>0</v>
      </c>
      <c r="BV31" s="97">
        <f t="shared" si="23"/>
        <v>0</v>
      </c>
      <c r="BW31" s="97">
        <f t="shared" si="23"/>
        <v>0</v>
      </c>
      <c r="BX31" s="97">
        <f t="shared" si="23"/>
        <v>0</v>
      </c>
      <c r="BY31" s="97">
        <f t="shared" si="23"/>
        <v>0</v>
      </c>
      <c r="BZ31" s="97">
        <f t="shared" si="23"/>
        <v>0</v>
      </c>
      <c r="CA31" s="97">
        <f t="shared" si="23"/>
        <v>0</v>
      </c>
      <c r="CB31" s="97">
        <f t="shared" si="23"/>
        <v>0</v>
      </c>
      <c r="CC31" s="97">
        <f t="shared" si="23"/>
        <v>0</v>
      </c>
      <c r="CD31" s="97">
        <f t="shared" si="23"/>
        <v>0</v>
      </c>
      <c r="CE31" s="97">
        <f t="shared" si="23"/>
        <v>0</v>
      </c>
      <c r="CF31" s="97">
        <f t="shared" si="23"/>
        <v>0</v>
      </c>
      <c r="CG31" s="97">
        <f t="shared" si="23"/>
        <v>0</v>
      </c>
      <c r="CH31" s="97">
        <f t="shared" si="23"/>
        <v>0</v>
      </c>
      <c r="CI31" s="97">
        <f t="shared" si="23"/>
        <v>0</v>
      </c>
      <c r="CJ31" s="97">
        <f t="shared" si="23"/>
        <v>0</v>
      </c>
      <c r="CK31" s="97">
        <f t="shared" si="23"/>
        <v>0</v>
      </c>
      <c r="CL31" s="97">
        <f>+CL32</f>
        <v>1984403.8500000003</v>
      </c>
    </row>
    <row r="32" spans="1:90" s="161" customFormat="1" x14ac:dyDescent="0.2">
      <c r="A32" s="489" t="str">
        <f>+'3. PEP'!A46</f>
        <v>1.3.1</v>
      </c>
      <c r="B32" s="486" t="str">
        <f>+'3. PEP'!B46</f>
        <v>Servicios Ambientales</v>
      </c>
      <c r="C32" s="88">
        <f>+'4. CC D'!I29</f>
        <v>1562190.2648936172</v>
      </c>
      <c r="D32" s="88">
        <f>+'4. CC D'!J29</f>
        <v>422213.58510638302</v>
      </c>
      <c r="E32" s="88">
        <f>+'4. CC D'!K29</f>
        <v>1984403.8500000003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>
        <f>+E32</f>
        <v>1984403.8500000003</v>
      </c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>
        <f t="shared" ref="CL32" si="24">SUM(F32:CK32)</f>
        <v>1984403.8500000003</v>
      </c>
    </row>
    <row r="33" spans="1:90" s="161" customFormat="1" x14ac:dyDescent="0.2">
      <c r="A33" s="94" t="str">
        <f>+'3. PEP'!A47</f>
        <v>1.4</v>
      </c>
      <c r="B33" s="82" t="str">
        <f>+'3. PEP'!B47</f>
        <v>Expropiaciones</v>
      </c>
      <c r="C33" s="97">
        <f>+'3. PEP'!G47</f>
        <v>842340.42553191492</v>
      </c>
      <c r="D33" s="97">
        <f>+'3. PEP'!H47</f>
        <v>227659.57446808511</v>
      </c>
      <c r="E33" s="97">
        <f>+'3. PEP'!I47</f>
        <v>1070000</v>
      </c>
      <c r="F33" s="97">
        <f>+F34+F35</f>
        <v>29722.222222222223</v>
      </c>
      <c r="G33" s="97">
        <f t="shared" ref="G33:BR33" si="25">+G34+G35</f>
        <v>29722.222222222223</v>
      </c>
      <c r="H33" s="97">
        <f t="shared" si="25"/>
        <v>29722.222222222223</v>
      </c>
      <c r="I33" s="97">
        <f t="shared" si="25"/>
        <v>29722.222222222223</v>
      </c>
      <c r="J33" s="97">
        <f t="shared" si="25"/>
        <v>29722.222222222223</v>
      </c>
      <c r="K33" s="97">
        <f t="shared" si="25"/>
        <v>29722.222222222223</v>
      </c>
      <c r="L33" s="97">
        <f t="shared" si="25"/>
        <v>29722.222222222223</v>
      </c>
      <c r="M33" s="97">
        <f t="shared" si="25"/>
        <v>29722.222222222223</v>
      </c>
      <c r="N33" s="97">
        <f t="shared" si="25"/>
        <v>29722.222222222223</v>
      </c>
      <c r="O33" s="97">
        <f t="shared" si="25"/>
        <v>29722.222222222223</v>
      </c>
      <c r="P33" s="97">
        <f t="shared" si="25"/>
        <v>29722.222222222223</v>
      </c>
      <c r="Q33" s="97">
        <f t="shared" si="25"/>
        <v>29722.222222222223</v>
      </c>
      <c r="R33" s="97">
        <f t="shared" si="25"/>
        <v>29722.222222222223</v>
      </c>
      <c r="S33" s="97">
        <f t="shared" si="25"/>
        <v>29722.222222222223</v>
      </c>
      <c r="T33" s="97">
        <f t="shared" si="25"/>
        <v>29722.222222222223</v>
      </c>
      <c r="U33" s="97">
        <f t="shared" si="25"/>
        <v>29722.222222222223</v>
      </c>
      <c r="V33" s="97">
        <f t="shared" si="25"/>
        <v>29722.222222222223</v>
      </c>
      <c r="W33" s="97">
        <f t="shared" si="25"/>
        <v>29722.222222222223</v>
      </c>
      <c r="X33" s="97">
        <f t="shared" si="25"/>
        <v>29722.222222222223</v>
      </c>
      <c r="Y33" s="97">
        <f t="shared" si="25"/>
        <v>29722.222222222223</v>
      </c>
      <c r="Z33" s="97">
        <f t="shared" si="25"/>
        <v>29722.222222222223</v>
      </c>
      <c r="AA33" s="97">
        <f t="shared" si="25"/>
        <v>29722.222222222223</v>
      </c>
      <c r="AB33" s="97">
        <f t="shared" si="25"/>
        <v>29722.222222222223</v>
      </c>
      <c r="AC33" s="97">
        <f t="shared" si="25"/>
        <v>29722.222222222223</v>
      </c>
      <c r="AD33" s="97">
        <f t="shared" si="25"/>
        <v>29722.222222222223</v>
      </c>
      <c r="AE33" s="97">
        <f t="shared" si="25"/>
        <v>29722.222222222223</v>
      </c>
      <c r="AF33" s="97">
        <f t="shared" si="25"/>
        <v>29722.222222222223</v>
      </c>
      <c r="AG33" s="97">
        <f t="shared" si="25"/>
        <v>29722.222222222223</v>
      </c>
      <c r="AH33" s="97">
        <f t="shared" si="25"/>
        <v>29722.222222222223</v>
      </c>
      <c r="AI33" s="97">
        <f t="shared" si="25"/>
        <v>29722.222222222223</v>
      </c>
      <c r="AJ33" s="97">
        <f t="shared" si="25"/>
        <v>29722.222222222223</v>
      </c>
      <c r="AK33" s="97">
        <f t="shared" si="25"/>
        <v>29722.222222222223</v>
      </c>
      <c r="AL33" s="97">
        <f t="shared" si="25"/>
        <v>29722.222222222223</v>
      </c>
      <c r="AM33" s="97">
        <f t="shared" si="25"/>
        <v>29722.222222222223</v>
      </c>
      <c r="AN33" s="97">
        <f t="shared" si="25"/>
        <v>29722.222222222223</v>
      </c>
      <c r="AO33" s="97">
        <f t="shared" si="25"/>
        <v>29722.222222222223</v>
      </c>
      <c r="AP33" s="97">
        <f t="shared" si="25"/>
        <v>0</v>
      </c>
      <c r="AQ33" s="97">
        <f t="shared" si="25"/>
        <v>0</v>
      </c>
      <c r="AR33" s="97">
        <f t="shared" si="25"/>
        <v>0</v>
      </c>
      <c r="AS33" s="97">
        <f t="shared" si="25"/>
        <v>0</v>
      </c>
      <c r="AT33" s="97">
        <f t="shared" si="25"/>
        <v>0</v>
      </c>
      <c r="AU33" s="97">
        <f t="shared" si="25"/>
        <v>0</v>
      </c>
      <c r="AV33" s="97">
        <f t="shared" si="25"/>
        <v>0</v>
      </c>
      <c r="AW33" s="97">
        <f t="shared" si="25"/>
        <v>0</v>
      </c>
      <c r="AX33" s="97">
        <f t="shared" si="25"/>
        <v>0</v>
      </c>
      <c r="AY33" s="97">
        <f t="shared" si="25"/>
        <v>0</v>
      </c>
      <c r="AZ33" s="97">
        <f t="shared" si="25"/>
        <v>0</v>
      </c>
      <c r="BA33" s="97">
        <f t="shared" si="25"/>
        <v>0</v>
      </c>
      <c r="BB33" s="97">
        <f t="shared" si="25"/>
        <v>0</v>
      </c>
      <c r="BC33" s="97">
        <f t="shared" si="25"/>
        <v>0</v>
      </c>
      <c r="BD33" s="97">
        <f t="shared" si="25"/>
        <v>0</v>
      </c>
      <c r="BE33" s="97">
        <f t="shared" si="25"/>
        <v>0</v>
      </c>
      <c r="BF33" s="97">
        <f t="shared" si="25"/>
        <v>0</v>
      </c>
      <c r="BG33" s="97">
        <f t="shared" si="25"/>
        <v>0</v>
      </c>
      <c r="BH33" s="97">
        <f t="shared" si="25"/>
        <v>0</v>
      </c>
      <c r="BI33" s="97">
        <f t="shared" si="25"/>
        <v>0</v>
      </c>
      <c r="BJ33" s="97">
        <f t="shared" si="25"/>
        <v>0</v>
      </c>
      <c r="BK33" s="97">
        <f t="shared" si="25"/>
        <v>0</v>
      </c>
      <c r="BL33" s="97">
        <f t="shared" si="25"/>
        <v>0</v>
      </c>
      <c r="BM33" s="97">
        <f t="shared" si="25"/>
        <v>0</v>
      </c>
      <c r="BN33" s="97">
        <f t="shared" si="25"/>
        <v>0</v>
      </c>
      <c r="BO33" s="97">
        <f t="shared" si="25"/>
        <v>0</v>
      </c>
      <c r="BP33" s="97">
        <f t="shared" si="25"/>
        <v>0</v>
      </c>
      <c r="BQ33" s="97">
        <f t="shared" si="25"/>
        <v>0</v>
      </c>
      <c r="BR33" s="97">
        <f t="shared" si="25"/>
        <v>0</v>
      </c>
      <c r="BS33" s="97">
        <f t="shared" ref="BS33:CK33" si="26">+BS34+BS35</f>
        <v>0</v>
      </c>
      <c r="BT33" s="97">
        <f t="shared" si="26"/>
        <v>0</v>
      </c>
      <c r="BU33" s="97">
        <f t="shared" si="26"/>
        <v>0</v>
      </c>
      <c r="BV33" s="97">
        <f t="shared" si="26"/>
        <v>0</v>
      </c>
      <c r="BW33" s="97">
        <f t="shared" si="26"/>
        <v>0</v>
      </c>
      <c r="BX33" s="97">
        <f t="shared" si="26"/>
        <v>0</v>
      </c>
      <c r="BY33" s="97">
        <f t="shared" si="26"/>
        <v>0</v>
      </c>
      <c r="BZ33" s="97">
        <f t="shared" si="26"/>
        <v>0</v>
      </c>
      <c r="CA33" s="97">
        <f t="shared" si="26"/>
        <v>0</v>
      </c>
      <c r="CB33" s="97">
        <f t="shared" si="26"/>
        <v>0</v>
      </c>
      <c r="CC33" s="97">
        <f t="shared" si="26"/>
        <v>0</v>
      </c>
      <c r="CD33" s="97">
        <f t="shared" si="26"/>
        <v>0</v>
      </c>
      <c r="CE33" s="97">
        <f t="shared" si="26"/>
        <v>0</v>
      </c>
      <c r="CF33" s="97">
        <f t="shared" si="26"/>
        <v>0</v>
      </c>
      <c r="CG33" s="97">
        <f t="shared" si="26"/>
        <v>0</v>
      </c>
      <c r="CH33" s="97">
        <f t="shared" si="26"/>
        <v>0</v>
      </c>
      <c r="CI33" s="97">
        <f t="shared" si="26"/>
        <v>0</v>
      </c>
      <c r="CJ33" s="97">
        <f t="shared" si="26"/>
        <v>0</v>
      </c>
      <c r="CK33" s="97">
        <f t="shared" si="26"/>
        <v>0</v>
      </c>
      <c r="CL33" s="97">
        <f>+CL34+CL35</f>
        <v>1069999.9999999995</v>
      </c>
    </row>
    <row r="34" spans="1:90" s="161" customFormat="1" x14ac:dyDescent="0.2">
      <c r="A34" s="489" t="str">
        <f>+'3. PEP'!A48</f>
        <v>1.4.1</v>
      </c>
      <c r="B34" s="486" t="str">
        <f>+'3. PEP'!B48</f>
        <v>Expropiaciones Región Occidental</v>
      </c>
      <c r="C34" s="88">
        <f>+'3. PEP'!G48</f>
        <v>448723.40425531915</v>
      </c>
      <c r="D34" s="88">
        <f>+'3. PEP'!H48</f>
        <v>121276.59574468085</v>
      </c>
      <c r="E34" s="88">
        <f>+'3. PEP'!I48</f>
        <v>570000</v>
      </c>
      <c r="F34" s="88">
        <f>+$E$34/36</f>
        <v>15833.333333333334</v>
      </c>
      <c r="G34" s="88">
        <f t="shared" ref="G34:AO34" si="27">+$E$34/36</f>
        <v>15833.333333333334</v>
      </c>
      <c r="H34" s="88">
        <f t="shared" si="27"/>
        <v>15833.333333333334</v>
      </c>
      <c r="I34" s="88">
        <f t="shared" si="27"/>
        <v>15833.333333333334</v>
      </c>
      <c r="J34" s="88">
        <f t="shared" si="27"/>
        <v>15833.333333333334</v>
      </c>
      <c r="K34" s="88">
        <f t="shared" si="27"/>
        <v>15833.333333333334</v>
      </c>
      <c r="L34" s="88">
        <f t="shared" si="27"/>
        <v>15833.333333333334</v>
      </c>
      <c r="M34" s="88">
        <f t="shared" si="27"/>
        <v>15833.333333333334</v>
      </c>
      <c r="N34" s="88">
        <f t="shared" si="27"/>
        <v>15833.333333333334</v>
      </c>
      <c r="O34" s="88">
        <f t="shared" si="27"/>
        <v>15833.333333333334</v>
      </c>
      <c r="P34" s="88">
        <f t="shared" si="27"/>
        <v>15833.333333333334</v>
      </c>
      <c r="Q34" s="88">
        <f t="shared" si="27"/>
        <v>15833.333333333334</v>
      </c>
      <c r="R34" s="88">
        <f t="shared" si="27"/>
        <v>15833.333333333334</v>
      </c>
      <c r="S34" s="88">
        <f t="shared" si="27"/>
        <v>15833.333333333334</v>
      </c>
      <c r="T34" s="88">
        <f t="shared" si="27"/>
        <v>15833.333333333334</v>
      </c>
      <c r="U34" s="88">
        <f t="shared" si="27"/>
        <v>15833.333333333334</v>
      </c>
      <c r="V34" s="88">
        <f t="shared" si="27"/>
        <v>15833.333333333334</v>
      </c>
      <c r="W34" s="88">
        <f t="shared" si="27"/>
        <v>15833.333333333334</v>
      </c>
      <c r="X34" s="88">
        <f t="shared" si="27"/>
        <v>15833.333333333334</v>
      </c>
      <c r="Y34" s="88">
        <f t="shared" si="27"/>
        <v>15833.333333333334</v>
      </c>
      <c r="Z34" s="88">
        <f t="shared" si="27"/>
        <v>15833.333333333334</v>
      </c>
      <c r="AA34" s="88">
        <f t="shared" si="27"/>
        <v>15833.333333333334</v>
      </c>
      <c r="AB34" s="88">
        <f t="shared" si="27"/>
        <v>15833.333333333334</v>
      </c>
      <c r="AC34" s="88">
        <f t="shared" si="27"/>
        <v>15833.333333333334</v>
      </c>
      <c r="AD34" s="88">
        <f t="shared" si="27"/>
        <v>15833.333333333334</v>
      </c>
      <c r="AE34" s="88">
        <f t="shared" si="27"/>
        <v>15833.333333333334</v>
      </c>
      <c r="AF34" s="88">
        <f t="shared" si="27"/>
        <v>15833.333333333334</v>
      </c>
      <c r="AG34" s="88">
        <f t="shared" si="27"/>
        <v>15833.333333333334</v>
      </c>
      <c r="AH34" s="88">
        <f t="shared" si="27"/>
        <v>15833.333333333334</v>
      </c>
      <c r="AI34" s="88">
        <f t="shared" si="27"/>
        <v>15833.333333333334</v>
      </c>
      <c r="AJ34" s="88">
        <f t="shared" si="27"/>
        <v>15833.333333333334</v>
      </c>
      <c r="AK34" s="88">
        <f t="shared" si="27"/>
        <v>15833.333333333334</v>
      </c>
      <c r="AL34" s="88">
        <f t="shared" si="27"/>
        <v>15833.333333333334</v>
      </c>
      <c r="AM34" s="88">
        <f t="shared" si="27"/>
        <v>15833.333333333334</v>
      </c>
      <c r="AN34" s="88">
        <f t="shared" si="27"/>
        <v>15833.333333333334</v>
      </c>
      <c r="AO34" s="88">
        <f t="shared" si="27"/>
        <v>15833.333333333334</v>
      </c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>
        <f t="shared" ref="CL34:CL35" si="28">SUM(F34:CK34)</f>
        <v>569999.99999999988</v>
      </c>
    </row>
    <row r="35" spans="1:90" s="161" customFormat="1" x14ac:dyDescent="0.2">
      <c r="A35" s="489" t="str">
        <f>+'3. PEP'!A49</f>
        <v>1.4.2</v>
      </c>
      <c r="B35" s="486" t="str">
        <f>+'3. PEP'!B49</f>
        <v>Expropiaciones Región Oriental</v>
      </c>
      <c r="C35" s="88">
        <f>+'3. PEP'!G49</f>
        <v>393617.02127659577</v>
      </c>
      <c r="D35" s="88">
        <f>+'3. PEP'!H49</f>
        <v>106382.97872340426</v>
      </c>
      <c r="E35" s="88">
        <f>+'3. PEP'!I49</f>
        <v>500000</v>
      </c>
      <c r="F35" s="88">
        <f>+$E$35/36</f>
        <v>13888.888888888889</v>
      </c>
      <c r="G35" s="88">
        <f t="shared" ref="G35:AO35" si="29">+$E$35/36</f>
        <v>13888.888888888889</v>
      </c>
      <c r="H35" s="88">
        <f t="shared" si="29"/>
        <v>13888.888888888889</v>
      </c>
      <c r="I35" s="88">
        <f t="shared" si="29"/>
        <v>13888.888888888889</v>
      </c>
      <c r="J35" s="88">
        <f t="shared" si="29"/>
        <v>13888.888888888889</v>
      </c>
      <c r="K35" s="88">
        <f t="shared" si="29"/>
        <v>13888.888888888889</v>
      </c>
      <c r="L35" s="88">
        <f t="shared" si="29"/>
        <v>13888.888888888889</v>
      </c>
      <c r="M35" s="88">
        <f t="shared" si="29"/>
        <v>13888.888888888889</v>
      </c>
      <c r="N35" s="88">
        <f t="shared" si="29"/>
        <v>13888.888888888889</v>
      </c>
      <c r="O35" s="88">
        <f t="shared" si="29"/>
        <v>13888.888888888889</v>
      </c>
      <c r="P35" s="88">
        <f t="shared" si="29"/>
        <v>13888.888888888889</v>
      </c>
      <c r="Q35" s="88">
        <f t="shared" si="29"/>
        <v>13888.888888888889</v>
      </c>
      <c r="R35" s="88">
        <f t="shared" si="29"/>
        <v>13888.888888888889</v>
      </c>
      <c r="S35" s="88">
        <f t="shared" si="29"/>
        <v>13888.888888888889</v>
      </c>
      <c r="T35" s="88">
        <f t="shared" si="29"/>
        <v>13888.888888888889</v>
      </c>
      <c r="U35" s="88">
        <f t="shared" si="29"/>
        <v>13888.888888888889</v>
      </c>
      <c r="V35" s="88">
        <f t="shared" si="29"/>
        <v>13888.888888888889</v>
      </c>
      <c r="W35" s="88">
        <f t="shared" si="29"/>
        <v>13888.888888888889</v>
      </c>
      <c r="X35" s="88">
        <f t="shared" si="29"/>
        <v>13888.888888888889</v>
      </c>
      <c r="Y35" s="88">
        <f t="shared" si="29"/>
        <v>13888.888888888889</v>
      </c>
      <c r="Z35" s="88">
        <f t="shared" si="29"/>
        <v>13888.888888888889</v>
      </c>
      <c r="AA35" s="88">
        <f t="shared" si="29"/>
        <v>13888.888888888889</v>
      </c>
      <c r="AB35" s="88">
        <f t="shared" si="29"/>
        <v>13888.888888888889</v>
      </c>
      <c r="AC35" s="88">
        <f t="shared" si="29"/>
        <v>13888.888888888889</v>
      </c>
      <c r="AD35" s="88">
        <f t="shared" si="29"/>
        <v>13888.888888888889</v>
      </c>
      <c r="AE35" s="88">
        <f t="shared" si="29"/>
        <v>13888.888888888889</v>
      </c>
      <c r="AF35" s="88">
        <f t="shared" si="29"/>
        <v>13888.888888888889</v>
      </c>
      <c r="AG35" s="88">
        <f t="shared" si="29"/>
        <v>13888.888888888889</v>
      </c>
      <c r="AH35" s="88">
        <f t="shared" si="29"/>
        <v>13888.888888888889</v>
      </c>
      <c r="AI35" s="88">
        <f t="shared" si="29"/>
        <v>13888.888888888889</v>
      </c>
      <c r="AJ35" s="88">
        <f t="shared" si="29"/>
        <v>13888.888888888889</v>
      </c>
      <c r="AK35" s="88">
        <f t="shared" si="29"/>
        <v>13888.888888888889</v>
      </c>
      <c r="AL35" s="88">
        <f t="shared" si="29"/>
        <v>13888.888888888889</v>
      </c>
      <c r="AM35" s="88">
        <f t="shared" si="29"/>
        <v>13888.888888888889</v>
      </c>
      <c r="AN35" s="88">
        <f t="shared" si="29"/>
        <v>13888.888888888889</v>
      </c>
      <c r="AO35" s="88">
        <f t="shared" si="29"/>
        <v>13888.888888888889</v>
      </c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>
        <f t="shared" si="28"/>
        <v>499999.99999999965</v>
      </c>
    </row>
    <row r="36" spans="1:90" s="161" customFormat="1" x14ac:dyDescent="0.2">
      <c r="A36" s="94" t="str">
        <f>+'3. PEP'!A50</f>
        <v>1.5</v>
      </c>
      <c r="B36" s="82" t="str">
        <f>+'3. PEP'!B50</f>
        <v>Contingencias y Escalamientos</v>
      </c>
      <c r="C36" s="97">
        <f>+'3. PEP'!G50</f>
        <v>10009195.914893618</v>
      </c>
      <c r="D36" s="97">
        <f>+'3. PEP'!H50</f>
        <v>2705188.0851063831</v>
      </c>
      <c r="E36" s="97">
        <f>+'3. PEP'!I50</f>
        <v>12714384</v>
      </c>
      <c r="F36" s="97">
        <f>+F37</f>
        <v>0</v>
      </c>
      <c r="G36" s="97">
        <f t="shared" ref="G36:BR36" si="30">+G37</f>
        <v>0</v>
      </c>
      <c r="H36" s="97">
        <f t="shared" si="30"/>
        <v>0</v>
      </c>
      <c r="I36" s="97">
        <f t="shared" si="30"/>
        <v>0</v>
      </c>
      <c r="J36" s="97">
        <f t="shared" si="30"/>
        <v>0</v>
      </c>
      <c r="K36" s="97">
        <f t="shared" si="30"/>
        <v>0</v>
      </c>
      <c r="L36" s="97">
        <f t="shared" si="30"/>
        <v>0</v>
      </c>
      <c r="M36" s="97">
        <f t="shared" si="30"/>
        <v>0</v>
      </c>
      <c r="N36" s="97">
        <f t="shared" si="30"/>
        <v>0</v>
      </c>
      <c r="O36" s="97">
        <f t="shared" si="30"/>
        <v>0</v>
      </c>
      <c r="P36" s="97">
        <f t="shared" si="30"/>
        <v>0</v>
      </c>
      <c r="Q36" s="97">
        <f t="shared" si="30"/>
        <v>0</v>
      </c>
      <c r="R36" s="97">
        <f t="shared" si="30"/>
        <v>0</v>
      </c>
      <c r="S36" s="97">
        <f t="shared" si="30"/>
        <v>0</v>
      </c>
      <c r="T36" s="97">
        <f t="shared" si="30"/>
        <v>0</v>
      </c>
      <c r="U36" s="97">
        <f t="shared" si="30"/>
        <v>0</v>
      </c>
      <c r="V36" s="97">
        <f t="shared" si="30"/>
        <v>0</v>
      </c>
      <c r="W36" s="97">
        <f t="shared" si="30"/>
        <v>0</v>
      </c>
      <c r="X36" s="97">
        <f t="shared" si="30"/>
        <v>0</v>
      </c>
      <c r="Y36" s="97">
        <f t="shared" si="30"/>
        <v>0</v>
      </c>
      <c r="Z36" s="97">
        <f t="shared" si="30"/>
        <v>0</v>
      </c>
      <c r="AA36" s="97">
        <f t="shared" si="30"/>
        <v>0</v>
      </c>
      <c r="AB36" s="97">
        <f t="shared" si="30"/>
        <v>0</v>
      </c>
      <c r="AC36" s="97">
        <f t="shared" si="30"/>
        <v>0</v>
      </c>
      <c r="AD36" s="97">
        <f t="shared" si="30"/>
        <v>0</v>
      </c>
      <c r="AE36" s="97">
        <f t="shared" si="30"/>
        <v>0</v>
      </c>
      <c r="AF36" s="97">
        <f t="shared" si="30"/>
        <v>0</v>
      </c>
      <c r="AG36" s="97">
        <f t="shared" si="30"/>
        <v>0</v>
      </c>
      <c r="AH36" s="97">
        <f t="shared" si="30"/>
        <v>0</v>
      </c>
      <c r="AI36" s="97">
        <f t="shared" si="30"/>
        <v>0</v>
      </c>
      <c r="AJ36" s="97">
        <f t="shared" si="30"/>
        <v>0</v>
      </c>
      <c r="AK36" s="97">
        <f t="shared" si="30"/>
        <v>0</v>
      </c>
      <c r="AL36" s="97">
        <f t="shared" si="30"/>
        <v>0</v>
      </c>
      <c r="AM36" s="97">
        <f t="shared" si="30"/>
        <v>0</v>
      </c>
      <c r="AN36" s="97">
        <f t="shared" si="30"/>
        <v>0</v>
      </c>
      <c r="AO36" s="97">
        <f t="shared" si="30"/>
        <v>0</v>
      </c>
      <c r="AP36" s="97">
        <f t="shared" si="30"/>
        <v>264883</v>
      </c>
      <c r="AQ36" s="97">
        <f t="shared" si="30"/>
        <v>264883</v>
      </c>
      <c r="AR36" s="97">
        <f t="shared" si="30"/>
        <v>264883</v>
      </c>
      <c r="AS36" s="97">
        <f t="shared" si="30"/>
        <v>264883</v>
      </c>
      <c r="AT36" s="97">
        <f t="shared" si="30"/>
        <v>264883</v>
      </c>
      <c r="AU36" s="97">
        <f t="shared" si="30"/>
        <v>264883</v>
      </c>
      <c r="AV36" s="97">
        <f t="shared" si="30"/>
        <v>264883</v>
      </c>
      <c r="AW36" s="97">
        <f t="shared" si="30"/>
        <v>264883</v>
      </c>
      <c r="AX36" s="97">
        <f t="shared" si="30"/>
        <v>264883</v>
      </c>
      <c r="AY36" s="97">
        <f t="shared" si="30"/>
        <v>264883</v>
      </c>
      <c r="AZ36" s="97">
        <f t="shared" si="30"/>
        <v>264883</v>
      </c>
      <c r="BA36" s="97">
        <f t="shared" si="30"/>
        <v>264883</v>
      </c>
      <c r="BB36" s="97">
        <f t="shared" si="30"/>
        <v>264883</v>
      </c>
      <c r="BC36" s="97">
        <f t="shared" si="30"/>
        <v>264883</v>
      </c>
      <c r="BD36" s="97">
        <f t="shared" si="30"/>
        <v>264883</v>
      </c>
      <c r="BE36" s="97">
        <f t="shared" si="30"/>
        <v>264883</v>
      </c>
      <c r="BF36" s="97">
        <f t="shared" si="30"/>
        <v>264883</v>
      </c>
      <c r="BG36" s="97">
        <f t="shared" si="30"/>
        <v>264883</v>
      </c>
      <c r="BH36" s="97">
        <f t="shared" si="30"/>
        <v>264883</v>
      </c>
      <c r="BI36" s="97">
        <f t="shared" si="30"/>
        <v>264883</v>
      </c>
      <c r="BJ36" s="97">
        <f t="shared" si="30"/>
        <v>264883</v>
      </c>
      <c r="BK36" s="97">
        <f t="shared" si="30"/>
        <v>264883</v>
      </c>
      <c r="BL36" s="97">
        <f t="shared" si="30"/>
        <v>264883</v>
      </c>
      <c r="BM36" s="97">
        <f t="shared" si="30"/>
        <v>264883</v>
      </c>
      <c r="BN36" s="97">
        <f t="shared" si="30"/>
        <v>264883</v>
      </c>
      <c r="BO36" s="97">
        <f t="shared" si="30"/>
        <v>264883</v>
      </c>
      <c r="BP36" s="97">
        <f t="shared" si="30"/>
        <v>264883</v>
      </c>
      <c r="BQ36" s="97">
        <f t="shared" si="30"/>
        <v>264883</v>
      </c>
      <c r="BR36" s="97">
        <f t="shared" si="30"/>
        <v>264883</v>
      </c>
      <c r="BS36" s="97">
        <f t="shared" ref="BS36:CK36" si="31">+BS37</f>
        <v>264883</v>
      </c>
      <c r="BT36" s="97">
        <f t="shared" si="31"/>
        <v>264883</v>
      </c>
      <c r="BU36" s="97">
        <f t="shared" si="31"/>
        <v>264883</v>
      </c>
      <c r="BV36" s="97">
        <f t="shared" si="31"/>
        <v>264883</v>
      </c>
      <c r="BW36" s="97">
        <f t="shared" si="31"/>
        <v>264883</v>
      </c>
      <c r="BX36" s="97">
        <f t="shared" si="31"/>
        <v>264883</v>
      </c>
      <c r="BY36" s="97">
        <f t="shared" si="31"/>
        <v>264883</v>
      </c>
      <c r="BZ36" s="97">
        <f t="shared" si="31"/>
        <v>264883</v>
      </c>
      <c r="CA36" s="97">
        <f t="shared" si="31"/>
        <v>264883</v>
      </c>
      <c r="CB36" s="97">
        <f t="shared" si="31"/>
        <v>264883</v>
      </c>
      <c r="CC36" s="97">
        <f t="shared" si="31"/>
        <v>264883</v>
      </c>
      <c r="CD36" s="97">
        <f t="shared" si="31"/>
        <v>264883</v>
      </c>
      <c r="CE36" s="97">
        <f t="shared" si="31"/>
        <v>264883</v>
      </c>
      <c r="CF36" s="97">
        <f t="shared" si="31"/>
        <v>264883</v>
      </c>
      <c r="CG36" s="97">
        <f t="shared" si="31"/>
        <v>264883</v>
      </c>
      <c r="CH36" s="97">
        <f t="shared" si="31"/>
        <v>264883</v>
      </c>
      <c r="CI36" s="97">
        <f t="shared" si="31"/>
        <v>264883</v>
      </c>
      <c r="CJ36" s="97">
        <f t="shared" si="31"/>
        <v>264883</v>
      </c>
      <c r="CK36" s="97">
        <f t="shared" si="31"/>
        <v>264883</v>
      </c>
      <c r="CL36" s="97">
        <f>+CL37</f>
        <v>12714384</v>
      </c>
    </row>
    <row r="37" spans="1:90" s="161" customFormat="1" x14ac:dyDescent="0.2">
      <c r="A37" s="489" t="str">
        <f>+'3. PEP'!A51</f>
        <v>1.5.1</v>
      </c>
      <c r="B37" s="486" t="str">
        <f>+'3. PEP'!B51</f>
        <v>Contingencias y Escalamientos</v>
      </c>
      <c r="C37" s="88">
        <f>+'3. PEP'!G51</f>
        <v>10009195.914893618</v>
      </c>
      <c r="D37" s="88">
        <f>+'3. PEP'!H51</f>
        <v>2705188.0851063831</v>
      </c>
      <c r="E37" s="88">
        <f>+'3. PEP'!I51</f>
        <v>12714384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>
        <f>+'3. PEP'!$I$51/48</f>
        <v>264883</v>
      </c>
      <c r="AQ37" s="88">
        <f>+'3. PEP'!$I$51/48</f>
        <v>264883</v>
      </c>
      <c r="AR37" s="88">
        <f>+'3. PEP'!$I$51/48</f>
        <v>264883</v>
      </c>
      <c r="AS37" s="88">
        <f>+'3. PEP'!$I$51/48</f>
        <v>264883</v>
      </c>
      <c r="AT37" s="88">
        <f>+'3. PEP'!$I$51/48</f>
        <v>264883</v>
      </c>
      <c r="AU37" s="88">
        <f>+'3. PEP'!$I$51/48</f>
        <v>264883</v>
      </c>
      <c r="AV37" s="88">
        <f>+'3. PEP'!$I$51/48</f>
        <v>264883</v>
      </c>
      <c r="AW37" s="88">
        <f>+'3. PEP'!$I$51/48</f>
        <v>264883</v>
      </c>
      <c r="AX37" s="88">
        <f>+'3. PEP'!$I$51/48</f>
        <v>264883</v>
      </c>
      <c r="AY37" s="88">
        <f>+'3. PEP'!$I$51/48</f>
        <v>264883</v>
      </c>
      <c r="AZ37" s="88">
        <f>+'3. PEP'!$I$51/48</f>
        <v>264883</v>
      </c>
      <c r="BA37" s="88">
        <f>+'3. PEP'!$I$51/48</f>
        <v>264883</v>
      </c>
      <c r="BB37" s="88">
        <f>+'3. PEP'!$I$51/48</f>
        <v>264883</v>
      </c>
      <c r="BC37" s="88">
        <f>+'3. PEP'!$I$51/48</f>
        <v>264883</v>
      </c>
      <c r="BD37" s="88">
        <f>+'3. PEP'!$I$51/48</f>
        <v>264883</v>
      </c>
      <c r="BE37" s="88">
        <f>+'3. PEP'!$I$51/48</f>
        <v>264883</v>
      </c>
      <c r="BF37" s="88">
        <f>+'3. PEP'!$I$51/48</f>
        <v>264883</v>
      </c>
      <c r="BG37" s="88">
        <f>+'3. PEP'!$I$51/48</f>
        <v>264883</v>
      </c>
      <c r="BH37" s="88">
        <f>+'3. PEP'!$I$51/48</f>
        <v>264883</v>
      </c>
      <c r="BI37" s="88">
        <f>+'3. PEP'!$I$51/48</f>
        <v>264883</v>
      </c>
      <c r="BJ37" s="88">
        <f>+'3. PEP'!$I$51/48</f>
        <v>264883</v>
      </c>
      <c r="BK37" s="88">
        <f>+'3. PEP'!$I$51/48</f>
        <v>264883</v>
      </c>
      <c r="BL37" s="88">
        <f>+'3. PEP'!$I$51/48</f>
        <v>264883</v>
      </c>
      <c r="BM37" s="88">
        <f>+'3. PEP'!$I$51/48</f>
        <v>264883</v>
      </c>
      <c r="BN37" s="88">
        <f>+'3. PEP'!$I$51/48</f>
        <v>264883</v>
      </c>
      <c r="BO37" s="88">
        <f>+'3. PEP'!$I$51/48</f>
        <v>264883</v>
      </c>
      <c r="BP37" s="88">
        <f>+'3. PEP'!$I$51/48</f>
        <v>264883</v>
      </c>
      <c r="BQ37" s="88">
        <f>+'3. PEP'!$I$51/48</f>
        <v>264883</v>
      </c>
      <c r="BR37" s="88">
        <f>+'3. PEP'!$I$51/48</f>
        <v>264883</v>
      </c>
      <c r="BS37" s="88">
        <f>+'3. PEP'!$I$51/48</f>
        <v>264883</v>
      </c>
      <c r="BT37" s="88">
        <f>+'3. PEP'!$I$51/48</f>
        <v>264883</v>
      </c>
      <c r="BU37" s="88">
        <f>+'3. PEP'!$I$51/48</f>
        <v>264883</v>
      </c>
      <c r="BV37" s="88">
        <f>+'3. PEP'!$I$51/48</f>
        <v>264883</v>
      </c>
      <c r="BW37" s="88">
        <f>+'3. PEP'!$I$51/48</f>
        <v>264883</v>
      </c>
      <c r="BX37" s="88">
        <f>+'3. PEP'!$I$51/48</f>
        <v>264883</v>
      </c>
      <c r="BY37" s="88">
        <f>+'3. PEP'!$I$51/48</f>
        <v>264883</v>
      </c>
      <c r="BZ37" s="88">
        <f>+'3. PEP'!$I$51/48</f>
        <v>264883</v>
      </c>
      <c r="CA37" s="88">
        <f>+'3. PEP'!$I$51/48</f>
        <v>264883</v>
      </c>
      <c r="CB37" s="88">
        <f>+'3. PEP'!$I$51/48</f>
        <v>264883</v>
      </c>
      <c r="CC37" s="88">
        <f>+'3. PEP'!$I$51/48</f>
        <v>264883</v>
      </c>
      <c r="CD37" s="88">
        <f>+'3. PEP'!$I$51/48</f>
        <v>264883</v>
      </c>
      <c r="CE37" s="88">
        <f>+'3. PEP'!$I$51/48</f>
        <v>264883</v>
      </c>
      <c r="CF37" s="88">
        <f>+'3. PEP'!$I$51/48</f>
        <v>264883</v>
      </c>
      <c r="CG37" s="88">
        <f>+'3. PEP'!$I$51/48</f>
        <v>264883</v>
      </c>
      <c r="CH37" s="88">
        <f>+'3. PEP'!$I$51/48</f>
        <v>264883</v>
      </c>
      <c r="CI37" s="88">
        <f>+'3. PEP'!$I$51/48</f>
        <v>264883</v>
      </c>
      <c r="CJ37" s="88">
        <f>+'3. PEP'!$I$51/48</f>
        <v>264883</v>
      </c>
      <c r="CK37" s="88">
        <f>+'3. PEP'!$I$51/48</f>
        <v>264883</v>
      </c>
      <c r="CL37" s="88">
        <f t="shared" ref="CL37" si="32">SUM(F37:CK37)</f>
        <v>12714384</v>
      </c>
    </row>
    <row r="38" spans="1:90" s="161" customFormat="1" x14ac:dyDescent="0.2">
      <c r="A38" s="162">
        <f>+'3. PEP'!A52</f>
        <v>2</v>
      </c>
      <c r="B38" s="160" t="str">
        <f>+'3. PEP'!B52</f>
        <v>Otros Costos</v>
      </c>
      <c r="C38" s="81">
        <f>+'3. PEP'!G52</f>
        <v>4329787.2340425532</v>
      </c>
      <c r="D38" s="81">
        <f>+'3. PEP'!H52</f>
        <v>1170212.7659574468</v>
      </c>
      <c r="E38" s="81">
        <f>+'3. PEP'!I52</f>
        <v>5500000</v>
      </c>
      <c r="F38" s="81">
        <f>+F39+F41</f>
        <v>0</v>
      </c>
      <c r="G38" s="81">
        <f>+G39+G41</f>
        <v>0</v>
      </c>
      <c r="H38" s="81">
        <f t="shared" ref="H38:BS38" si="33">+H39+H41</f>
        <v>0</v>
      </c>
      <c r="I38" s="81">
        <f t="shared" si="33"/>
        <v>50000</v>
      </c>
      <c r="J38" s="81">
        <f t="shared" si="33"/>
        <v>0</v>
      </c>
      <c r="K38" s="81">
        <f t="shared" si="33"/>
        <v>0</v>
      </c>
      <c r="L38" s="81">
        <f t="shared" si="33"/>
        <v>0</v>
      </c>
      <c r="M38" s="81">
        <f t="shared" si="33"/>
        <v>0</v>
      </c>
      <c r="N38" s="81">
        <f t="shared" si="33"/>
        <v>0</v>
      </c>
      <c r="O38" s="81">
        <f t="shared" si="33"/>
        <v>0</v>
      </c>
      <c r="P38" s="81">
        <f t="shared" si="33"/>
        <v>50000</v>
      </c>
      <c r="Q38" s="81">
        <f t="shared" si="33"/>
        <v>50000</v>
      </c>
      <c r="R38" s="81">
        <f t="shared" si="33"/>
        <v>100000</v>
      </c>
      <c r="S38" s="81">
        <f t="shared" si="33"/>
        <v>50000</v>
      </c>
      <c r="T38" s="81">
        <f t="shared" si="33"/>
        <v>50000</v>
      </c>
      <c r="U38" s="81">
        <f t="shared" si="33"/>
        <v>50000</v>
      </c>
      <c r="V38" s="81">
        <f t="shared" si="33"/>
        <v>0</v>
      </c>
      <c r="W38" s="81">
        <f t="shared" si="33"/>
        <v>0</v>
      </c>
      <c r="X38" s="81">
        <f t="shared" si="33"/>
        <v>0</v>
      </c>
      <c r="Y38" s="81">
        <f t="shared" si="33"/>
        <v>0</v>
      </c>
      <c r="Z38" s="81">
        <f t="shared" si="33"/>
        <v>0</v>
      </c>
      <c r="AA38" s="81">
        <f t="shared" si="33"/>
        <v>0</v>
      </c>
      <c r="AB38" s="81">
        <f t="shared" si="33"/>
        <v>0</v>
      </c>
      <c r="AC38" s="81">
        <f t="shared" si="33"/>
        <v>25000</v>
      </c>
      <c r="AD38" s="81">
        <f t="shared" si="33"/>
        <v>325000</v>
      </c>
      <c r="AE38" s="81">
        <f t="shared" si="33"/>
        <v>25000</v>
      </c>
      <c r="AF38" s="81">
        <f t="shared" si="33"/>
        <v>25000</v>
      </c>
      <c r="AG38" s="81">
        <f t="shared" si="33"/>
        <v>275000</v>
      </c>
      <c r="AH38" s="81">
        <f t="shared" si="33"/>
        <v>25000</v>
      </c>
      <c r="AI38" s="81">
        <f t="shared" si="33"/>
        <v>0</v>
      </c>
      <c r="AJ38" s="81">
        <f t="shared" si="33"/>
        <v>250000</v>
      </c>
      <c r="AK38" s="81">
        <f t="shared" si="33"/>
        <v>0</v>
      </c>
      <c r="AL38" s="81">
        <f t="shared" si="33"/>
        <v>0</v>
      </c>
      <c r="AM38" s="81">
        <f t="shared" si="33"/>
        <v>250000</v>
      </c>
      <c r="AN38" s="81">
        <f t="shared" si="33"/>
        <v>0</v>
      </c>
      <c r="AO38" s="81">
        <f t="shared" si="33"/>
        <v>0</v>
      </c>
      <c r="AP38" s="81">
        <f t="shared" si="33"/>
        <v>300000</v>
      </c>
      <c r="AQ38" s="81">
        <f t="shared" si="33"/>
        <v>0</v>
      </c>
      <c r="AR38" s="81">
        <f t="shared" si="33"/>
        <v>0</v>
      </c>
      <c r="AS38" s="81">
        <f t="shared" si="33"/>
        <v>250000</v>
      </c>
      <c r="AT38" s="81">
        <f t="shared" si="33"/>
        <v>0</v>
      </c>
      <c r="AU38" s="81">
        <f t="shared" si="33"/>
        <v>0</v>
      </c>
      <c r="AV38" s="81">
        <f t="shared" si="33"/>
        <v>250000</v>
      </c>
      <c r="AW38" s="81">
        <f t="shared" si="33"/>
        <v>0</v>
      </c>
      <c r="AX38" s="81">
        <f t="shared" si="33"/>
        <v>0</v>
      </c>
      <c r="AY38" s="81">
        <f t="shared" si="33"/>
        <v>250000</v>
      </c>
      <c r="AZ38" s="81">
        <f t="shared" si="33"/>
        <v>0</v>
      </c>
      <c r="BA38" s="81">
        <f t="shared" si="33"/>
        <v>0</v>
      </c>
      <c r="BB38" s="81">
        <f t="shared" si="33"/>
        <v>300000</v>
      </c>
      <c r="BC38" s="81">
        <f t="shared" si="33"/>
        <v>0</v>
      </c>
      <c r="BD38" s="81">
        <f t="shared" si="33"/>
        <v>0</v>
      </c>
      <c r="BE38" s="81">
        <f t="shared" si="33"/>
        <v>250000</v>
      </c>
      <c r="BF38" s="81">
        <f t="shared" si="33"/>
        <v>0</v>
      </c>
      <c r="BG38" s="81">
        <f t="shared" si="33"/>
        <v>0</v>
      </c>
      <c r="BH38" s="81">
        <f t="shared" si="33"/>
        <v>250000</v>
      </c>
      <c r="BI38" s="81">
        <f t="shared" si="33"/>
        <v>0</v>
      </c>
      <c r="BJ38" s="81">
        <f t="shared" si="33"/>
        <v>0</v>
      </c>
      <c r="BK38" s="81">
        <f t="shared" si="33"/>
        <v>250000</v>
      </c>
      <c r="BL38" s="81">
        <f t="shared" si="33"/>
        <v>0</v>
      </c>
      <c r="BM38" s="81">
        <f t="shared" si="33"/>
        <v>0</v>
      </c>
      <c r="BN38" s="81">
        <f t="shared" si="33"/>
        <v>250000</v>
      </c>
      <c r="BO38" s="81">
        <f t="shared" si="33"/>
        <v>50000</v>
      </c>
      <c r="BP38" s="81">
        <f t="shared" si="33"/>
        <v>0</v>
      </c>
      <c r="BQ38" s="81">
        <f t="shared" si="33"/>
        <v>250000</v>
      </c>
      <c r="BR38" s="81">
        <f t="shared" si="33"/>
        <v>0</v>
      </c>
      <c r="BS38" s="81">
        <f t="shared" si="33"/>
        <v>0</v>
      </c>
      <c r="BT38" s="81">
        <f t="shared" ref="BT38:CK38" si="34">+BT39+BT41</f>
        <v>275000</v>
      </c>
      <c r="BU38" s="81">
        <f t="shared" si="34"/>
        <v>25000</v>
      </c>
      <c r="BV38" s="81">
        <f t="shared" si="34"/>
        <v>25000</v>
      </c>
      <c r="BW38" s="81">
        <f t="shared" si="34"/>
        <v>275000</v>
      </c>
      <c r="BX38" s="81">
        <f t="shared" si="34"/>
        <v>25000</v>
      </c>
      <c r="BY38" s="81">
        <f t="shared" si="34"/>
        <v>25000</v>
      </c>
      <c r="BZ38" s="81">
        <f t="shared" si="34"/>
        <v>250000</v>
      </c>
      <c r="CA38" s="81">
        <f t="shared" si="34"/>
        <v>50000</v>
      </c>
      <c r="CB38" s="81">
        <f t="shared" si="34"/>
        <v>0</v>
      </c>
      <c r="CC38" s="81">
        <f t="shared" si="34"/>
        <v>250000</v>
      </c>
      <c r="CD38" s="81">
        <f t="shared" si="34"/>
        <v>0</v>
      </c>
      <c r="CE38" s="81">
        <f t="shared" si="34"/>
        <v>0</v>
      </c>
      <c r="CF38" s="81">
        <f t="shared" si="34"/>
        <v>0</v>
      </c>
      <c r="CG38" s="81">
        <f t="shared" si="34"/>
        <v>0</v>
      </c>
      <c r="CH38" s="81">
        <f t="shared" si="34"/>
        <v>0</v>
      </c>
      <c r="CI38" s="81">
        <f t="shared" si="34"/>
        <v>0</v>
      </c>
      <c r="CJ38" s="81">
        <f t="shared" si="34"/>
        <v>0</v>
      </c>
      <c r="CK38" s="81">
        <f t="shared" si="34"/>
        <v>0</v>
      </c>
      <c r="CL38" s="81">
        <f>+CL39+CL41</f>
        <v>5500000</v>
      </c>
    </row>
    <row r="39" spans="1:90" x14ac:dyDescent="0.2">
      <c r="A39" s="94">
        <f>+'3. PEP'!A53</f>
        <v>2.1</v>
      </c>
      <c r="B39" s="82" t="str">
        <f>+'3. PEP'!B53</f>
        <v>Administración del Programa</v>
      </c>
      <c r="C39" s="97">
        <f>+'3. PEP'!G53</f>
        <v>3542553.1914893617</v>
      </c>
      <c r="D39" s="97">
        <f>+'3. PEP'!H53</f>
        <v>957446.80851063831</v>
      </c>
      <c r="E39" s="97">
        <f>+'3. PEP'!I53</f>
        <v>4500000</v>
      </c>
      <c r="F39" s="97">
        <f>F40</f>
        <v>0</v>
      </c>
      <c r="G39" s="97">
        <f t="shared" ref="G39:BR39" si="35">G40</f>
        <v>0</v>
      </c>
      <c r="H39" s="97">
        <f t="shared" si="35"/>
        <v>0</v>
      </c>
      <c r="I39" s="97">
        <f t="shared" si="35"/>
        <v>0</v>
      </c>
      <c r="J39" s="97">
        <f t="shared" si="35"/>
        <v>0</v>
      </c>
      <c r="K39" s="97">
        <f t="shared" si="35"/>
        <v>0</v>
      </c>
      <c r="L39" s="97">
        <f t="shared" si="35"/>
        <v>0</v>
      </c>
      <c r="M39" s="97">
        <f t="shared" si="35"/>
        <v>0</v>
      </c>
      <c r="N39" s="97">
        <f t="shared" si="35"/>
        <v>0</v>
      </c>
      <c r="O39" s="97">
        <f t="shared" si="35"/>
        <v>0</v>
      </c>
      <c r="P39" s="97">
        <f t="shared" si="35"/>
        <v>0</v>
      </c>
      <c r="Q39" s="97">
        <f t="shared" si="35"/>
        <v>0</v>
      </c>
      <c r="R39" s="97">
        <f t="shared" si="35"/>
        <v>0</v>
      </c>
      <c r="S39" s="97">
        <f t="shared" si="35"/>
        <v>0</v>
      </c>
      <c r="T39" s="97">
        <f t="shared" si="35"/>
        <v>0</v>
      </c>
      <c r="U39" s="97">
        <f t="shared" si="35"/>
        <v>0</v>
      </c>
      <c r="V39" s="97">
        <f t="shared" si="35"/>
        <v>0</v>
      </c>
      <c r="W39" s="97">
        <f t="shared" si="35"/>
        <v>0</v>
      </c>
      <c r="X39" s="97">
        <f t="shared" si="35"/>
        <v>0</v>
      </c>
      <c r="Y39" s="97">
        <f t="shared" si="35"/>
        <v>0</v>
      </c>
      <c r="Z39" s="97">
        <f t="shared" si="35"/>
        <v>0</v>
      </c>
      <c r="AA39" s="97">
        <f t="shared" si="35"/>
        <v>0</v>
      </c>
      <c r="AB39" s="97">
        <f t="shared" si="35"/>
        <v>0</v>
      </c>
      <c r="AC39" s="97">
        <f t="shared" si="35"/>
        <v>0</v>
      </c>
      <c r="AD39" s="97">
        <f t="shared" si="35"/>
        <v>250000</v>
      </c>
      <c r="AE39" s="97">
        <f t="shared" si="35"/>
        <v>0</v>
      </c>
      <c r="AF39" s="97">
        <f t="shared" si="35"/>
        <v>0</v>
      </c>
      <c r="AG39" s="97">
        <f t="shared" si="35"/>
        <v>250000</v>
      </c>
      <c r="AH39" s="97">
        <f t="shared" si="35"/>
        <v>0</v>
      </c>
      <c r="AI39" s="97">
        <f t="shared" si="35"/>
        <v>0</v>
      </c>
      <c r="AJ39" s="97">
        <f t="shared" si="35"/>
        <v>250000</v>
      </c>
      <c r="AK39" s="97">
        <f t="shared" si="35"/>
        <v>0</v>
      </c>
      <c r="AL39" s="97">
        <f t="shared" si="35"/>
        <v>0</v>
      </c>
      <c r="AM39" s="97">
        <f t="shared" si="35"/>
        <v>250000</v>
      </c>
      <c r="AN39" s="97">
        <f t="shared" si="35"/>
        <v>0</v>
      </c>
      <c r="AO39" s="97">
        <f t="shared" si="35"/>
        <v>0</v>
      </c>
      <c r="AP39" s="97">
        <f t="shared" si="35"/>
        <v>250000</v>
      </c>
      <c r="AQ39" s="97">
        <f t="shared" si="35"/>
        <v>0</v>
      </c>
      <c r="AR39" s="97">
        <f t="shared" si="35"/>
        <v>0</v>
      </c>
      <c r="AS39" s="97">
        <f t="shared" si="35"/>
        <v>250000</v>
      </c>
      <c r="AT39" s="97">
        <f t="shared" si="35"/>
        <v>0</v>
      </c>
      <c r="AU39" s="97">
        <f t="shared" si="35"/>
        <v>0</v>
      </c>
      <c r="AV39" s="97">
        <f t="shared" si="35"/>
        <v>250000</v>
      </c>
      <c r="AW39" s="97">
        <f t="shared" si="35"/>
        <v>0</v>
      </c>
      <c r="AX39" s="97">
        <f t="shared" si="35"/>
        <v>0</v>
      </c>
      <c r="AY39" s="97">
        <f t="shared" si="35"/>
        <v>250000</v>
      </c>
      <c r="AZ39" s="97">
        <f t="shared" si="35"/>
        <v>0</v>
      </c>
      <c r="BA39" s="97">
        <f t="shared" si="35"/>
        <v>0</v>
      </c>
      <c r="BB39" s="97">
        <f t="shared" si="35"/>
        <v>250000</v>
      </c>
      <c r="BC39" s="97">
        <f t="shared" si="35"/>
        <v>0</v>
      </c>
      <c r="BD39" s="97">
        <f t="shared" si="35"/>
        <v>0</v>
      </c>
      <c r="BE39" s="97">
        <f t="shared" si="35"/>
        <v>250000</v>
      </c>
      <c r="BF39" s="97">
        <f t="shared" si="35"/>
        <v>0</v>
      </c>
      <c r="BG39" s="97">
        <f t="shared" si="35"/>
        <v>0</v>
      </c>
      <c r="BH39" s="97">
        <f t="shared" si="35"/>
        <v>250000</v>
      </c>
      <c r="BI39" s="97">
        <f t="shared" si="35"/>
        <v>0</v>
      </c>
      <c r="BJ39" s="97">
        <f t="shared" si="35"/>
        <v>0</v>
      </c>
      <c r="BK39" s="97">
        <f t="shared" si="35"/>
        <v>250000</v>
      </c>
      <c r="BL39" s="97">
        <f t="shared" si="35"/>
        <v>0</v>
      </c>
      <c r="BM39" s="97">
        <f t="shared" si="35"/>
        <v>0</v>
      </c>
      <c r="BN39" s="97">
        <f t="shared" si="35"/>
        <v>250000</v>
      </c>
      <c r="BO39" s="97">
        <f t="shared" si="35"/>
        <v>0</v>
      </c>
      <c r="BP39" s="97">
        <f t="shared" si="35"/>
        <v>0</v>
      </c>
      <c r="BQ39" s="97">
        <f t="shared" si="35"/>
        <v>250000</v>
      </c>
      <c r="BR39" s="97">
        <f t="shared" si="35"/>
        <v>0</v>
      </c>
      <c r="BS39" s="97">
        <f t="shared" ref="BS39:CK39" si="36">BS40</f>
        <v>0</v>
      </c>
      <c r="BT39" s="97">
        <f t="shared" si="36"/>
        <v>250000</v>
      </c>
      <c r="BU39" s="97">
        <f t="shared" si="36"/>
        <v>0</v>
      </c>
      <c r="BV39" s="97">
        <f t="shared" si="36"/>
        <v>0</v>
      </c>
      <c r="BW39" s="97">
        <f t="shared" si="36"/>
        <v>250000</v>
      </c>
      <c r="BX39" s="97">
        <f t="shared" si="36"/>
        <v>0</v>
      </c>
      <c r="BY39" s="97">
        <f t="shared" si="36"/>
        <v>0</v>
      </c>
      <c r="BZ39" s="97">
        <f t="shared" si="36"/>
        <v>250000</v>
      </c>
      <c r="CA39" s="97">
        <f t="shared" si="36"/>
        <v>0</v>
      </c>
      <c r="CB39" s="97">
        <f t="shared" si="36"/>
        <v>0</v>
      </c>
      <c r="CC39" s="97">
        <f t="shared" si="36"/>
        <v>250000</v>
      </c>
      <c r="CD39" s="97">
        <f t="shared" si="36"/>
        <v>0</v>
      </c>
      <c r="CE39" s="97">
        <f t="shared" si="36"/>
        <v>0</v>
      </c>
      <c r="CF39" s="97">
        <f t="shared" si="36"/>
        <v>0</v>
      </c>
      <c r="CG39" s="97">
        <f t="shared" si="36"/>
        <v>0</v>
      </c>
      <c r="CH39" s="97">
        <f t="shared" si="36"/>
        <v>0</v>
      </c>
      <c r="CI39" s="97">
        <f t="shared" si="36"/>
        <v>0</v>
      </c>
      <c r="CJ39" s="97">
        <f t="shared" si="36"/>
        <v>0</v>
      </c>
      <c r="CK39" s="97">
        <f t="shared" si="36"/>
        <v>0</v>
      </c>
      <c r="CL39" s="97">
        <f>SUM(F39:CK39)</f>
        <v>4500000</v>
      </c>
    </row>
    <row r="40" spans="1:90" x14ac:dyDescent="0.2">
      <c r="A40" s="100" t="str">
        <f>+'3. PEP'!A54</f>
        <v>2.1.1</v>
      </c>
      <c r="B40" s="101" t="str">
        <f>+'3. PEP'!B54</f>
        <v xml:space="preserve">Contratación de la ECATEF para apoyo en la ejecución del Programa </v>
      </c>
      <c r="C40" s="105">
        <f>+'3. PEP'!G54</f>
        <v>3542553.1914893617</v>
      </c>
      <c r="D40" s="105">
        <f>+'3. PEP'!H54</f>
        <v>957446.80851063831</v>
      </c>
      <c r="E40" s="105">
        <f>+'3. PEP'!I54</f>
        <v>4500000</v>
      </c>
      <c r="F40" s="105">
        <v>0</v>
      </c>
      <c r="G40" s="105">
        <v>0</v>
      </c>
      <c r="H40" s="167"/>
      <c r="I40" s="105">
        <v>0</v>
      </c>
      <c r="J40" s="105">
        <v>0</v>
      </c>
      <c r="K40" s="167"/>
      <c r="L40" s="105">
        <v>0</v>
      </c>
      <c r="M40" s="105">
        <v>0</v>
      </c>
      <c r="N40" s="167"/>
      <c r="O40" s="105">
        <v>0</v>
      </c>
      <c r="P40" s="105">
        <v>0</v>
      </c>
      <c r="Q40" s="105">
        <f>N40</f>
        <v>0</v>
      </c>
      <c r="R40" s="105">
        <v>0</v>
      </c>
      <c r="S40" s="105">
        <v>0</v>
      </c>
      <c r="T40" s="105">
        <f>Q40</f>
        <v>0</v>
      </c>
      <c r="U40" s="105">
        <v>0</v>
      </c>
      <c r="V40" s="105">
        <v>0</v>
      </c>
      <c r="W40" s="105">
        <f>T40</f>
        <v>0</v>
      </c>
      <c r="X40" s="105">
        <v>0</v>
      </c>
      <c r="Y40" s="105">
        <v>0</v>
      </c>
      <c r="Z40" s="105">
        <f>W40</f>
        <v>0</v>
      </c>
      <c r="AA40" s="105">
        <v>0</v>
      </c>
      <c r="AB40" s="105">
        <v>0</v>
      </c>
      <c r="AC40" s="105">
        <f>Z40</f>
        <v>0</v>
      </c>
      <c r="AD40" s="105">
        <f>+E40/18</f>
        <v>250000</v>
      </c>
      <c r="AE40" s="105">
        <v>0</v>
      </c>
      <c r="AF40" s="105">
        <f>AC40</f>
        <v>0</v>
      </c>
      <c r="AG40" s="105">
        <f>+AD40</f>
        <v>250000</v>
      </c>
      <c r="AH40" s="105">
        <v>0</v>
      </c>
      <c r="AI40" s="105">
        <f>AF40</f>
        <v>0</v>
      </c>
      <c r="AJ40" s="105">
        <f>+AG40</f>
        <v>250000</v>
      </c>
      <c r="AK40" s="105">
        <v>0</v>
      </c>
      <c r="AL40" s="105">
        <f>AI40</f>
        <v>0</v>
      </c>
      <c r="AM40" s="105">
        <f>+AJ40</f>
        <v>250000</v>
      </c>
      <c r="AN40" s="105">
        <v>0</v>
      </c>
      <c r="AO40" s="105">
        <v>0</v>
      </c>
      <c r="AP40" s="105">
        <f>+AM40</f>
        <v>250000</v>
      </c>
      <c r="AQ40" s="105">
        <v>0</v>
      </c>
      <c r="AR40" s="105">
        <f>AO40</f>
        <v>0</v>
      </c>
      <c r="AS40" s="105">
        <f>+AP40</f>
        <v>250000</v>
      </c>
      <c r="AT40" s="105">
        <v>0</v>
      </c>
      <c r="AU40" s="105">
        <f>AR40</f>
        <v>0</v>
      </c>
      <c r="AV40" s="105">
        <f>+AS40</f>
        <v>250000</v>
      </c>
      <c r="AW40" s="105">
        <v>0</v>
      </c>
      <c r="AX40" s="105">
        <f>AU40</f>
        <v>0</v>
      </c>
      <c r="AY40" s="105">
        <f>+AV40</f>
        <v>250000</v>
      </c>
      <c r="AZ40" s="105">
        <v>0</v>
      </c>
      <c r="BA40" s="105">
        <f>AX40</f>
        <v>0</v>
      </c>
      <c r="BB40" s="105">
        <f>+AY40</f>
        <v>250000</v>
      </c>
      <c r="BC40" s="105">
        <v>0</v>
      </c>
      <c r="BD40" s="105">
        <f>BA40</f>
        <v>0</v>
      </c>
      <c r="BE40" s="105">
        <f>+BB40</f>
        <v>250000</v>
      </c>
      <c r="BF40" s="105">
        <v>0</v>
      </c>
      <c r="BG40" s="105">
        <f>BD40</f>
        <v>0</v>
      </c>
      <c r="BH40" s="105">
        <f>+BE40</f>
        <v>250000</v>
      </c>
      <c r="BI40" s="105">
        <v>0</v>
      </c>
      <c r="BJ40" s="105">
        <f>BG40</f>
        <v>0</v>
      </c>
      <c r="BK40" s="105">
        <f>+BH40</f>
        <v>250000</v>
      </c>
      <c r="BL40" s="105">
        <v>0</v>
      </c>
      <c r="BM40" s="105">
        <f>BJ40</f>
        <v>0</v>
      </c>
      <c r="BN40" s="105">
        <f t="shared" ref="BN40:CK40" si="37">BK40</f>
        <v>250000</v>
      </c>
      <c r="BO40" s="105">
        <f t="shared" si="37"/>
        <v>0</v>
      </c>
      <c r="BP40" s="105">
        <f t="shared" si="37"/>
        <v>0</v>
      </c>
      <c r="BQ40" s="105">
        <f t="shared" si="37"/>
        <v>250000</v>
      </c>
      <c r="BR40" s="105">
        <f t="shared" si="37"/>
        <v>0</v>
      </c>
      <c r="BS40" s="105">
        <f t="shared" si="37"/>
        <v>0</v>
      </c>
      <c r="BT40" s="105">
        <f t="shared" si="37"/>
        <v>250000</v>
      </c>
      <c r="BU40" s="105">
        <f t="shared" si="37"/>
        <v>0</v>
      </c>
      <c r="BV40" s="105">
        <f t="shared" si="37"/>
        <v>0</v>
      </c>
      <c r="BW40" s="105">
        <f t="shared" si="37"/>
        <v>250000</v>
      </c>
      <c r="BX40" s="105">
        <f t="shared" si="37"/>
        <v>0</v>
      </c>
      <c r="BY40" s="105">
        <f t="shared" si="37"/>
        <v>0</v>
      </c>
      <c r="BZ40" s="105">
        <f t="shared" si="37"/>
        <v>250000</v>
      </c>
      <c r="CA40" s="105">
        <f t="shared" si="37"/>
        <v>0</v>
      </c>
      <c r="CB40" s="105">
        <f t="shared" si="37"/>
        <v>0</v>
      </c>
      <c r="CC40" s="105">
        <f t="shared" si="37"/>
        <v>250000</v>
      </c>
      <c r="CD40" s="105">
        <f t="shared" si="37"/>
        <v>0</v>
      </c>
      <c r="CE40" s="105">
        <f t="shared" si="37"/>
        <v>0</v>
      </c>
      <c r="CF40" s="105">
        <v>0</v>
      </c>
      <c r="CG40" s="105">
        <f t="shared" si="37"/>
        <v>0</v>
      </c>
      <c r="CH40" s="105">
        <f t="shared" si="37"/>
        <v>0</v>
      </c>
      <c r="CI40" s="105"/>
      <c r="CJ40" s="105">
        <f t="shared" si="37"/>
        <v>0</v>
      </c>
      <c r="CK40" s="105">
        <f t="shared" si="37"/>
        <v>0</v>
      </c>
      <c r="CL40" s="105">
        <f>SUM(F40:CK40)</f>
        <v>4500000</v>
      </c>
    </row>
    <row r="41" spans="1:90" x14ac:dyDescent="0.2">
      <c r="A41" s="94">
        <f>+'3. PEP'!A55</f>
        <v>2.2000000000000002</v>
      </c>
      <c r="B41" s="82" t="str">
        <f>+'3. PEP'!B55</f>
        <v>Evaluaciones, estudios y auditorías.</v>
      </c>
      <c r="C41" s="97">
        <f>+'3. PEP'!G55</f>
        <v>787234.04255319154</v>
      </c>
      <c r="D41" s="97">
        <f>+'3. PEP'!H55</f>
        <v>212765.95744680849</v>
      </c>
      <c r="E41" s="97">
        <f>+'3. PEP'!I55</f>
        <v>1000000</v>
      </c>
      <c r="F41" s="97">
        <f>F42+F43+F44+F45</f>
        <v>0</v>
      </c>
      <c r="G41" s="97">
        <f t="shared" ref="G41:BR41" si="38">G42+G43+G44+G45</f>
        <v>0</v>
      </c>
      <c r="H41" s="97">
        <f t="shared" si="38"/>
        <v>0</v>
      </c>
      <c r="I41" s="97">
        <f t="shared" si="38"/>
        <v>50000</v>
      </c>
      <c r="J41" s="97">
        <f t="shared" si="38"/>
        <v>0</v>
      </c>
      <c r="K41" s="97">
        <f t="shared" si="38"/>
        <v>0</v>
      </c>
      <c r="L41" s="97">
        <f t="shared" si="38"/>
        <v>0</v>
      </c>
      <c r="M41" s="97">
        <f t="shared" si="38"/>
        <v>0</v>
      </c>
      <c r="N41" s="97">
        <f t="shared" si="38"/>
        <v>0</v>
      </c>
      <c r="O41" s="97">
        <f t="shared" si="38"/>
        <v>0</v>
      </c>
      <c r="P41" s="97">
        <f t="shared" si="38"/>
        <v>50000</v>
      </c>
      <c r="Q41" s="97">
        <f t="shared" si="38"/>
        <v>50000</v>
      </c>
      <c r="R41" s="97">
        <f t="shared" si="38"/>
        <v>100000</v>
      </c>
      <c r="S41" s="97">
        <f t="shared" si="38"/>
        <v>50000</v>
      </c>
      <c r="T41" s="97">
        <f t="shared" si="38"/>
        <v>50000</v>
      </c>
      <c r="U41" s="97">
        <f t="shared" si="38"/>
        <v>50000</v>
      </c>
      <c r="V41" s="97">
        <f t="shared" si="38"/>
        <v>0</v>
      </c>
      <c r="W41" s="97">
        <f t="shared" si="38"/>
        <v>0</v>
      </c>
      <c r="X41" s="97">
        <f t="shared" si="38"/>
        <v>0</v>
      </c>
      <c r="Y41" s="97">
        <f t="shared" si="38"/>
        <v>0</v>
      </c>
      <c r="Z41" s="97">
        <f t="shared" si="38"/>
        <v>0</v>
      </c>
      <c r="AA41" s="97">
        <f t="shared" si="38"/>
        <v>0</v>
      </c>
      <c r="AB41" s="97">
        <f t="shared" si="38"/>
        <v>0</v>
      </c>
      <c r="AC41" s="97">
        <f t="shared" si="38"/>
        <v>25000</v>
      </c>
      <c r="AD41" s="97">
        <f t="shared" si="38"/>
        <v>75000</v>
      </c>
      <c r="AE41" s="97">
        <f t="shared" si="38"/>
        <v>25000</v>
      </c>
      <c r="AF41" s="97">
        <f t="shared" si="38"/>
        <v>25000</v>
      </c>
      <c r="AG41" s="97">
        <f t="shared" si="38"/>
        <v>25000</v>
      </c>
      <c r="AH41" s="97">
        <f t="shared" si="38"/>
        <v>25000</v>
      </c>
      <c r="AI41" s="97">
        <f t="shared" si="38"/>
        <v>0</v>
      </c>
      <c r="AJ41" s="97">
        <f t="shared" si="38"/>
        <v>0</v>
      </c>
      <c r="AK41" s="97">
        <f t="shared" si="38"/>
        <v>0</v>
      </c>
      <c r="AL41" s="97">
        <f t="shared" si="38"/>
        <v>0</v>
      </c>
      <c r="AM41" s="97">
        <f t="shared" si="38"/>
        <v>0</v>
      </c>
      <c r="AN41" s="97">
        <f t="shared" si="38"/>
        <v>0</v>
      </c>
      <c r="AO41" s="97">
        <f t="shared" si="38"/>
        <v>0</v>
      </c>
      <c r="AP41" s="97">
        <f t="shared" si="38"/>
        <v>50000</v>
      </c>
      <c r="AQ41" s="97">
        <f t="shared" si="38"/>
        <v>0</v>
      </c>
      <c r="AR41" s="97">
        <f t="shared" si="38"/>
        <v>0</v>
      </c>
      <c r="AS41" s="97">
        <f t="shared" si="38"/>
        <v>0</v>
      </c>
      <c r="AT41" s="97">
        <f t="shared" si="38"/>
        <v>0</v>
      </c>
      <c r="AU41" s="97">
        <f t="shared" si="38"/>
        <v>0</v>
      </c>
      <c r="AV41" s="97">
        <f t="shared" si="38"/>
        <v>0</v>
      </c>
      <c r="AW41" s="97">
        <f t="shared" si="38"/>
        <v>0</v>
      </c>
      <c r="AX41" s="97">
        <f t="shared" si="38"/>
        <v>0</v>
      </c>
      <c r="AY41" s="97">
        <f t="shared" si="38"/>
        <v>0</v>
      </c>
      <c r="AZ41" s="97">
        <f t="shared" si="38"/>
        <v>0</v>
      </c>
      <c r="BA41" s="97">
        <f t="shared" si="38"/>
        <v>0</v>
      </c>
      <c r="BB41" s="97">
        <f t="shared" si="38"/>
        <v>50000</v>
      </c>
      <c r="BC41" s="97">
        <f t="shared" si="38"/>
        <v>0</v>
      </c>
      <c r="BD41" s="97">
        <f t="shared" si="38"/>
        <v>0</v>
      </c>
      <c r="BE41" s="97">
        <f t="shared" si="38"/>
        <v>0</v>
      </c>
      <c r="BF41" s="97">
        <f t="shared" si="38"/>
        <v>0</v>
      </c>
      <c r="BG41" s="97">
        <f t="shared" si="38"/>
        <v>0</v>
      </c>
      <c r="BH41" s="97">
        <f t="shared" si="38"/>
        <v>0</v>
      </c>
      <c r="BI41" s="97">
        <f t="shared" si="38"/>
        <v>0</v>
      </c>
      <c r="BJ41" s="97">
        <f t="shared" si="38"/>
        <v>0</v>
      </c>
      <c r="BK41" s="97">
        <f t="shared" si="38"/>
        <v>0</v>
      </c>
      <c r="BL41" s="97">
        <f t="shared" si="38"/>
        <v>0</v>
      </c>
      <c r="BM41" s="97">
        <f t="shared" si="38"/>
        <v>0</v>
      </c>
      <c r="BN41" s="97">
        <f t="shared" si="38"/>
        <v>0</v>
      </c>
      <c r="BO41" s="97">
        <f t="shared" si="38"/>
        <v>50000</v>
      </c>
      <c r="BP41" s="97">
        <f t="shared" si="38"/>
        <v>0</v>
      </c>
      <c r="BQ41" s="97">
        <f t="shared" si="38"/>
        <v>0</v>
      </c>
      <c r="BR41" s="97">
        <f t="shared" si="38"/>
        <v>0</v>
      </c>
      <c r="BS41" s="97">
        <f t="shared" ref="BS41:CK41" si="39">BS42+BS43+BS44+BS45</f>
        <v>0</v>
      </c>
      <c r="BT41" s="97">
        <f t="shared" si="39"/>
        <v>25000</v>
      </c>
      <c r="BU41" s="97">
        <f t="shared" si="39"/>
        <v>25000</v>
      </c>
      <c r="BV41" s="97">
        <f t="shared" si="39"/>
        <v>25000</v>
      </c>
      <c r="BW41" s="97">
        <f t="shared" si="39"/>
        <v>25000</v>
      </c>
      <c r="BX41" s="97">
        <f t="shared" si="39"/>
        <v>25000</v>
      </c>
      <c r="BY41" s="97">
        <f t="shared" si="39"/>
        <v>25000</v>
      </c>
      <c r="BZ41" s="97">
        <f t="shared" si="39"/>
        <v>0</v>
      </c>
      <c r="CA41" s="97">
        <f t="shared" si="39"/>
        <v>50000</v>
      </c>
      <c r="CB41" s="97">
        <f t="shared" si="39"/>
        <v>0</v>
      </c>
      <c r="CC41" s="97">
        <f t="shared" si="39"/>
        <v>0</v>
      </c>
      <c r="CD41" s="97">
        <f t="shared" si="39"/>
        <v>0</v>
      </c>
      <c r="CE41" s="97">
        <f t="shared" si="39"/>
        <v>0</v>
      </c>
      <c r="CF41" s="97">
        <f t="shared" si="39"/>
        <v>0</v>
      </c>
      <c r="CG41" s="97">
        <f t="shared" si="39"/>
        <v>0</v>
      </c>
      <c r="CH41" s="97">
        <f t="shared" si="39"/>
        <v>0</v>
      </c>
      <c r="CI41" s="97">
        <f t="shared" si="39"/>
        <v>0</v>
      </c>
      <c r="CJ41" s="97">
        <f t="shared" si="39"/>
        <v>0</v>
      </c>
      <c r="CK41" s="97">
        <f t="shared" si="39"/>
        <v>0</v>
      </c>
      <c r="CL41" s="97">
        <f>CL42+CL43+CL44+CL45+CL46</f>
        <v>1000000</v>
      </c>
    </row>
    <row r="42" spans="1:90" x14ac:dyDescent="0.2">
      <c r="A42" s="100" t="str">
        <f>+'3. PEP'!A56</f>
        <v>2.2.1</v>
      </c>
      <c r="B42" s="101" t="str">
        <f>+'3. PEP'!B56</f>
        <v>Auditoría financiera</v>
      </c>
      <c r="C42" s="105">
        <f>+'3. PEP'!G56</f>
        <v>275531.91489361704</v>
      </c>
      <c r="D42" s="105">
        <f>+'3. PEP'!H56</f>
        <v>74468.085106382976</v>
      </c>
      <c r="E42" s="105">
        <f>+'3. PEP'!I56</f>
        <v>350000</v>
      </c>
      <c r="F42" s="494">
        <v>0</v>
      </c>
      <c r="G42" s="494">
        <v>0</v>
      </c>
      <c r="H42" s="494">
        <v>0</v>
      </c>
      <c r="I42" s="494">
        <f>+$E$42/7</f>
        <v>50000</v>
      </c>
      <c r="J42" s="494">
        <v>0</v>
      </c>
      <c r="K42" s="494">
        <v>0</v>
      </c>
      <c r="L42" s="494">
        <v>0</v>
      </c>
      <c r="M42" s="494">
        <v>0</v>
      </c>
      <c r="N42" s="494">
        <v>0</v>
      </c>
      <c r="O42" s="494">
        <v>0</v>
      </c>
      <c r="P42" s="494">
        <v>0</v>
      </c>
      <c r="Q42" s="494">
        <v>0</v>
      </c>
      <c r="R42" s="494">
        <f>+$E$42/7</f>
        <v>50000</v>
      </c>
      <c r="S42" s="494">
        <v>0</v>
      </c>
      <c r="T42" s="494">
        <v>0</v>
      </c>
      <c r="U42" s="494">
        <v>0</v>
      </c>
      <c r="V42" s="494">
        <v>0</v>
      </c>
      <c r="W42" s="494">
        <v>0</v>
      </c>
      <c r="X42" s="494">
        <v>0</v>
      </c>
      <c r="Y42" s="494">
        <v>0</v>
      </c>
      <c r="Z42" s="494">
        <v>0</v>
      </c>
      <c r="AA42" s="494">
        <v>0</v>
      </c>
      <c r="AB42" s="494">
        <v>0</v>
      </c>
      <c r="AC42" s="494">
        <v>0</v>
      </c>
      <c r="AD42" s="494">
        <f>+$E$42/7</f>
        <v>50000</v>
      </c>
      <c r="AE42" s="494">
        <v>0</v>
      </c>
      <c r="AF42" s="494">
        <v>0</v>
      </c>
      <c r="AG42" s="494">
        <v>0</v>
      </c>
      <c r="AH42" s="494">
        <v>0</v>
      </c>
      <c r="AI42" s="494">
        <v>0</v>
      </c>
      <c r="AJ42" s="494">
        <v>0</v>
      </c>
      <c r="AK42" s="494">
        <v>0</v>
      </c>
      <c r="AL42" s="494">
        <v>0</v>
      </c>
      <c r="AM42" s="494">
        <v>0</v>
      </c>
      <c r="AN42" s="494">
        <v>0</v>
      </c>
      <c r="AO42" s="494">
        <v>0</v>
      </c>
      <c r="AP42" s="494">
        <f>+$E$42/7</f>
        <v>50000</v>
      </c>
      <c r="AQ42" s="494">
        <v>0</v>
      </c>
      <c r="AR42" s="494">
        <v>0</v>
      </c>
      <c r="AS42" s="494">
        <v>0</v>
      </c>
      <c r="AT42" s="494">
        <v>0</v>
      </c>
      <c r="AU42" s="494">
        <v>0</v>
      </c>
      <c r="AV42" s="494">
        <v>0</v>
      </c>
      <c r="AW42" s="494">
        <v>0</v>
      </c>
      <c r="AX42" s="494">
        <v>0</v>
      </c>
      <c r="AY42" s="494">
        <v>0</v>
      </c>
      <c r="AZ42" s="494">
        <v>0</v>
      </c>
      <c r="BA42" s="494">
        <v>0</v>
      </c>
      <c r="BB42" s="494">
        <f>+$E$42/7</f>
        <v>50000</v>
      </c>
      <c r="BC42" s="494">
        <v>0</v>
      </c>
      <c r="BD42" s="494">
        <v>0</v>
      </c>
      <c r="BE42" s="494">
        <v>0</v>
      </c>
      <c r="BF42" s="494">
        <v>0</v>
      </c>
      <c r="BG42" s="494">
        <v>0</v>
      </c>
      <c r="BH42" s="494">
        <v>0</v>
      </c>
      <c r="BI42" s="494">
        <v>0</v>
      </c>
      <c r="BJ42" s="494">
        <v>0</v>
      </c>
      <c r="BK42" s="494">
        <v>0</v>
      </c>
      <c r="BL42" s="494">
        <v>0</v>
      </c>
      <c r="BM42" s="494">
        <v>0</v>
      </c>
      <c r="BN42" s="494">
        <v>0</v>
      </c>
      <c r="BO42" s="494">
        <f>+$E$42/7</f>
        <v>50000</v>
      </c>
      <c r="BP42" s="494">
        <v>0</v>
      </c>
      <c r="BQ42" s="494">
        <v>0</v>
      </c>
      <c r="BR42" s="494">
        <v>0</v>
      </c>
      <c r="BS42" s="494">
        <v>0</v>
      </c>
      <c r="BT42" s="494">
        <v>0</v>
      </c>
      <c r="BU42" s="494">
        <v>0</v>
      </c>
      <c r="BV42" s="494">
        <v>0</v>
      </c>
      <c r="BW42" s="494">
        <v>0</v>
      </c>
      <c r="BX42" s="494">
        <v>0</v>
      </c>
      <c r="BY42" s="494">
        <v>0</v>
      </c>
      <c r="BZ42" s="494">
        <v>0</v>
      </c>
      <c r="CA42" s="494">
        <f>+$E$42/7</f>
        <v>50000</v>
      </c>
      <c r="CB42" s="494">
        <v>0</v>
      </c>
      <c r="CC42" s="494">
        <v>0</v>
      </c>
      <c r="CD42" s="494">
        <v>0</v>
      </c>
      <c r="CE42" s="494">
        <v>0</v>
      </c>
      <c r="CF42" s="494">
        <v>0</v>
      </c>
      <c r="CG42" s="494">
        <v>0</v>
      </c>
      <c r="CH42" s="494">
        <v>0</v>
      </c>
      <c r="CI42" s="494">
        <v>0</v>
      </c>
      <c r="CJ42" s="494">
        <v>0</v>
      </c>
      <c r="CK42" s="494">
        <v>0</v>
      </c>
      <c r="CL42" s="105">
        <f>SUM(F42:CK42)</f>
        <v>350000</v>
      </c>
    </row>
    <row r="43" spans="1:90" x14ac:dyDescent="0.2">
      <c r="A43" s="100" t="str">
        <f>+'3. PEP'!A57</f>
        <v>2.2.2</v>
      </c>
      <c r="B43" s="101" t="str">
        <f>+'3. PEP'!B57</f>
        <v xml:space="preserve">Estudios de pre inversión y diseños de ingeniería </v>
      </c>
      <c r="C43" s="105">
        <f>+'3. PEP'!G57</f>
        <v>236170.21276595746</v>
      </c>
      <c r="D43" s="105">
        <f>+'3. PEP'!H57</f>
        <v>63829.787234042553</v>
      </c>
      <c r="E43" s="105">
        <f>+'3. PEP'!I57</f>
        <v>300000</v>
      </c>
      <c r="F43" s="494">
        <v>0</v>
      </c>
      <c r="G43" s="494">
        <v>0</v>
      </c>
      <c r="H43" s="494">
        <v>0</v>
      </c>
      <c r="I43" s="494">
        <v>0</v>
      </c>
      <c r="J43" s="494">
        <v>0</v>
      </c>
      <c r="K43" s="494">
        <v>0</v>
      </c>
      <c r="L43" s="494">
        <v>0</v>
      </c>
      <c r="M43" s="494">
        <v>0</v>
      </c>
      <c r="N43" s="494">
        <v>0</v>
      </c>
      <c r="O43" s="494">
        <v>0</v>
      </c>
      <c r="P43" s="494">
        <f>+$E$43/6</f>
        <v>50000</v>
      </c>
      <c r="Q43" s="494">
        <f t="shared" ref="Q43:U43" si="40">+$E$43/6</f>
        <v>50000</v>
      </c>
      <c r="R43" s="494">
        <f t="shared" si="40"/>
        <v>50000</v>
      </c>
      <c r="S43" s="494">
        <f t="shared" si="40"/>
        <v>50000</v>
      </c>
      <c r="T43" s="494">
        <f t="shared" si="40"/>
        <v>50000</v>
      </c>
      <c r="U43" s="494">
        <f t="shared" si="40"/>
        <v>50000</v>
      </c>
      <c r="V43" s="494">
        <v>0</v>
      </c>
      <c r="W43" s="494">
        <v>0</v>
      </c>
      <c r="X43" s="494">
        <v>0</v>
      </c>
      <c r="Y43" s="494">
        <v>0</v>
      </c>
      <c r="Z43" s="494">
        <v>0</v>
      </c>
      <c r="AA43" s="494">
        <v>0</v>
      </c>
      <c r="AB43" s="494">
        <v>0</v>
      </c>
      <c r="AC43" s="494">
        <v>0</v>
      </c>
      <c r="AD43" s="494">
        <v>0</v>
      </c>
      <c r="AE43" s="494">
        <v>0</v>
      </c>
      <c r="AF43" s="494">
        <v>0</v>
      </c>
      <c r="AG43" s="494">
        <v>0</v>
      </c>
      <c r="AH43" s="494">
        <v>0</v>
      </c>
      <c r="AI43" s="494">
        <v>0</v>
      </c>
      <c r="AJ43" s="494">
        <v>0</v>
      </c>
      <c r="AK43" s="494">
        <v>0</v>
      </c>
      <c r="AL43" s="494">
        <v>0</v>
      </c>
      <c r="AM43" s="494">
        <v>0</v>
      </c>
      <c r="AN43" s="494">
        <v>0</v>
      </c>
      <c r="AO43" s="494">
        <v>0</v>
      </c>
      <c r="AP43" s="494">
        <v>0</v>
      </c>
      <c r="AQ43" s="494">
        <v>0</v>
      </c>
      <c r="AR43" s="494">
        <v>0</v>
      </c>
      <c r="AS43" s="494">
        <v>0</v>
      </c>
      <c r="AT43" s="494">
        <v>0</v>
      </c>
      <c r="AU43" s="494">
        <v>0</v>
      </c>
      <c r="AV43" s="494">
        <v>0</v>
      </c>
      <c r="AW43" s="494">
        <v>0</v>
      </c>
      <c r="AX43" s="494">
        <v>0</v>
      </c>
      <c r="AY43" s="494">
        <v>0</v>
      </c>
      <c r="AZ43" s="494">
        <v>0</v>
      </c>
      <c r="BA43" s="494">
        <v>0</v>
      </c>
      <c r="BB43" s="494">
        <v>0</v>
      </c>
      <c r="BC43" s="494">
        <v>0</v>
      </c>
      <c r="BD43" s="494">
        <v>0</v>
      </c>
      <c r="BE43" s="494">
        <v>0</v>
      </c>
      <c r="BF43" s="494">
        <v>0</v>
      </c>
      <c r="BG43" s="494">
        <v>0</v>
      </c>
      <c r="BH43" s="494">
        <v>0</v>
      </c>
      <c r="BI43" s="494">
        <v>0</v>
      </c>
      <c r="BJ43" s="494">
        <v>0</v>
      </c>
      <c r="BK43" s="494">
        <v>0</v>
      </c>
      <c r="BL43" s="494">
        <v>0</v>
      </c>
      <c r="BM43" s="494">
        <v>0</v>
      </c>
      <c r="BN43" s="494">
        <v>0</v>
      </c>
      <c r="BO43" s="494">
        <v>0</v>
      </c>
      <c r="BP43" s="494">
        <v>0</v>
      </c>
      <c r="BQ43" s="494">
        <v>0</v>
      </c>
      <c r="BR43" s="494">
        <v>0</v>
      </c>
      <c r="BS43" s="494">
        <v>0</v>
      </c>
      <c r="BT43" s="494">
        <v>0</v>
      </c>
      <c r="BU43" s="494">
        <v>0</v>
      </c>
      <c r="BV43" s="494">
        <v>0</v>
      </c>
      <c r="BW43" s="494">
        <v>0</v>
      </c>
      <c r="BX43" s="494">
        <v>0</v>
      </c>
      <c r="BY43" s="494">
        <v>0</v>
      </c>
      <c r="BZ43" s="494">
        <v>0</v>
      </c>
      <c r="CA43" s="494">
        <v>0</v>
      </c>
      <c r="CB43" s="494">
        <v>0</v>
      </c>
      <c r="CC43" s="494">
        <v>0</v>
      </c>
      <c r="CD43" s="494">
        <v>0</v>
      </c>
      <c r="CE43" s="494">
        <v>0</v>
      </c>
      <c r="CF43" s="494">
        <v>0</v>
      </c>
      <c r="CG43" s="494">
        <v>0</v>
      </c>
      <c r="CH43" s="494">
        <v>0</v>
      </c>
      <c r="CI43" s="494">
        <v>0</v>
      </c>
      <c r="CJ43" s="494">
        <v>0</v>
      </c>
      <c r="CK43" s="494">
        <v>0</v>
      </c>
      <c r="CL43" s="105">
        <f t="shared" ref="CL43:CL44" si="41">SUM(F43:CK43)</f>
        <v>300000</v>
      </c>
    </row>
    <row r="44" spans="1:90" ht="25.5" x14ac:dyDescent="0.2">
      <c r="A44" s="100" t="str">
        <f>+'3. PEP'!A58</f>
        <v>2.2.3</v>
      </c>
      <c r="B44" s="101" t="str">
        <f>+'3. PEP'!B58</f>
        <v>Fortalecimiento de departamentos de conservación vial y gobiernos locales para implementación del plan de mantenimiento</v>
      </c>
      <c r="C44" s="105">
        <f>+'3. PEP'!G58</f>
        <v>118085.10638297873</v>
      </c>
      <c r="D44" s="105">
        <f>+'3. PEP'!H58</f>
        <v>31914.893617021276</v>
      </c>
      <c r="E44" s="105">
        <f>+'3. PEP'!I58</f>
        <v>150000</v>
      </c>
      <c r="F44" s="494">
        <v>0</v>
      </c>
      <c r="G44" s="494">
        <v>0</v>
      </c>
      <c r="H44" s="494">
        <v>0</v>
      </c>
      <c r="I44" s="494">
        <v>0</v>
      </c>
      <c r="J44" s="494">
        <v>0</v>
      </c>
      <c r="K44" s="494">
        <v>0</v>
      </c>
      <c r="L44" s="494">
        <v>0</v>
      </c>
      <c r="M44" s="494">
        <v>0</v>
      </c>
      <c r="N44" s="494">
        <v>0</v>
      </c>
      <c r="O44" s="494">
        <v>0</v>
      </c>
      <c r="P44" s="494">
        <v>0</v>
      </c>
      <c r="Q44" s="494">
        <v>0</v>
      </c>
      <c r="R44" s="494">
        <v>0</v>
      </c>
      <c r="S44" s="494">
        <v>0</v>
      </c>
      <c r="T44" s="494">
        <v>0</v>
      </c>
      <c r="U44" s="494">
        <v>0</v>
      </c>
      <c r="V44" s="494">
        <v>0</v>
      </c>
      <c r="W44" s="494">
        <v>0</v>
      </c>
      <c r="X44" s="494">
        <v>0</v>
      </c>
      <c r="Y44" s="494">
        <v>0</v>
      </c>
      <c r="Z44" s="494">
        <v>0</v>
      </c>
      <c r="AA44" s="494">
        <v>0</v>
      </c>
      <c r="AB44" s="494">
        <v>0</v>
      </c>
      <c r="AC44" s="494">
        <f t="shared" ref="AC44:AH44" si="42">+$E$44/6</f>
        <v>25000</v>
      </c>
      <c r="AD44" s="494">
        <f t="shared" si="42"/>
        <v>25000</v>
      </c>
      <c r="AE44" s="494">
        <f t="shared" si="42"/>
        <v>25000</v>
      </c>
      <c r="AF44" s="494">
        <f t="shared" si="42"/>
        <v>25000</v>
      </c>
      <c r="AG44" s="494">
        <f t="shared" si="42"/>
        <v>25000</v>
      </c>
      <c r="AH44" s="494">
        <f t="shared" si="42"/>
        <v>25000</v>
      </c>
      <c r="AI44" s="494">
        <v>0</v>
      </c>
      <c r="AJ44" s="494">
        <v>0</v>
      </c>
      <c r="AK44" s="494">
        <v>0</v>
      </c>
      <c r="AL44" s="494">
        <v>0</v>
      </c>
      <c r="AM44" s="494">
        <v>0</v>
      </c>
      <c r="AN44" s="494">
        <v>0</v>
      </c>
      <c r="AO44" s="494">
        <v>0</v>
      </c>
      <c r="AP44" s="494">
        <v>0</v>
      </c>
      <c r="AQ44" s="494">
        <v>0</v>
      </c>
      <c r="AR44" s="494">
        <v>0</v>
      </c>
      <c r="AS44" s="494">
        <v>0</v>
      </c>
      <c r="AT44" s="494">
        <v>0</v>
      </c>
      <c r="AU44" s="494">
        <v>0</v>
      </c>
      <c r="AV44" s="494">
        <v>0</v>
      </c>
      <c r="AW44" s="494">
        <v>0</v>
      </c>
      <c r="AX44" s="494">
        <v>0</v>
      </c>
      <c r="AY44" s="494">
        <v>0</v>
      </c>
      <c r="AZ44" s="494">
        <v>0</v>
      </c>
      <c r="BA44" s="494">
        <v>0</v>
      </c>
      <c r="BB44" s="494">
        <v>0</v>
      </c>
      <c r="BC44" s="494">
        <v>0</v>
      </c>
      <c r="BD44" s="494">
        <v>0</v>
      </c>
      <c r="BE44" s="494">
        <v>0</v>
      </c>
      <c r="BF44" s="494">
        <v>0</v>
      </c>
      <c r="BG44" s="494">
        <v>0</v>
      </c>
      <c r="BH44" s="494">
        <v>0</v>
      </c>
      <c r="BI44" s="494">
        <v>0</v>
      </c>
      <c r="BJ44" s="494">
        <v>0</v>
      </c>
      <c r="BK44" s="494">
        <v>0</v>
      </c>
      <c r="BL44" s="494">
        <v>0</v>
      </c>
      <c r="BM44" s="494">
        <v>0</v>
      </c>
      <c r="BN44" s="494">
        <v>0</v>
      </c>
      <c r="BO44" s="494">
        <v>0</v>
      </c>
      <c r="BP44" s="494">
        <v>0</v>
      </c>
      <c r="BQ44" s="494">
        <v>0</v>
      </c>
      <c r="BR44" s="494">
        <v>0</v>
      </c>
      <c r="BS44" s="494">
        <v>0</v>
      </c>
      <c r="BT44" s="494">
        <v>0</v>
      </c>
      <c r="BU44" s="494">
        <v>0</v>
      </c>
      <c r="BV44" s="494">
        <v>0</v>
      </c>
      <c r="BW44" s="494">
        <v>0</v>
      </c>
      <c r="BX44" s="494">
        <v>0</v>
      </c>
      <c r="BY44" s="494">
        <v>0</v>
      </c>
      <c r="BZ44" s="494">
        <v>0</v>
      </c>
      <c r="CA44" s="494">
        <v>0</v>
      </c>
      <c r="CB44" s="494">
        <v>0</v>
      </c>
      <c r="CC44" s="494">
        <v>0</v>
      </c>
      <c r="CD44" s="494">
        <v>0</v>
      </c>
      <c r="CE44" s="494">
        <v>0</v>
      </c>
      <c r="CF44" s="494">
        <v>0</v>
      </c>
      <c r="CG44" s="494">
        <v>0</v>
      </c>
      <c r="CH44" s="494">
        <v>0</v>
      </c>
      <c r="CI44" s="494">
        <v>0</v>
      </c>
      <c r="CJ44" s="494">
        <v>0</v>
      </c>
      <c r="CK44" s="494">
        <v>0</v>
      </c>
      <c r="CL44" s="105">
        <f t="shared" si="41"/>
        <v>150000</v>
      </c>
    </row>
    <row r="45" spans="1:90" x14ac:dyDescent="0.2">
      <c r="A45" s="100" t="str">
        <f>+'3. PEP'!A59</f>
        <v>2.2.4</v>
      </c>
      <c r="B45" s="101" t="str">
        <f>+'3. PEP'!B59</f>
        <v>Evaluación final del programa, incluyendo evaluación de impacto</v>
      </c>
      <c r="C45" s="105">
        <f>+'3. PEP'!G59</f>
        <v>118085.10638297873</v>
      </c>
      <c r="D45" s="105">
        <f>+'3. PEP'!H59</f>
        <v>31914.893617021276</v>
      </c>
      <c r="E45" s="105">
        <f>+'3. PEP'!I59</f>
        <v>150000</v>
      </c>
      <c r="F45" s="494">
        <v>0</v>
      </c>
      <c r="G45" s="494">
        <v>0</v>
      </c>
      <c r="H45" s="494">
        <v>0</v>
      </c>
      <c r="I45" s="494">
        <v>0</v>
      </c>
      <c r="J45" s="494">
        <v>0</v>
      </c>
      <c r="K45" s="494">
        <v>0</v>
      </c>
      <c r="L45" s="494">
        <v>0</v>
      </c>
      <c r="M45" s="494">
        <v>0</v>
      </c>
      <c r="N45" s="494">
        <v>0</v>
      </c>
      <c r="O45" s="494">
        <v>0</v>
      </c>
      <c r="P45" s="494">
        <v>0</v>
      </c>
      <c r="Q45" s="494">
        <v>0</v>
      </c>
      <c r="R45" s="494">
        <v>0</v>
      </c>
      <c r="S45" s="494">
        <v>0</v>
      </c>
      <c r="T45" s="494">
        <v>0</v>
      </c>
      <c r="U45" s="494">
        <v>0</v>
      </c>
      <c r="V45" s="494">
        <v>0</v>
      </c>
      <c r="W45" s="494">
        <v>0</v>
      </c>
      <c r="X45" s="494">
        <v>0</v>
      </c>
      <c r="Y45" s="494">
        <v>0</v>
      </c>
      <c r="Z45" s="494">
        <v>0</v>
      </c>
      <c r="AA45" s="494">
        <v>0</v>
      </c>
      <c r="AB45" s="494">
        <v>0</v>
      </c>
      <c r="AC45" s="494">
        <v>0</v>
      </c>
      <c r="AD45" s="494">
        <v>0</v>
      </c>
      <c r="AE45" s="494">
        <v>0</v>
      </c>
      <c r="AF45" s="494">
        <v>0</v>
      </c>
      <c r="AG45" s="494">
        <v>0</v>
      </c>
      <c r="AH45" s="494">
        <v>0</v>
      </c>
      <c r="AI45" s="494">
        <v>0</v>
      </c>
      <c r="AJ45" s="494">
        <v>0</v>
      </c>
      <c r="AK45" s="494">
        <v>0</v>
      </c>
      <c r="AL45" s="494">
        <v>0</v>
      </c>
      <c r="AM45" s="494">
        <v>0</v>
      </c>
      <c r="AN45" s="494">
        <v>0</v>
      </c>
      <c r="AO45" s="494">
        <v>0</v>
      </c>
      <c r="AP45" s="494">
        <v>0</v>
      </c>
      <c r="AQ45" s="494">
        <v>0</v>
      </c>
      <c r="AR45" s="494">
        <v>0</v>
      </c>
      <c r="AS45" s="494">
        <v>0</v>
      </c>
      <c r="AT45" s="494">
        <v>0</v>
      </c>
      <c r="AU45" s="494">
        <v>0</v>
      </c>
      <c r="AV45" s="494">
        <v>0</v>
      </c>
      <c r="AW45" s="494">
        <v>0</v>
      </c>
      <c r="AX45" s="494">
        <v>0</v>
      </c>
      <c r="AY45" s="494">
        <v>0</v>
      </c>
      <c r="AZ45" s="494">
        <v>0</v>
      </c>
      <c r="BA45" s="494">
        <v>0</v>
      </c>
      <c r="BB45" s="494">
        <v>0</v>
      </c>
      <c r="BC45" s="494">
        <v>0</v>
      </c>
      <c r="BD45" s="494">
        <v>0</v>
      </c>
      <c r="BE45" s="494">
        <v>0</v>
      </c>
      <c r="BF45" s="494">
        <v>0</v>
      </c>
      <c r="BG45" s="494">
        <v>0</v>
      </c>
      <c r="BH45" s="494">
        <v>0</v>
      </c>
      <c r="BI45" s="494">
        <v>0</v>
      </c>
      <c r="BJ45" s="494">
        <v>0</v>
      </c>
      <c r="BK45" s="494">
        <v>0</v>
      </c>
      <c r="BL45" s="494">
        <v>0</v>
      </c>
      <c r="BM45" s="494">
        <v>0</v>
      </c>
      <c r="BN45" s="494">
        <v>0</v>
      </c>
      <c r="BO45" s="494">
        <v>0</v>
      </c>
      <c r="BP45" s="494">
        <v>0</v>
      </c>
      <c r="BQ45" s="494">
        <v>0</v>
      </c>
      <c r="BR45" s="494">
        <v>0</v>
      </c>
      <c r="BS45" s="494">
        <v>0</v>
      </c>
      <c r="BT45" s="494">
        <f>+$E$45/6</f>
        <v>25000</v>
      </c>
      <c r="BU45" s="494">
        <f t="shared" ref="BU45:BY45" si="43">+$E$45/6</f>
        <v>25000</v>
      </c>
      <c r="BV45" s="494">
        <f t="shared" si="43"/>
        <v>25000</v>
      </c>
      <c r="BW45" s="494">
        <f t="shared" si="43"/>
        <v>25000</v>
      </c>
      <c r="BX45" s="494">
        <f t="shared" si="43"/>
        <v>25000</v>
      </c>
      <c r="BY45" s="494">
        <f t="shared" si="43"/>
        <v>25000</v>
      </c>
      <c r="BZ45" s="494">
        <v>0</v>
      </c>
      <c r="CA45" s="494">
        <v>0</v>
      </c>
      <c r="CB45" s="494">
        <v>0</v>
      </c>
      <c r="CC45" s="494">
        <v>0</v>
      </c>
      <c r="CD45" s="494">
        <v>0</v>
      </c>
      <c r="CE45" s="494">
        <v>0</v>
      </c>
      <c r="CF45" s="494">
        <v>0</v>
      </c>
      <c r="CG45" s="494">
        <v>0</v>
      </c>
      <c r="CH45" s="494">
        <v>0</v>
      </c>
      <c r="CI45" s="494">
        <v>0</v>
      </c>
      <c r="CJ45" s="494">
        <v>0</v>
      </c>
      <c r="CK45" s="494">
        <v>0</v>
      </c>
      <c r="CL45" s="105">
        <f t="shared" ref="CL45" si="44">SUM(F45:CK45)</f>
        <v>150000</v>
      </c>
    </row>
    <row r="46" spans="1:90" x14ac:dyDescent="0.2">
      <c r="A46" s="100" t="str">
        <f>+'3. PEP'!A60</f>
        <v>2.2.5</v>
      </c>
      <c r="B46" s="101" t="str">
        <f>+'3. PEP'!B60</f>
        <v>Levantamiento de Línea de Base</v>
      </c>
      <c r="C46" s="105">
        <f>+'3. PEP'!G60</f>
        <v>39361.702127659577</v>
      </c>
      <c r="D46" s="105">
        <f>+'3. PEP'!H60</f>
        <v>10638.297872340425</v>
      </c>
      <c r="E46" s="105">
        <f>+'3. PEP'!I60</f>
        <v>50000</v>
      </c>
      <c r="F46" s="494">
        <v>0</v>
      </c>
      <c r="G46" s="494">
        <v>0</v>
      </c>
      <c r="H46" s="494">
        <v>0</v>
      </c>
      <c r="I46" s="494">
        <v>12500</v>
      </c>
      <c r="J46" s="494">
        <v>0</v>
      </c>
      <c r="K46" s="494">
        <v>12500</v>
      </c>
      <c r="L46" s="494">
        <v>0</v>
      </c>
      <c r="M46" s="494">
        <v>12500</v>
      </c>
      <c r="N46" s="494">
        <v>12500</v>
      </c>
      <c r="O46" s="494">
        <v>0</v>
      </c>
      <c r="P46" s="494">
        <v>0</v>
      </c>
      <c r="Q46" s="494">
        <v>0</v>
      </c>
      <c r="R46" s="494">
        <v>0</v>
      </c>
      <c r="S46" s="494">
        <v>0</v>
      </c>
      <c r="T46" s="494">
        <v>0</v>
      </c>
      <c r="U46" s="494">
        <v>0</v>
      </c>
      <c r="V46" s="494">
        <v>0</v>
      </c>
      <c r="W46" s="494">
        <v>0</v>
      </c>
      <c r="X46" s="494">
        <v>0</v>
      </c>
      <c r="Y46" s="494">
        <v>0</v>
      </c>
      <c r="Z46" s="494">
        <v>0</v>
      </c>
      <c r="AA46" s="494">
        <v>0</v>
      </c>
      <c r="AB46" s="494">
        <v>0</v>
      </c>
      <c r="AC46" s="494">
        <v>0</v>
      </c>
      <c r="AD46" s="494">
        <v>0</v>
      </c>
      <c r="AE46" s="494">
        <v>0</v>
      </c>
      <c r="AF46" s="494">
        <v>0</v>
      </c>
      <c r="AG46" s="494">
        <v>0</v>
      </c>
      <c r="AH46" s="494">
        <v>0</v>
      </c>
      <c r="AI46" s="494">
        <v>0</v>
      </c>
      <c r="AJ46" s="494">
        <v>0</v>
      </c>
      <c r="AK46" s="494">
        <v>0</v>
      </c>
      <c r="AL46" s="494">
        <v>0</v>
      </c>
      <c r="AM46" s="494">
        <v>0</v>
      </c>
      <c r="AN46" s="494">
        <v>0</v>
      </c>
      <c r="AO46" s="494">
        <v>0</v>
      </c>
      <c r="AP46" s="494">
        <v>0</v>
      </c>
      <c r="AQ46" s="494">
        <v>0</v>
      </c>
      <c r="AR46" s="494">
        <v>0</v>
      </c>
      <c r="AS46" s="494">
        <v>0</v>
      </c>
      <c r="AT46" s="494">
        <v>0</v>
      </c>
      <c r="AU46" s="494">
        <v>0</v>
      </c>
      <c r="AV46" s="494">
        <v>0</v>
      </c>
      <c r="AW46" s="494">
        <v>0</v>
      </c>
      <c r="AX46" s="494">
        <v>0</v>
      </c>
      <c r="AY46" s="494">
        <v>0</v>
      </c>
      <c r="AZ46" s="494">
        <v>0</v>
      </c>
      <c r="BA46" s="494">
        <v>0</v>
      </c>
      <c r="BB46" s="494">
        <v>0</v>
      </c>
      <c r="BC46" s="494">
        <v>0</v>
      </c>
      <c r="BD46" s="494">
        <v>0</v>
      </c>
      <c r="BE46" s="494">
        <v>0</v>
      </c>
      <c r="BF46" s="494">
        <v>0</v>
      </c>
      <c r="BG46" s="494">
        <v>0</v>
      </c>
      <c r="BH46" s="494">
        <v>0</v>
      </c>
      <c r="BI46" s="494">
        <v>0</v>
      </c>
      <c r="BJ46" s="494">
        <v>0</v>
      </c>
      <c r="BK46" s="494">
        <v>0</v>
      </c>
      <c r="BL46" s="494">
        <v>0</v>
      </c>
      <c r="BM46" s="494">
        <v>0</v>
      </c>
      <c r="BN46" s="494">
        <v>0</v>
      </c>
      <c r="BO46" s="494">
        <v>0</v>
      </c>
      <c r="BP46" s="494">
        <v>0</v>
      </c>
      <c r="BQ46" s="494">
        <v>0</v>
      </c>
      <c r="BR46" s="494">
        <v>0</v>
      </c>
      <c r="BS46" s="494">
        <v>0</v>
      </c>
      <c r="BT46" s="494">
        <v>0</v>
      </c>
      <c r="BU46" s="494">
        <v>0</v>
      </c>
      <c r="BV46" s="494">
        <v>0</v>
      </c>
      <c r="BW46" s="494">
        <v>0</v>
      </c>
      <c r="BX46" s="494">
        <v>0</v>
      </c>
      <c r="BY46" s="494">
        <v>0</v>
      </c>
      <c r="BZ46" s="494">
        <v>0</v>
      </c>
      <c r="CA46" s="494">
        <v>0</v>
      </c>
      <c r="CB46" s="494">
        <v>0</v>
      </c>
      <c r="CC46" s="494">
        <v>0</v>
      </c>
      <c r="CD46" s="494">
        <v>0</v>
      </c>
      <c r="CE46" s="494">
        <v>0</v>
      </c>
      <c r="CF46" s="494">
        <v>0</v>
      </c>
      <c r="CG46" s="494">
        <v>0</v>
      </c>
      <c r="CH46" s="494">
        <v>0</v>
      </c>
      <c r="CI46" s="494">
        <v>0</v>
      </c>
      <c r="CJ46" s="494">
        <v>0</v>
      </c>
      <c r="CK46" s="494">
        <v>0</v>
      </c>
      <c r="CL46" s="105">
        <f t="shared" ref="CL46" si="45">SUM(F46:CK46)</f>
        <v>50000</v>
      </c>
    </row>
    <row r="47" spans="1:90" x14ac:dyDescent="0.2">
      <c r="D47" s="165">
        <f>+'3. PEP'!H61</f>
        <v>0</v>
      </c>
    </row>
  </sheetData>
  <mergeCells count="37">
    <mergeCell ref="AP7:BA7"/>
    <mergeCell ref="BB7:BM7"/>
    <mergeCell ref="F8:H8"/>
    <mergeCell ref="I8:K8"/>
    <mergeCell ref="L8:N8"/>
    <mergeCell ref="O8:Q8"/>
    <mergeCell ref="AG8:AI8"/>
    <mergeCell ref="AP8:AR8"/>
    <mergeCell ref="AS8:AU8"/>
    <mergeCell ref="AV8:AX8"/>
    <mergeCell ref="AY8:BA8"/>
    <mergeCell ref="A7:B10"/>
    <mergeCell ref="F7:Q7"/>
    <mergeCell ref="R7:AC7"/>
    <mergeCell ref="AD7:AO7"/>
    <mergeCell ref="R8:T8"/>
    <mergeCell ref="U8:W8"/>
    <mergeCell ref="X8:Z8"/>
    <mergeCell ref="AA8:AC8"/>
    <mergeCell ref="AD8:AF8"/>
    <mergeCell ref="AM8:AO8"/>
    <mergeCell ref="BN7:BY7"/>
    <mergeCell ref="BZ7:CK7"/>
    <mergeCell ref="A4:B4"/>
    <mergeCell ref="BT8:BV8"/>
    <mergeCell ref="BW8:BY8"/>
    <mergeCell ref="BZ8:CB8"/>
    <mergeCell ref="CC8:CE8"/>
    <mergeCell ref="CF8:CH8"/>
    <mergeCell ref="CI8:CK8"/>
    <mergeCell ref="BB8:BD8"/>
    <mergeCell ref="BE8:BG8"/>
    <mergeCell ref="BH8:BJ8"/>
    <mergeCell ref="BK8:BM8"/>
    <mergeCell ref="BN8:BP8"/>
    <mergeCell ref="BQ8:BS8"/>
    <mergeCell ref="AJ8:AL8"/>
  </mergeCells>
  <pageMargins left="0.31496062992125984" right="0.31496062992125984" top="0.27559055118110237" bottom="0.27559055118110237" header="0.31496062992125984" footer="0.31496062992125984"/>
  <pageSetup paperSize="9" scale="53" orientation="landscape" r:id="rId1"/>
  <colBreaks count="4" manualBreakCount="4">
    <brk id="17" max="126" man="1"/>
    <brk id="29" max="126" man="1"/>
    <brk id="41" max="126" man="1"/>
    <brk id="53" max="1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P43"/>
  <sheetViews>
    <sheetView showGridLines="0" topLeftCell="A16" zoomScale="110" zoomScaleNormal="110" zoomScaleSheetLayoutView="70" workbookViewId="0">
      <selection activeCell="B17" sqref="B17"/>
    </sheetView>
  </sheetViews>
  <sheetFormatPr defaultColWidth="11.42578125" defaultRowHeight="12.75" x14ac:dyDescent="0.2"/>
  <cols>
    <col min="1" max="1" width="10.140625" style="112" customWidth="1"/>
    <col min="2" max="2" width="55.85546875" style="31" customWidth="1"/>
    <col min="3" max="3" width="26.85546875" style="31" customWidth="1"/>
    <col min="4" max="4" width="12.140625" style="111" customWidth="1"/>
    <col min="5" max="5" width="14.5703125" style="111" customWidth="1"/>
    <col min="6" max="6" width="14.42578125" style="110" customWidth="1"/>
    <col min="7" max="7" width="19.85546875" style="110" customWidth="1"/>
    <col min="8" max="8" width="14.5703125" style="109" customWidth="1"/>
    <col min="9" max="9" width="16" style="108" bestFit="1" customWidth="1"/>
    <col min="10" max="11" width="16" style="108" customWidth="1"/>
    <col min="12" max="12" width="14.7109375" style="440" customWidth="1"/>
    <col min="13" max="13" width="18.28515625" style="25" bestFit="1" customWidth="1"/>
    <col min="14" max="14" width="16.42578125" style="25" bestFit="1" customWidth="1"/>
    <col min="15" max="15" width="11.42578125" style="25"/>
    <col min="16" max="16" width="0" style="25" hidden="1" customWidth="1"/>
    <col min="17" max="17" width="11.42578125" style="25"/>
    <col min="18" max="18" width="12.42578125" style="25" bestFit="1" customWidth="1"/>
    <col min="19" max="226" width="11.42578125" style="25"/>
    <col min="227" max="227" width="44.42578125" style="25" customWidth="1"/>
    <col min="228" max="228" width="13" style="25" customWidth="1"/>
    <col min="229" max="234" width="2" style="25" customWidth="1"/>
    <col min="235" max="235" width="2.42578125" style="25" customWidth="1"/>
    <col min="236" max="236" width="3" style="25" customWidth="1"/>
    <col min="237" max="239" width="2" style="25" customWidth="1"/>
    <col min="240" max="240" width="2.85546875" style="25" customWidth="1"/>
    <col min="241" max="241" width="3" style="25" customWidth="1"/>
    <col min="242" max="242" width="2.7109375" style="25" customWidth="1"/>
    <col min="243" max="243" width="2.42578125" style="25" customWidth="1"/>
    <col min="244" max="244" width="3.28515625" style="25" customWidth="1"/>
    <col min="245" max="245" width="3.5703125" style="25" customWidth="1"/>
    <col min="246" max="246" width="4" style="25" customWidth="1"/>
    <col min="247" max="247" width="3.42578125" style="25" customWidth="1"/>
    <col min="248" max="248" width="3" style="25" customWidth="1"/>
    <col min="249" max="482" width="11.42578125" style="25"/>
    <col min="483" max="483" width="44.42578125" style="25" customWidth="1"/>
    <col min="484" max="484" width="13" style="25" customWidth="1"/>
    <col min="485" max="490" width="2" style="25" customWidth="1"/>
    <col min="491" max="491" width="2.42578125" style="25" customWidth="1"/>
    <col min="492" max="492" width="3" style="25" customWidth="1"/>
    <col min="493" max="495" width="2" style="25" customWidth="1"/>
    <col min="496" max="496" width="2.85546875" style="25" customWidth="1"/>
    <col min="497" max="497" width="3" style="25" customWidth="1"/>
    <col min="498" max="498" width="2.7109375" style="25" customWidth="1"/>
    <col min="499" max="499" width="2.42578125" style="25" customWidth="1"/>
    <col min="500" max="500" width="3.28515625" style="25" customWidth="1"/>
    <col min="501" max="501" width="3.5703125" style="25" customWidth="1"/>
    <col min="502" max="502" width="4" style="25" customWidth="1"/>
    <col min="503" max="503" width="3.42578125" style="25" customWidth="1"/>
    <col min="504" max="504" width="3" style="25" customWidth="1"/>
    <col min="505" max="738" width="11.42578125" style="25"/>
    <col min="739" max="739" width="44.42578125" style="25" customWidth="1"/>
    <col min="740" max="740" width="13" style="25" customWidth="1"/>
    <col min="741" max="746" width="2" style="25" customWidth="1"/>
    <col min="747" max="747" width="2.42578125" style="25" customWidth="1"/>
    <col min="748" max="748" width="3" style="25" customWidth="1"/>
    <col min="749" max="751" width="2" style="25" customWidth="1"/>
    <col min="752" max="752" width="2.85546875" style="25" customWidth="1"/>
    <col min="753" max="753" width="3" style="25" customWidth="1"/>
    <col min="754" max="754" width="2.7109375" style="25" customWidth="1"/>
    <col min="755" max="755" width="2.42578125" style="25" customWidth="1"/>
    <col min="756" max="756" width="3.28515625" style="25" customWidth="1"/>
    <col min="757" max="757" width="3.5703125" style="25" customWidth="1"/>
    <col min="758" max="758" width="4" style="25" customWidth="1"/>
    <col min="759" max="759" width="3.42578125" style="25" customWidth="1"/>
    <col min="760" max="760" width="3" style="25" customWidth="1"/>
    <col min="761" max="994" width="11.42578125" style="25"/>
    <col min="995" max="995" width="44.42578125" style="25" customWidth="1"/>
    <col min="996" max="996" width="13" style="25" customWidth="1"/>
    <col min="997" max="1002" width="2" style="25" customWidth="1"/>
    <col min="1003" max="1003" width="2.42578125" style="25" customWidth="1"/>
    <col min="1004" max="1004" width="3" style="25" customWidth="1"/>
    <col min="1005" max="1007" width="2" style="25" customWidth="1"/>
    <col min="1008" max="1008" width="2.85546875" style="25" customWidth="1"/>
    <col min="1009" max="1009" width="3" style="25" customWidth="1"/>
    <col min="1010" max="1010" width="2.7109375" style="25" customWidth="1"/>
    <col min="1011" max="1011" width="2.42578125" style="25" customWidth="1"/>
    <col min="1012" max="1012" width="3.28515625" style="25" customWidth="1"/>
    <col min="1013" max="1013" width="3.5703125" style="25" customWidth="1"/>
    <col min="1014" max="1014" width="4" style="25" customWidth="1"/>
    <col min="1015" max="1015" width="3.42578125" style="25" customWidth="1"/>
    <col min="1016" max="1016" width="3" style="25" customWidth="1"/>
    <col min="1017" max="1250" width="11.42578125" style="25"/>
    <col min="1251" max="1251" width="44.42578125" style="25" customWidth="1"/>
    <col min="1252" max="1252" width="13" style="25" customWidth="1"/>
    <col min="1253" max="1258" width="2" style="25" customWidth="1"/>
    <col min="1259" max="1259" width="2.42578125" style="25" customWidth="1"/>
    <col min="1260" max="1260" width="3" style="25" customWidth="1"/>
    <col min="1261" max="1263" width="2" style="25" customWidth="1"/>
    <col min="1264" max="1264" width="2.85546875" style="25" customWidth="1"/>
    <col min="1265" max="1265" width="3" style="25" customWidth="1"/>
    <col min="1266" max="1266" width="2.7109375" style="25" customWidth="1"/>
    <col min="1267" max="1267" width="2.42578125" style="25" customWidth="1"/>
    <col min="1268" max="1268" width="3.28515625" style="25" customWidth="1"/>
    <col min="1269" max="1269" width="3.5703125" style="25" customWidth="1"/>
    <col min="1270" max="1270" width="4" style="25" customWidth="1"/>
    <col min="1271" max="1271" width="3.42578125" style="25" customWidth="1"/>
    <col min="1272" max="1272" width="3" style="25" customWidth="1"/>
    <col min="1273" max="1506" width="11.42578125" style="25"/>
    <col min="1507" max="1507" width="44.42578125" style="25" customWidth="1"/>
    <col min="1508" max="1508" width="13" style="25" customWidth="1"/>
    <col min="1509" max="1514" width="2" style="25" customWidth="1"/>
    <col min="1515" max="1515" width="2.42578125" style="25" customWidth="1"/>
    <col min="1516" max="1516" width="3" style="25" customWidth="1"/>
    <col min="1517" max="1519" width="2" style="25" customWidth="1"/>
    <col min="1520" max="1520" width="2.85546875" style="25" customWidth="1"/>
    <col min="1521" max="1521" width="3" style="25" customWidth="1"/>
    <col min="1522" max="1522" width="2.7109375" style="25" customWidth="1"/>
    <col min="1523" max="1523" width="2.42578125" style="25" customWidth="1"/>
    <col min="1524" max="1524" width="3.28515625" style="25" customWidth="1"/>
    <col min="1525" max="1525" width="3.5703125" style="25" customWidth="1"/>
    <col min="1526" max="1526" width="4" style="25" customWidth="1"/>
    <col min="1527" max="1527" width="3.42578125" style="25" customWidth="1"/>
    <col min="1528" max="1528" width="3" style="25" customWidth="1"/>
    <col min="1529" max="1762" width="11.42578125" style="25"/>
    <col min="1763" max="1763" width="44.42578125" style="25" customWidth="1"/>
    <col min="1764" max="1764" width="13" style="25" customWidth="1"/>
    <col min="1765" max="1770" width="2" style="25" customWidth="1"/>
    <col min="1771" max="1771" width="2.42578125" style="25" customWidth="1"/>
    <col min="1772" max="1772" width="3" style="25" customWidth="1"/>
    <col min="1773" max="1775" width="2" style="25" customWidth="1"/>
    <col min="1776" max="1776" width="2.85546875" style="25" customWidth="1"/>
    <col min="1777" max="1777" width="3" style="25" customWidth="1"/>
    <col min="1778" max="1778" width="2.7109375" style="25" customWidth="1"/>
    <col min="1779" max="1779" width="2.42578125" style="25" customWidth="1"/>
    <col min="1780" max="1780" width="3.28515625" style="25" customWidth="1"/>
    <col min="1781" max="1781" width="3.5703125" style="25" customWidth="1"/>
    <col min="1782" max="1782" width="4" style="25" customWidth="1"/>
    <col min="1783" max="1783" width="3.42578125" style="25" customWidth="1"/>
    <col min="1784" max="1784" width="3" style="25" customWidth="1"/>
    <col min="1785" max="2018" width="11.42578125" style="25"/>
    <col min="2019" max="2019" width="44.42578125" style="25" customWidth="1"/>
    <col min="2020" max="2020" width="13" style="25" customWidth="1"/>
    <col min="2021" max="2026" width="2" style="25" customWidth="1"/>
    <col min="2027" max="2027" width="2.42578125" style="25" customWidth="1"/>
    <col min="2028" max="2028" width="3" style="25" customWidth="1"/>
    <col min="2029" max="2031" width="2" style="25" customWidth="1"/>
    <col min="2032" max="2032" width="2.85546875" style="25" customWidth="1"/>
    <col min="2033" max="2033" width="3" style="25" customWidth="1"/>
    <col min="2034" max="2034" width="2.7109375" style="25" customWidth="1"/>
    <col min="2035" max="2035" width="2.42578125" style="25" customWidth="1"/>
    <col min="2036" max="2036" width="3.28515625" style="25" customWidth="1"/>
    <col min="2037" max="2037" width="3.5703125" style="25" customWidth="1"/>
    <col min="2038" max="2038" width="4" style="25" customWidth="1"/>
    <col min="2039" max="2039" width="3.42578125" style="25" customWidth="1"/>
    <col min="2040" max="2040" width="3" style="25" customWidth="1"/>
    <col min="2041" max="2274" width="11.42578125" style="25"/>
    <col min="2275" max="2275" width="44.42578125" style="25" customWidth="1"/>
    <col min="2276" max="2276" width="13" style="25" customWidth="1"/>
    <col min="2277" max="2282" width="2" style="25" customWidth="1"/>
    <col min="2283" max="2283" width="2.42578125" style="25" customWidth="1"/>
    <col min="2284" max="2284" width="3" style="25" customWidth="1"/>
    <col min="2285" max="2287" width="2" style="25" customWidth="1"/>
    <col min="2288" max="2288" width="2.85546875" style="25" customWidth="1"/>
    <col min="2289" max="2289" width="3" style="25" customWidth="1"/>
    <col min="2290" max="2290" width="2.7109375" style="25" customWidth="1"/>
    <col min="2291" max="2291" width="2.42578125" style="25" customWidth="1"/>
    <col min="2292" max="2292" width="3.28515625" style="25" customWidth="1"/>
    <col min="2293" max="2293" width="3.5703125" style="25" customWidth="1"/>
    <col min="2294" max="2294" width="4" style="25" customWidth="1"/>
    <col min="2295" max="2295" width="3.42578125" style="25" customWidth="1"/>
    <col min="2296" max="2296" width="3" style="25" customWidth="1"/>
    <col min="2297" max="2530" width="11.42578125" style="25"/>
    <col min="2531" max="2531" width="44.42578125" style="25" customWidth="1"/>
    <col min="2532" max="2532" width="13" style="25" customWidth="1"/>
    <col min="2533" max="2538" width="2" style="25" customWidth="1"/>
    <col min="2539" max="2539" width="2.42578125" style="25" customWidth="1"/>
    <col min="2540" max="2540" width="3" style="25" customWidth="1"/>
    <col min="2541" max="2543" width="2" style="25" customWidth="1"/>
    <col min="2544" max="2544" width="2.85546875" style="25" customWidth="1"/>
    <col min="2545" max="2545" width="3" style="25" customWidth="1"/>
    <col min="2546" max="2546" width="2.7109375" style="25" customWidth="1"/>
    <col min="2547" max="2547" width="2.42578125" style="25" customWidth="1"/>
    <col min="2548" max="2548" width="3.28515625" style="25" customWidth="1"/>
    <col min="2549" max="2549" width="3.5703125" style="25" customWidth="1"/>
    <col min="2550" max="2550" width="4" style="25" customWidth="1"/>
    <col min="2551" max="2551" width="3.42578125" style="25" customWidth="1"/>
    <col min="2552" max="2552" width="3" style="25" customWidth="1"/>
    <col min="2553" max="2786" width="11.42578125" style="25"/>
    <col min="2787" max="2787" width="44.42578125" style="25" customWidth="1"/>
    <col min="2788" max="2788" width="13" style="25" customWidth="1"/>
    <col min="2789" max="2794" width="2" style="25" customWidth="1"/>
    <col min="2795" max="2795" width="2.42578125" style="25" customWidth="1"/>
    <col min="2796" max="2796" width="3" style="25" customWidth="1"/>
    <col min="2797" max="2799" width="2" style="25" customWidth="1"/>
    <col min="2800" max="2800" width="2.85546875" style="25" customWidth="1"/>
    <col min="2801" max="2801" width="3" style="25" customWidth="1"/>
    <col min="2802" max="2802" width="2.7109375" style="25" customWidth="1"/>
    <col min="2803" max="2803" width="2.42578125" style="25" customWidth="1"/>
    <col min="2804" max="2804" width="3.28515625" style="25" customWidth="1"/>
    <col min="2805" max="2805" width="3.5703125" style="25" customWidth="1"/>
    <col min="2806" max="2806" width="4" style="25" customWidth="1"/>
    <col min="2807" max="2807" width="3.42578125" style="25" customWidth="1"/>
    <col min="2808" max="2808" width="3" style="25" customWidth="1"/>
    <col min="2809" max="3042" width="11.42578125" style="25"/>
    <col min="3043" max="3043" width="44.42578125" style="25" customWidth="1"/>
    <col min="3044" max="3044" width="13" style="25" customWidth="1"/>
    <col min="3045" max="3050" width="2" style="25" customWidth="1"/>
    <col min="3051" max="3051" width="2.42578125" style="25" customWidth="1"/>
    <col min="3052" max="3052" width="3" style="25" customWidth="1"/>
    <col min="3053" max="3055" width="2" style="25" customWidth="1"/>
    <col min="3056" max="3056" width="2.85546875" style="25" customWidth="1"/>
    <col min="3057" max="3057" width="3" style="25" customWidth="1"/>
    <col min="3058" max="3058" width="2.7109375" style="25" customWidth="1"/>
    <col min="3059" max="3059" width="2.42578125" style="25" customWidth="1"/>
    <col min="3060" max="3060" width="3.28515625" style="25" customWidth="1"/>
    <col min="3061" max="3061" width="3.5703125" style="25" customWidth="1"/>
    <col min="3062" max="3062" width="4" style="25" customWidth="1"/>
    <col min="3063" max="3063" width="3.42578125" style="25" customWidth="1"/>
    <col min="3064" max="3064" width="3" style="25" customWidth="1"/>
    <col min="3065" max="3298" width="11.42578125" style="25"/>
    <col min="3299" max="3299" width="44.42578125" style="25" customWidth="1"/>
    <col min="3300" max="3300" width="13" style="25" customWidth="1"/>
    <col min="3301" max="3306" width="2" style="25" customWidth="1"/>
    <col min="3307" max="3307" width="2.42578125" style="25" customWidth="1"/>
    <col min="3308" max="3308" width="3" style="25" customWidth="1"/>
    <col min="3309" max="3311" width="2" style="25" customWidth="1"/>
    <col min="3312" max="3312" width="2.85546875" style="25" customWidth="1"/>
    <col min="3313" max="3313" width="3" style="25" customWidth="1"/>
    <col min="3314" max="3314" width="2.7109375" style="25" customWidth="1"/>
    <col min="3315" max="3315" width="2.42578125" style="25" customWidth="1"/>
    <col min="3316" max="3316" width="3.28515625" style="25" customWidth="1"/>
    <col min="3317" max="3317" width="3.5703125" style="25" customWidth="1"/>
    <col min="3318" max="3318" width="4" style="25" customWidth="1"/>
    <col min="3319" max="3319" width="3.42578125" style="25" customWidth="1"/>
    <col min="3320" max="3320" width="3" style="25" customWidth="1"/>
    <col min="3321" max="3554" width="11.42578125" style="25"/>
    <col min="3555" max="3555" width="44.42578125" style="25" customWidth="1"/>
    <col min="3556" max="3556" width="13" style="25" customWidth="1"/>
    <col min="3557" max="3562" width="2" style="25" customWidth="1"/>
    <col min="3563" max="3563" width="2.42578125" style="25" customWidth="1"/>
    <col min="3564" max="3564" width="3" style="25" customWidth="1"/>
    <col min="3565" max="3567" width="2" style="25" customWidth="1"/>
    <col min="3568" max="3568" width="2.85546875" style="25" customWidth="1"/>
    <col min="3569" max="3569" width="3" style="25" customWidth="1"/>
    <col min="3570" max="3570" width="2.7109375" style="25" customWidth="1"/>
    <col min="3571" max="3571" width="2.42578125" style="25" customWidth="1"/>
    <col min="3572" max="3572" width="3.28515625" style="25" customWidth="1"/>
    <col min="3573" max="3573" width="3.5703125" style="25" customWidth="1"/>
    <col min="3574" max="3574" width="4" style="25" customWidth="1"/>
    <col min="3575" max="3575" width="3.42578125" style="25" customWidth="1"/>
    <col min="3576" max="3576" width="3" style="25" customWidth="1"/>
    <col min="3577" max="3810" width="11.42578125" style="25"/>
    <col min="3811" max="3811" width="44.42578125" style="25" customWidth="1"/>
    <col min="3812" max="3812" width="13" style="25" customWidth="1"/>
    <col min="3813" max="3818" width="2" style="25" customWidth="1"/>
    <col min="3819" max="3819" width="2.42578125" style="25" customWidth="1"/>
    <col min="3820" max="3820" width="3" style="25" customWidth="1"/>
    <col min="3821" max="3823" width="2" style="25" customWidth="1"/>
    <col min="3824" max="3824" width="2.85546875" style="25" customWidth="1"/>
    <col min="3825" max="3825" width="3" style="25" customWidth="1"/>
    <col min="3826" max="3826" width="2.7109375" style="25" customWidth="1"/>
    <col min="3827" max="3827" width="2.42578125" style="25" customWidth="1"/>
    <col min="3828" max="3828" width="3.28515625" style="25" customWidth="1"/>
    <col min="3829" max="3829" width="3.5703125" style="25" customWidth="1"/>
    <col min="3830" max="3830" width="4" style="25" customWidth="1"/>
    <col min="3831" max="3831" width="3.42578125" style="25" customWidth="1"/>
    <col min="3832" max="3832" width="3" style="25" customWidth="1"/>
    <col min="3833" max="4066" width="11.42578125" style="25"/>
    <col min="4067" max="4067" width="44.42578125" style="25" customWidth="1"/>
    <col min="4068" max="4068" width="13" style="25" customWidth="1"/>
    <col min="4069" max="4074" width="2" style="25" customWidth="1"/>
    <col min="4075" max="4075" width="2.42578125" style="25" customWidth="1"/>
    <col min="4076" max="4076" width="3" style="25" customWidth="1"/>
    <col min="4077" max="4079" width="2" style="25" customWidth="1"/>
    <col min="4080" max="4080" width="2.85546875" style="25" customWidth="1"/>
    <col min="4081" max="4081" width="3" style="25" customWidth="1"/>
    <col min="4082" max="4082" width="2.7109375" style="25" customWidth="1"/>
    <col min="4083" max="4083" width="2.42578125" style="25" customWidth="1"/>
    <col min="4084" max="4084" width="3.28515625" style="25" customWidth="1"/>
    <col min="4085" max="4085" width="3.5703125" style="25" customWidth="1"/>
    <col min="4086" max="4086" width="4" style="25" customWidth="1"/>
    <col min="4087" max="4087" width="3.42578125" style="25" customWidth="1"/>
    <col min="4088" max="4088" width="3" style="25" customWidth="1"/>
    <col min="4089" max="4322" width="11.42578125" style="25"/>
    <col min="4323" max="4323" width="44.42578125" style="25" customWidth="1"/>
    <col min="4324" max="4324" width="13" style="25" customWidth="1"/>
    <col min="4325" max="4330" width="2" style="25" customWidth="1"/>
    <col min="4331" max="4331" width="2.42578125" style="25" customWidth="1"/>
    <col min="4332" max="4332" width="3" style="25" customWidth="1"/>
    <col min="4333" max="4335" width="2" style="25" customWidth="1"/>
    <col min="4336" max="4336" width="2.85546875" style="25" customWidth="1"/>
    <col min="4337" max="4337" width="3" style="25" customWidth="1"/>
    <col min="4338" max="4338" width="2.7109375" style="25" customWidth="1"/>
    <col min="4339" max="4339" width="2.42578125" style="25" customWidth="1"/>
    <col min="4340" max="4340" width="3.28515625" style="25" customWidth="1"/>
    <col min="4341" max="4341" width="3.5703125" style="25" customWidth="1"/>
    <col min="4342" max="4342" width="4" style="25" customWidth="1"/>
    <col min="4343" max="4343" width="3.42578125" style="25" customWidth="1"/>
    <col min="4344" max="4344" width="3" style="25" customWidth="1"/>
    <col min="4345" max="4578" width="11.42578125" style="25"/>
    <col min="4579" max="4579" width="44.42578125" style="25" customWidth="1"/>
    <col min="4580" max="4580" width="13" style="25" customWidth="1"/>
    <col min="4581" max="4586" width="2" style="25" customWidth="1"/>
    <col min="4587" max="4587" width="2.42578125" style="25" customWidth="1"/>
    <col min="4588" max="4588" width="3" style="25" customWidth="1"/>
    <col min="4589" max="4591" width="2" style="25" customWidth="1"/>
    <col min="4592" max="4592" width="2.85546875" style="25" customWidth="1"/>
    <col min="4593" max="4593" width="3" style="25" customWidth="1"/>
    <col min="4594" max="4594" width="2.7109375" style="25" customWidth="1"/>
    <col min="4595" max="4595" width="2.42578125" style="25" customWidth="1"/>
    <col min="4596" max="4596" width="3.28515625" style="25" customWidth="1"/>
    <col min="4597" max="4597" width="3.5703125" style="25" customWidth="1"/>
    <col min="4598" max="4598" width="4" style="25" customWidth="1"/>
    <col min="4599" max="4599" width="3.42578125" style="25" customWidth="1"/>
    <col min="4600" max="4600" width="3" style="25" customWidth="1"/>
    <col min="4601" max="4834" width="11.42578125" style="25"/>
    <col min="4835" max="4835" width="44.42578125" style="25" customWidth="1"/>
    <col min="4836" max="4836" width="13" style="25" customWidth="1"/>
    <col min="4837" max="4842" width="2" style="25" customWidth="1"/>
    <col min="4843" max="4843" width="2.42578125" style="25" customWidth="1"/>
    <col min="4844" max="4844" width="3" style="25" customWidth="1"/>
    <col min="4845" max="4847" width="2" style="25" customWidth="1"/>
    <col min="4848" max="4848" width="2.85546875" style="25" customWidth="1"/>
    <col min="4849" max="4849" width="3" style="25" customWidth="1"/>
    <col min="4850" max="4850" width="2.7109375" style="25" customWidth="1"/>
    <col min="4851" max="4851" width="2.42578125" style="25" customWidth="1"/>
    <col min="4852" max="4852" width="3.28515625" style="25" customWidth="1"/>
    <col min="4853" max="4853" width="3.5703125" style="25" customWidth="1"/>
    <col min="4854" max="4854" width="4" style="25" customWidth="1"/>
    <col min="4855" max="4855" width="3.42578125" style="25" customWidth="1"/>
    <col min="4856" max="4856" width="3" style="25" customWidth="1"/>
    <col min="4857" max="5090" width="11.42578125" style="25"/>
    <col min="5091" max="5091" width="44.42578125" style="25" customWidth="1"/>
    <col min="5092" max="5092" width="13" style="25" customWidth="1"/>
    <col min="5093" max="5098" width="2" style="25" customWidth="1"/>
    <col min="5099" max="5099" width="2.42578125" style="25" customWidth="1"/>
    <col min="5100" max="5100" width="3" style="25" customWidth="1"/>
    <col min="5101" max="5103" width="2" style="25" customWidth="1"/>
    <col min="5104" max="5104" width="2.85546875" style="25" customWidth="1"/>
    <col min="5105" max="5105" width="3" style="25" customWidth="1"/>
    <col min="5106" max="5106" width="2.7109375" style="25" customWidth="1"/>
    <col min="5107" max="5107" width="2.42578125" style="25" customWidth="1"/>
    <col min="5108" max="5108" width="3.28515625" style="25" customWidth="1"/>
    <col min="5109" max="5109" width="3.5703125" style="25" customWidth="1"/>
    <col min="5110" max="5110" width="4" style="25" customWidth="1"/>
    <col min="5111" max="5111" width="3.42578125" style="25" customWidth="1"/>
    <col min="5112" max="5112" width="3" style="25" customWidth="1"/>
    <col min="5113" max="5346" width="11.42578125" style="25"/>
    <col min="5347" max="5347" width="44.42578125" style="25" customWidth="1"/>
    <col min="5348" max="5348" width="13" style="25" customWidth="1"/>
    <col min="5349" max="5354" width="2" style="25" customWidth="1"/>
    <col min="5355" max="5355" width="2.42578125" style="25" customWidth="1"/>
    <col min="5356" max="5356" width="3" style="25" customWidth="1"/>
    <col min="5357" max="5359" width="2" style="25" customWidth="1"/>
    <col min="5360" max="5360" width="2.85546875" style="25" customWidth="1"/>
    <col min="5361" max="5361" width="3" style="25" customWidth="1"/>
    <col min="5362" max="5362" width="2.7109375" style="25" customWidth="1"/>
    <col min="5363" max="5363" width="2.42578125" style="25" customWidth="1"/>
    <col min="5364" max="5364" width="3.28515625" style="25" customWidth="1"/>
    <col min="5365" max="5365" width="3.5703125" style="25" customWidth="1"/>
    <col min="5366" max="5366" width="4" style="25" customWidth="1"/>
    <col min="5367" max="5367" width="3.42578125" style="25" customWidth="1"/>
    <col min="5368" max="5368" width="3" style="25" customWidth="1"/>
    <col min="5369" max="5602" width="11.42578125" style="25"/>
    <col min="5603" max="5603" width="44.42578125" style="25" customWidth="1"/>
    <col min="5604" max="5604" width="13" style="25" customWidth="1"/>
    <col min="5605" max="5610" width="2" style="25" customWidth="1"/>
    <col min="5611" max="5611" width="2.42578125" style="25" customWidth="1"/>
    <col min="5612" max="5612" width="3" style="25" customWidth="1"/>
    <col min="5613" max="5615" width="2" style="25" customWidth="1"/>
    <col min="5616" max="5616" width="2.85546875" style="25" customWidth="1"/>
    <col min="5617" max="5617" width="3" style="25" customWidth="1"/>
    <col min="5618" max="5618" width="2.7109375" style="25" customWidth="1"/>
    <col min="5619" max="5619" width="2.42578125" style="25" customWidth="1"/>
    <col min="5620" max="5620" width="3.28515625" style="25" customWidth="1"/>
    <col min="5621" max="5621" width="3.5703125" style="25" customWidth="1"/>
    <col min="5622" max="5622" width="4" style="25" customWidth="1"/>
    <col min="5623" max="5623" width="3.42578125" style="25" customWidth="1"/>
    <col min="5624" max="5624" width="3" style="25" customWidth="1"/>
    <col min="5625" max="5858" width="11.42578125" style="25"/>
    <col min="5859" max="5859" width="44.42578125" style="25" customWidth="1"/>
    <col min="5860" max="5860" width="13" style="25" customWidth="1"/>
    <col min="5861" max="5866" width="2" style="25" customWidth="1"/>
    <col min="5867" max="5867" width="2.42578125" style="25" customWidth="1"/>
    <col min="5868" max="5868" width="3" style="25" customWidth="1"/>
    <col min="5869" max="5871" width="2" style="25" customWidth="1"/>
    <col min="5872" max="5872" width="2.85546875" style="25" customWidth="1"/>
    <col min="5873" max="5873" width="3" style="25" customWidth="1"/>
    <col min="5874" max="5874" width="2.7109375" style="25" customWidth="1"/>
    <col min="5875" max="5875" width="2.42578125" style="25" customWidth="1"/>
    <col min="5876" max="5876" width="3.28515625" style="25" customWidth="1"/>
    <col min="5877" max="5877" width="3.5703125" style="25" customWidth="1"/>
    <col min="5878" max="5878" width="4" style="25" customWidth="1"/>
    <col min="5879" max="5879" width="3.42578125" style="25" customWidth="1"/>
    <col min="5880" max="5880" width="3" style="25" customWidth="1"/>
    <col min="5881" max="6114" width="11.42578125" style="25"/>
    <col min="6115" max="6115" width="44.42578125" style="25" customWidth="1"/>
    <col min="6116" max="6116" width="13" style="25" customWidth="1"/>
    <col min="6117" max="6122" width="2" style="25" customWidth="1"/>
    <col min="6123" max="6123" width="2.42578125" style="25" customWidth="1"/>
    <col min="6124" max="6124" width="3" style="25" customWidth="1"/>
    <col min="6125" max="6127" width="2" style="25" customWidth="1"/>
    <col min="6128" max="6128" width="2.85546875" style="25" customWidth="1"/>
    <col min="6129" max="6129" width="3" style="25" customWidth="1"/>
    <col min="6130" max="6130" width="2.7109375" style="25" customWidth="1"/>
    <col min="6131" max="6131" width="2.42578125" style="25" customWidth="1"/>
    <col min="6132" max="6132" width="3.28515625" style="25" customWidth="1"/>
    <col min="6133" max="6133" width="3.5703125" style="25" customWidth="1"/>
    <col min="6134" max="6134" width="4" style="25" customWidth="1"/>
    <col min="6135" max="6135" width="3.42578125" style="25" customWidth="1"/>
    <col min="6136" max="6136" width="3" style="25" customWidth="1"/>
    <col min="6137" max="6370" width="11.42578125" style="25"/>
    <col min="6371" max="6371" width="44.42578125" style="25" customWidth="1"/>
    <col min="6372" max="6372" width="13" style="25" customWidth="1"/>
    <col min="6373" max="6378" width="2" style="25" customWidth="1"/>
    <col min="6379" max="6379" width="2.42578125" style="25" customWidth="1"/>
    <col min="6380" max="6380" width="3" style="25" customWidth="1"/>
    <col min="6381" max="6383" width="2" style="25" customWidth="1"/>
    <col min="6384" max="6384" width="2.85546875" style="25" customWidth="1"/>
    <col min="6385" max="6385" width="3" style="25" customWidth="1"/>
    <col min="6386" max="6386" width="2.7109375" style="25" customWidth="1"/>
    <col min="6387" max="6387" width="2.42578125" style="25" customWidth="1"/>
    <col min="6388" max="6388" width="3.28515625" style="25" customWidth="1"/>
    <col min="6389" max="6389" width="3.5703125" style="25" customWidth="1"/>
    <col min="6390" max="6390" width="4" style="25" customWidth="1"/>
    <col min="6391" max="6391" width="3.42578125" style="25" customWidth="1"/>
    <col min="6392" max="6392" width="3" style="25" customWidth="1"/>
    <col min="6393" max="6626" width="11.42578125" style="25"/>
    <col min="6627" max="6627" width="44.42578125" style="25" customWidth="1"/>
    <col min="6628" max="6628" width="13" style="25" customWidth="1"/>
    <col min="6629" max="6634" width="2" style="25" customWidth="1"/>
    <col min="6635" max="6635" width="2.42578125" style="25" customWidth="1"/>
    <col min="6636" max="6636" width="3" style="25" customWidth="1"/>
    <col min="6637" max="6639" width="2" style="25" customWidth="1"/>
    <col min="6640" max="6640" width="2.85546875" style="25" customWidth="1"/>
    <col min="6641" max="6641" width="3" style="25" customWidth="1"/>
    <col min="6642" max="6642" width="2.7109375" style="25" customWidth="1"/>
    <col min="6643" max="6643" width="2.42578125" style="25" customWidth="1"/>
    <col min="6644" max="6644" width="3.28515625" style="25" customWidth="1"/>
    <col min="6645" max="6645" width="3.5703125" style="25" customWidth="1"/>
    <col min="6646" max="6646" width="4" style="25" customWidth="1"/>
    <col min="6647" max="6647" width="3.42578125" style="25" customWidth="1"/>
    <col min="6648" max="6648" width="3" style="25" customWidth="1"/>
    <col min="6649" max="6882" width="11.42578125" style="25"/>
    <col min="6883" max="6883" width="44.42578125" style="25" customWidth="1"/>
    <col min="6884" max="6884" width="13" style="25" customWidth="1"/>
    <col min="6885" max="6890" width="2" style="25" customWidth="1"/>
    <col min="6891" max="6891" width="2.42578125" style="25" customWidth="1"/>
    <col min="6892" max="6892" width="3" style="25" customWidth="1"/>
    <col min="6893" max="6895" width="2" style="25" customWidth="1"/>
    <col min="6896" max="6896" width="2.85546875" style="25" customWidth="1"/>
    <col min="6897" max="6897" width="3" style="25" customWidth="1"/>
    <col min="6898" max="6898" width="2.7109375" style="25" customWidth="1"/>
    <col min="6899" max="6899" width="2.42578125" style="25" customWidth="1"/>
    <col min="6900" max="6900" width="3.28515625" style="25" customWidth="1"/>
    <col min="6901" max="6901" width="3.5703125" style="25" customWidth="1"/>
    <col min="6902" max="6902" width="4" style="25" customWidth="1"/>
    <col min="6903" max="6903" width="3.42578125" style="25" customWidth="1"/>
    <col min="6904" max="6904" width="3" style="25" customWidth="1"/>
    <col min="6905" max="7138" width="11.42578125" style="25"/>
    <col min="7139" max="7139" width="44.42578125" style="25" customWidth="1"/>
    <col min="7140" max="7140" width="13" style="25" customWidth="1"/>
    <col min="7141" max="7146" width="2" style="25" customWidth="1"/>
    <col min="7147" max="7147" width="2.42578125" style="25" customWidth="1"/>
    <col min="7148" max="7148" width="3" style="25" customWidth="1"/>
    <col min="7149" max="7151" width="2" style="25" customWidth="1"/>
    <col min="7152" max="7152" width="2.85546875" style="25" customWidth="1"/>
    <col min="7153" max="7153" width="3" style="25" customWidth="1"/>
    <col min="7154" max="7154" width="2.7109375" style="25" customWidth="1"/>
    <col min="7155" max="7155" width="2.42578125" style="25" customWidth="1"/>
    <col min="7156" max="7156" width="3.28515625" style="25" customWidth="1"/>
    <col min="7157" max="7157" width="3.5703125" style="25" customWidth="1"/>
    <col min="7158" max="7158" width="4" style="25" customWidth="1"/>
    <col min="7159" max="7159" width="3.42578125" style="25" customWidth="1"/>
    <col min="7160" max="7160" width="3" style="25" customWidth="1"/>
    <col min="7161" max="7394" width="11.42578125" style="25"/>
    <col min="7395" max="7395" width="44.42578125" style="25" customWidth="1"/>
    <col min="7396" max="7396" width="13" style="25" customWidth="1"/>
    <col min="7397" max="7402" width="2" style="25" customWidth="1"/>
    <col min="7403" max="7403" width="2.42578125" style="25" customWidth="1"/>
    <col min="7404" max="7404" width="3" style="25" customWidth="1"/>
    <col min="7405" max="7407" width="2" style="25" customWidth="1"/>
    <col min="7408" max="7408" width="2.85546875" style="25" customWidth="1"/>
    <col min="7409" max="7409" width="3" style="25" customWidth="1"/>
    <col min="7410" max="7410" width="2.7109375" style="25" customWidth="1"/>
    <col min="7411" max="7411" width="2.42578125" style="25" customWidth="1"/>
    <col min="7412" max="7412" width="3.28515625" style="25" customWidth="1"/>
    <col min="7413" max="7413" width="3.5703125" style="25" customWidth="1"/>
    <col min="7414" max="7414" width="4" style="25" customWidth="1"/>
    <col min="7415" max="7415" width="3.42578125" style="25" customWidth="1"/>
    <col min="7416" max="7416" width="3" style="25" customWidth="1"/>
    <col min="7417" max="7650" width="11.42578125" style="25"/>
    <col min="7651" max="7651" width="44.42578125" style="25" customWidth="1"/>
    <col min="7652" max="7652" width="13" style="25" customWidth="1"/>
    <col min="7653" max="7658" width="2" style="25" customWidth="1"/>
    <col min="7659" max="7659" width="2.42578125" style="25" customWidth="1"/>
    <col min="7660" max="7660" width="3" style="25" customWidth="1"/>
    <col min="7661" max="7663" width="2" style="25" customWidth="1"/>
    <col min="7664" max="7664" width="2.85546875" style="25" customWidth="1"/>
    <col min="7665" max="7665" width="3" style="25" customWidth="1"/>
    <col min="7666" max="7666" width="2.7109375" style="25" customWidth="1"/>
    <col min="7667" max="7667" width="2.42578125" style="25" customWidth="1"/>
    <col min="7668" max="7668" width="3.28515625" style="25" customWidth="1"/>
    <col min="7669" max="7669" width="3.5703125" style="25" customWidth="1"/>
    <col min="7670" max="7670" width="4" style="25" customWidth="1"/>
    <col min="7671" max="7671" width="3.42578125" style="25" customWidth="1"/>
    <col min="7672" max="7672" width="3" style="25" customWidth="1"/>
    <col min="7673" max="7906" width="11.42578125" style="25"/>
    <col min="7907" max="7907" width="44.42578125" style="25" customWidth="1"/>
    <col min="7908" max="7908" width="13" style="25" customWidth="1"/>
    <col min="7909" max="7914" width="2" style="25" customWidth="1"/>
    <col min="7915" max="7915" width="2.42578125" style="25" customWidth="1"/>
    <col min="7916" max="7916" width="3" style="25" customWidth="1"/>
    <col min="7917" max="7919" width="2" style="25" customWidth="1"/>
    <col min="7920" max="7920" width="2.85546875" style="25" customWidth="1"/>
    <col min="7921" max="7921" width="3" style="25" customWidth="1"/>
    <col min="7922" max="7922" width="2.7109375" style="25" customWidth="1"/>
    <col min="7923" max="7923" width="2.42578125" style="25" customWidth="1"/>
    <col min="7924" max="7924" width="3.28515625" style="25" customWidth="1"/>
    <col min="7925" max="7925" width="3.5703125" style="25" customWidth="1"/>
    <col min="7926" max="7926" width="4" style="25" customWidth="1"/>
    <col min="7927" max="7927" width="3.42578125" style="25" customWidth="1"/>
    <col min="7928" max="7928" width="3" style="25" customWidth="1"/>
    <col min="7929" max="8162" width="11.42578125" style="25"/>
    <col min="8163" max="8163" width="44.42578125" style="25" customWidth="1"/>
    <col min="8164" max="8164" width="13" style="25" customWidth="1"/>
    <col min="8165" max="8170" width="2" style="25" customWidth="1"/>
    <col min="8171" max="8171" width="2.42578125" style="25" customWidth="1"/>
    <col min="8172" max="8172" width="3" style="25" customWidth="1"/>
    <col min="8173" max="8175" width="2" style="25" customWidth="1"/>
    <col min="8176" max="8176" width="2.85546875" style="25" customWidth="1"/>
    <col min="8177" max="8177" width="3" style="25" customWidth="1"/>
    <col min="8178" max="8178" width="2.7109375" style="25" customWidth="1"/>
    <col min="8179" max="8179" width="2.42578125" style="25" customWidth="1"/>
    <col min="8180" max="8180" width="3.28515625" style="25" customWidth="1"/>
    <col min="8181" max="8181" width="3.5703125" style="25" customWidth="1"/>
    <col min="8182" max="8182" width="4" style="25" customWidth="1"/>
    <col min="8183" max="8183" width="3.42578125" style="25" customWidth="1"/>
    <col min="8184" max="8184" width="3" style="25" customWidth="1"/>
    <col min="8185" max="8418" width="11.42578125" style="25"/>
    <col min="8419" max="8419" width="44.42578125" style="25" customWidth="1"/>
    <col min="8420" max="8420" width="13" style="25" customWidth="1"/>
    <col min="8421" max="8426" width="2" style="25" customWidth="1"/>
    <col min="8427" max="8427" width="2.42578125" style="25" customWidth="1"/>
    <col min="8428" max="8428" width="3" style="25" customWidth="1"/>
    <col min="8429" max="8431" width="2" style="25" customWidth="1"/>
    <col min="8432" max="8432" width="2.85546875" style="25" customWidth="1"/>
    <col min="8433" max="8433" width="3" style="25" customWidth="1"/>
    <col min="8434" max="8434" width="2.7109375" style="25" customWidth="1"/>
    <col min="8435" max="8435" width="2.42578125" style="25" customWidth="1"/>
    <col min="8436" max="8436" width="3.28515625" style="25" customWidth="1"/>
    <col min="8437" max="8437" width="3.5703125" style="25" customWidth="1"/>
    <col min="8438" max="8438" width="4" style="25" customWidth="1"/>
    <col min="8439" max="8439" width="3.42578125" style="25" customWidth="1"/>
    <col min="8440" max="8440" width="3" style="25" customWidth="1"/>
    <col min="8441" max="8674" width="11.42578125" style="25"/>
    <col min="8675" max="8675" width="44.42578125" style="25" customWidth="1"/>
    <col min="8676" max="8676" width="13" style="25" customWidth="1"/>
    <col min="8677" max="8682" width="2" style="25" customWidth="1"/>
    <col min="8683" max="8683" width="2.42578125" style="25" customWidth="1"/>
    <col min="8684" max="8684" width="3" style="25" customWidth="1"/>
    <col min="8685" max="8687" width="2" style="25" customWidth="1"/>
    <col min="8688" max="8688" width="2.85546875" style="25" customWidth="1"/>
    <col min="8689" max="8689" width="3" style="25" customWidth="1"/>
    <col min="8690" max="8690" width="2.7109375" style="25" customWidth="1"/>
    <col min="8691" max="8691" width="2.42578125" style="25" customWidth="1"/>
    <col min="8692" max="8692" width="3.28515625" style="25" customWidth="1"/>
    <col min="8693" max="8693" width="3.5703125" style="25" customWidth="1"/>
    <col min="8694" max="8694" width="4" style="25" customWidth="1"/>
    <col min="8695" max="8695" width="3.42578125" style="25" customWidth="1"/>
    <col min="8696" max="8696" width="3" style="25" customWidth="1"/>
    <col min="8697" max="8930" width="11.42578125" style="25"/>
    <col min="8931" max="8931" width="44.42578125" style="25" customWidth="1"/>
    <col min="8932" max="8932" width="13" style="25" customWidth="1"/>
    <col min="8933" max="8938" width="2" style="25" customWidth="1"/>
    <col min="8939" max="8939" width="2.42578125" style="25" customWidth="1"/>
    <col min="8940" max="8940" width="3" style="25" customWidth="1"/>
    <col min="8941" max="8943" width="2" style="25" customWidth="1"/>
    <col min="8944" max="8944" width="2.85546875" style="25" customWidth="1"/>
    <col min="8945" max="8945" width="3" style="25" customWidth="1"/>
    <col min="8946" max="8946" width="2.7109375" style="25" customWidth="1"/>
    <col min="8947" max="8947" width="2.42578125" style="25" customWidth="1"/>
    <col min="8948" max="8948" width="3.28515625" style="25" customWidth="1"/>
    <col min="8949" max="8949" width="3.5703125" style="25" customWidth="1"/>
    <col min="8950" max="8950" width="4" style="25" customWidth="1"/>
    <col min="8951" max="8951" width="3.42578125" style="25" customWidth="1"/>
    <col min="8952" max="8952" width="3" style="25" customWidth="1"/>
    <col min="8953" max="9186" width="11.42578125" style="25"/>
    <col min="9187" max="9187" width="44.42578125" style="25" customWidth="1"/>
    <col min="9188" max="9188" width="13" style="25" customWidth="1"/>
    <col min="9189" max="9194" width="2" style="25" customWidth="1"/>
    <col min="9195" max="9195" width="2.42578125" style="25" customWidth="1"/>
    <col min="9196" max="9196" width="3" style="25" customWidth="1"/>
    <col min="9197" max="9199" width="2" style="25" customWidth="1"/>
    <col min="9200" max="9200" width="2.85546875" style="25" customWidth="1"/>
    <col min="9201" max="9201" width="3" style="25" customWidth="1"/>
    <col min="9202" max="9202" width="2.7109375" style="25" customWidth="1"/>
    <col min="9203" max="9203" width="2.42578125" style="25" customWidth="1"/>
    <col min="9204" max="9204" width="3.28515625" style="25" customWidth="1"/>
    <col min="9205" max="9205" width="3.5703125" style="25" customWidth="1"/>
    <col min="9206" max="9206" width="4" style="25" customWidth="1"/>
    <col min="9207" max="9207" width="3.42578125" style="25" customWidth="1"/>
    <col min="9208" max="9208" width="3" style="25" customWidth="1"/>
    <col min="9209" max="9442" width="11.42578125" style="25"/>
    <col min="9443" max="9443" width="44.42578125" style="25" customWidth="1"/>
    <col min="9444" max="9444" width="13" style="25" customWidth="1"/>
    <col min="9445" max="9450" width="2" style="25" customWidth="1"/>
    <col min="9451" max="9451" width="2.42578125" style="25" customWidth="1"/>
    <col min="9452" max="9452" width="3" style="25" customWidth="1"/>
    <col min="9453" max="9455" width="2" style="25" customWidth="1"/>
    <col min="9456" max="9456" width="2.85546875" style="25" customWidth="1"/>
    <col min="9457" max="9457" width="3" style="25" customWidth="1"/>
    <col min="9458" max="9458" width="2.7109375" style="25" customWidth="1"/>
    <col min="9459" max="9459" width="2.42578125" style="25" customWidth="1"/>
    <col min="9460" max="9460" width="3.28515625" style="25" customWidth="1"/>
    <col min="9461" max="9461" width="3.5703125" style="25" customWidth="1"/>
    <col min="9462" max="9462" width="4" style="25" customWidth="1"/>
    <col min="9463" max="9463" width="3.42578125" style="25" customWidth="1"/>
    <col min="9464" max="9464" width="3" style="25" customWidth="1"/>
    <col min="9465" max="9698" width="11.42578125" style="25"/>
    <col min="9699" max="9699" width="44.42578125" style="25" customWidth="1"/>
    <col min="9700" max="9700" width="13" style="25" customWidth="1"/>
    <col min="9701" max="9706" width="2" style="25" customWidth="1"/>
    <col min="9707" max="9707" width="2.42578125" style="25" customWidth="1"/>
    <col min="9708" max="9708" width="3" style="25" customWidth="1"/>
    <col min="9709" max="9711" width="2" style="25" customWidth="1"/>
    <col min="9712" max="9712" width="2.85546875" style="25" customWidth="1"/>
    <col min="9713" max="9713" width="3" style="25" customWidth="1"/>
    <col min="9714" max="9714" width="2.7109375" style="25" customWidth="1"/>
    <col min="9715" max="9715" width="2.42578125" style="25" customWidth="1"/>
    <col min="9716" max="9716" width="3.28515625" style="25" customWidth="1"/>
    <col min="9717" max="9717" width="3.5703125" style="25" customWidth="1"/>
    <col min="9718" max="9718" width="4" style="25" customWidth="1"/>
    <col min="9719" max="9719" width="3.42578125" style="25" customWidth="1"/>
    <col min="9720" max="9720" width="3" style="25" customWidth="1"/>
    <col min="9721" max="9954" width="11.42578125" style="25"/>
    <col min="9955" max="9955" width="44.42578125" style="25" customWidth="1"/>
    <col min="9956" max="9956" width="13" style="25" customWidth="1"/>
    <col min="9957" max="9962" width="2" style="25" customWidth="1"/>
    <col min="9963" max="9963" width="2.42578125" style="25" customWidth="1"/>
    <col min="9964" max="9964" width="3" style="25" customWidth="1"/>
    <col min="9965" max="9967" width="2" style="25" customWidth="1"/>
    <col min="9968" max="9968" width="2.85546875" style="25" customWidth="1"/>
    <col min="9969" max="9969" width="3" style="25" customWidth="1"/>
    <col min="9970" max="9970" width="2.7109375" style="25" customWidth="1"/>
    <col min="9971" max="9971" width="2.42578125" style="25" customWidth="1"/>
    <col min="9972" max="9972" width="3.28515625" style="25" customWidth="1"/>
    <col min="9973" max="9973" width="3.5703125" style="25" customWidth="1"/>
    <col min="9974" max="9974" width="4" style="25" customWidth="1"/>
    <col min="9975" max="9975" width="3.42578125" style="25" customWidth="1"/>
    <col min="9976" max="9976" width="3" style="25" customWidth="1"/>
    <col min="9977" max="10210" width="11.42578125" style="25"/>
    <col min="10211" max="10211" width="44.42578125" style="25" customWidth="1"/>
    <col min="10212" max="10212" width="13" style="25" customWidth="1"/>
    <col min="10213" max="10218" width="2" style="25" customWidth="1"/>
    <col min="10219" max="10219" width="2.42578125" style="25" customWidth="1"/>
    <col min="10220" max="10220" width="3" style="25" customWidth="1"/>
    <col min="10221" max="10223" width="2" style="25" customWidth="1"/>
    <col min="10224" max="10224" width="2.85546875" style="25" customWidth="1"/>
    <col min="10225" max="10225" width="3" style="25" customWidth="1"/>
    <col min="10226" max="10226" width="2.7109375" style="25" customWidth="1"/>
    <col min="10227" max="10227" width="2.42578125" style="25" customWidth="1"/>
    <col min="10228" max="10228" width="3.28515625" style="25" customWidth="1"/>
    <col min="10229" max="10229" width="3.5703125" style="25" customWidth="1"/>
    <col min="10230" max="10230" width="4" style="25" customWidth="1"/>
    <col min="10231" max="10231" width="3.42578125" style="25" customWidth="1"/>
    <col min="10232" max="10232" width="3" style="25" customWidth="1"/>
    <col min="10233" max="10466" width="11.42578125" style="25"/>
    <col min="10467" max="10467" width="44.42578125" style="25" customWidth="1"/>
    <col min="10468" max="10468" width="13" style="25" customWidth="1"/>
    <col min="10469" max="10474" width="2" style="25" customWidth="1"/>
    <col min="10475" max="10475" width="2.42578125" style="25" customWidth="1"/>
    <col min="10476" max="10476" width="3" style="25" customWidth="1"/>
    <col min="10477" max="10479" width="2" style="25" customWidth="1"/>
    <col min="10480" max="10480" width="2.85546875" style="25" customWidth="1"/>
    <col min="10481" max="10481" width="3" style="25" customWidth="1"/>
    <col min="10482" max="10482" width="2.7109375" style="25" customWidth="1"/>
    <col min="10483" max="10483" width="2.42578125" style="25" customWidth="1"/>
    <col min="10484" max="10484" width="3.28515625" style="25" customWidth="1"/>
    <col min="10485" max="10485" width="3.5703125" style="25" customWidth="1"/>
    <col min="10486" max="10486" width="4" style="25" customWidth="1"/>
    <col min="10487" max="10487" width="3.42578125" style="25" customWidth="1"/>
    <col min="10488" max="10488" width="3" style="25" customWidth="1"/>
    <col min="10489" max="10722" width="11.42578125" style="25"/>
    <col min="10723" max="10723" width="44.42578125" style="25" customWidth="1"/>
    <col min="10724" max="10724" width="13" style="25" customWidth="1"/>
    <col min="10725" max="10730" width="2" style="25" customWidth="1"/>
    <col min="10731" max="10731" width="2.42578125" style="25" customWidth="1"/>
    <col min="10732" max="10732" width="3" style="25" customWidth="1"/>
    <col min="10733" max="10735" width="2" style="25" customWidth="1"/>
    <col min="10736" max="10736" width="2.85546875" style="25" customWidth="1"/>
    <col min="10737" max="10737" width="3" style="25" customWidth="1"/>
    <col min="10738" max="10738" width="2.7109375" style="25" customWidth="1"/>
    <col min="10739" max="10739" width="2.42578125" style="25" customWidth="1"/>
    <col min="10740" max="10740" width="3.28515625" style="25" customWidth="1"/>
    <col min="10741" max="10741" width="3.5703125" style="25" customWidth="1"/>
    <col min="10742" max="10742" width="4" style="25" customWidth="1"/>
    <col min="10743" max="10743" width="3.42578125" style="25" customWidth="1"/>
    <col min="10744" max="10744" width="3" style="25" customWidth="1"/>
    <col min="10745" max="10978" width="11.42578125" style="25"/>
    <col min="10979" max="10979" width="44.42578125" style="25" customWidth="1"/>
    <col min="10980" max="10980" width="13" style="25" customWidth="1"/>
    <col min="10981" max="10986" width="2" style="25" customWidth="1"/>
    <col min="10987" max="10987" width="2.42578125" style="25" customWidth="1"/>
    <col min="10988" max="10988" width="3" style="25" customWidth="1"/>
    <col min="10989" max="10991" width="2" style="25" customWidth="1"/>
    <col min="10992" max="10992" width="2.85546875" style="25" customWidth="1"/>
    <col min="10993" max="10993" width="3" style="25" customWidth="1"/>
    <col min="10994" max="10994" width="2.7109375" style="25" customWidth="1"/>
    <col min="10995" max="10995" width="2.42578125" style="25" customWidth="1"/>
    <col min="10996" max="10996" width="3.28515625" style="25" customWidth="1"/>
    <col min="10997" max="10997" width="3.5703125" style="25" customWidth="1"/>
    <col min="10998" max="10998" width="4" style="25" customWidth="1"/>
    <col min="10999" max="10999" width="3.42578125" style="25" customWidth="1"/>
    <col min="11000" max="11000" width="3" style="25" customWidth="1"/>
    <col min="11001" max="11234" width="11.42578125" style="25"/>
    <col min="11235" max="11235" width="44.42578125" style="25" customWidth="1"/>
    <col min="11236" max="11236" width="13" style="25" customWidth="1"/>
    <col min="11237" max="11242" width="2" style="25" customWidth="1"/>
    <col min="11243" max="11243" width="2.42578125" style="25" customWidth="1"/>
    <col min="11244" max="11244" width="3" style="25" customWidth="1"/>
    <col min="11245" max="11247" width="2" style="25" customWidth="1"/>
    <col min="11248" max="11248" width="2.85546875" style="25" customWidth="1"/>
    <col min="11249" max="11249" width="3" style="25" customWidth="1"/>
    <col min="11250" max="11250" width="2.7109375" style="25" customWidth="1"/>
    <col min="11251" max="11251" width="2.42578125" style="25" customWidth="1"/>
    <col min="11252" max="11252" width="3.28515625" style="25" customWidth="1"/>
    <col min="11253" max="11253" width="3.5703125" style="25" customWidth="1"/>
    <col min="11254" max="11254" width="4" style="25" customWidth="1"/>
    <col min="11255" max="11255" width="3.42578125" style="25" customWidth="1"/>
    <col min="11256" max="11256" width="3" style="25" customWidth="1"/>
    <col min="11257" max="11490" width="11.42578125" style="25"/>
    <col min="11491" max="11491" width="44.42578125" style="25" customWidth="1"/>
    <col min="11492" max="11492" width="13" style="25" customWidth="1"/>
    <col min="11493" max="11498" width="2" style="25" customWidth="1"/>
    <col min="11499" max="11499" width="2.42578125" style="25" customWidth="1"/>
    <col min="11500" max="11500" width="3" style="25" customWidth="1"/>
    <col min="11501" max="11503" width="2" style="25" customWidth="1"/>
    <col min="11504" max="11504" width="2.85546875" style="25" customWidth="1"/>
    <col min="11505" max="11505" width="3" style="25" customWidth="1"/>
    <col min="11506" max="11506" width="2.7109375" style="25" customWidth="1"/>
    <col min="11507" max="11507" width="2.42578125" style="25" customWidth="1"/>
    <col min="11508" max="11508" width="3.28515625" style="25" customWidth="1"/>
    <col min="11509" max="11509" width="3.5703125" style="25" customWidth="1"/>
    <col min="11510" max="11510" width="4" style="25" customWidth="1"/>
    <col min="11511" max="11511" width="3.42578125" style="25" customWidth="1"/>
    <col min="11512" max="11512" width="3" style="25" customWidth="1"/>
    <col min="11513" max="11746" width="11.42578125" style="25"/>
    <col min="11747" max="11747" width="44.42578125" style="25" customWidth="1"/>
    <col min="11748" max="11748" width="13" style="25" customWidth="1"/>
    <col min="11749" max="11754" width="2" style="25" customWidth="1"/>
    <col min="11755" max="11755" width="2.42578125" style="25" customWidth="1"/>
    <col min="11756" max="11756" width="3" style="25" customWidth="1"/>
    <col min="11757" max="11759" width="2" style="25" customWidth="1"/>
    <col min="11760" max="11760" width="2.85546875" style="25" customWidth="1"/>
    <col min="11761" max="11761" width="3" style="25" customWidth="1"/>
    <col min="11762" max="11762" width="2.7109375" style="25" customWidth="1"/>
    <col min="11763" max="11763" width="2.42578125" style="25" customWidth="1"/>
    <col min="11764" max="11764" width="3.28515625" style="25" customWidth="1"/>
    <col min="11765" max="11765" width="3.5703125" style="25" customWidth="1"/>
    <col min="11766" max="11766" width="4" style="25" customWidth="1"/>
    <col min="11767" max="11767" width="3.42578125" style="25" customWidth="1"/>
    <col min="11768" max="11768" width="3" style="25" customWidth="1"/>
    <col min="11769" max="12002" width="11.42578125" style="25"/>
    <col min="12003" max="12003" width="44.42578125" style="25" customWidth="1"/>
    <col min="12004" max="12004" width="13" style="25" customWidth="1"/>
    <col min="12005" max="12010" width="2" style="25" customWidth="1"/>
    <col min="12011" max="12011" width="2.42578125" style="25" customWidth="1"/>
    <col min="12012" max="12012" width="3" style="25" customWidth="1"/>
    <col min="12013" max="12015" width="2" style="25" customWidth="1"/>
    <col min="12016" max="12016" width="2.85546875" style="25" customWidth="1"/>
    <col min="12017" max="12017" width="3" style="25" customWidth="1"/>
    <col min="12018" max="12018" width="2.7109375" style="25" customWidth="1"/>
    <col min="12019" max="12019" width="2.42578125" style="25" customWidth="1"/>
    <col min="12020" max="12020" width="3.28515625" style="25" customWidth="1"/>
    <col min="12021" max="12021" width="3.5703125" style="25" customWidth="1"/>
    <col min="12022" max="12022" width="4" style="25" customWidth="1"/>
    <col min="12023" max="12023" width="3.42578125" style="25" customWidth="1"/>
    <col min="12024" max="12024" width="3" style="25" customWidth="1"/>
    <col min="12025" max="12258" width="11.42578125" style="25"/>
    <col min="12259" max="12259" width="44.42578125" style="25" customWidth="1"/>
    <col min="12260" max="12260" width="13" style="25" customWidth="1"/>
    <col min="12261" max="12266" width="2" style="25" customWidth="1"/>
    <col min="12267" max="12267" width="2.42578125" style="25" customWidth="1"/>
    <col min="12268" max="12268" width="3" style="25" customWidth="1"/>
    <col min="12269" max="12271" width="2" style="25" customWidth="1"/>
    <col min="12272" max="12272" width="2.85546875" style="25" customWidth="1"/>
    <col min="12273" max="12273" width="3" style="25" customWidth="1"/>
    <col min="12274" max="12274" width="2.7109375" style="25" customWidth="1"/>
    <col min="12275" max="12275" width="2.42578125" style="25" customWidth="1"/>
    <col min="12276" max="12276" width="3.28515625" style="25" customWidth="1"/>
    <col min="12277" max="12277" width="3.5703125" style="25" customWidth="1"/>
    <col min="12278" max="12278" width="4" style="25" customWidth="1"/>
    <col min="12279" max="12279" width="3.42578125" style="25" customWidth="1"/>
    <col min="12280" max="12280" width="3" style="25" customWidth="1"/>
    <col min="12281" max="12514" width="11.42578125" style="25"/>
    <col min="12515" max="12515" width="44.42578125" style="25" customWidth="1"/>
    <col min="12516" max="12516" width="13" style="25" customWidth="1"/>
    <col min="12517" max="12522" width="2" style="25" customWidth="1"/>
    <col min="12523" max="12523" width="2.42578125" style="25" customWidth="1"/>
    <col min="12524" max="12524" width="3" style="25" customWidth="1"/>
    <col min="12525" max="12527" width="2" style="25" customWidth="1"/>
    <col min="12528" max="12528" width="2.85546875" style="25" customWidth="1"/>
    <col min="12529" max="12529" width="3" style="25" customWidth="1"/>
    <col min="12530" max="12530" width="2.7109375" style="25" customWidth="1"/>
    <col min="12531" max="12531" width="2.42578125" style="25" customWidth="1"/>
    <col min="12532" max="12532" width="3.28515625" style="25" customWidth="1"/>
    <col min="12533" max="12533" width="3.5703125" style="25" customWidth="1"/>
    <col min="12534" max="12534" width="4" style="25" customWidth="1"/>
    <col min="12535" max="12535" width="3.42578125" style="25" customWidth="1"/>
    <col min="12536" max="12536" width="3" style="25" customWidth="1"/>
    <col min="12537" max="12770" width="11.42578125" style="25"/>
    <col min="12771" max="12771" width="44.42578125" style="25" customWidth="1"/>
    <col min="12772" max="12772" width="13" style="25" customWidth="1"/>
    <col min="12773" max="12778" width="2" style="25" customWidth="1"/>
    <col min="12779" max="12779" width="2.42578125" style="25" customWidth="1"/>
    <col min="12780" max="12780" width="3" style="25" customWidth="1"/>
    <col min="12781" max="12783" width="2" style="25" customWidth="1"/>
    <col min="12784" max="12784" width="2.85546875" style="25" customWidth="1"/>
    <col min="12785" max="12785" width="3" style="25" customWidth="1"/>
    <col min="12786" max="12786" width="2.7109375" style="25" customWidth="1"/>
    <col min="12787" max="12787" width="2.42578125" style="25" customWidth="1"/>
    <col min="12788" max="12788" width="3.28515625" style="25" customWidth="1"/>
    <col min="12789" max="12789" width="3.5703125" style="25" customWidth="1"/>
    <col min="12790" max="12790" width="4" style="25" customWidth="1"/>
    <col min="12791" max="12791" width="3.42578125" style="25" customWidth="1"/>
    <col min="12792" max="12792" width="3" style="25" customWidth="1"/>
    <col min="12793" max="13026" width="11.42578125" style="25"/>
    <col min="13027" max="13027" width="44.42578125" style="25" customWidth="1"/>
    <col min="13028" max="13028" width="13" style="25" customWidth="1"/>
    <col min="13029" max="13034" width="2" style="25" customWidth="1"/>
    <col min="13035" max="13035" width="2.42578125" style="25" customWidth="1"/>
    <col min="13036" max="13036" width="3" style="25" customWidth="1"/>
    <col min="13037" max="13039" width="2" style="25" customWidth="1"/>
    <col min="13040" max="13040" width="2.85546875" style="25" customWidth="1"/>
    <col min="13041" max="13041" width="3" style="25" customWidth="1"/>
    <col min="13042" max="13042" width="2.7109375" style="25" customWidth="1"/>
    <col min="13043" max="13043" width="2.42578125" style="25" customWidth="1"/>
    <col min="13044" max="13044" width="3.28515625" style="25" customWidth="1"/>
    <col min="13045" max="13045" width="3.5703125" style="25" customWidth="1"/>
    <col min="13046" max="13046" width="4" style="25" customWidth="1"/>
    <col min="13047" max="13047" width="3.42578125" style="25" customWidth="1"/>
    <col min="13048" max="13048" width="3" style="25" customWidth="1"/>
    <col min="13049" max="13282" width="11.42578125" style="25"/>
    <col min="13283" max="13283" width="44.42578125" style="25" customWidth="1"/>
    <col min="13284" max="13284" width="13" style="25" customWidth="1"/>
    <col min="13285" max="13290" width="2" style="25" customWidth="1"/>
    <col min="13291" max="13291" width="2.42578125" style="25" customWidth="1"/>
    <col min="13292" max="13292" width="3" style="25" customWidth="1"/>
    <col min="13293" max="13295" width="2" style="25" customWidth="1"/>
    <col min="13296" max="13296" width="2.85546875" style="25" customWidth="1"/>
    <col min="13297" max="13297" width="3" style="25" customWidth="1"/>
    <col min="13298" max="13298" width="2.7109375" style="25" customWidth="1"/>
    <col min="13299" max="13299" width="2.42578125" style="25" customWidth="1"/>
    <col min="13300" max="13300" width="3.28515625" style="25" customWidth="1"/>
    <col min="13301" max="13301" width="3.5703125" style="25" customWidth="1"/>
    <col min="13302" max="13302" width="4" style="25" customWidth="1"/>
    <col min="13303" max="13303" width="3.42578125" style="25" customWidth="1"/>
    <col min="13304" max="13304" width="3" style="25" customWidth="1"/>
    <col min="13305" max="13538" width="11.42578125" style="25"/>
    <col min="13539" max="13539" width="44.42578125" style="25" customWidth="1"/>
    <col min="13540" max="13540" width="13" style="25" customWidth="1"/>
    <col min="13541" max="13546" width="2" style="25" customWidth="1"/>
    <col min="13547" max="13547" width="2.42578125" style="25" customWidth="1"/>
    <col min="13548" max="13548" width="3" style="25" customWidth="1"/>
    <col min="13549" max="13551" width="2" style="25" customWidth="1"/>
    <col min="13552" max="13552" width="2.85546875" style="25" customWidth="1"/>
    <col min="13553" max="13553" width="3" style="25" customWidth="1"/>
    <col min="13554" max="13554" width="2.7109375" style="25" customWidth="1"/>
    <col min="13555" max="13555" width="2.42578125" style="25" customWidth="1"/>
    <col min="13556" max="13556" width="3.28515625" style="25" customWidth="1"/>
    <col min="13557" max="13557" width="3.5703125" style="25" customWidth="1"/>
    <col min="13558" max="13558" width="4" style="25" customWidth="1"/>
    <col min="13559" max="13559" width="3.42578125" style="25" customWidth="1"/>
    <col min="13560" max="13560" width="3" style="25" customWidth="1"/>
    <col min="13561" max="13794" width="11.42578125" style="25"/>
    <col min="13795" max="13795" width="44.42578125" style="25" customWidth="1"/>
    <col min="13796" max="13796" width="13" style="25" customWidth="1"/>
    <col min="13797" max="13802" width="2" style="25" customWidth="1"/>
    <col min="13803" max="13803" width="2.42578125" style="25" customWidth="1"/>
    <col min="13804" max="13804" width="3" style="25" customWidth="1"/>
    <col min="13805" max="13807" width="2" style="25" customWidth="1"/>
    <col min="13808" max="13808" width="2.85546875" style="25" customWidth="1"/>
    <col min="13809" max="13809" width="3" style="25" customWidth="1"/>
    <col min="13810" max="13810" width="2.7109375" style="25" customWidth="1"/>
    <col min="13811" max="13811" width="2.42578125" style="25" customWidth="1"/>
    <col min="13812" max="13812" width="3.28515625" style="25" customWidth="1"/>
    <col min="13813" max="13813" width="3.5703125" style="25" customWidth="1"/>
    <col min="13814" max="13814" width="4" style="25" customWidth="1"/>
    <col min="13815" max="13815" width="3.42578125" style="25" customWidth="1"/>
    <col min="13816" max="13816" width="3" style="25" customWidth="1"/>
    <col min="13817" max="14050" width="11.42578125" style="25"/>
    <col min="14051" max="14051" width="44.42578125" style="25" customWidth="1"/>
    <col min="14052" max="14052" width="13" style="25" customWidth="1"/>
    <col min="14053" max="14058" width="2" style="25" customWidth="1"/>
    <col min="14059" max="14059" width="2.42578125" style="25" customWidth="1"/>
    <col min="14060" max="14060" width="3" style="25" customWidth="1"/>
    <col min="14061" max="14063" width="2" style="25" customWidth="1"/>
    <col min="14064" max="14064" width="2.85546875" style="25" customWidth="1"/>
    <col min="14065" max="14065" width="3" style="25" customWidth="1"/>
    <col min="14066" max="14066" width="2.7109375" style="25" customWidth="1"/>
    <col min="14067" max="14067" width="2.42578125" style="25" customWidth="1"/>
    <col min="14068" max="14068" width="3.28515625" style="25" customWidth="1"/>
    <col min="14069" max="14069" width="3.5703125" style="25" customWidth="1"/>
    <col min="14070" max="14070" width="4" style="25" customWidth="1"/>
    <col min="14071" max="14071" width="3.42578125" style="25" customWidth="1"/>
    <col min="14072" max="14072" width="3" style="25" customWidth="1"/>
    <col min="14073" max="14306" width="11.42578125" style="25"/>
    <col min="14307" max="14307" width="44.42578125" style="25" customWidth="1"/>
    <col min="14308" max="14308" width="13" style="25" customWidth="1"/>
    <col min="14309" max="14314" width="2" style="25" customWidth="1"/>
    <col min="14315" max="14315" width="2.42578125" style="25" customWidth="1"/>
    <col min="14316" max="14316" width="3" style="25" customWidth="1"/>
    <col min="14317" max="14319" width="2" style="25" customWidth="1"/>
    <col min="14320" max="14320" width="2.85546875" style="25" customWidth="1"/>
    <col min="14321" max="14321" width="3" style="25" customWidth="1"/>
    <col min="14322" max="14322" width="2.7109375" style="25" customWidth="1"/>
    <col min="14323" max="14323" width="2.42578125" style="25" customWidth="1"/>
    <col min="14324" max="14324" width="3.28515625" style="25" customWidth="1"/>
    <col min="14325" max="14325" width="3.5703125" style="25" customWidth="1"/>
    <col min="14326" max="14326" width="4" style="25" customWidth="1"/>
    <col min="14327" max="14327" width="3.42578125" style="25" customWidth="1"/>
    <col min="14328" max="14328" width="3" style="25" customWidth="1"/>
    <col min="14329" max="14562" width="11.42578125" style="25"/>
    <col min="14563" max="14563" width="44.42578125" style="25" customWidth="1"/>
    <col min="14564" max="14564" width="13" style="25" customWidth="1"/>
    <col min="14565" max="14570" width="2" style="25" customWidth="1"/>
    <col min="14571" max="14571" width="2.42578125" style="25" customWidth="1"/>
    <col min="14572" max="14572" width="3" style="25" customWidth="1"/>
    <col min="14573" max="14575" width="2" style="25" customWidth="1"/>
    <col min="14576" max="14576" width="2.85546875" style="25" customWidth="1"/>
    <col min="14577" max="14577" width="3" style="25" customWidth="1"/>
    <col min="14578" max="14578" width="2.7109375" style="25" customWidth="1"/>
    <col min="14579" max="14579" width="2.42578125" style="25" customWidth="1"/>
    <col min="14580" max="14580" width="3.28515625" style="25" customWidth="1"/>
    <col min="14581" max="14581" width="3.5703125" style="25" customWidth="1"/>
    <col min="14582" max="14582" width="4" style="25" customWidth="1"/>
    <col min="14583" max="14583" width="3.42578125" style="25" customWidth="1"/>
    <col min="14584" max="14584" width="3" style="25" customWidth="1"/>
    <col min="14585" max="14818" width="11.42578125" style="25"/>
    <col min="14819" max="14819" width="44.42578125" style="25" customWidth="1"/>
    <col min="14820" max="14820" width="13" style="25" customWidth="1"/>
    <col min="14821" max="14826" width="2" style="25" customWidth="1"/>
    <col min="14827" max="14827" width="2.42578125" style="25" customWidth="1"/>
    <col min="14828" max="14828" width="3" style="25" customWidth="1"/>
    <col min="14829" max="14831" width="2" style="25" customWidth="1"/>
    <col min="14832" max="14832" width="2.85546875" style="25" customWidth="1"/>
    <col min="14833" max="14833" width="3" style="25" customWidth="1"/>
    <col min="14834" max="14834" width="2.7109375" style="25" customWidth="1"/>
    <col min="14835" max="14835" width="2.42578125" style="25" customWidth="1"/>
    <col min="14836" max="14836" width="3.28515625" style="25" customWidth="1"/>
    <col min="14837" max="14837" width="3.5703125" style="25" customWidth="1"/>
    <col min="14838" max="14838" width="4" style="25" customWidth="1"/>
    <col min="14839" max="14839" width="3.42578125" style="25" customWidth="1"/>
    <col min="14840" max="14840" width="3" style="25" customWidth="1"/>
    <col min="14841" max="15074" width="11.42578125" style="25"/>
    <col min="15075" max="15075" width="44.42578125" style="25" customWidth="1"/>
    <col min="15076" max="15076" width="13" style="25" customWidth="1"/>
    <col min="15077" max="15082" width="2" style="25" customWidth="1"/>
    <col min="15083" max="15083" width="2.42578125" style="25" customWidth="1"/>
    <col min="15084" max="15084" width="3" style="25" customWidth="1"/>
    <col min="15085" max="15087" width="2" style="25" customWidth="1"/>
    <col min="15088" max="15088" width="2.85546875" style="25" customWidth="1"/>
    <col min="15089" max="15089" width="3" style="25" customWidth="1"/>
    <col min="15090" max="15090" width="2.7109375" style="25" customWidth="1"/>
    <col min="15091" max="15091" width="2.42578125" style="25" customWidth="1"/>
    <col min="15092" max="15092" width="3.28515625" style="25" customWidth="1"/>
    <col min="15093" max="15093" width="3.5703125" style="25" customWidth="1"/>
    <col min="15094" max="15094" width="4" style="25" customWidth="1"/>
    <col min="15095" max="15095" width="3.42578125" style="25" customWidth="1"/>
    <col min="15096" max="15096" width="3" style="25" customWidth="1"/>
    <col min="15097" max="15330" width="11.42578125" style="25"/>
    <col min="15331" max="15331" width="44.42578125" style="25" customWidth="1"/>
    <col min="15332" max="15332" width="13" style="25" customWidth="1"/>
    <col min="15333" max="15338" width="2" style="25" customWidth="1"/>
    <col min="15339" max="15339" width="2.42578125" style="25" customWidth="1"/>
    <col min="15340" max="15340" width="3" style="25" customWidth="1"/>
    <col min="15341" max="15343" width="2" style="25" customWidth="1"/>
    <col min="15344" max="15344" width="2.85546875" style="25" customWidth="1"/>
    <col min="15345" max="15345" width="3" style="25" customWidth="1"/>
    <col min="15346" max="15346" width="2.7109375" style="25" customWidth="1"/>
    <col min="15347" max="15347" width="2.42578125" style="25" customWidth="1"/>
    <col min="15348" max="15348" width="3.28515625" style="25" customWidth="1"/>
    <col min="15349" max="15349" width="3.5703125" style="25" customWidth="1"/>
    <col min="15350" max="15350" width="4" style="25" customWidth="1"/>
    <col min="15351" max="15351" width="3.42578125" style="25" customWidth="1"/>
    <col min="15352" max="15352" width="3" style="25" customWidth="1"/>
    <col min="15353" max="15586" width="11.42578125" style="25"/>
    <col min="15587" max="15587" width="44.42578125" style="25" customWidth="1"/>
    <col min="15588" max="15588" width="13" style="25" customWidth="1"/>
    <col min="15589" max="15594" width="2" style="25" customWidth="1"/>
    <col min="15595" max="15595" width="2.42578125" style="25" customWidth="1"/>
    <col min="15596" max="15596" width="3" style="25" customWidth="1"/>
    <col min="15597" max="15599" width="2" style="25" customWidth="1"/>
    <col min="15600" max="15600" width="2.85546875" style="25" customWidth="1"/>
    <col min="15601" max="15601" width="3" style="25" customWidth="1"/>
    <col min="15602" max="15602" width="2.7109375" style="25" customWidth="1"/>
    <col min="15603" max="15603" width="2.42578125" style="25" customWidth="1"/>
    <col min="15604" max="15604" width="3.28515625" style="25" customWidth="1"/>
    <col min="15605" max="15605" width="3.5703125" style="25" customWidth="1"/>
    <col min="15606" max="15606" width="4" style="25" customWidth="1"/>
    <col min="15607" max="15607" width="3.42578125" style="25" customWidth="1"/>
    <col min="15608" max="15608" width="3" style="25" customWidth="1"/>
    <col min="15609" max="15842" width="11.42578125" style="25"/>
    <col min="15843" max="15843" width="44.42578125" style="25" customWidth="1"/>
    <col min="15844" max="15844" width="13" style="25" customWidth="1"/>
    <col min="15845" max="15850" width="2" style="25" customWidth="1"/>
    <col min="15851" max="15851" width="2.42578125" style="25" customWidth="1"/>
    <col min="15852" max="15852" width="3" style="25" customWidth="1"/>
    <col min="15853" max="15855" width="2" style="25" customWidth="1"/>
    <col min="15856" max="15856" width="2.85546875" style="25" customWidth="1"/>
    <col min="15857" max="15857" width="3" style="25" customWidth="1"/>
    <col min="15858" max="15858" width="2.7109375" style="25" customWidth="1"/>
    <col min="15859" max="15859" width="2.42578125" style="25" customWidth="1"/>
    <col min="15860" max="15860" width="3.28515625" style="25" customWidth="1"/>
    <col min="15861" max="15861" width="3.5703125" style="25" customWidth="1"/>
    <col min="15862" max="15862" width="4" style="25" customWidth="1"/>
    <col min="15863" max="15863" width="3.42578125" style="25" customWidth="1"/>
    <col min="15864" max="15864" width="3" style="25" customWidth="1"/>
    <col min="15865" max="16098" width="11.42578125" style="25"/>
    <col min="16099" max="16099" width="44.42578125" style="25" customWidth="1"/>
    <col min="16100" max="16100" width="13" style="25" customWidth="1"/>
    <col min="16101" max="16106" width="2" style="25" customWidth="1"/>
    <col min="16107" max="16107" width="2.42578125" style="25" customWidth="1"/>
    <col min="16108" max="16108" width="3" style="25" customWidth="1"/>
    <col min="16109" max="16111" width="2" style="25" customWidth="1"/>
    <col min="16112" max="16112" width="2.85546875" style="25" customWidth="1"/>
    <col min="16113" max="16113" width="3" style="25" customWidth="1"/>
    <col min="16114" max="16114" width="2.7109375" style="25" customWidth="1"/>
    <col min="16115" max="16115" width="2.42578125" style="25" customWidth="1"/>
    <col min="16116" max="16116" width="3.28515625" style="25" customWidth="1"/>
    <col min="16117" max="16117" width="3.5703125" style="25" customWidth="1"/>
    <col min="16118" max="16118" width="4" style="25" customWidth="1"/>
    <col min="16119" max="16119" width="3.42578125" style="25" customWidth="1"/>
    <col min="16120" max="16120" width="3" style="25" customWidth="1"/>
    <col min="16121" max="16384" width="11.42578125" style="25"/>
  </cols>
  <sheetData>
    <row r="1" spans="1:14" x14ac:dyDescent="0.2">
      <c r="A1" s="133" t="s">
        <v>57</v>
      </c>
      <c r="B1" s="25"/>
      <c r="C1" s="25"/>
      <c r="F1" s="143"/>
      <c r="G1" s="143"/>
    </row>
    <row r="2" spans="1:14" x14ac:dyDescent="0.2">
      <c r="A2" s="133" t="s">
        <v>8</v>
      </c>
      <c r="B2" s="25"/>
      <c r="C2" s="25"/>
      <c r="F2" s="143"/>
      <c r="G2" s="143"/>
      <c r="I2" s="108">
        <v>185000000</v>
      </c>
    </row>
    <row r="3" spans="1:14" x14ac:dyDescent="0.2">
      <c r="A3" s="133"/>
      <c r="B3" s="25"/>
      <c r="C3" s="25"/>
      <c r="F3" s="143"/>
      <c r="G3" s="143"/>
      <c r="I3" s="108">
        <f>+I2-I8</f>
        <v>0</v>
      </c>
    </row>
    <row r="4" spans="1:14" x14ac:dyDescent="0.2">
      <c r="A4" s="133" t="s">
        <v>351</v>
      </c>
      <c r="B4" s="25"/>
      <c r="C4" s="25"/>
      <c r="F4" s="143"/>
      <c r="G4" s="143"/>
      <c r="L4" s="441"/>
    </row>
    <row r="5" spans="1:14" x14ac:dyDescent="0.2">
      <c r="A5" s="133"/>
      <c r="B5" s="25"/>
      <c r="C5" s="25"/>
      <c r="F5" s="143"/>
      <c r="G5" s="143"/>
    </row>
    <row r="6" spans="1:14" x14ac:dyDescent="0.2">
      <c r="A6" s="133" t="s">
        <v>9</v>
      </c>
      <c r="B6" s="25"/>
      <c r="C6" s="25"/>
      <c r="F6" s="143"/>
      <c r="G6" s="143"/>
    </row>
    <row r="7" spans="1:14" ht="25.5" x14ac:dyDescent="0.2">
      <c r="A7" s="132"/>
      <c r="B7" s="131" t="s">
        <v>58</v>
      </c>
      <c r="C7" s="131" t="s">
        <v>345</v>
      </c>
      <c r="D7" s="131" t="s">
        <v>59</v>
      </c>
      <c r="E7" s="131" t="s">
        <v>60</v>
      </c>
      <c r="F7" s="131" t="s">
        <v>61</v>
      </c>
      <c r="G7" s="131" t="s">
        <v>234</v>
      </c>
      <c r="H7" s="131" t="s">
        <v>62</v>
      </c>
      <c r="I7" s="130" t="s">
        <v>231</v>
      </c>
      <c r="J7" s="446" t="s">
        <v>364</v>
      </c>
      <c r="K7" s="446" t="s">
        <v>6</v>
      </c>
    </row>
    <row r="8" spans="1:14" x14ac:dyDescent="0.2">
      <c r="A8" s="128"/>
      <c r="B8" s="73" t="s">
        <v>63</v>
      </c>
      <c r="C8" s="73"/>
      <c r="D8" s="129"/>
      <c r="E8" s="129"/>
      <c r="F8" s="73"/>
      <c r="G8" s="73"/>
      <c r="H8" s="129"/>
      <c r="I8" s="128">
        <f>I9+I35</f>
        <v>185000000.00000003</v>
      </c>
      <c r="J8" s="128">
        <f>J9+J35</f>
        <v>49999999.999999985</v>
      </c>
      <c r="K8" s="128">
        <f>K9+K35</f>
        <v>235000000</v>
      </c>
      <c r="L8" s="442"/>
    </row>
    <row r="9" spans="1:14" s="71" customFormat="1" x14ac:dyDescent="0.2">
      <c r="A9" s="124" t="s">
        <v>64</v>
      </c>
      <c r="B9" s="134" t="str">
        <f>+'Cuadro de Costos'!B8</f>
        <v>Componente Unico Obras civiles</v>
      </c>
      <c r="C9" s="134"/>
      <c r="D9" s="135"/>
      <c r="E9" s="135"/>
      <c r="F9" s="136"/>
      <c r="G9" s="136"/>
      <c r="H9" s="137"/>
      <c r="I9" s="127">
        <f>SUM(I10,I18,I28,I30,I33)</f>
        <v>180670212.76595747</v>
      </c>
      <c r="J9" s="127">
        <f>SUM(J10,J18,J28,J30,J33)</f>
        <v>48829787.23404254</v>
      </c>
      <c r="K9" s="127">
        <f>SUM(K10,K18,K28,K30,K33)</f>
        <v>229500000</v>
      </c>
      <c r="L9" s="442"/>
    </row>
    <row r="10" spans="1:14" s="71" customFormat="1" ht="45.75" customHeight="1" x14ac:dyDescent="0.2">
      <c r="A10" s="117">
        <v>1.1000000000000001</v>
      </c>
      <c r="B10" s="82" t="str">
        <f>+'Cuadro de Costos'!B9</f>
        <v>Producto 1: 270,42 Km de carreteras de la red vial de caminos departamentales y nacionales pavimentados y mantenidos por el programa</v>
      </c>
      <c r="C10" s="82"/>
      <c r="D10" s="138" t="s">
        <v>65</v>
      </c>
      <c r="E10" s="138"/>
      <c r="F10" s="126"/>
      <c r="G10" s="138" t="s">
        <v>307</v>
      </c>
      <c r="H10" s="139"/>
      <c r="I10" s="116">
        <f>SUM(I11:I17)</f>
        <v>167154358.50106382</v>
      </c>
      <c r="J10" s="116">
        <f>SUM(J11:J17)</f>
        <v>45176853.648936167</v>
      </c>
      <c r="K10" s="116">
        <f>SUM(K11:K17)</f>
        <v>212331212.15000001</v>
      </c>
      <c r="L10" s="442"/>
    </row>
    <row r="11" spans="1:14" s="122" customFormat="1" ht="59.25" customHeight="1" x14ac:dyDescent="0.2">
      <c r="A11" s="115" t="s">
        <v>66</v>
      </c>
      <c r="B11" s="86" t="s">
        <v>497</v>
      </c>
      <c r="C11" s="402" t="s">
        <v>230</v>
      </c>
      <c r="D11" s="140" t="s">
        <v>67</v>
      </c>
      <c r="E11" s="87" t="s">
        <v>68</v>
      </c>
      <c r="F11" s="87" t="s">
        <v>69</v>
      </c>
      <c r="G11" s="87"/>
      <c r="H11" s="87" t="s">
        <v>413</v>
      </c>
      <c r="I11" s="113">
        <f>'Cuadro de Costos'!C34+'Cuadro de Costos'!C39</f>
        <v>78058951.170212761</v>
      </c>
      <c r="J11" s="113">
        <f>'Cuadro de Costos'!D34+'Cuadro de Costos'!D39</f>
        <v>21097013.829787236</v>
      </c>
      <c r="K11" s="615">
        <f>+I11+J11</f>
        <v>99155965</v>
      </c>
      <c r="L11" s="442" t="s">
        <v>347</v>
      </c>
    </row>
    <row r="12" spans="1:14" s="122" customFormat="1" ht="53.25" customHeight="1" x14ac:dyDescent="0.2">
      <c r="A12" s="115" t="s">
        <v>70</v>
      </c>
      <c r="B12" s="86" t="s">
        <v>494</v>
      </c>
      <c r="C12" s="402" t="s">
        <v>230</v>
      </c>
      <c r="D12" s="140" t="s">
        <v>67</v>
      </c>
      <c r="E12" s="87" t="s">
        <v>68</v>
      </c>
      <c r="F12" s="87" t="s">
        <v>69</v>
      </c>
      <c r="G12" s="87"/>
      <c r="H12" s="87" t="s">
        <v>413</v>
      </c>
      <c r="I12" s="113">
        <f>+'Cuadro de Costos'!C35+'Cuadro de Costos'!C40</f>
        <v>47470212.765957452</v>
      </c>
      <c r="J12" s="113">
        <f>+'Cuadro de Costos'!D35+'Cuadro de Costos'!D40</f>
        <v>12829787.234042553</v>
      </c>
      <c r="K12" s="616">
        <f t="shared" ref="K12:K17" si="0">+I12+J12</f>
        <v>60300000.000000007</v>
      </c>
      <c r="L12" s="442" t="s">
        <v>347</v>
      </c>
    </row>
    <row r="13" spans="1:14" s="122" customFormat="1" ht="71.25" customHeight="1" x14ac:dyDescent="0.2">
      <c r="A13" s="115" t="s">
        <v>71</v>
      </c>
      <c r="B13" s="86" t="s">
        <v>496</v>
      </c>
      <c r="C13" s="402" t="s">
        <v>230</v>
      </c>
      <c r="D13" s="140" t="s">
        <v>67</v>
      </c>
      <c r="E13" s="87" t="s">
        <v>68</v>
      </c>
      <c r="F13" s="87" t="s">
        <v>69</v>
      </c>
      <c r="G13" s="87"/>
      <c r="H13" s="87" t="s">
        <v>414</v>
      </c>
      <c r="I13" s="113">
        <f>+'Cuadro de Costos'!C36+'Cuadro de Costos'!C41</f>
        <v>18920510.5106383</v>
      </c>
      <c r="J13" s="113">
        <f>+'Cuadro de Costos'!D36+'Cuadro de Costos'!D41</f>
        <v>5113651.4893617025</v>
      </c>
      <c r="K13" s="616">
        <f t="shared" si="0"/>
        <v>24034162.000000004</v>
      </c>
      <c r="L13" s="442" t="s">
        <v>347</v>
      </c>
    </row>
    <row r="14" spans="1:14" s="122" customFormat="1" ht="71.25" customHeight="1" x14ac:dyDescent="0.2">
      <c r="A14" s="115" t="s">
        <v>72</v>
      </c>
      <c r="B14" s="86" t="s">
        <v>498</v>
      </c>
      <c r="C14" s="402" t="s">
        <v>230</v>
      </c>
      <c r="D14" s="140" t="s">
        <v>67</v>
      </c>
      <c r="E14" s="87" t="s">
        <v>68</v>
      </c>
      <c r="F14" s="87" t="s">
        <v>69</v>
      </c>
      <c r="G14" s="87"/>
      <c r="H14" s="87" t="s">
        <v>414</v>
      </c>
      <c r="I14" s="113">
        <f>+'Cuadro de Costos'!C37+'Cuadro de Costos'!C42</f>
        <v>11769352.042553192</v>
      </c>
      <c r="J14" s="113">
        <f>+'Cuadro de Costos'!D37+'Cuadro de Costos'!D42</f>
        <v>3180905.9574468085</v>
      </c>
      <c r="K14" s="615">
        <f>+I14+J14</f>
        <v>14950258</v>
      </c>
      <c r="L14" s="442"/>
    </row>
    <row r="15" spans="1:14" s="122" customFormat="1" ht="54" customHeight="1" x14ac:dyDescent="0.2">
      <c r="A15" s="115" t="s">
        <v>343</v>
      </c>
      <c r="B15" s="92" t="s">
        <v>499</v>
      </c>
      <c r="C15" s="402" t="s">
        <v>229</v>
      </c>
      <c r="D15" s="140" t="s">
        <v>67</v>
      </c>
      <c r="E15" s="87" t="s">
        <v>80</v>
      </c>
      <c r="F15" s="87" t="s">
        <v>82</v>
      </c>
      <c r="G15" s="87"/>
      <c r="H15" s="87" t="s">
        <v>413</v>
      </c>
      <c r="I15" s="125">
        <f>'Cuadro de Costos'!C44</f>
        <v>5464126.7393617034</v>
      </c>
      <c r="J15" s="125">
        <f>'Cuadro de Costos'!D44</f>
        <v>1476791.010638298</v>
      </c>
      <c r="K15" s="615">
        <f t="shared" si="0"/>
        <v>6940917.7500000019</v>
      </c>
      <c r="L15" s="457">
        <v>126000</v>
      </c>
    </row>
    <row r="16" spans="1:14" s="122" customFormat="1" ht="57" customHeight="1" x14ac:dyDescent="0.2">
      <c r="A16" s="115" t="s">
        <v>344</v>
      </c>
      <c r="B16" s="92" t="s">
        <v>462</v>
      </c>
      <c r="C16" s="402" t="s">
        <v>229</v>
      </c>
      <c r="D16" s="140" t="s">
        <v>67</v>
      </c>
      <c r="E16" s="87" t="s">
        <v>80</v>
      </c>
      <c r="F16" s="87" t="s">
        <v>82</v>
      </c>
      <c r="G16" s="87"/>
      <c r="H16" s="87" t="s">
        <v>413</v>
      </c>
      <c r="I16" s="125">
        <f>'Cuadro de Costos'!C45</f>
        <v>4647350.6293617031</v>
      </c>
      <c r="J16" s="125">
        <f>'Cuadro de Costos'!D45</f>
        <v>1256040.710638298</v>
      </c>
      <c r="K16" s="615">
        <f t="shared" si="0"/>
        <v>5903391.3400000008</v>
      </c>
      <c r="L16" s="457" t="e">
        <f>+I16+#REF!</f>
        <v>#REF!</v>
      </c>
      <c r="M16" s="457">
        <v>72000</v>
      </c>
      <c r="N16" s="457"/>
    </row>
    <row r="17" spans="1:14" s="122" customFormat="1" ht="64.5" customHeight="1" x14ac:dyDescent="0.2">
      <c r="A17" s="115" t="s">
        <v>495</v>
      </c>
      <c r="B17" s="92" t="s">
        <v>500</v>
      </c>
      <c r="C17" s="402" t="s">
        <v>229</v>
      </c>
      <c r="D17" s="140" t="s">
        <v>67</v>
      </c>
      <c r="E17" s="87" t="s">
        <v>80</v>
      </c>
      <c r="F17" s="87" t="s">
        <v>82</v>
      </c>
      <c r="G17" s="87"/>
      <c r="H17" s="87" t="s">
        <v>414</v>
      </c>
      <c r="I17" s="125">
        <f>'Cuadro de Costos'!C46</f>
        <v>823854.64297872351</v>
      </c>
      <c r="J17" s="125">
        <f>'Cuadro de Costos'!D46</f>
        <v>222663.4170212766</v>
      </c>
      <c r="K17" s="615">
        <f t="shared" si="0"/>
        <v>1046518.06</v>
      </c>
      <c r="L17" s="457"/>
    </row>
    <row r="18" spans="1:14" x14ac:dyDescent="0.2">
      <c r="A18" s="117">
        <v>1.2</v>
      </c>
      <c r="B18" s="82" t="s">
        <v>220</v>
      </c>
      <c r="C18" s="82"/>
      <c r="D18" s="138" t="s">
        <v>65</v>
      </c>
      <c r="E18" s="138"/>
      <c r="F18" s="138"/>
      <c r="G18" s="138" t="s">
        <v>307</v>
      </c>
      <c r="H18" s="138"/>
      <c r="I18" s="116">
        <f>I19+I23</f>
        <v>1102127.6595744682</v>
      </c>
      <c r="J18" s="116">
        <f t="shared" ref="J18:K18" si="1">J19+J23</f>
        <v>297872.3404255319</v>
      </c>
      <c r="K18" s="116">
        <f t="shared" si="1"/>
        <v>1400000</v>
      </c>
      <c r="M18" s="25">
        <v>5000000</v>
      </c>
      <c r="N18" s="25" t="s">
        <v>340</v>
      </c>
    </row>
    <row r="19" spans="1:14" x14ac:dyDescent="0.2">
      <c r="A19" s="477" t="s">
        <v>73</v>
      </c>
      <c r="B19" s="478" t="str">
        <f>'Cuadro de Costos'!B48</f>
        <v>Plan de Gestión Ambiental y Social - Región Occidental</v>
      </c>
      <c r="C19" s="82"/>
      <c r="D19" s="479"/>
      <c r="E19" s="479"/>
      <c r="F19" s="479"/>
      <c r="G19" s="479"/>
      <c r="H19" s="479"/>
      <c r="I19" s="480">
        <f>SUM(I20:I22)</f>
        <v>515638.29787234048</v>
      </c>
      <c r="J19" s="480">
        <f t="shared" ref="J19:K19" si="2">SUM(J20:J22)</f>
        <v>139361.70212765958</v>
      </c>
      <c r="K19" s="480">
        <f t="shared" si="2"/>
        <v>655000</v>
      </c>
    </row>
    <row r="20" spans="1:14" ht="25.5" x14ac:dyDescent="0.2">
      <c r="A20" s="119" t="s">
        <v>420</v>
      </c>
      <c r="B20" s="101" t="str">
        <f>' Cuadro de Costos Detallado'!B20</f>
        <v>PGAS obras del Chaco</v>
      </c>
      <c r="C20" s="402" t="s">
        <v>232</v>
      </c>
      <c r="D20" s="114" t="s">
        <v>67</v>
      </c>
      <c r="E20" s="121" t="s">
        <v>80</v>
      </c>
      <c r="F20" s="114" t="s">
        <v>84</v>
      </c>
      <c r="G20" s="120"/>
      <c r="H20" s="491" t="s">
        <v>74</v>
      </c>
      <c r="I20" s="118">
        <f>+' Cuadro de Costos Detallado'!C21</f>
        <v>332212.76595744683</v>
      </c>
      <c r="J20" s="118">
        <f>+' Cuadro de Costos Detallado'!D21</f>
        <v>89787.234042553187</v>
      </c>
      <c r="K20" s="113">
        <f t="shared" ref="K20:K22" si="3">+I20+J20</f>
        <v>422000</v>
      </c>
      <c r="L20" s="444">
        <f>+I20/$I$18</f>
        <v>0.30142857142857143</v>
      </c>
      <c r="M20" s="25">
        <f>+$M$18*L20</f>
        <v>1507142.8571428573</v>
      </c>
      <c r="N20" s="445">
        <v>1000000</v>
      </c>
    </row>
    <row r="21" spans="1:14" ht="25.5" x14ac:dyDescent="0.2">
      <c r="A21" s="119" t="s">
        <v>421</v>
      </c>
      <c r="B21" s="101" t="str">
        <f>' Cuadro de Costos Detallado'!B21</f>
        <v>Reposición Forestal</v>
      </c>
      <c r="C21" s="402" t="s">
        <v>232</v>
      </c>
      <c r="D21" s="114" t="s">
        <v>67</v>
      </c>
      <c r="E21" s="121" t="s">
        <v>80</v>
      </c>
      <c r="F21" s="114" t="s">
        <v>84</v>
      </c>
      <c r="G21" s="120"/>
      <c r="H21" s="491" t="s">
        <v>74</v>
      </c>
      <c r="I21" s="118">
        <f>+' Cuadro de Costos Detallado'!C22</f>
        <v>73212.765957446813</v>
      </c>
      <c r="J21" s="118">
        <f>+' Cuadro de Costos Detallado'!D22</f>
        <v>19787.234042553191</v>
      </c>
      <c r="K21" s="113">
        <f t="shared" si="3"/>
        <v>93000</v>
      </c>
      <c r="L21" s="444">
        <f>+I21/$I$18</f>
        <v>6.6428571428571434E-2</v>
      </c>
      <c r="M21" s="25">
        <f>+$M$18*L21</f>
        <v>332142.85714285716</v>
      </c>
      <c r="N21" s="445">
        <v>1600000</v>
      </c>
    </row>
    <row r="22" spans="1:14" ht="25.5" x14ac:dyDescent="0.2">
      <c r="A22" s="119" t="s">
        <v>422</v>
      </c>
      <c r="B22" s="101" t="str">
        <f>' Cuadro de Costos Detallado'!B22</f>
        <v>Monitoreo de Fauna</v>
      </c>
      <c r="C22" s="402" t="s">
        <v>232</v>
      </c>
      <c r="D22" s="114" t="s">
        <v>67</v>
      </c>
      <c r="E22" s="121" t="s">
        <v>80</v>
      </c>
      <c r="F22" s="114" t="s">
        <v>84</v>
      </c>
      <c r="G22" s="120"/>
      <c r="H22" s="491" t="s">
        <v>74</v>
      </c>
      <c r="I22" s="118">
        <f>+' Cuadro de Costos Detallado'!C23</f>
        <v>110212.76595744681</v>
      </c>
      <c r="J22" s="118">
        <f>+' Cuadro de Costos Detallado'!D23</f>
        <v>29787.234042553191</v>
      </c>
      <c r="K22" s="113">
        <f t="shared" si="3"/>
        <v>140000</v>
      </c>
      <c r="L22" s="444">
        <f>+I22/$I$18</f>
        <v>9.9999999999999992E-2</v>
      </c>
      <c r="M22" s="25">
        <f>+$M$18*L22</f>
        <v>499999.99999999994</v>
      </c>
      <c r="N22" s="445">
        <v>2400000</v>
      </c>
    </row>
    <row r="23" spans="1:14" x14ac:dyDescent="0.2">
      <c r="A23" s="477" t="s">
        <v>75</v>
      </c>
      <c r="B23" s="478" t="str">
        <f>'Cuadro de Costos'!B49</f>
        <v>Plan de Gestión Ambiental y Social - Región Oriental</v>
      </c>
      <c r="C23" s="82"/>
      <c r="D23" s="479"/>
      <c r="E23" s="479"/>
      <c r="F23" s="479"/>
      <c r="G23" s="479"/>
      <c r="H23" s="595"/>
      <c r="I23" s="480">
        <f>SUM(I24:I27)</f>
        <v>586489.36170212761</v>
      </c>
      <c r="J23" s="480">
        <f t="shared" ref="J23:K23" si="4">SUM(J24:J27)</f>
        <v>158510.63829787233</v>
      </c>
      <c r="K23" s="480">
        <f t="shared" si="4"/>
        <v>745000</v>
      </c>
      <c r="L23" s="444"/>
      <c r="N23" s="445"/>
    </row>
    <row r="24" spans="1:14" ht="25.5" x14ac:dyDescent="0.2">
      <c r="A24" s="119" t="s">
        <v>423</v>
      </c>
      <c r="B24" s="101" t="str">
        <f>' Cuadro de Costos Detallado'!B24</f>
        <v>PGAS otras obras de pavimentación y mantenimiento</v>
      </c>
      <c r="C24" s="402" t="s">
        <v>232</v>
      </c>
      <c r="D24" s="114" t="s">
        <v>67</v>
      </c>
      <c r="E24" s="121" t="s">
        <v>80</v>
      </c>
      <c r="F24" s="114" t="s">
        <v>84</v>
      </c>
      <c r="G24" s="120"/>
      <c r="H24" s="491" t="s">
        <v>74</v>
      </c>
      <c r="I24" s="118">
        <f>+' Cuadro de Costos Detallado'!C25</f>
        <v>157446.80851063831</v>
      </c>
      <c r="J24" s="118">
        <f>+' Cuadro de Costos Detallado'!D25</f>
        <v>42553.191489361699</v>
      </c>
      <c r="K24" s="113">
        <f t="shared" ref="K24:K27" si="5">+I24+J24</f>
        <v>200000</v>
      </c>
      <c r="L24" s="444"/>
      <c r="N24" s="445"/>
    </row>
    <row r="25" spans="1:14" ht="25.5" x14ac:dyDescent="0.2">
      <c r="A25" s="119" t="s">
        <v>424</v>
      </c>
      <c r="B25" s="101" t="str">
        <f>' Cuadro de Costos Detallado'!B25</f>
        <v>Plan de reposición forestal</v>
      </c>
      <c r="C25" s="402" t="s">
        <v>232</v>
      </c>
      <c r="D25" s="114" t="s">
        <v>67</v>
      </c>
      <c r="E25" s="121" t="s">
        <v>80</v>
      </c>
      <c r="F25" s="114" t="s">
        <v>84</v>
      </c>
      <c r="G25" s="120"/>
      <c r="H25" s="491" t="s">
        <v>74</v>
      </c>
      <c r="I25" s="118">
        <f>+' Cuadro de Costos Detallado'!C26</f>
        <v>70851.063829787236</v>
      </c>
      <c r="J25" s="118">
        <f>+' Cuadro de Costos Detallado'!D26</f>
        <v>19148.936170212764</v>
      </c>
      <c r="K25" s="113">
        <f t="shared" si="5"/>
        <v>90000</v>
      </c>
      <c r="L25" s="444"/>
      <c r="N25" s="445"/>
    </row>
    <row r="26" spans="1:14" ht="25.5" x14ac:dyDescent="0.2">
      <c r="A26" s="119" t="s">
        <v>425</v>
      </c>
      <c r="B26" s="101" t="str">
        <f>' Cuadro de Costos Detallado'!B26</f>
        <v>Caracterización y monitoreo de fauna</v>
      </c>
      <c r="C26" s="402" t="s">
        <v>232</v>
      </c>
      <c r="D26" s="114" t="s">
        <v>67</v>
      </c>
      <c r="E26" s="121" t="s">
        <v>80</v>
      </c>
      <c r="F26" s="114" t="s">
        <v>84</v>
      </c>
      <c r="G26" s="120"/>
      <c r="H26" s="491" t="s">
        <v>74</v>
      </c>
      <c r="I26" s="118">
        <f>+' Cuadro de Costos Detallado'!C27</f>
        <v>55106.382978723406</v>
      </c>
      <c r="J26" s="118">
        <f>+' Cuadro de Costos Detallado'!D27</f>
        <v>14893.617021276596</v>
      </c>
      <c r="K26" s="113">
        <f t="shared" si="5"/>
        <v>70000</v>
      </c>
      <c r="L26" s="444"/>
      <c r="N26" s="445"/>
    </row>
    <row r="27" spans="1:14" ht="25.5" x14ac:dyDescent="0.2">
      <c r="A27" s="119" t="s">
        <v>426</v>
      </c>
      <c r="B27" s="101" t="str">
        <f>' Cuadro de Costos Detallado'!B27</f>
        <v>Monitoreo de Recursos Hídricos</v>
      </c>
      <c r="C27" s="402" t="s">
        <v>232</v>
      </c>
      <c r="D27" s="114" t="s">
        <v>67</v>
      </c>
      <c r="E27" s="121" t="s">
        <v>80</v>
      </c>
      <c r="F27" s="114" t="s">
        <v>84</v>
      </c>
      <c r="G27" s="120"/>
      <c r="H27" s="491" t="s">
        <v>74</v>
      </c>
      <c r="I27" s="118">
        <f>+' Cuadro de Costos Detallado'!C28</f>
        <v>303085.10638297873</v>
      </c>
      <c r="J27" s="118">
        <f>+' Cuadro de Costos Detallado'!D28</f>
        <v>81914.893617021284</v>
      </c>
      <c r="K27" s="113">
        <f t="shared" si="5"/>
        <v>385000</v>
      </c>
      <c r="L27" s="444"/>
      <c r="N27" s="445"/>
    </row>
    <row r="28" spans="1:14" x14ac:dyDescent="0.2">
      <c r="A28" s="117">
        <v>1.3</v>
      </c>
      <c r="B28" s="82" t="str">
        <f>'Cuadro de Costos'!B50</f>
        <v>Pago por Servicios Ambientales</v>
      </c>
      <c r="C28" s="82"/>
      <c r="D28" s="138" t="s">
        <v>65</v>
      </c>
      <c r="E28" s="138"/>
      <c r="F28" s="138"/>
      <c r="G28" s="138" t="s">
        <v>307</v>
      </c>
      <c r="H28" s="138"/>
      <c r="I28" s="116">
        <f>I29</f>
        <v>1562190.2648936172</v>
      </c>
      <c r="J28" s="116">
        <f t="shared" ref="J28:K28" si="6">J29</f>
        <v>422213.58510638302</v>
      </c>
      <c r="K28" s="116">
        <f t="shared" si="6"/>
        <v>1984403.8500000003</v>
      </c>
      <c r="L28" s="444"/>
      <c r="N28" s="445"/>
    </row>
    <row r="29" spans="1:14" ht="25.5" x14ac:dyDescent="0.2">
      <c r="A29" s="119" t="s">
        <v>226</v>
      </c>
      <c r="B29" s="101" t="s">
        <v>406</v>
      </c>
      <c r="C29" s="402" t="s">
        <v>232</v>
      </c>
      <c r="D29" s="114" t="s">
        <v>67</v>
      </c>
      <c r="E29" s="596" t="s">
        <v>415</v>
      </c>
      <c r="F29" s="596" t="s">
        <v>415</v>
      </c>
      <c r="G29" s="597"/>
      <c r="H29" s="491" t="s">
        <v>233</v>
      </c>
      <c r="I29" s="118">
        <f>'Cuadro de Costos'!C50</f>
        <v>1562190.2648936172</v>
      </c>
      <c r="J29" s="118">
        <f>'Cuadro de Costos'!D50</f>
        <v>422213.58510638302</v>
      </c>
      <c r="K29" s="113">
        <f t="shared" ref="K29" si="7">+I29+J29</f>
        <v>1984403.8500000003</v>
      </c>
      <c r="L29" s="444"/>
      <c r="N29" s="445"/>
    </row>
    <row r="30" spans="1:14" x14ac:dyDescent="0.2">
      <c r="A30" s="117">
        <v>1.4</v>
      </c>
      <c r="B30" s="82" t="str">
        <f>+'Cuadro de Costos'!B51</f>
        <v>Expropiaciones</v>
      </c>
      <c r="C30" s="82"/>
      <c r="D30" s="138" t="s">
        <v>65</v>
      </c>
      <c r="E30" s="138"/>
      <c r="F30" s="138"/>
      <c r="G30" s="138" t="s">
        <v>307</v>
      </c>
      <c r="H30" s="138"/>
      <c r="I30" s="116">
        <f>I31+I32</f>
        <v>842340.42553191492</v>
      </c>
      <c r="J30" s="116">
        <f t="shared" ref="J30:K30" si="8">J31+J32</f>
        <v>227659.57446808511</v>
      </c>
      <c r="K30" s="116">
        <f t="shared" si="8"/>
        <v>1070000</v>
      </c>
      <c r="L30" s="444"/>
      <c r="N30" s="445"/>
    </row>
    <row r="31" spans="1:14" ht="25.5" x14ac:dyDescent="0.2">
      <c r="A31" s="119" t="s">
        <v>396</v>
      </c>
      <c r="B31" s="101" t="str">
        <f>'Cuadro de Costos'!B52</f>
        <v>Expropiaciones Región Occidental</v>
      </c>
      <c r="C31" s="402" t="s">
        <v>232</v>
      </c>
      <c r="D31" s="114" t="s">
        <v>67</v>
      </c>
      <c r="E31" s="596" t="s">
        <v>233</v>
      </c>
      <c r="F31" s="598" t="s">
        <v>407</v>
      </c>
      <c r="G31" s="597"/>
      <c r="H31" s="491" t="s">
        <v>346</v>
      </c>
      <c r="I31" s="118">
        <f>'Cuadro de Costos'!C52</f>
        <v>448723.40425531915</v>
      </c>
      <c r="J31" s="118">
        <f>'Cuadro de Costos'!D52</f>
        <v>121276.59574468085</v>
      </c>
      <c r="K31" s="113">
        <f t="shared" ref="K31:K32" si="9">+I31+J31</f>
        <v>570000</v>
      </c>
      <c r="L31" s="444"/>
      <c r="N31" s="445"/>
    </row>
    <row r="32" spans="1:14" ht="25.5" x14ac:dyDescent="0.2">
      <c r="A32" s="119" t="s">
        <v>398</v>
      </c>
      <c r="B32" s="101" t="str">
        <f>'Cuadro de Costos'!B53</f>
        <v>Expropiaciones Región Oriental</v>
      </c>
      <c r="C32" s="402" t="s">
        <v>232</v>
      </c>
      <c r="D32" s="114" t="s">
        <v>67</v>
      </c>
      <c r="E32" s="596" t="s">
        <v>233</v>
      </c>
      <c r="F32" s="598" t="s">
        <v>407</v>
      </c>
      <c r="G32" s="597"/>
      <c r="H32" s="491" t="s">
        <v>346</v>
      </c>
      <c r="I32" s="118">
        <f>'Cuadro de Costos'!C53</f>
        <v>393617.02127659577</v>
      </c>
      <c r="J32" s="118">
        <f>'Cuadro de Costos'!D53</f>
        <v>106382.97872340426</v>
      </c>
      <c r="K32" s="113">
        <f t="shared" si="9"/>
        <v>500000</v>
      </c>
      <c r="L32" s="444"/>
      <c r="N32" s="445"/>
    </row>
    <row r="33" spans="1:16" x14ac:dyDescent="0.2">
      <c r="A33" s="117">
        <v>1.5</v>
      </c>
      <c r="B33" s="82" t="str">
        <f>'Cuadro de Costos'!B54</f>
        <v>Contingencias y Escalamientos</v>
      </c>
      <c r="C33" s="82"/>
      <c r="D33" s="138" t="s">
        <v>65</v>
      </c>
      <c r="E33" s="138"/>
      <c r="F33" s="138"/>
      <c r="G33" s="138" t="s">
        <v>307</v>
      </c>
      <c r="H33" s="138"/>
      <c r="I33" s="116">
        <f>I34</f>
        <v>10009195.914893618</v>
      </c>
      <c r="J33" s="116">
        <f t="shared" ref="J33" si="10">J34</f>
        <v>2705188.0851063831</v>
      </c>
      <c r="K33" s="116">
        <f>K34</f>
        <v>12714384</v>
      </c>
      <c r="L33" s="444"/>
      <c r="N33" s="445"/>
    </row>
    <row r="34" spans="1:16" x14ac:dyDescent="0.2">
      <c r="A34" s="119" t="s">
        <v>408</v>
      </c>
      <c r="B34" s="101" t="str">
        <f>'Cuadro de Costos'!B54</f>
        <v>Contingencias y Escalamientos</v>
      </c>
      <c r="C34" s="402" t="s">
        <v>409</v>
      </c>
      <c r="D34" s="114" t="s">
        <v>67</v>
      </c>
      <c r="E34" s="596" t="s">
        <v>233</v>
      </c>
      <c r="F34" s="598" t="s">
        <v>407</v>
      </c>
      <c r="G34" s="597"/>
      <c r="H34" s="491"/>
      <c r="I34" s="118">
        <f>+'Cuadro de Costos'!C54</f>
        <v>10009195.914893618</v>
      </c>
      <c r="J34" s="118">
        <f>+'Cuadro de Costos'!D54</f>
        <v>2705188.0851063831</v>
      </c>
      <c r="K34" s="113">
        <f t="shared" ref="K34" si="11">+I34+J34</f>
        <v>12714384</v>
      </c>
      <c r="L34" s="444"/>
      <c r="N34" s="445"/>
    </row>
    <row r="35" spans="1:16" s="122" customFormat="1" x14ac:dyDescent="0.2">
      <c r="A35" s="124">
        <v>2</v>
      </c>
      <c r="B35" s="134" t="s">
        <v>4</v>
      </c>
      <c r="C35" s="135"/>
      <c r="D35" s="135"/>
      <c r="E35" s="135"/>
      <c r="F35" s="136"/>
      <c r="G35" s="136"/>
      <c r="H35" s="137"/>
      <c r="I35" s="124">
        <f>+I36+I38</f>
        <v>4329787.2340425532</v>
      </c>
      <c r="J35" s="124">
        <f t="shared" ref="J35" si="12">+J36+J38</f>
        <v>1170212.7659574468</v>
      </c>
      <c r="K35" s="124">
        <f>+K36+K38</f>
        <v>5500000</v>
      </c>
      <c r="L35" s="443"/>
      <c r="P35" s="123"/>
    </row>
    <row r="36" spans="1:16" x14ac:dyDescent="0.2">
      <c r="A36" s="117">
        <v>2.1</v>
      </c>
      <c r="B36" s="82" t="s">
        <v>77</v>
      </c>
      <c r="C36" s="82"/>
      <c r="D36" s="138" t="s">
        <v>65</v>
      </c>
      <c r="E36" s="138"/>
      <c r="F36" s="141"/>
      <c r="G36" s="138" t="s">
        <v>307</v>
      </c>
      <c r="H36" s="138"/>
      <c r="I36" s="116">
        <f>I37</f>
        <v>3542553.1914893617</v>
      </c>
      <c r="J36" s="116">
        <f t="shared" ref="J36:K36" si="13">J37</f>
        <v>957446.80851063831</v>
      </c>
      <c r="K36" s="116">
        <f t="shared" si="13"/>
        <v>4500000</v>
      </c>
    </row>
    <row r="37" spans="1:16" ht="38.25" x14ac:dyDescent="0.2">
      <c r="A37" s="119" t="s">
        <v>78</v>
      </c>
      <c r="B37" s="101" t="s">
        <v>308</v>
      </c>
      <c r="C37" s="402" t="s">
        <v>79</v>
      </c>
      <c r="D37" s="114" t="s">
        <v>67</v>
      </c>
      <c r="E37" s="87" t="s">
        <v>80</v>
      </c>
      <c r="F37" s="87" t="s">
        <v>82</v>
      </c>
      <c r="G37" s="114" t="s">
        <v>349</v>
      </c>
      <c r="H37" s="491" t="s">
        <v>346</v>
      </c>
      <c r="I37" s="118">
        <f>+'Cuadro de Costos'!C56</f>
        <v>3542553.1914893617</v>
      </c>
      <c r="J37" s="118">
        <f>+'Cuadro de Costos'!D56</f>
        <v>957446.80851063831</v>
      </c>
      <c r="K37" s="113">
        <f t="shared" ref="K37" si="14">+I37+J37</f>
        <v>4500000</v>
      </c>
    </row>
    <row r="38" spans="1:16" x14ac:dyDescent="0.2">
      <c r="A38" s="117">
        <v>2.2000000000000002</v>
      </c>
      <c r="B38" s="82" t="s">
        <v>341</v>
      </c>
      <c r="C38" s="82"/>
      <c r="D38" s="138" t="s">
        <v>65</v>
      </c>
      <c r="E38" s="138"/>
      <c r="F38" s="138"/>
      <c r="G38" s="138" t="s">
        <v>307</v>
      </c>
      <c r="H38" s="138"/>
      <c r="I38" s="116">
        <f>SUM(I39:I43)</f>
        <v>787234.04255319154</v>
      </c>
      <c r="J38" s="116">
        <f t="shared" ref="J38" si="15">SUM(J39:J43)</f>
        <v>212765.95744680849</v>
      </c>
      <c r="K38" s="116">
        <f>SUM(K39:K43)</f>
        <v>1000000</v>
      </c>
    </row>
    <row r="39" spans="1:16" ht="25.5" x14ac:dyDescent="0.2">
      <c r="A39" s="119" t="s">
        <v>81</v>
      </c>
      <c r="B39" s="101" t="str">
        <f>+'Cuadro de Costos'!B58</f>
        <v>Auditoría financiera</v>
      </c>
      <c r="C39" s="402" t="s">
        <v>348</v>
      </c>
      <c r="D39" s="114" t="s">
        <v>67</v>
      </c>
      <c r="E39" s="121" t="s">
        <v>80</v>
      </c>
      <c r="F39" s="114" t="s">
        <v>82</v>
      </c>
      <c r="G39" s="120"/>
      <c r="H39" s="491" t="s">
        <v>90</v>
      </c>
      <c r="I39" s="118">
        <f>+'Cuadro de Costos'!C58</f>
        <v>275531.91489361704</v>
      </c>
      <c r="J39" s="118">
        <f>+'Cuadro de Costos'!D58</f>
        <v>74468.085106382976</v>
      </c>
      <c r="K39" s="113">
        <f t="shared" ref="K39:K43" si="16">+I39+J39</f>
        <v>350000</v>
      </c>
    </row>
    <row r="40" spans="1:16" ht="25.5" x14ac:dyDescent="0.2">
      <c r="A40" s="119" t="s">
        <v>83</v>
      </c>
      <c r="B40" s="101" t="str">
        <f>+'Cuadro de Costos'!B59</f>
        <v xml:space="preserve">Estudios de pre inversión y diseños de ingeniería </v>
      </c>
      <c r="C40" s="402" t="s">
        <v>348</v>
      </c>
      <c r="D40" s="114" t="s">
        <v>67</v>
      </c>
      <c r="E40" s="87" t="s">
        <v>80</v>
      </c>
      <c r="F40" s="87" t="s">
        <v>84</v>
      </c>
      <c r="G40" s="87"/>
      <c r="H40" s="491" t="s">
        <v>85</v>
      </c>
      <c r="I40" s="118">
        <f>+'Cuadro de Costos'!C59</f>
        <v>236170.21276595746</v>
      </c>
      <c r="J40" s="118">
        <f>+'Cuadro de Costos'!D59</f>
        <v>63829.787234042553</v>
      </c>
      <c r="K40" s="113">
        <f t="shared" si="16"/>
        <v>300000</v>
      </c>
    </row>
    <row r="41" spans="1:16" ht="25.5" x14ac:dyDescent="0.2">
      <c r="A41" s="119" t="s">
        <v>86</v>
      </c>
      <c r="B41" s="101" t="str">
        <f>+'Cuadro de Costos'!B60</f>
        <v>Fortalecimiento de departamentos de conservación vial y gobiernos locales para implementación del plan de mantenimiento</v>
      </c>
      <c r="C41" s="402" t="s">
        <v>348</v>
      </c>
      <c r="D41" s="114" t="s">
        <v>67</v>
      </c>
      <c r="E41" s="87" t="s">
        <v>80</v>
      </c>
      <c r="F41" s="87" t="s">
        <v>84</v>
      </c>
      <c r="G41" s="87"/>
      <c r="H41" s="491" t="s">
        <v>85</v>
      </c>
      <c r="I41" s="118">
        <f>+'Cuadro de Costos'!C60</f>
        <v>118085.10638297873</v>
      </c>
      <c r="J41" s="118">
        <f>+'Cuadro de Costos'!D60</f>
        <v>31914.893617021276</v>
      </c>
      <c r="K41" s="113">
        <f t="shared" si="16"/>
        <v>150000</v>
      </c>
    </row>
    <row r="42" spans="1:16" ht="53.25" customHeight="1" x14ac:dyDescent="0.2">
      <c r="A42" s="119" t="s">
        <v>404</v>
      </c>
      <c r="B42" s="101" t="str">
        <f>+'Cuadro de Costos'!B61</f>
        <v>Evaluación final del programa, incluyendo evaluación de impacto</v>
      </c>
      <c r="C42" s="402" t="s">
        <v>348</v>
      </c>
      <c r="D42" s="114" t="s">
        <v>67</v>
      </c>
      <c r="E42" s="492" t="s">
        <v>80</v>
      </c>
      <c r="F42" s="492" t="s">
        <v>84</v>
      </c>
      <c r="G42" s="87"/>
      <c r="H42" s="491" t="s">
        <v>85</v>
      </c>
      <c r="I42" s="118">
        <f>+'Cuadro de Costos'!C61</f>
        <v>118085.10638297873</v>
      </c>
      <c r="J42" s="118">
        <f>+'Cuadro de Costos'!D61</f>
        <v>31914.893617021276</v>
      </c>
      <c r="K42" s="113">
        <f t="shared" si="16"/>
        <v>150000</v>
      </c>
    </row>
    <row r="43" spans="1:16" ht="25.5" x14ac:dyDescent="0.2">
      <c r="A43" s="119" t="s">
        <v>468</v>
      </c>
      <c r="B43" s="101" t="str">
        <f>+'Cuadro de Costos'!B62</f>
        <v>Levantamiento de Línea de Base</v>
      </c>
      <c r="C43" s="402" t="s">
        <v>348</v>
      </c>
      <c r="D43" s="114" t="s">
        <v>67</v>
      </c>
      <c r="E43" s="492" t="s">
        <v>80</v>
      </c>
      <c r="F43" s="492" t="s">
        <v>84</v>
      </c>
      <c r="G43" s="87"/>
      <c r="H43" s="491" t="s">
        <v>489</v>
      </c>
      <c r="I43" s="118">
        <f>+'Cuadro de Costos'!C62</f>
        <v>39361.702127659577</v>
      </c>
      <c r="J43" s="118">
        <f>+'Cuadro de Costos'!D62</f>
        <v>10638.297872340425</v>
      </c>
      <c r="K43" s="113">
        <f t="shared" si="16"/>
        <v>50000</v>
      </c>
    </row>
  </sheetData>
  <autoFilter ref="A7:I40" xr:uid="{00000000-0009-0000-0000-000004000000}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1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46"/>
  <sheetViews>
    <sheetView showGridLines="0" topLeftCell="A19" zoomScale="80" zoomScaleNormal="80" zoomScaleSheetLayoutView="80" workbookViewId="0">
      <selection activeCell="B12" sqref="B12"/>
    </sheetView>
  </sheetViews>
  <sheetFormatPr defaultColWidth="9.140625" defaultRowHeight="12.75" x14ac:dyDescent="0.2"/>
  <cols>
    <col min="1" max="1" width="8.85546875" style="163" customWidth="1"/>
    <col min="2" max="2" width="49.85546875" style="148" customWidth="1"/>
    <col min="3" max="4" width="19.5703125" style="252" customWidth="1"/>
    <col min="5" max="5" width="18.7109375" style="252" bestFit="1" customWidth="1"/>
    <col min="6" max="10" width="15.42578125" style="252" customWidth="1"/>
    <col min="11" max="11" width="18" style="252" bestFit="1" customWidth="1"/>
    <col min="12" max="12" width="15" style="148" bestFit="1" customWidth="1"/>
    <col min="13" max="13" width="18.7109375" style="148" hidden="1" customWidth="1"/>
    <col min="14" max="14" width="18.7109375" style="148" bestFit="1" customWidth="1"/>
    <col min="15" max="15" width="9.140625" style="148"/>
    <col min="16" max="16" width="17.42578125" style="148" customWidth="1"/>
    <col min="17" max="18" width="17.42578125" style="148" bestFit="1" customWidth="1"/>
    <col min="19" max="20" width="16.42578125" style="148" bestFit="1" customWidth="1"/>
    <col min="21" max="22" width="14.85546875" style="148" bestFit="1" customWidth="1"/>
    <col min="23" max="23" width="18.7109375" style="148" bestFit="1" customWidth="1"/>
    <col min="24" max="25" width="8.7109375" style="148" bestFit="1" customWidth="1"/>
    <col min="26" max="16384" width="9.140625" style="148"/>
  </cols>
  <sheetData>
    <row r="1" spans="1:13" ht="15" x14ac:dyDescent="0.25">
      <c r="A1" s="249" t="s">
        <v>216</v>
      </c>
      <c r="B1" s="250"/>
      <c r="C1" s="251"/>
      <c r="D1" s="251"/>
      <c r="E1" s="251"/>
      <c r="F1" s="251"/>
    </row>
    <row r="2" spans="1:13" ht="15" x14ac:dyDescent="0.25">
      <c r="A2" s="249" t="s">
        <v>8</v>
      </c>
      <c r="B2" s="250"/>
      <c r="C2" s="251"/>
      <c r="D2" s="251"/>
      <c r="E2" s="251"/>
      <c r="F2" s="251"/>
    </row>
    <row r="3" spans="1:13" ht="15" x14ac:dyDescent="0.25">
      <c r="A3" s="249"/>
      <c r="B3" s="253"/>
      <c r="C3" s="254"/>
      <c r="D3" s="254"/>
      <c r="E3" s="254"/>
      <c r="F3" s="254"/>
    </row>
    <row r="4" spans="1:13" ht="15" x14ac:dyDescent="0.25">
      <c r="A4" s="249" t="str">
        <f>+'6. PEP Mensual'!A4:B4</f>
        <v>Operación: Programa de Mejoramiento y conservación de corredores agroindustriales</v>
      </c>
      <c r="B4" s="250"/>
      <c r="C4" s="251"/>
      <c r="D4" s="251"/>
      <c r="E4" s="251"/>
      <c r="F4" s="251"/>
    </row>
    <row r="5" spans="1:13" ht="15" x14ac:dyDescent="0.25">
      <c r="A5" s="249"/>
      <c r="B5" s="253"/>
      <c r="C5" s="254"/>
      <c r="D5" s="254"/>
      <c r="E5" s="254"/>
      <c r="F5" s="254"/>
    </row>
    <row r="6" spans="1:13" ht="15" x14ac:dyDescent="0.25">
      <c r="A6" s="249" t="s">
        <v>9</v>
      </c>
      <c r="B6" s="250"/>
      <c r="C6" s="251"/>
      <c r="D6" s="251"/>
      <c r="E6" s="251"/>
      <c r="F6" s="251"/>
    </row>
    <row r="7" spans="1:13" ht="13.5" thickBot="1" x14ac:dyDescent="0.25"/>
    <row r="8" spans="1:13" s="158" customFormat="1" x14ac:dyDescent="0.2">
      <c r="A8" s="647" t="s">
        <v>333</v>
      </c>
      <c r="B8" s="648"/>
      <c r="C8" s="255" t="s">
        <v>22</v>
      </c>
      <c r="D8" s="255" t="s">
        <v>360</v>
      </c>
      <c r="E8" s="255" t="s">
        <v>6</v>
      </c>
      <c r="F8" s="255" t="s">
        <v>12</v>
      </c>
      <c r="G8" s="255" t="s">
        <v>13</v>
      </c>
      <c r="H8" s="255" t="s">
        <v>14</v>
      </c>
      <c r="I8" s="255" t="s">
        <v>15</v>
      </c>
      <c r="J8" s="255" t="s">
        <v>16</v>
      </c>
      <c r="K8" s="255" t="s">
        <v>88</v>
      </c>
      <c r="L8" s="255" t="s">
        <v>89</v>
      </c>
    </row>
    <row r="9" spans="1:13" x14ac:dyDescent="0.2">
      <c r="A9" s="256" t="str">
        <f>+'6. PEP Mensual'!A12</f>
        <v>1.</v>
      </c>
      <c r="B9" s="257" t="str">
        <f>+'6. PEP Mensual'!B12</f>
        <v>Componente Unico Obras civiles</v>
      </c>
      <c r="C9" s="257">
        <f>+'6. PEP Mensual'!C12</f>
        <v>180670212.76595747</v>
      </c>
      <c r="D9" s="257">
        <f>+'6. PEP Mensual'!D12</f>
        <v>48829787.23404254</v>
      </c>
      <c r="E9" s="257">
        <f>+'6. PEP Mensual'!E12</f>
        <v>229500000</v>
      </c>
      <c r="F9" s="258">
        <f>+F10+F18+F28+F30+F33</f>
        <v>54740012.102786668</v>
      </c>
      <c r="G9" s="258">
        <f>+G10+G18+G28+G30+G33</f>
        <v>93318583.17640917</v>
      </c>
      <c r="H9" s="258">
        <f t="shared" ref="H9:L9" si="0">+H10+H18+H28+H30+H33</f>
        <v>43770608.30977226</v>
      </c>
      <c r="I9" s="258">
        <f t="shared" si="0"/>
        <v>20713388.820723403</v>
      </c>
      <c r="J9" s="258">
        <f t="shared" si="0"/>
        <v>6158613.6336519755</v>
      </c>
      <c r="K9" s="258">
        <f t="shared" si="0"/>
        <v>5849942.6930091176</v>
      </c>
      <c r="L9" s="258">
        <f t="shared" si="0"/>
        <v>4948851.2036474161</v>
      </c>
    </row>
    <row r="10" spans="1:13" ht="38.25" x14ac:dyDescent="0.2">
      <c r="A10" s="94">
        <f>+'6. PEP Mensual'!A13</f>
        <v>1.1000000000000001</v>
      </c>
      <c r="B10" s="82" t="str">
        <f>+'6. PEP Mensual'!B13</f>
        <v>Producto 1: 270,42 Km de carreteras de la red vial de caminos departamentales y nacionales pavimentados y mantenidos por el programa</v>
      </c>
      <c r="C10" s="259">
        <f>+'6. PEP Mensual'!C13</f>
        <v>167154358.50106382</v>
      </c>
      <c r="D10" s="259">
        <f>+'6. PEP Mensual'!D13</f>
        <v>45176853.648936167</v>
      </c>
      <c r="E10" s="259">
        <f>+'6. PEP Mensual'!E13</f>
        <v>212331212.15000001</v>
      </c>
      <c r="F10" s="259">
        <f>+F11+F12+F13+F15+F16+F17+F14</f>
        <v>54346745.436120003</v>
      </c>
      <c r="G10" s="259">
        <f t="shared" ref="G10:L10" si="1">+G11+G12+G13+G15+G16+G17+G14</f>
        <v>90821912.659742504</v>
      </c>
      <c r="H10" s="259">
        <f t="shared" si="1"/>
        <v>43133941.643105596</v>
      </c>
      <c r="I10" s="259">
        <f t="shared" si="1"/>
        <v>17254792.820723403</v>
      </c>
      <c r="J10" s="259">
        <f t="shared" si="1"/>
        <v>2686017.6336519755</v>
      </c>
      <c r="K10" s="259">
        <f t="shared" si="1"/>
        <v>2441946.6930091181</v>
      </c>
      <c r="L10" s="259">
        <f t="shared" si="1"/>
        <v>1645855.2036474163</v>
      </c>
    </row>
    <row r="11" spans="1:13" ht="51" x14ac:dyDescent="0.2">
      <c r="A11" s="100" t="str">
        <f>+'6. PEP Mensual'!A14</f>
        <v>1.1.1</v>
      </c>
      <c r="B11" s="101" t="str">
        <f>+'6. PEP Mensual'!B14</f>
        <v>Contratación de Empresa Constructora para la Pavimentación  y mantenimiento del Tramo Cruce Pioneros (Ruta Nacional N° 9) – Paratodo, y accesos– Región Occidental (104 Km)</v>
      </c>
      <c r="C11" s="266">
        <f>+'6. PEP Mensual'!C14</f>
        <v>78058951.170212761</v>
      </c>
      <c r="D11" s="266">
        <f>+'6. PEP Mensual'!D14</f>
        <v>21097013.829787236</v>
      </c>
      <c r="E11" s="266">
        <f>+'6. PEP Mensual'!E14</f>
        <v>99155965</v>
      </c>
      <c r="F11" s="266">
        <f>SUM('6. PEP Mensual'!F14:Q14)</f>
        <v>31833642</v>
      </c>
      <c r="G11" s="266">
        <f>SUM('6. PEP Mensual'!R14:AC14)</f>
        <v>52544686</v>
      </c>
      <c r="H11" s="266">
        <f>SUM('6. PEP Mensual'!AD14:AO14)</f>
        <v>11854168.914893622</v>
      </c>
      <c r="I11" s="266">
        <f>SUM('6. PEP Mensual'!AP14:BA14)</f>
        <v>835276.59574468073</v>
      </c>
      <c r="J11" s="266">
        <f>SUM('6. PEP Mensual'!BB14:BM14)</f>
        <v>835276.59574468073</v>
      </c>
      <c r="K11" s="266">
        <f>SUM('6. PEP Mensual'!BN14:BY14)</f>
        <v>835276.59574468073</v>
      </c>
      <c r="L11" s="266">
        <f>SUM('6. PEP Mensual'!BZ14:CK14)</f>
        <v>417638.29787234036</v>
      </c>
      <c r="M11" s="148">
        <f>+SUM(F11:L11)</f>
        <v>99155965.000000015</v>
      </c>
    </row>
    <row r="12" spans="1:13" ht="51" x14ac:dyDescent="0.2">
      <c r="A12" s="100" t="str">
        <f>+'6. PEP Mensual'!A15</f>
        <v>1.1.2</v>
      </c>
      <c r="B12" s="101" t="str">
        <f>+'6. PEP Mensual'!B15</f>
        <v>Contratación de Empresa Constructora para la Pavimentación y mantenimiento del Tramo Villa del Rosario - Volendam - San Pablo - Ruta 11, y accesos– Región Oriental (80,36 Km)</v>
      </c>
      <c r="C12" s="266">
        <f>+'6. PEP Mensual'!C15</f>
        <v>47470212.765957452</v>
      </c>
      <c r="D12" s="266">
        <f>+'6. PEP Mensual'!D15</f>
        <v>12829787.234042553</v>
      </c>
      <c r="E12" s="266">
        <f>+'6. PEP Mensual'!E15</f>
        <v>60300000.000000007</v>
      </c>
      <c r="F12" s="266">
        <f>SUM('6. PEP Mensual'!F15:Q15)</f>
        <v>19219314</v>
      </c>
      <c r="G12" s="266">
        <f>SUM('6. PEP Mensual'!R15:AC15)</f>
        <v>31723446</v>
      </c>
      <c r="H12" s="266">
        <f>SUM('6. PEP Mensual'!AD15:AO15)</f>
        <v>7203176.1702127662</v>
      </c>
      <c r="I12" s="266">
        <f>SUM('6. PEP Mensual'!AP15:BA15)</f>
        <v>615446.80851063831</v>
      </c>
      <c r="J12" s="266">
        <f>SUM('6. PEP Mensual'!BB15:BM15)</f>
        <v>615446.80851063831</v>
      </c>
      <c r="K12" s="266">
        <f>SUM('6. PEP Mensual'!BN15:BY15)</f>
        <v>615446.80851063831</v>
      </c>
      <c r="L12" s="266">
        <f>SUM('6. PEP Mensual'!BZ15:CK15)</f>
        <v>307723.40425531915</v>
      </c>
      <c r="M12" s="148">
        <f t="shared" ref="M12:M33" si="2">+SUM(F12:L12)</f>
        <v>60300000</v>
      </c>
    </row>
    <row r="13" spans="1:13" ht="64.5" customHeight="1" x14ac:dyDescent="0.2">
      <c r="A13" s="100" t="str">
        <f>+'6. PEP Mensual'!A16</f>
        <v>1.1.3</v>
      </c>
      <c r="B13" s="101" t="str">
        <f>+'6. PEP Mensual'!B16</f>
        <v xml:space="preserve">Contratación de Empresa Constructora para la Pavimentación y mantenimiento del Tramo Campo Aceval – Cruce Jordán (35 km) </v>
      </c>
      <c r="C13" s="266">
        <f>+'6. PEP Mensual'!C16</f>
        <v>18920510.5106383</v>
      </c>
      <c r="D13" s="266">
        <f>+'6. PEP Mensual'!D16</f>
        <v>5113651.4893617025</v>
      </c>
      <c r="E13" s="266">
        <f>+'6. PEP Mensual'!E16</f>
        <v>24034162.000000004</v>
      </c>
      <c r="F13" s="266">
        <f>SUM('6. PEP Mensual'!F16:Q16)</f>
        <v>0</v>
      </c>
      <c r="G13" s="266">
        <f>SUM('6. PEP Mensual'!R16:AC16)</f>
        <v>0</v>
      </c>
      <c r="H13" s="266">
        <f>SUM('6. PEP Mensual'!AD16:AO16)</f>
        <v>12929573.952000001</v>
      </c>
      <c r="I13" s="266">
        <f>SUM('6. PEP Mensual'!AP16:BA16)</f>
        <v>9338025.6319999993</v>
      </c>
      <c r="J13" s="266">
        <f>SUM('6. PEP Mensual'!BB16:BM16)</f>
        <v>678344.13028571417</v>
      </c>
      <c r="K13" s="266">
        <f>SUM('6. PEP Mensual'!BN16:BY16)</f>
        <v>544109.14285714284</v>
      </c>
      <c r="L13" s="266">
        <f>SUM('6. PEP Mensual'!BZ16:CK16)</f>
        <v>544109.14285714284</v>
      </c>
      <c r="M13" s="148">
        <f>+SUM(F13:L13)</f>
        <v>24034161.999999996</v>
      </c>
    </row>
    <row r="14" spans="1:13" ht="64.5" customHeight="1" x14ac:dyDescent="0.2">
      <c r="A14" s="100" t="str">
        <f>+'6. PEP Mensual'!A17</f>
        <v>1.1.4</v>
      </c>
      <c r="B14" s="101" t="str">
        <f>+'6. PEP Mensual'!B17</f>
        <v xml:space="preserve">Contratación de Empresa Constructora para realización de Obras básicas de mejoramiento y mantenimiento de tramos críticos en la Región Occidental (51 km) - (Cruce Jordan – Avalos Sanchez; y  Paratodo – Cruce Douglas.) </v>
      </c>
      <c r="C14" s="266">
        <f>+'6. PEP Mensual'!C17</f>
        <v>11769352.042553192</v>
      </c>
      <c r="D14" s="266">
        <f>+'6. PEP Mensual'!D17</f>
        <v>3180905.9574468085</v>
      </c>
      <c r="E14" s="266">
        <f>+'6. PEP Mensual'!E17</f>
        <v>14950258</v>
      </c>
      <c r="F14" s="266">
        <f>SUM('6. PEP Mensual'!F17:Q17)</f>
        <v>0</v>
      </c>
      <c r="G14" s="266">
        <f>SUM('6. PEP Mensual'!R17:AC17)</f>
        <v>0</v>
      </c>
      <c r="H14" s="266">
        <f>SUM('6. PEP Mensual'!AD17:AO17)</f>
        <v>8154296.9280000012</v>
      </c>
      <c r="I14" s="266">
        <f>SUM('6. PEP Mensual'!AP17:BA17)</f>
        <v>5889214.4479999999</v>
      </c>
      <c r="J14" s="266">
        <f>SUM('6. PEP Mensual'!BB17:BM17)</f>
        <v>362637.48114285705</v>
      </c>
      <c r="K14" s="266">
        <f>SUM('6. PEP Mensual'!BN17:BY17)</f>
        <v>272054.57142857142</v>
      </c>
      <c r="L14" s="266">
        <f>SUM('6. PEP Mensual'!BZ17:CK17)</f>
        <v>272054.57142857142</v>
      </c>
    </row>
    <row r="15" spans="1:13" ht="51" x14ac:dyDescent="0.2">
      <c r="A15" s="100" t="str">
        <f>+'6. PEP Mensual'!A18</f>
        <v>1.1.5</v>
      </c>
      <c r="B15" s="101" t="str">
        <f>+'6. PEP Mensual'!B18</f>
        <v>Contratación de Firma Consultora para Fiscalización de obras de   Mejoramiento y Conservación de Tramo Cruce Pioneros (Ruta Nacional N° 9) – Paratodo, y accesos – Región Occidental (104 Km)</v>
      </c>
      <c r="C15" s="266">
        <f>+'6. PEP Mensual'!C18</f>
        <v>5464126.7393617034</v>
      </c>
      <c r="D15" s="266">
        <f>+'6. PEP Mensual'!D18</f>
        <v>1476791.010638298</v>
      </c>
      <c r="E15" s="266">
        <f>+'6. PEP Mensual'!E18</f>
        <v>6940917.7500000019</v>
      </c>
      <c r="F15" s="266">
        <f>SUM('6. PEP Mensual'!F18:Q18)</f>
        <v>1768241.9570000004</v>
      </c>
      <c r="G15" s="266">
        <f>SUM('6. PEP Mensual'!R18:AC18)</f>
        <v>3518339.640187501</v>
      </c>
      <c r="H15" s="266">
        <f>SUM('6. PEP Mensual'!AD18:AO18)</f>
        <v>1347825.5145146283</v>
      </c>
      <c r="I15" s="266">
        <f>SUM('6. PEP Mensual'!AP18:BA18)</f>
        <v>87574.46808510636</v>
      </c>
      <c r="J15" s="266">
        <f>SUM('6. PEP Mensual'!BB18:BM18)</f>
        <v>87574.46808510636</v>
      </c>
      <c r="K15" s="266">
        <f>SUM('6. PEP Mensual'!BN18:BY18)</f>
        <v>87574.46808510636</v>
      </c>
      <c r="L15" s="266">
        <f>SUM('6. PEP Mensual'!BZ18:CK18)</f>
        <v>43787.234042553187</v>
      </c>
      <c r="M15" s="148">
        <f t="shared" si="2"/>
        <v>6940917.7500000019</v>
      </c>
    </row>
    <row r="16" spans="1:13" ht="51" x14ac:dyDescent="0.2">
      <c r="A16" s="100" t="str">
        <f>+'6. PEP Mensual'!A19</f>
        <v>1.1.6</v>
      </c>
      <c r="B16" s="101" t="str">
        <f>+'6. PEP Mensual'!B19</f>
        <v>Contratación de Firma Consultora para Fiscalización de las Obras de Mejoramiento y Conservación del tramo Villa del Rosario - Volendam - San Pablo - Ruta 11, y accesos– Región Oriental (80,36 Km)</v>
      </c>
      <c r="C16" s="266">
        <f>+'6. PEP Mensual'!C19</f>
        <v>4647350.6293617031</v>
      </c>
      <c r="D16" s="266">
        <f>+'6. PEP Mensual'!D19</f>
        <v>1256040.710638298</v>
      </c>
      <c r="E16" s="266">
        <f>+'6. PEP Mensual'!E19</f>
        <v>5903391.3400000008</v>
      </c>
      <c r="F16" s="266">
        <f>SUM('6. PEP Mensual'!F19:Q19)</f>
        <v>1525547.47912</v>
      </c>
      <c r="G16" s="266">
        <f>SUM('6. PEP Mensual'!R19:AC19)</f>
        <v>3035441.0195550006</v>
      </c>
      <c r="H16" s="266">
        <f>SUM('6. PEP Mensual'!AD19:AO19)</f>
        <v>1153804.9689845745</v>
      </c>
      <c r="I16" s="266">
        <f>SUM('6. PEP Mensual'!AP19:BA19)</f>
        <v>53885.106382978724</v>
      </c>
      <c r="J16" s="266">
        <f>SUM('6. PEP Mensual'!BB19:BM19)</f>
        <v>53885.106382978724</v>
      </c>
      <c r="K16" s="266">
        <f>SUM('6. PEP Mensual'!BN19:BY19)</f>
        <v>53885.106382978724</v>
      </c>
      <c r="L16" s="266">
        <f>SUM('6. PEP Mensual'!BZ19:CK19)</f>
        <v>26942.553191489362</v>
      </c>
      <c r="M16" s="148">
        <f t="shared" si="2"/>
        <v>5903391.3400000026</v>
      </c>
    </row>
    <row r="17" spans="1:13" ht="51" x14ac:dyDescent="0.2">
      <c r="A17" s="100" t="str">
        <f>+'6. PEP Mensual'!A20</f>
        <v>1.1.7</v>
      </c>
      <c r="B17" s="101" t="str">
        <f>+'6. PEP Mensual'!B20</f>
        <v>Contratación de Firma Consultora para Fiscalización de las Obras básicas de Mejoramiento y Conservación de caminos complementarios tramos Paratodo-Cruce Douglas y Campo Aceval – Avalos Sanchez – Región Occidental (86 Km)</v>
      </c>
      <c r="C17" s="266">
        <f>+'6. PEP Mensual'!C20</f>
        <v>823854.64297872351</v>
      </c>
      <c r="D17" s="266">
        <f>+'6. PEP Mensual'!D20</f>
        <v>222663.4170212766</v>
      </c>
      <c r="E17" s="266">
        <f>+'6. PEP Mensual'!E20</f>
        <v>1046518.06</v>
      </c>
      <c r="F17" s="266">
        <f>SUM('6. PEP Mensual'!F20:Q20)</f>
        <v>0</v>
      </c>
      <c r="G17" s="266">
        <f>SUM('6. PEP Mensual'!R20:AC20)</f>
        <v>0</v>
      </c>
      <c r="H17" s="266">
        <f>SUM('6. PEP Mensual'!AD20:AO20)</f>
        <v>491095.19449999998</v>
      </c>
      <c r="I17" s="266">
        <f>SUM('6. PEP Mensual'!AP20:BA20)</f>
        <v>435369.76199999999</v>
      </c>
      <c r="J17" s="266">
        <f>SUM('6. PEP Mensual'!BB20:BM20)</f>
        <v>52853.0435</v>
      </c>
      <c r="K17" s="266">
        <f>SUM('6. PEP Mensual'!BN20:BY20)</f>
        <v>33600</v>
      </c>
      <c r="L17" s="266">
        <f>SUM('6. PEP Mensual'!BZ20:CK20)</f>
        <v>33600</v>
      </c>
      <c r="M17" s="148">
        <f t="shared" si="2"/>
        <v>1046518</v>
      </c>
    </row>
    <row r="18" spans="1:13" x14ac:dyDescent="0.2">
      <c r="A18" s="94" t="str">
        <f>+'6. PEP Mensual'!A21</f>
        <v>1.2</v>
      </c>
      <c r="B18" s="82" t="str">
        <f>+'6. PEP Mensual'!B21</f>
        <v>Gestión Socio Ambiental</v>
      </c>
      <c r="C18" s="259">
        <f>+'6. PEP Mensual'!C21</f>
        <v>1102127.6595744682</v>
      </c>
      <c r="D18" s="259">
        <f>+'6. PEP Mensual'!D21</f>
        <v>297872.3404255319</v>
      </c>
      <c r="E18" s="259">
        <f>+'6. PEP Mensual'!E21</f>
        <v>1400000</v>
      </c>
      <c r="F18" s="259">
        <f>+F19+F23</f>
        <v>36600</v>
      </c>
      <c r="G18" s="259">
        <f t="shared" ref="G18:L18" si="3">+G19+G23</f>
        <v>155600</v>
      </c>
      <c r="H18" s="259">
        <f t="shared" si="3"/>
        <v>280000</v>
      </c>
      <c r="I18" s="259">
        <f t="shared" si="3"/>
        <v>280000</v>
      </c>
      <c r="J18" s="259">
        <f t="shared" si="3"/>
        <v>294000</v>
      </c>
      <c r="K18" s="259">
        <f t="shared" si="3"/>
        <v>229400</v>
      </c>
      <c r="L18" s="259">
        <f t="shared" si="3"/>
        <v>124400</v>
      </c>
      <c r="M18" s="148">
        <f t="shared" si="2"/>
        <v>1400000</v>
      </c>
    </row>
    <row r="19" spans="1:13" x14ac:dyDescent="0.2">
      <c r="A19" s="94" t="str">
        <f>+'6. PEP Mensual'!A22</f>
        <v>1.2.1</v>
      </c>
      <c r="B19" s="82" t="str">
        <f>+'6. PEP Mensual'!B22</f>
        <v>Plan de Gestión Ambiental y Social - Región Occidental</v>
      </c>
      <c r="C19" s="259">
        <f>+'6. PEP Mensual'!C22</f>
        <v>515638.29787234048</v>
      </c>
      <c r="D19" s="259">
        <f>+'6. PEP Mensual'!D22</f>
        <v>139361.70212765958</v>
      </c>
      <c r="E19" s="259">
        <f>+'6. PEP Mensual'!E22</f>
        <v>655000</v>
      </c>
      <c r="F19" s="259">
        <f>+F20+F21+F22</f>
        <v>18600</v>
      </c>
      <c r="G19" s="259">
        <f t="shared" ref="G19:L19" si="4">+G20+G21+G22</f>
        <v>46600</v>
      </c>
      <c r="H19" s="259">
        <f t="shared" si="4"/>
        <v>131000</v>
      </c>
      <c r="I19" s="259">
        <f t="shared" si="4"/>
        <v>131000</v>
      </c>
      <c r="J19" s="259">
        <f t="shared" si="4"/>
        <v>131000</v>
      </c>
      <c r="K19" s="259">
        <f t="shared" si="4"/>
        <v>112400</v>
      </c>
      <c r="L19" s="259">
        <f t="shared" si="4"/>
        <v>84400</v>
      </c>
      <c r="M19" s="148">
        <f t="shared" si="2"/>
        <v>655000</v>
      </c>
    </row>
    <row r="20" spans="1:13" x14ac:dyDescent="0.2">
      <c r="A20" s="100" t="str">
        <f>+'6. PEP Mensual'!A23</f>
        <v>1.2.1.1</v>
      </c>
      <c r="B20" s="101" t="str">
        <f>+'6. PEP Mensual'!B23</f>
        <v>PGAS obras del Chaco</v>
      </c>
      <c r="C20" s="266">
        <f>+'6. PEP Mensual'!C23</f>
        <v>332212.76595744683</v>
      </c>
      <c r="D20" s="266">
        <f>+'6. PEP Mensual'!D23</f>
        <v>89787.234042553187</v>
      </c>
      <c r="E20" s="266">
        <f>+'6. PEP Mensual'!E23</f>
        <v>422000</v>
      </c>
      <c r="F20" s="266">
        <f>SUM('6. PEP Mensual'!F23:Q23)</f>
        <v>0</v>
      </c>
      <c r="G20" s="266">
        <f>SUM('6. PEP Mensual'!R23:AC23)</f>
        <v>0</v>
      </c>
      <c r="H20" s="266">
        <f>SUM('6. PEP Mensual'!AD23:AO23)</f>
        <v>84400</v>
      </c>
      <c r="I20" s="266">
        <f>SUM('6. PEP Mensual'!AP23:BA23)</f>
        <v>84400</v>
      </c>
      <c r="J20" s="266">
        <f>SUM('6. PEP Mensual'!BB23:BM23)</f>
        <v>84400</v>
      </c>
      <c r="K20" s="266">
        <f>SUM('6. PEP Mensual'!BN23:BY23)</f>
        <v>84400</v>
      </c>
      <c r="L20" s="266">
        <f>SUM('6. PEP Mensual'!BZ23:CK23)</f>
        <v>84400</v>
      </c>
    </row>
    <row r="21" spans="1:13" x14ac:dyDescent="0.2">
      <c r="A21" s="100" t="str">
        <f>+'6. PEP Mensual'!A24</f>
        <v>1.2.1.2</v>
      </c>
      <c r="B21" s="101" t="str">
        <f>+'6. PEP Mensual'!B24</f>
        <v>Reposición Forestal</v>
      </c>
      <c r="C21" s="266">
        <f>+'6. PEP Mensual'!C24</f>
        <v>73212.765957446813</v>
      </c>
      <c r="D21" s="266">
        <f>+'6. PEP Mensual'!D24</f>
        <v>19787.234042553191</v>
      </c>
      <c r="E21" s="266">
        <f>+'6. PEP Mensual'!E24</f>
        <v>93000</v>
      </c>
      <c r="F21" s="266">
        <f>SUM('6. PEP Mensual'!F24:Q24)</f>
        <v>18600</v>
      </c>
      <c r="G21" s="266">
        <f>SUM('6. PEP Mensual'!R24:AC24)</f>
        <v>18600</v>
      </c>
      <c r="H21" s="266">
        <f>SUM('6. PEP Mensual'!AD24:AO24)</f>
        <v>18600</v>
      </c>
      <c r="I21" s="266">
        <f>SUM('6. PEP Mensual'!AP24:BA24)</f>
        <v>18600</v>
      </c>
      <c r="J21" s="266">
        <f>SUM('6. PEP Mensual'!BB24:BM24)</f>
        <v>18600</v>
      </c>
      <c r="K21" s="266">
        <f>SUM('6. PEP Mensual'!BN24:BY24)</f>
        <v>0</v>
      </c>
      <c r="L21" s="266">
        <f>SUM('6. PEP Mensual'!BZ24:CK24)</f>
        <v>0</v>
      </c>
    </row>
    <row r="22" spans="1:13" x14ac:dyDescent="0.2">
      <c r="A22" s="100" t="str">
        <f>+'6. PEP Mensual'!A25</f>
        <v>1.2.1.3</v>
      </c>
      <c r="B22" s="101" t="str">
        <f>+'6. PEP Mensual'!B25</f>
        <v>Monitoreo de Fauna</v>
      </c>
      <c r="C22" s="266">
        <f>+'6. PEP Mensual'!C25</f>
        <v>110212.76595744681</v>
      </c>
      <c r="D22" s="266">
        <f>+'6. PEP Mensual'!D25</f>
        <v>29787.234042553191</v>
      </c>
      <c r="E22" s="266">
        <f>+'6. PEP Mensual'!E25</f>
        <v>140000</v>
      </c>
      <c r="F22" s="266">
        <f>SUM('6. PEP Mensual'!F25:Q25)</f>
        <v>0</v>
      </c>
      <c r="G22" s="266">
        <f>SUM('6. PEP Mensual'!R25:AC25)</f>
        <v>28000</v>
      </c>
      <c r="H22" s="266">
        <f>SUM('6. PEP Mensual'!AD25:AO25)</f>
        <v>28000</v>
      </c>
      <c r="I22" s="266">
        <f>SUM('6. PEP Mensual'!AP25:BA25)</f>
        <v>28000</v>
      </c>
      <c r="J22" s="266">
        <f>SUM('6. PEP Mensual'!BB25:BM25)</f>
        <v>28000</v>
      </c>
      <c r="K22" s="266">
        <f>SUM('6. PEP Mensual'!BN25:BY25)</f>
        <v>28000</v>
      </c>
      <c r="L22" s="266">
        <f>SUM('6. PEP Mensual'!BZ25:CK25)</f>
        <v>0</v>
      </c>
    </row>
    <row r="23" spans="1:13" x14ac:dyDescent="0.2">
      <c r="A23" s="94" t="str">
        <f>+'6. PEP Mensual'!A26</f>
        <v>1.2.2</v>
      </c>
      <c r="B23" s="82" t="str">
        <f>+'6. PEP Mensual'!B26</f>
        <v>Plan de Gestión Ambiental y Social - Región Oriental</v>
      </c>
      <c r="C23" s="259">
        <f>+'6. PEP Mensual'!C26</f>
        <v>586489.36170212761</v>
      </c>
      <c r="D23" s="259">
        <f>+'6. PEP Mensual'!D26</f>
        <v>158510.63829787233</v>
      </c>
      <c r="E23" s="259">
        <f>+'6. PEP Mensual'!E26</f>
        <v>745000</v>
      </c>
      <c r="F23" s="259">
        <f>+F24+F25+F26+F27</f>
        <v>18000</v>
      </c>
      <c r="G23" s="259">
        <f t="shared" ref="G23:L23" si="5">+G24+G25+G26+G27</f>
        <v>109000</v>
      </c>
      <c r="H23" s="259">
        <f t="shared" si="5"/>
        <v>149000</v>
      </c>
      <c r="I23" s="259">
        <f t="shared" si="5"/>
        <v>149000</v>
      </c>
      <c r="J23" s="259">
        <f t="shared" si="5"/>
        <v>163000</v>
      </c>
      <c r="K23" s="259">
        <f t="shared" si="5"/>
        <v>117000</v>
      </c>
      <c r="L23" s="259">
        <f t="shared" si="5"/>
        <v>40000</v>
      </c>
      <c r="M23" s="148">
        <f t="shared" si="2"/>
        <v>745000</v>
      </c>
    </row>
    <row r="24" spans="1:13" x14ac:dyDescent="0.2">
      <c r="A24" s="100" t="str">
        <f>+'6. PEP Mensual'!A27</f>
        <v>1.2.2.1</v>
      </c>
      <c r="B24" s="101" t="str">
        <f>+'6. PEP Mensual'!B27</f>
        <v>PGAS otras obras de pavimentación y mantenimiento</v>
      </c>
      <c r="C24" s="266">
        <f>+'6. PEP Mensual'!C27</f>
        <v>157446.80851063831</v>
      </c>
      <c r="D24" s="266">
        <f>+'6. PEP Mensual'!D27</f>
        <v>42553.191489361699</v>
      </c>
      <c r="E24" s="266">
        <f>+'6. PEP Mensual'!E27</f>
        <v>200000</v>
      </c>
      <c r="F24" s="266">
        <f>SUM('6. PEP Mensual'!F27:Q27)</f>
        <v>0</v>
      </c>
      <c r="G24" s="266">
        <f>SUM('6. PEP Mensual'!R27:AC27)</f>
        <v>0</v>
      </c>
      <c r="H24" s="266">
        <f>SUM('6. PEP Mensual'!AD27:AO27)</f>
        <v>40000</v>
      </c>
      <c r="I24" s="266">
        <f>SUM('6. PEP Mensual'!AP27:BA27)</f>
        <v>40000</v>
      </c>
      <c r="J24" s="266">
        <f>SUM('6. PEP Mensual'!BB27:BM27)</f>
        <v>40000</v>
      </c>
      <c r="K24" s="266">
        <f>SUM('6. PEP Mensual'!BN27:BY27)</f>
        <v>40000</v>
      </c>
      <c r="L24" s="266">
        <f>SUM('6. PEP Mensual'!BZ27:CK27)</f>
        <v>40000</v>
      </c>
    </row>
    <row r="25" spans="1:13" x14ac:dyDescent="0.2">
      <c r="A25" s="100" t="str">
        <f>+'6. PEP Mensual'!A28</f>
        <v>1.2.2.2</v>
      </c>
      <c r="B25" s="101" t="str">
        <f>+'6. PEP Mensual'!B28</f>
        <v>Plan de reposición forestal</v>
      </c>
      <c r="C25" s="266">
        <f>+'6. PEP Mensual'!C28</f>
        <v>70851.063829787236</v>
      </c>
      <c r="D25" s="266">
        <f>+'6. PEP Mensual'!D28</f>
        <v>19148.936170212764</v>
      </c>
      <c r="E25" s="266">
        <f>+'6. PEP Mensual'!E28</f>
        <v>90000</v>
      </c>
      <c r="F25" s="266">
        <f>SUM('6. PEP Mensual'!F28:Q28)</f>
        <v>18000</v>
      </c>
      <c r="G25" s="266">
        <f>SUM('6. PEP Mensual'!R28:AC28)</f>
        <v>18000</v>
      </c>
      <c r="H25" s="266">
        <f>SUM('6. PEP Mensual'!AD28:AO28)</f>
        <v>18000</v>
      </c>
      <c r="I25" s="266">
        <f>SUM('6. PEP Mensual'!AP28:BA28)</f>
        <v>18000</v>
      </c>
      <c r="J25" s="266">
        <f>SUM('6. PEP Mensual'!BB28:BM28)</f>
        <v>18000</v>
      </c>
      <c r="K25" s="266">
        <f>SUM('6. PEP Mensual'!BN28:BY28)</f>
        <v>0</v>
      </c>
      <c r="L25" s="266">
        <f>SUM('6. PEP Mensual'!BZ28:CK28)</f>
        <v>0</v>
      </c>
    </row>
    <row r="26" spans="1:13" x14ac:dyDescent="0.2">
      <c r="A26" s="100" t="str">
        <f>+'6. PEP Mensual'!A29</f>
        <v>1.2.2.3</v>
      </c>
      <c r="B26" s="101" t="str">
        <f>+'6. PEP Mensual'!B29</f>
        <v>Caracterización y monitoreo de fauna</v>
      </c>
      <c r="C26" s="266">
        <f>+'6. PEP Mensual'!C29</f>
        <v>55106.382978723406</v>
      </c>
      <c r="D26" s="266">
        <f>+'6. PEP Mensual'!D29</f>
        <v>14893.617021276596</v>
      </c>
      <c r="E26" s="266">
        <f>+'6. PEP Mensual'!E29</f>
        <v>70000</v>
      </c>
      <c r="F26" s="266">
        <f>SUM('6. PEP Mensual'!F29:Q29)</f>
        <v>0</v>
      </c>
      <c r="G26" s="266">
        <f>SUM('6. PEP Mensual'!R29:AC29)</f>
        <v>14000</v>
      </c>
      <c r="H26" s="266">
        <f>SUM('6. PEP Mensual'!AD29:AO29)</f>
        <v>14000</v>
      </c>
      <c r="I26" s="266">
        <f>SUM('6. PEP Mensual'!AP29:BA29)</f>
        <v>14000</v>
      </c>
      <c r="J26" s="266">
        <f>SUM('6. PEP Mensual'!BB29:BM29)</f>
        <v>28000</v>
      </c>
      <c r="K26" s="266">
        <f>SUM('6. PEP Mensual'!BN29:BY29)</f>
        <v>0</v>
      </c>
      <c r="L26" s="266">
        <f>SUM('6. PEP Mensual'!BZ29:CK29)</f>
        <v>0</v>
      </c>
    </row>
    <row r="27" spans="1:13" x14ac:dyDescent="0.2">
      <c r="A27" s="100" t="str">
        <f>+'6. PEP Mensual'!A30</f>
        <v>1.2.2.4</v>
      </c>
      <c r="B27" s="101" t="str">
        <f>+'6. PEP Mensual'!B30</f>
        <v>Monitoreo de Recursos Hídricos</v>
      </c>
      <c r="C27" s="266">
        <f>+'6. PEP Mensual'!C30</f>
        <v>303085.10638297873</v>
      </c>
      <c r="D27" s="266">
        <f>+'6. PEP Mensual'!D30</f>
        <v>81914.893617021284</v>
      </c>
      <c r="E27" s="266">
        <f>+'6. PEP Mensual'!E30</f>
        <v>385000</v>
      </c>
      <c r="F27" s="266">
        <f>SUM('6. PEP Mensual'!F30:Q30)</f>
        <v>0</v>
      </c>
      <c r="G27" s="266">
        <f>SUM('6. PEP Mensual'!R30:AC30)</f>
        <v>77000</v>
      </c>
      <c r="H27" s="266">
        <f>SUM('6. PEP Mensual'!AD30:AO30)</f>
        <v>77000</v>
      </c>
      <c r="I27" s="266">
        <f>SUM('6. PEP Mensual'!AP30:BA30)</f>
        <v>77000</v>
      </c>
      <c r="J27" s="266">
        <f>SUM('6. PEP Mensual'!BB30:BM30)</f>
        <v>77000</v>
      </c>
      <c r="K27" s="266">
        <f>SUM('6. PEP Mensual'!BN30:BY30)</f>
        <v>77000</v>
      </c>
      <c r="L27" s="266">
        <f>SUM('6. PEP Mensual'!BZ30:CK30)</f>
        <v>0</v>
      </c>
    </row>
    <row r="28" spans="1:13" x14ac:dyDescent="0.2">
      <c r="A28" s="94" t="str">
        <f>+'6. PEP Mensual'!A31</f>
        <v>1.3</v>
      </c>
      <c r="B28" s="82" t="str">
        <f>+'6. PEP Mensual'!B31</f>
        <v>Pago por Servicios Ambientales</v>
      </c>
      <c r="C28" s="259">
        <f>+'6. PEP Mensual'!C31</f>
        <v>1562190.2648936172</v>
      </c>
      <c r="D28" s="259">
        <f>+'6. PEP Mensual'!D31</f>
        <v>422213.58510638302</v>
      </c>
      <c r="E28" s="259">
        <f>+'6. PEP Mensual'!E31</f>
        <v>1984403.8500000003</v>
      </c>
      <c r="F28" s="259">
        <f>+F29</f>
        <v>0</v>
      </c>
      <c r="G28" s="259">
        <f t="shared" ref="G28:L28" si="6">+G29</f>
        <v>1984403.8500000003</v>
      </c>
      <c r="H28" s="259">
        <f t="shared" si="6"/>
        <v>0</v>
      </c>
      <c r="I28" s="259">
        <f t="shared" si="6"/>
        <v>0</v>
      </c>
      <c r="J28" s="259">
        <f t="shared" si="6"/>
        <v>0</v>
      </c>
      <c r="K28" s="259">
        <f t="shared" si="6"/>
        <v>0</v>
      </c>
      <c r="L28" s="259">
        <f t="shared" si="6"/>
        <v>0</v>
      </c>
      <c r="M28" s="148">
        <f t="shared" si="2"/>
        <v>1984403.8500000003</v>
      </c>
    </row>
    <row r="29" spans="1:13" x14ac:dyDescent="0.2">
      <c r="A29" s="100" t="str">
        <f>+'6. PEP Mensual'!A32</f>
        <v>1.3.1</v>
      </c>
      <c r="B29" s="101" t="str">
        <f>+'6. PEP Mensual'!B32</f>
        <v>Servicios Ambientales</v>
      </c>
      <c r="C29" s="266">
        <f>+'6. PEP Mensual'!C32</f>
        <v>1562190.2648936172</v>
      </c>
      <c r="D29" s="266">
        <f>+'6. PEP Mensual'!D32</f>
        <v>422213.58510638302</v>
      </c>
      <c r="E29" s="266">
        <f>+'6. PEP Mensual'!E32</f>
        <v>1984403.8500000003</v>
      </c>
      <c r="F29" s="266">
        <f>SUM('6. PEP Mensual'!F32:Q32)</f>
        <v>0</v>
      </c>
      <c r="G29" s="266">
        <f>SUM('6. PEP Mensual'!R32:AC32)</f>
        <v>1984403.8500000003</v>
      </c>
      <c r="H29" s="266">
        <f>SUM('6. PEP Mensual'!AD32:AO32)</f>
        <v>0</v>
      </c>
      <c r="I29" s="266">
        <f>SUM('6. PEP Mensual'!AP32:BA32)</f>
        <v>0</v>
      </c>
      <c r="J29" s="266">
        <f>SUM('6. PEP Mensual'!BB32:BM32)</f>
        <v>0</v>
      </c>
      <c r="K29" s="266">
        <f>SUM('6. PEP Mensual'!BN32:BY32)</f>
        <v>0</v>
      </c>
      <c r="L29" s="266">
        <f>SUM('6. PEP Mensual'!BZ32:CK32)</f>
        <v>0</v>
      </c>
    </row>
    <row r="30" spans="1:13" x14ac:dyDescent="0.2">
      <c r="A30" s="94" t="str">
        <f>+'6. PEP Mensual'!A33</f>
        <v>1.4</v>
      </c>
      <c r="B30" s="82" t="str">
        <f>+'6. PEP Mensual'!B33</f>
        <v>Expropiaciones</v>
      </c>
      <c r="C30" s="259">
        <f>+'6. PEP Mensual'!C33</f>
        <v>842340.42553191492</v>
      </c>
      <c r="D30" s="259">
        <f>+'6. PEP Mensual'!D33</f>
        <v>227659.57446808511</v>
      </c>
      <c r="E30" s="259">
        <f>+'6. PEP Mensual'!E33</f>
        <v>1070000</v>
      </c>
      <c r="F30" s="259">
        <f>+F31+F32</f>
        <v>356666.66666666663</v>
      </c>
      <c r="G30" s="259">
        <f t="shared" ref="G30:L30" si="7">+G31+G32</f>
        <v>356666.66666666663</v>
      </c>
      <c r="H30" s="259">
        <f t="shared" si="7"/>
        <v>356666.66666666663</v>
      </c>
      <c r="I30" s="259">
        <f t="shared" si="7"/>
        <v>0</v>
      </c>
      <c r="J30" s="259">
        <f t="shared" si="7"/>
        <v>0</v>
      </c>
      <c r="K30" s="259">
        <f t="shared" si="7"/>
        <v>0</v>
      </c>
      <c r="L30" s="259">
        <f t="shared" si="7"/>
        <v>0</v>
      </c>
      <c r="M30" s="148">
        <f t="shared" si="2"/>
        <v>1070000</v>
      </c>
    </row>
    <row r="31" spans="1:13" x14ac:dyDescent="0.2">
      <c r="A31" s="100" t="str">
        <f>+'6. PEP Mensual'!A34</f>
        <v>1.4.1</v>
      </c>
      <c r="B31" s="101" t="str">
        <f>+'6. PEP Mensual'!B34</f>
        <v>Expropiaciones Región Occidental</v>
      </c>
      <c r="C31" s="266">
        <f>+'6. PEP Mensual'!C34</f>
        <v>448723.40425531915</v>
      </c>
      <c r="D31" s="266">
        <f>+'6. PEP Mensual'!D34</f>
        <v>121276.59574468085</v>
      </c>
      <c r="E31" s="266">
        <f>+'6. PEP Mensual'!E34</f>
        <v>570000</v>
      </c>
      <c r="F31" s="266">
        <f>SUM('6. PEP Mensual'!F34:Q34)</f>
        <v>190000.00000000003</v>
      </c>
      <c r="G31" s="266">
        <f>SUM('6. PEP Mensual'!R34:AC34)</f>
        <v>190000.00000000003</v>
      </c>
      <c r="H31" s="266">
        <f>SUM('6. PEP Mensual'!AD34:AO34)</f>
        <v>190000.00000000003</v>
      </c>
      <c r="I31" s="266">
        <f>SUM('6. PEP Mensual'!AP34:BA34)</f>
        <v>0</v>
      </c>
      <c r="J31" s="266">
        <f>SUM('6. PEP Mensual'!BB34:BM34)</f>
        <v>0</v>
      </c>
      <c r="K31" s="266">
        <f>SUM('6. PEP Mensual'!BN34:BY34)</f>
        <v>0</v>
      </c>
      <c r="L31" s="266">
        <f>SUM('6. PEP Mensual'!BZ34:CK34)</f>
        <v>0</v>
      </c>
    </row>
    <row r="32" spans="1:13" x14ac:dyDescent="0.2">
      <c r="A32" s="100" t="str">
        <f>+'6. PEP Mensual'!A35</f>
        <v>1.4.2</v>
      </c>
      <c r="B32" s="101" t="str">
        <f>+'6. PEP Mensual'!B35</f>
        <v>Expropiaciones Región Oriental</v>
      </c>
      <c r="C32" s="266">
        <f>+'6. PEP Mensual'!C35</f>
        <v>393617.02127659577</v>
      </c>
      <c r="D32" s="266">
        <f>+'6. PEP Mensual'!D35</f>
        <v>106382.97872340426</v>
      </c>
      <c r="E32" s="266">
        <f>+'6. PEP Mensual'!E35</f>
        <v>500000</v>
      </c>
      <c r="F32" s="266">
        <f>SUM('6. PEP Mensual'!F35:Q35)</f>
        <v>166666.66666666663</v>
      </c>
      <c r="G32" s="266">
        <f>SUM('6. PEP Mensual'!R35:AC35)</f>
        <v>166666.66666666663</v>
      </c>
      <c r="H32" s="266">
        <f>SUM('6. PEP Mensual'!AD35:AO35)</f>
        <v>166666.66666666663</v>
      </c>
      <c r="I32" s="266">
        <f>SUM('6. PEP Mensual'!AP35:BA35)</f>
        <v>0</v>
      </c>
      <c r="J32" s="266">
        <f>SUM('6. PEP Mensual'!BB35:BM35)</f>
        <v>0</v>
      </c>
      <c r="K32" s="266">
        <f>SUM('6. PEP Mensual'!BN35:BY35)</f>
        <v>0</v>
      </c>
      <c r="L32" s="266">
        <f>SUM('6. PEP Mensual'!BZ35:CK35)</f>
        <v>0</v>
      </c>
    </row>
    <row r="33" spans="1:22" x14ac:dyDescent="0.2">
      <c r="A33" s="94" t="str">
        <f>+'6. PEP Mensual'!A36</f>
        <v>1.5</v>
      </c>
      <c r="B33" s="82" t="str">
        <f>+'6. PEP Mensual'!B36</f>
        <v>Contingencias y Escalamientos</v>
      </c>
      <c r="C33" s="259">
        <f>+'6. PEP Mensual'!C36</f>
        <v>10009195.914893618</v>
      </c>
      <c r="D33" s="259">
        <f>+'6. PEP Mensual'!D36</f>
        <v>2705188.0851063831</v>
      </c>
      <c r="E33" s="259">
        <f>+'6. PEP Mensual'!E36</f>
        <v>12714384</v>
      </c>
      <c r="F33" s="259">
        <f>+F34</f>
        <v>0</v>
      </c>
      <c r="G33" s="259">
        <f t="shared" ref="G33:L33" si="8">+G34</f>
        <v>0</v>
      </c>
      <c r="H33" s="259">
        <f t="shared" si="8"/>
        <v>0</v>
      </c>
      <c r="I33" s="259">
        <f t="shared" si="8"/>
        <v>3178596</v>
      </c>
      <c r="J33" s="259">
        <f t="shared" si="8"/>
        <v>3178596</v>
      </c>
      <c r="K33" s="259">
        <f t="shared" si="8"/>
        <v>3178596</v>
      </c>
      <c r="L33" s="259">
        <f t="shared" si="8"/>
        <v>3178596</v>
      </c>
      <c r="M33" s="148">
        <f t="shared" si="2"/>
        <v>12714384</v>
      </c>
      <c r="Q33" s="552"/>
      <c r="R33" s="552"/>
      <c r="S33" s="553"/>
      <c r="T33" s="553"/>
      <c r="U33" s="553"/>
      <c r="V33" s="553"/>
    </row>
    <row r="34" spans="1:22" x14ac:dyDescent="0.2">
      <c r="A34" s="100" t="str">
        <f>+'6. PEP Mensual'!A37</f>
        <v>1.5.1</v>
      </c>
      <c r="B34" s="101" t="str">
        <f>+'6. PEP Mensual'!B37</f>
        <v>Contingencias y Escalamientos</v>
      </c>
      <c r="C34" s="266">
        <f>+'6. PEP Mensual'!C37</f>
        <v>10009195.914893618</v>
      </c>
      <c r="D34" s="266">
        <f>+'6. PEP Mensual'!D37</f>
        <v>2705188.0851063831</v>
      </c>
      <c r="E34" s="266">
        <f>+'6. PEP Mensual'!E37</f>
        <v>12714384</v>
      </c>
      <c r="F34" s="266">
        <f>SUM('6. PEP Mensual'!F37:Q37)</f>
        <v>0</v>
      </c>
      <c r="G34" s="266">
        <f>SUM('6. PEP Mensual'!R37:AC37)</f>
        <v>0</v>
      </c>
      <c r="H34" s="266">
        <f>SUM('6. PEP Mensual'!AD37:AO37)</f>
        <v>0</v>
      </c>
      <c r="I34" s="266">
        <f>SUM('6. PEP Mensual'!AP37:BA37)</f>
        <v>3178596</v>
      </c>
      <c r="J34" s="266">
        <f>SUM('6. PEP Mensual'!BB37:BM37)</f>
        <v>3178596</v>
      </c>
      <c r="K34" s="266">
        <f>SUM('6. PEP Mensual'!BN37:BY37)</f>
        <v>3178596</v>
      </c>
      <c r="L34" s="266">
        <f>SUM('6. PEP Mensual'!BZ37:CK37)</f>
        <v>3178596</v>
      </c>
      <c r="P34" s="554"/>
      <c r="Q34" s="554"/>
      <c r="R34" s="554"/>
      <c r="S34" s="554"/>
      <c r="T34" s="554"/>
      <c r="U34" s="554"/>
      <c r="V34" s="554"/>
    </row>
    <row r="35" spans="1:22" s="261" customFormat="1" ht="26.25" customHeight="1" x14ac:dyDescent="0.2">
      <c r="A35" s="267">
        <v>2</v>
      </c>
      <c r="B35" s="257" t="str">
        <f>+'6. PEP Mensual'!B38</f>
        <v>Otros Costos</v>
      </c>
      <c r="C35" s="258">
        <f>+'6. PEP Mensual'!C38</f>
        <v>4329787.2340425532</v>
      </c>
      <c r="D35" s="258">
        <f>+'6. PEP Mensual'!D38</f>
        <v>1170212.7659574468</v>
      </c>
      <c r="E35" s="258">
        <f>+'6. PEP Mensual'!E38</f>
        <v>5500000</v>
      </c>
      <c r="F35" s="258">
        <f>+F36+F38</f>
        <v>200000</v>
      </c>
      <c r="G35" s="258">
        <f t="shared" ref="G35:L35" si="9">+G36+G38</f>
        <v>275000</v>
      </c>
      <c r="H35" s="258">
        <f t="shared" si="9"/>
        <v>1175000</v>
      </c>
      <c r="I35" s="258">
        <f t="shared" si="9"/>
        <v>1050000</v>
      </c>
      <c r="J35" s="258">
        <f t="shared" si="9"/>
        <v>1050000</v>
      </c>
      <c r="K35" s="258">
        <f t="shared" si="9"/>
        <v>1200000</v>
      </c>
      <c r="L35" s="258">
        <f t="shared" si="9"/>
        <v>550000</v>
      </c>
      <c r="M35" s="148">
        <f>+SUM(F35:L35)</f>
        <v>5500000</v>
      </c>
    </row>
    <row r="36" spans="1:22" s="261" customFormat="1" x14ac:dyDescent="0.2">
      <c r="A36" s="94">
        <f>+'6. PEP Mensual'!A39</f>
        <v>2.1</v>
      </c>
      <c r="B36" s="82" t="str">
        <f>+'6. PEP Mensual'!B39</f>
        <v>Administración del Programa</v>
      </c>
      <c r="C36" s="259">
        <f>+'6. PEP Mensual'!C39</f>
        <v>3542553.1914893617</v>
      </c>
      <c r="D36" s="259">
        <f>+'6. PEP Mensual'!D39</f>
        <v>957446.80851063831</v>
      </c>
      <c r="E36" s="259">
        <f>+'6. PEP Mensual'!E39</f>
        <v>4500000</v>
      </c>
      <c r="F36" s="260">
        <f t="shared" ref="F36:G36" si="10">+F37</f>
        <v>0</v>
      </c>
      <c r="G36" s="260">
        <f t="shared" si="10"/>
        <v>0</v>
      </c>
      <c r="H36" s="260">
        <f t="shared" ref="H36:L36" si="11">+H37</f>
        <v>1000000</v>
      </c>
      <c r="I36" s="260">
        <f t="shared" si="11"/>
        <v>1000000</v>
      </c>
      <c r="J36" s="260">
        <f t="shared" si="11"/>
        <v>1000000</v>
      </c>
      <c r="K36" s="260">
        <f t="shared" si="11"/>
        <v>1000000</v>
      </c>
      <c r="L36" s="260">
        <f t="shared" si="11"/>
        <v>500000</v>
      </c>
      <c r="M36" s="148"/>
    </row>
    <row r="37" spans="1:22" s="261" customFormat="1" ht="25.5" x14ac:dyDescent="0.2">
      <c r="A37" s="100" t="str">
        <f>+'6. PEP Mensual'!A40</f>
        <v>2.1.1</v>
      </c>
      <c r="B37" s="101" t="str">
        <f>+'6. PEP Mensual'!B40</f>
        <v xml:space="preserve">Contratación de la ECATEF para apoyo en la ejecución del Programa </v>
      </c>
      <c r="C37" s="266">
        <f>+'6. PEP Mensual'!C40</f>
        <v>3542553.1914893617</v>
      </c>
      <c r="D37" s="266">
        <f>+'6. PEP Mensual'!D40</f>
        <v>957446.80851063831</v>
      </c>
      <c r="E37" s="266">
        <f>+'6. PEP Mensual'!E40</f>
        <v>4500000</v>
      </c>
      <c r="F37" s="266">
        <f>SUM('6. PEP Mensual'!F40:Q40)</f>
        <v>0</v>
      </c>
      <c r="G37" s="266">
        <f>SUM('6. PEP Mensual'!R40:AC40)</f>
        <v>0</v>
      </c>
      <c r="H37" s="266">
        <f>SUM('6. PEP Mensual'!AD40:AO40)</f>
        <v>1000000</v>
      </c>
      <c r="I37" s="266">
        <f>SUM('6. PEP Mensual'!AP40:BA40)</f>
        <v>1000000</v>
      </c>
      <c r="J37" s="266">
        <f>SUM('6. PEP Mensual'!BB40:BM40)</f>
        <v>1000000</v>
      </c>
      <c r="K37" s="266">
        <f>SUM('6. PEP Mensual'!BN40:BY40)</f>
        <v>1000000</v>
      </c>
      <c r="L37" s="266">
        <f>SUM('6. PEP Mensual'!BZ40:CK40)</f>
        <v>500000</v>
      </c>
      <c r="M37" s="148"/>
    </row>
    <row r="38" spans="1:22" s="261" customFormat="1" x14ac:dyDescent="0.2">
      <c r="A38" s="94">
        <f>+'6. PEP Mensual'!A41</f>
        <v>2.2000000000000002</v>
      </c>
      <c r="B38" s="82" t="str">
        <f>+'6. PEP Mensual'!B41</f>
        <v>Evaluaciones, estudios y auditorías.</v>
      </c>
      <c r="C38" s="259">
        <f>+'6. PEP Mensual'!C41</f>
        <v>787234.04255319154</v>
      </c>
      <c r="D38" s="259">
        <f>+'6. PEP Mensual'!D41</f>
        <v>212765.95744680849</v>
      </c>
      <c r="E38" s="259">
        <f>+'6. PEP Mensual'!E41</f>
        <v>1000000</v>
      </c>
      <c r="F38" s="260">
        <f>+F39+F40+F41+F42+F43</f>
        <v>200000</v>
      </c>
      <c r="G38" s="260">
        <f t="shared" ref="G38:L38" si="12">+G39+G40+G41+G42+G43</f>
        <v>275000</v>
      </c>
      <c r="H38" s="260">
        <f t="shared" si="12"/>
        <v>175000</v>
      </c>
      <c r="I38" s="260">
        <f t="shared" si="12"/>
        <v>50000</v>
      </c>
      <c r="J38" s="260">
        <f t="shared" si="12"/>
        <v>50000</v>
      </c>
      <c r="K38" s="260">
        <f t="shared" si="12"/>
        <v>200000</v>
      </c>
      <c r="L38" s="260">
        <f t="shared" si="12"/>
        <v>50000</v>
      </c>
      <c r="M38" s="148"/>
    </row>
    <row r="39" spans="1:22" s="261" customFormat="1" x14ac:dyDescent="0.2">
      <c r="A39" s="100" t="str">
        <f>+'6. PEP Mensual'!A42</f>
        <v>2.2.1</v>
      </c>
      <c r="B39" s="101" t="str">
        <f>+'6. PEP Mensual'!B42</f>
        <v>Auditoría financiera</v>
      </c>
      <c r="C39" s="266">
        <f>+'6. PEP Mensual'!C42</f>
        <v>275531.91489361704</v>
      </c>
      <c r="D39" s="266">
        <f>+'6. PEP Mensual'!D42</f>
        <v>74468.085106382976</v>
      </c>
      <c r="E39" s="266">
        <f>+'6. PEP Mensual'!E42</f>
        <v>350000</v>
      </c>
      <c r="F39" s="266">
        <f>SUM('6. PEP Mensual'!F42:Q42)</f>
        <v>50000</v>
      </c>
      <c r="G39" s="266">
        <f>SUM('6. PEP Mensual'!R42:AC42)</f>
        <v>50000</v>
      </c>
      <c r="H39" s="266">
        <f>SUM('6. PEP Mensual'!AD42:AO42)</f>
        <v>50000</v>
      </c>
      <c r="I39" s="266">
        <f>SUM('6. PEP Mensual'!AP42:BA42)</f>
        <v>50000</v>
      </c>
      <c r="J39" s="266">
        <f>SUM('6. PEP Mensual'!BB42:BM42)</f>
        <v>50000</v>
      </c>
      <c r="K39" s="266">
        <f>SUM('6. PEP Mensual'!BN42:BY42)</f>
        <v>50000</v>
      </c>
      <c r="L39" s="266">
        <f>SUM('6. PEP Mensual'!BZ42:CK42)</f>
        <v>50000</v>
      </c>
      <c r="M39" s="148"/>
    </row>
    <row r="40" spans="1:22" s="261" customFormat="1" x14ac:dyDescent="0.2">
      <c r="A40" s="100" t="str">
        <f>+'6. PEP Mensual'!A43</f>
        <v>2.2.2</v>
      </c>
      <c r="B40" s="101" t="str">
        <f>+'6. PEP Mensual'!B43</f>
        <v xml:space="preserve">Estudios de pre inversión y diseños de ingeniería </v>
      </c>
      <c r="C40" s="266">
        <f>+'6. PEP Mensual'!C43</f>
        <v>236170.21276595746</v>
      </c>
      <c r="D40" s="266">
        <f>+'6. PEP Mensual'!D43</f>
        <v>63829.787234042553</v>
      </c>
      <c r="E40" s="266">
        <f>+'6. PEP Mensual'!E43</f>
        <v>300000</v>
      </c>
      <c r="F40" s="266">
        <f>SUM('6. PEP Mensual'!F43:Q43)</f>
        <v>100000</v>
      </c>
      <c r="G40" s="266">
        <f>SUM('6. PEP Mensual'!R43:AC43)</f>
        <v>200000</v>
      </c>
      <c r="H40" s="266">
        <f>SUM('6. PEP Mensual'!AD43:AO43)</f>
        <v>0</v>
      </c>
      <c r="I40" s="266">
        <f>SUM('6. PEP Mensual'!AP43:BA43)</f>
        <v>0</v>
      </c>
      <c r="J40" s="266">
        <f>SUM('6. PEP Mensual'!BB43:BM43)</f>
        <v>0</v>
      </c>
      <c r="K40" s="266">
        <f>SUM('6. PEP Mensual'!BN43:BY43)</f>
        <v>0</v>
      </c>
      <c r="L40" s="266">
        <f>SUM('6. PEP Mensual'!BZ43:CK43)</f>
        <v>0</v>
      </c>
      <c r="M40" s="148"/>
    </row>
    <row r="41" spans="1:22" s="261" customFormat="1" ht="38.25" x14ac:dyDescent="0.2">
      <c r="A41" s="100" t="str">
        <f>+'6. PEP Mensual'!A44</f>
        <v>2.2.3</v>
      </c>
      <c r="B41" s="101" t="str">
        <f>+'6. PEP Mensual'!B44</f>
        <v>Fortalecimiento de departamentos de conservación vial y gobiernos locales para implementación del plan de mantenimiento</v>
      </c>
      <c r="C41" s="266">
        <f>+'6. PEP Mensual'!C44</f>
        <v>118085.10638297873</v>
      </c>
      <c r="D41" s="266">
        <f>+'6. PEP Mensual'!D44</f>
        <v>31914.893617021276</v>
      </c>
      <c r="E41" s="266">
        <f>+'6. PEP Mensual'!E44</f>
        <v>150000</v>
      </c>
      <c r="F41" s="266">
        <f>SUM('6. PEP Mensual'!F44:Q44)</f>
        <v>0</v>
      </c>
      <c r="G41" s="266">
        <f>SUM('6. PEP Mensual'!R44:AC44)</f>
        <v>25000</v>
      </c>
      <c r="H41" s="266">
        <f>SUM('6. PEP Mensual'!AD44:AO44)</f>
        <v>125000</v>
      </c>
      <c r="I41" s="266">
        <f>SUM('6. PEP Mensual'!AP44:BA44)</f>
        <v>0</v>
      </c>
      <c r="J41" s="266">
        <f>SUM('6. PEP Mensual'!BB44:BM44)</f>
        <v>0</v>
      </c>
      <c r="K41" s="266">
        <f>SUM('6. PEP Mensual'!BN44:BY44)</f>
        <v>0</v>
      </c>
      <c r="L41" s="266">
        <f>SUM('6. PEP Mensual'!BZ44:CK44)</f>
        <v>0</v>
      </c>
      <c r="M41" s="148"/>
    </row>
    <row r="42" spans="1:22" s="261" customFormat="1" ht="25.5" x14ac:dyDescent="0.2">
      <c r="A42" s="100" t="str">
        <f>+'6. PEP Mensual'!A45</f>
        <v>2.2.4</v>
      </c>
      <c r="B42" s="101" t="str">
        <f>+'6. PEP Mensual'!B45</f>
        <v>Evaluación final del programa, incluyendo evaluación de impacto</v>
      </c>
      <c r="C42" s="266">
        <f>+'6. PEP Mensual'!C45</f>
        <v>118085.10638297873</v>
      </c>
      <c r="D42" s="266">
        <f>+'6. PEP Mensual'!D45</f>
        <v>31914.893617021276</v>
      </c>
      <c r="E42" s="266">
        <f>+'6. PEP Mensual'!E45</f>
        <v>150000</v>
      </c>
      <c r="F42" s="266">
        <f>SUM('6. PEP Mensual'!F45:Q45)</f>
        <v>0</v>
      </c>
      <c r="G42" s="266">
        <f>SUM('6. PEP Mensual'!R45:AC45)</f>
        <v>0</v>
      </c>
      <c r="H42" s="266">
        <f>SUM('6. PEP Mensual'!AD45:AO45)</f>
        <v>0</v>
      </c>
      <c r="I42" s="266">
        <f>SUM('6. PEP Mensual'!AP45:BA45)</f>
        <v>0</v>
      </c>
      <c r="J42" s="266">
        <f>SUM('6. PEP Mensual'!BB45:BM45)</f>
        <v>0</v>
      </c>
      <c r="K42" s="266">
        <f>SUM('6. PEP Mensual'!BN45:BY45)</f>
        <v>150000</v>
      </c>
      <c r="L42" s="266">
        <f>SUM('6. PEP Mensual'!BZ45:CK45)</f>
        <v>0</v>
      </c>
      <c r="M42" s="148"/>
    </row>
    <row r="43" spans="1:22" s="261" customFormat="1" x14ac:dyDescent="0.2">
      <c r="A43" s="100" t="str">
        <f>+'6. PEP Mensual'!A46</f>
        <v>2.2.5</v>
      </c>
      <c r="B43" s="101" t="str">
        <f>+'6. PEP Mensual'!B46</f>
        <v>Levantamiento de Línea de Base</v>
      </c>
      <c r="C43" s="266">
        <f>+'6. PEP Mensual'!C46</f>
        <v>39361.702127659577</v>
      </c>
      <c r="D43" s="266">
        <f>+'6. PEP Mensual'!D46</f>
        <v>10638.297872340425</v>
      </c>
      <c r="E43" s="266">
        <f>+'6. PEP Mensual'!E46</f>
        <v>50000</v>
      </c>
      <c r="F43" s="266">
        <f>SUM('6. PEP Mensual'!F46:Q46)</f>
        <v>50000</v>
      </c>
      <c r="G43" s="266">
        <f>SUM('6. PEP Mensual'!R46:AC46)</f>
        <v>0</v>
      </c>
      <c r="H43" s="266">
        <f>SUM('6. PEP Mensual'!AD46:AO46)</f>
        <v>0</v>
      </c>
      <c r="I43" s="266">
        <f>SUM('6. PEP Mensual'!AP46:BA46)</f>
        <v>0</v>
      </c>
      <c r="J43" s="266">
        <f>SUM('6. PEP Mensual'!BB46:BM46)</f>
        <v>0</v>
      </c>
      <c r="K43" s="266">
        <f>SUM('6. PEP Mensual'!BN46:BY46)</f>
        <v>0</v>
      </c>
      <c r="L43" s="266">
        <f>SUM('6. PEP Mensual'!BZ46:CK46)</f>
        <v>0</v>
      </c>
      <c r="M43" s="148"/>
    </row>
    <row r="44" spans="1:22" s="154" customFormat="1" x14ac:dyDescent="0.2">
      <c r="A44" s="262"/>
      <c r="B44" s="263" t="s">
        <v>217</v>
      </c>
      <c r="C44" s="264">
        <f>+C35+C9</f>
        <v>185000000.00000003</v>
      </c>
      <c r="D44" s="264">
        <f t="shared" ref="D44:E44" si="13">+D35+D9</f>
        <v>49999999.999999985</v>
      </c>
      <c r="E44" s="264">
        <f t="shared" si="13"/>
        <v>235000000</v>
      </c>
      <c r="F44" s="264">
        <f>+F35+F9</f>
        <v>54940012.102786668</v>
      </c>
      <c r="G44" s="264">
        <f>+G35+G9</f>
        <v>93593583.17640917</v>
      </c>
      <c r="H44" s="264">
        <f t="shared" ref="H44:L44" si="14">+H35+H9</f>
        <v>44945608.30977226</v>
      </c>
      <c r="I44" s="264">
        <f t="shared" si="14"/>
        <v>21763388.820723403</v>
      </c>
      <c r="J44" s="264">
        <f t="shared" si="14"/>
        <v>7208613.6336519755</v>
      </c>
      <c r="K44" s="264">
        <f t="shared" si="14"/>
        <v>7049942.6930091176</v>
      </c>
      <c r="L44" s="264">
        <f t="shared" si="14"/>
        <v>5498851.2036474161</v>
      </c>
      <c r="M44" s="155"/>
    </row>
    <row r="45" spans="1:22" s="154" customFormat="1" x14ac:dyDescent="0.2">
      <c r="A45" s="262"/>
      <c r="B45" s="263" t="s">
        <v>218</v>
      </c>
      <c r="C45" s="265"/>
      <c r="D45" s="265"/>
      <c r="E45" s="265"/>
      <c r="F45" s="265">
        <f>F44</f>
        <v>54940012.102786668</v>
      </c>
      <c r="G45" s="265">
        <f>F45+G44</f>
        <v>148533595.27919585</v>
      </c>
      <c r="H45" s="265">
        <f t="shared" ref="H45:J45" si="15">G45+H44</f>
        <v>193479203.5889681</v>
      </c>
      <c r="I45" s="265">
        <f t="shared" si="15"/>
        <v>215242592.40969151</v>
      </c>
      <c r="J45" s="265">
        <f t="shared" si="15"/>
        <v>222451206.04334348</v>
      </c>
      <c r="K45" s="265">
        <f t="shared" ref="K45" si="16">J45+K44</f>
        <v>229501148.73635259</v>
      </c>
      <c r="L45" s="265">
        <f>K45+L44</f>
        <v>234999999.94</v>
      </c>
      <c r="M45" s="155"/>
    </row>
    <row r="46" spans="1:22" x14ac:dyDescent="0.2">
      <c r="F46" s="614">
        <f>F44/$E$44</f>
        <v>0.23378728554377307</v>
      </c>
      <c r="G46" s="614">
        <f t="shared" ref="G46:L46" si="17">G44/$E$44</f>
        <v>0.39827056670812411</v>
      </c>
      <c r="H46" s="614">
        <f t="shared" si="17"/>
        <v>0.19125790770115855</v>
      </c>
      <c r="I46" s="614">
        <f t="shared" si="17"/>
        <v>9.2610165194567676E-2</v>
      </c>
      <c r="J46" s="614">
        <f t="shared" si="17"/>
        <v>3.0674951632561599E-2</v>
      </c>
      <c r="K46" s="614">
        <f t="shared" si="17"/>
        <v>2.999975614046433E-2</v>
      </c>
      <c r="L46" s="614">
        <f t="shared" si="17"/>
        <v>2.3399366824031556E-2</v>
      </c>
    </row>
  </sheetData>
  <mergeCells count="1">
    <mergeCell ref="A8:B8"/>
  </mergeCells>
  <printOptions horizontalCentered="1"/>
  <pageMargins left="0.70866141732283472" right="0.70866141732283472" top="0.51181102362204722" bottom="0.27559055118110237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AB9F1-E70C-425A-B000-C84598BCBBD7}">
  <sheetPr>
    <tabColor rgb="FF0066FF"/>
  </sheetPr>
  <dimension ref="A1:XFD45"/>
  <sheetViews>
    <sheetView showGridLines="0" topLeftCell="A19" zoomScale="70" zoomScaleNormal="70" workbookViewId="0">
      <selection activeCell="B12" sqref="B12"/>
    </sheetView>
  </sheetViews>
  <sheetFormatPr defaultColWidth="11.42578125" defaultRowHeight="12.75" x14ac:dyDescent="0.2"/>
  <cols>
    <col min="1" max="1" width="11.28515625" style="414" customWidth="1"/>
    <col min="2" max="2" width="67.140625" style="404" customWidth="1"/>
    <col min="3" max="4" width="10.42578125" style="405" hidden="1" customWidth="1"/>
    <col min="5" max="5" width="14.28515625" style="406" hidden="1" customWidth="1"/>
    <col min="6" max="6" width="15" style="405" hidden="1" customWidth="1"/>
    <col min="7" max="7" width="9.140625" style="407" hidden="1" customWidth="1"/>
    <col min="8" max="8" width="9.140625" style="408" hidden="1" customWidth="1"/>
    <col min="9" max="9" width="38.140625" style="409" customWidth="1"/>
    <col min="10" max="10" width="16.85546875" style="410" customWidth="1"/>
    <col min="11" max="11" width="21" style="411" bestFit="1" customWidth="1"/>
    <col min="12" max="12" width="13.42578125" style="404" bestFit="1" customWidth="1"/>
    <col min="13" max="13" width="8.28515625" style="404" bestFit="1" customWidth="1"/>
    <col min="14" max="14" width="12.140625" style="404" customWidth="1"/>
    <col min="15" max="23" width="3.42578125" style="404" customWidth="1"/>
    <col min="24" max="24" width="4.28515625" style="404" bestFit="1" customWidth="1"/>
    <col min="25" max="25" width="3.42578125" style="404" customWidth="1"/>
    <col min="26" max="26" width="4.28515625" style="404" bestFit="1" customWidth="1"/>
    <col min="27" max="71" width="2.140625" style="404" customWidth="1"/>
    <col min="72" max="206" width="11.42578125" style="404"/>
    <col min="207" max="207" width="44.42578125" style="404" customWidth="1"/>
    <col min="208" max="208" width="13" style="404" customWidth="1"/>
    <col min="209" max="214" width="2" style="404" customWidth="1"/>
    <col min="215" max="215" width="2.42578125" style="404" customWidth="1"/>
    <col min="216" max="216" width="3" style="404" customWidth="1"/>
    <col min="217" max="219" width="2" style="404" customWidth="1"/>
    <col min="220" max="220" width="2.85546875" style="404" customWidth="1"/>
    <col min="221" max="221" width="3" style="404" customWidth="1"/>
    <col min="222" max="222" width="2.7109375" style="404" customWidth="1"/>
    <col min="223" max="223" width="2.42578125" style="404" customWidth="1"/>
    <col min="224" max="224" width="3.28515625" style="404" customWidth="1"/>
    <col min="225" max="225" width="3.5703125" style="404" customWidth="1"/>
    <col min="226" max="226" width="4" style="404" customWidth="1"/>
    <col min="227" max="227" width="3.42578125" style="404" customWidth="1"/>
    <col min="228" max="228" width="3" style="404" customWidth="1"/>
    <col min="229" max="462" width="11.42578125" style="404"/>
    <col min="463" max="463" width="44.42578125" style="404" customWidth="1"/>
    <col min="464" max="464" width="13" style="404" customWidth="1"/>
    <col min="465" max="470" width="2" style="404" customWidth="1"/>
    <col min="471" max="471" width="2.42578125" style="404" customWidth="1"/>
    <col min="472" max="472" width="3" style="404" customWidth="1"/>
    <col min="473" max="475" width="2" style="404" customWidth="1"/>
    <col min="476" max="476" width="2.85546875" style="404" customWidth="1"/>
    <col min="477" max="477" width="3" style="404" customWidth="1"/>
    <col min="478" max="478" width="2.7109375" style="404" customWidth="1"/>
    <col min="479" max="479" width="2.42578125" style="404" customWidth="1"/>
    <col min="480" max="480" width="3.28515625" style="404" customWidth="1"/>
    <col min="481" max="481" width="3.5703125" style="404" customWidth="1"/>
    <col min="482" max="482" width="4" style="404" customWidth="1"/>
    <col min="483" max="483" width="3.42578125" style="404" customWidth="1"/>
    <col min="484" max="484" width="3" style="404" customWidth="1"/>
    <col min="485" max="718" width="11.42578125" style="404"/>
    <col min="719" max="719" width="44.42578125" style="404" customWidth="1"/>
    <col min="720" max="720" width="13" style="404" customWidth="1"/>
    <col min="721" max="726" width="2" style="404" customWidth="1"/>
    <col min="727" max="727" width="2.42578125" style="404" customWidth="1"/>
    <col min="728" max="728" width="3" style="404" customWidth="1"/>
    <col min="729" max="731" width="2" style="404" customWidth="1"/>
    <col min="732" max="732" width="2.85546875" style="404" customWidth="1"/>
    <col min="733" max="733" width="3" style="404" customWidth="1"/>
    <col min="734" max="734" width="2.7109375" style="404" customWidth="1"/>
    <col min="735" max="735" width="2.42578125" style="404" customWidth="1"/>
    <col min="736" max="736" width="3.28515625" style="404" customWidth="1"/>
    <col min="737" max="737" width="3.5703125" style="404" customWidth="1"/>
    <col min="738" max="738" width="4" style="404" customWidth="1"/>
    <col min="739" max="739" width="3.42578125" style="404" customWidth="1"/>
    <col min="740" max="740" width="3" style="404" customWidth="1"/>
    <col min="741" max="974" width="11.42578125" style="404"/>
    <col min="975" max="975" width="44.42578125" style="404" customWidth="1"/>
    <col min="976" max="976" width="13" style="404" customWidth="1"/>
    <col min="977" max="982" width="2" style="404" customWidth="1"/>
    <col min="983" max="983" width="2.42578125" style="404" customWidth="1"/>
    <col min="984" max="984" width="3" style="404" customWidth="1"/>
    <col min="985" max="987" width="2" style="404" customWidth="1"/>
    <col min="988" max="988" width="2.85546875" style="404" customWidth="1"/>
    <col min="989" max="989" width="3" style="404" customWidth="1"/>
    <col min="990" max="990" width="2.7109375" style="404" customWidth="1"/>
    <col min="991" max="991" width="2.42578125" style="404" customWidth="1"/>
    <col min="992" max="992" width="3.28515625" style="404" customWidth="1"/>
    <col min="993" max="993" width="3.5703125" style="404" customWidth="1"/>
    <col min="994" max="994" width="4" style="404" customWidth="1"/>
    <col min="995" max="995" width="3.42578125" style="404" customWidth="1"/>
    <col min="996" max="996" width="3" style="404" customWidth="1"/>
    <col min="997" max="1230" width="11.42578125" style="404"/>
    <col min="1231" max="1231" width="44.42578125" style="404" customWidth="1"/>
    <col min="1232" max="1232" width="13" style="404" customWidth="1"/>
    <col min="1233" max="1238" width="2" style="404" customWidth="1"/>
    <col min="1239" max="1239" width="2.42578125" style="404" customWidth="1"/>
    <col min="1240" max="1240" width="3" style="404" customWidth="1"/>
    <col min="1241" max="1243" width="2" style="404" customWidth="1"/>
    <col min="1244" max="1244" width="2.85546875" style="404" customWidth="1"/>
    <col min="1245" max="1245" width="3" style="404" customWidth="1"/>
    <col min="1246" max="1246" width="2.7109375" style="404" customWidth="1"/>
    <col min="1247" max="1247" width="2.42578125" style="404" customWidth="1"/>
    <col min="1248" max="1248" width="3.28515625" style="404" customWidth="1"/>
    <col min="1249" max="1249" width="3.5703125" style="404" customWidth="1"/>
    <col min="1250" max="1250" width="4" style="404" customWidth="1"/>
    <col min="1251" max="1251" width="3.42578125" style="404" customWidth="1"/>
    <col min="1252" max="1252" width="3" style="404" customWidth="1"/>
    <col min="1253" max="1486" width="11.42578125" style="404"/>
    <col min="1487" max="1487" width="44.42578125" style="404" customWidth="1"/>
    <col min="1488" max="1488" width="13" style="404" customWidth="1"/>
    <col min="1489" max="1494" width="2" style="404" customWidth="1"/>
    <col min="1495" max="1495" width="2.42578125" style="404" customWidth="1"/>
    <col min="1496" max="1496" width="3" style="404" customWidth="1"/>
    <col min="1497" max="1499" width="2" style="404" customWidth="1"/>
    <col min="1500" max="1500" width="2.85546875" style="404" customWidth="1"/>
    <col min="1501" max="1501" width="3" style="404" customWidth="1"/>
    <col min="1502" max="1502" width="2.7109375" style="404" customWidth="1"/>
    <col min="1503" max="1503" width="2.42578125" style="404" customWidth="1"/>
    <col min="1504" max="1504" width="3.28515625" style="404" customWidth="1"/>
    <col min="1505" max="1505" width="3.5703125" style="404" customWidth="1"/>
    <col min="1506" max="1506" width="4" style="404" customWidth="1"/>
    <col min="1507" max="1507" width="3.42578125" style="404" customWidth="1"/>
    <col min="1508" max="1508" width="3" style="404" customWidth="1"/>
    <col min="1509" max="1742" width="11.42578125" style="404"/>
    <col min="1743" max="1743" width="44.42578125" style="404" customWidth="1"/>
    <col min="1744" max="1744" width="13" style="404" customWidth="1"/>
    <col min="1745" max="1750" width="2" style="404" customWidth="1"/>
    <col min="1751" max="1751" width="2.42578125" style="404" customWidth="1"/>
    <col min="1752" max="1752" width="3" style="404" customWidth="1"/>
    <col min="1753" max="1755" width="2" style="404" customWidth="1"/>
    <col min="1756" max="1756" width="2.85546875" style="404" customWidth="1"/>
    <col min="1757" max="1757" width="3" style="404" customWidth="1"/>
    <col min="1758" max="1758" width="2.7109375" style="404" customWidth="1"/>
    <col min="1759" max="1759" width="2.42578125" style="404" customWidth="1"/>
    <col min="1760" max="1760" width="3.28515625" style="404" customWidth="1"/>
    <col min="1761" max="1761" width="3.5703125" style="404" customWidth="1"/>
    <col min="1762" max="1762" width="4" style="404" customWidth="1"/>
    <col min="1763" max="1763" width="3.42578125" style="404" customWidth="1"/>
    <col min="1764" max="1764" width="3" style="404" customWidth="1"/>
    <col min="1765" max="1998" width="11.42578125" style="404"/>
    <col min="1999" max="1999" width="44.42578125" style="404" customWidth="1"/>
    <col min="2000" max="2000" width="13" style="404" customWidth="1"/>
    <col min="2001" max="2006" width="2" style="404" customWidth="1"/>
    <col min="2007" max="2007" width="2.42578125" style="404" customWidth="1"/>
    <col min="2008" max="2008" width="3" style="404" customWidth="1"/>
    <col min="2009" max="2011" width="2" style="404" customWidth="1"/>
    <col min="2012" max="2012" width="2.85546875" style="404" customWidth="1"/>
    <col min="2013" max="2013" width="3" style="404" customWidth="1"/>
    <col min="2014" max="2014" width="2.7109375" style="404" customWidth="1"/>
    <col min="2015" max="2015" width="2.42578125" style="404" customWidth="1"/>
    <col min="2016" max="2016" width="3.28515625" style="404" customWidth="1"/>
    <col min="2017" max="2017" width="3.5703125" style="404" customWidth="1"/>
    <col min="2018" max="2018" width="4" style="404" customWidth="1"/>
    <col min="2019" max="2019" width="3.42578125" style="404" customWidth="1"/>
    <col min="2020" max="2020" width="3" style="404" customWidth="1"/>
    <col min="2021" max="2254" width="11.42578125" style="404"/>
    <col min="2255" max="2255" width="44.42578125" style="404" customWidth="1"/>
    <col min="2256" max="2256" width="13" style="404" customWidth="1"/>
    <col min="2257" max="2262" width="2" style="404" customWidth="1"/>
    <col min="2263" max="2263" width="2.42578125" style="404" customWidth="1"/>
    <col min="2264" max="2264" width="3" style="404" customWidth="1"/>
    <col min="2265" max="2267" width="2" style="404" customWidth="1"/>
    <col min="2268" max="2268" width="2.85546875" style="404" customWidth="1"/>
    <col min="2269" max="2269" width="3" style="404" customWidth="1"/>
    <col min="2270" max="2270" width="2.7109375" style="404" customWidth="1"/>
    <col min="2271" max="2271" width="2.42578125" style="404" customWidth="1"/>
    <col min="2272" max="2272" width="3.28515625" style="404" customWidth="1"/>
    <col min="2273" max="2273" width="3.5703125" style="404" customWidth="1"/>
    <col min="2274" max="2274" width="4" style="404" customWidth="1"/>
    <col min="2275" max="2275" width="3.42578125" style="404" customWidth="1"/>
    <col min="2276" max="2276" width="3" style="404" customWidth="1"/>
    <col min="2277" max="2510" width="11.42578125" style="404"/>
    <col min="2511" max="2511" width="44.42578125" style="404" customWidth="1"/>
    <col min="2512" max="2512" width="13" style="404" customWidth="1"/>
    <col min="2513" max="2518" width="2" style="404" customWidth="1"/>
    <col min="2519" max="2519" width="2.42578125" style="404" customWidth="1"/>
    <col min="2520" max="2520" width="3" style="404" customWidth="1"/>
    <col min="2521" max="2523" width="2" style="404" customWidth="1"/>
    <col min="2524" max="2524" width="2.85546875" style="404" customWidth="1"/>
    <col min="2525" max="2525" width="3" style="404" customWidth="1"/>
    <col min="2526" max="2526" width="2.7109375" style="404" customWidth="1"/>
    <col min="2527" max="2527" width="2.42578125" style="404" customWidth="1"/>
    <col min="2528" max="2528" width="3.28515625" style="404" customWidth="1"/>
    <col min="2529" max="2529" width="3.5703125" style="404" customWidth="1"/>
    <col min="2530" max="2530" width="4" style="404" customWidth="1"/>
    <col min="2531" max="2531" width="3.42578125" style="404" customWidth="1"/>
    <col min="2532" max="2532" width="3" style="404" customWidth="1"/>
    <col min="2533" max="2766" width="11.42578125" style="404"/>
    <col min="2767" max="2767" width="44.42578125" style="404" customWidth="1"/>
    <col min="2768" max="2768" width="13" style="404" customWidth="1"/>
    <col min="2769" max="2774" width="2" style="404" customWidth="1"/>
    <col min="2775" max="2775" width="2.42578125" style="404" customWidth="1"/>
    <col min="2776" max="2776" width="3" style="404" customWidth="1"/>
    <col min="2777" max="2779" width="2" style="404" customWidth="1"/>
    <col min="2780" max="2780" width="2.85546875" style="404" customWidth="1"/>
    <col min="2781" max="2781" width="3" style="404" customWidth="1"/>
    <col min="2782" max="2782" width="2.7109375" style="404" customWidth="1"/>
    <col min="2783" max="2783" width="2.42578125" style="404" customWidth="1"/>
    <col min="2784" max="2784" width="3.28515625" style="404" customWidth="1"/>
    <col min="2785" max="2785" width="3.5703125" style="404" customWidth="1"/>
    <col min="2786" max="2786" width="4" style="404" customWidth="1"/>
    <col min="2787" max="2787" width="3.42578125" style="404" customWidth="1"/>
    <col min="2788" max="2788" width="3" style="404" customWidth="1"/>
    <col min="2789" max="3022" width="11.42578125" style="404"/>
    <col min="3023" max="3023" width="44.42578125" style="404" customWidth="1"/>
    <col min="3024" max="3024" width="13" style="404" customWidth="1"/>
    <col min="3025" max="3030" width="2" style="404" customWidth="1"/>
    <col min="3031" max="3031" width="2.42578125" style="404" customWidth="1"/>
    <col min="3032" max="3032" width="3" style="404" customWidth="1"/>
    <col min="3033" max="3035" width="2" style="404" customWidth="1"/>
    <col min="3036" max="3036" width="2.85546875" style="404" customWidth="1"/>
    <col min="3037" max="3037" width="3" style="404" customWidth="1"/>
    <col min="3038" max="3038" width="2.7109375" style="404" customWidth="1"/>
    <col min="3039" max="3039" width="2.42578125" style="404" customWidth="1"/>
    <col min="3040" max="3040" width="3.28515625" style="404" customWidth="1"/>
    <col min="3041" max="3041" width="3.5703125" style="404" customWidth="1"/>
    <col min="3042" max="3042" width="4" style="404" customWidth="1"/>
    <col min="3043" max="3043" width="3.42578125" style="404" customWidth="1"/>
    <col min="3044" max="3044" width="3" style="404" customWidth="1"/>
    <col min="3045" max="3278" width="11.42578125" style="404"/>
    <col min="3279" max="3279" width="44.42578125" style="404" customWidth="1"/>
    <col min="3280" max="3280" width="13" style="404" customWidth="1"/>
    <col min="3281" max="3286" width="2" style="404" customWidth="1"/>
    <col min="3287" max="3287" width="2.42578125" style="404" customWidth="1"/>
    <col min="3288" max="3288" width="3" style="404" customWidth="1"/>
    <col min="3289" max="3291" width="2" style="404" customWidth="1"/>
    <col min="3292" max="3292" width="2.85546875" style="404" customWidth="1"/>
    <col min="3293" max="3293" width="3" style="404" customWidth="1"/>
    <col min="3294" max="3294" width="2.7109375" style="404" customWidth="1"/>
    <col min="3295" max="3295" width="2.42578125" style="404" customWidth="1"/>
    <col min="3296" max="3296" width="3.28515625" style="404" customWidth="1"/>
    <col min="3297" max="3297" width="3.5703125" style="404" customWidth="1"/>
    <col min="3298" max="3298" width="4" style="404" customWidth="1"/>
    <col min="3299" max="3299" width="3.42578125" style="404" customWidth="1"/>
    <col min="3300" max="3300" width="3" style="404" customWidth="1"/>
    <col min="3301" max="3534" width="11.42578125" style="404"/>
    <col min="3535" max="3535" width="44.42578125" style="404" customWidth="1"/>
    <col min="3536" max="3536" width="13" style="404" customWidth="1"/>
    <col min="3537" max="3542" width="2" style="404" customWidth="1"/>
    <col min="3543" max="3543" width="2.42578125" style="404" customWidth="1"/>
    <col min="3544" max="3544" width="3" style="404" customWidth="1"/>
    <col min="3545" max="3547" width="2" style="404" customWidth="1"/>
    <col min="3548" max="3548" width="2.85546875" style="404" customWidth="1"/>
    <col min="3549" max="3549" width="3" style="404" customWidth="1"/>
    <col min="3550" max="3550" width="2.7109375" style="404" customWidth="1"/>
    <col min="3551" max="3551" width="2.42578125" style="404" customWidth="1"/>
    <col min="3552" max="3552" width="3.28515625" style="404" customWidth="1"/>
    <col min="3553" max="3553" width="3.5703125" style="404" customWidth="1"/>
    <col min="3554" max="3554" width="4" style="404" customWidth="1"/>
    <col min="3555" max="3555" width="3.42578125" style="404" customWidth="1"/>
    <col min="3556" max="3556" width="3" style="404" customWidth="1"/>
    <col min="3557" max="3790" width="11.42578125" style="404"/>
    <col min="3791" max="3791" width="44.42578125" style="404" customWidth="1"/>
    <col min="3792" max="3792" width="13" style="404" customWidth="1"/>
    <col min="3793" max="3798" width="2" style="404" customWidth="1"/>
    <col min="3799" max="3799" width="2.42578125" style="404" customWidth="1"/>
    <col min="3800" max="3800" width="3" style="404" customWidth="1"/>
    <col min="3801" max="3803" width="2" style="404" customWidth="1"/>
    <col min="3804" max="3804" width="2.85546875" style="404" customWidth="1"/>
    <col min="3805" max="3805" width="3" style="404" customWidth="1"/>
    <col min="3806" max="3806" width="2.7109375" style="404" customWidth="1"/>
    <col min="3807" max="3807" width="2.42578125" style="404" customWidth="1"/>
    <col min="3808" max="3808" width="3.28515625" style="404" customWidth="1"/>
    <col min="3809" max="3809" width="3.5703125" style="404" customWidth="1"/>
    <col min="3810" max="3810" width="4" style="404" customWidth="1"/>
    <col min="3811" max="3811" width="3.42578125" style="404" customWidth="1"/>
    <col min="3812" max="3812" width="3" style="404" customWidth="1"/>
    <col min="3813" max="4046" width="11.42578125" style="404"/>
    <col min="4047" max="4047" width="44.42578125" style="404" customWidth="1"/>
    <col min="4048" max="4048" width="13" style="404" customWidth="1"/>
    <col min="4049" max="4054" width="2" style="404" customWidth="1"/>
    <col min="4055" max="4055" width="2.42578125" style="404" customWidth="1"/>
    <col min="4056" max="4056" width="3" style="404" customWidth="1"/>
    <col min="4057" max="4059" width="2" style="404" customWidth="1"/>
    <col min="4060" max="4060" width="2.85546875" style="404" customWidth="1"/>
    <col min="4061" max="4061" width="3" style="404" customWidth="1"/>
    <col min="4062" max="4062" width="2.7109375" style="404" customWidth="1"/>
    <col min="4063" max="4063" width="2.42578125" style="404" customWidth="1"/>
    <col min="4064" max="4064" width="3.28515625" style="404" customWidth="1"/>
    <col min="4065" max="4065" width="3.5703125" style="404" customWidth="1"/>
    <col min="4066" max="4066" width="4" style="404" customWidth="1"/>
    <col min="4067" max="4067" width="3.42578125" style="404" customWidth="1"/>
    <col min="4068" max="4068" width="3" style="404" customWidth="1"/>
    <col min="4069" max="4302" width="11.42578125" style="404"/>
    <col min="4303" max="4303" width="44.42578125" style="404" customWidth="1"/>
    <col min="4304" max="4304" width="13" style="404" customWidth="1"/>
    <col min="4305" max="4310" width="2" style="404" customWidth="1"/>
    <col min="4311" max="4311" width="2.42578125" style="404" customWidth="1"/>
    <col min="4312" max="4312" width="3" style="404" customWidth="1"/>
    <col min="4313" max="4315" width="2" style="404" customWidth="1"/>
    <col min="4316" max="4316" width="2.85546875" style="404" customWidth="1"/>
    <col min="4317" max="4317" width="3" style="404" customWidth="1"/>
    <col min="4318" max="4318" width="2.7109375" style="404" customWidth="1"/>
    <col min="4319" max="4319" width="2.42578125" style="404" customWidth="1"/>
    <col min="4320" max="4320" width="3.28515625" style="404" customWidth="1"/>
    <col min="4321" max="4321" width="3.5703125" style="404" customWidth="1"/>
    <col min="4322" max="4322" width="4" style="404" customWidth="1"/>
    <col min="4323" max="4323" width="3.42578125" style="404" customWidth="1"/>
    <col min="4324" max="4324" width="3" style="404" customWidth="1"/>
    <col min="4325" max="4558" width="11.42578125" style="404"/>
    <col min="4559" max="4559" width="44.42578125" style="404" customWidth="1"/>
    <col min="4560" max="4560" width="13" style="404" customWidth="1"/>
    <col min="4561" max="4566" width="2" style="404" customWidth="1"/>
    <col min="4567" max="4567" width="2.42578125" style="404" customWidth="1"/>
    <col min="4568" max="4568" width="3" style="404" customWidth="1"/>
    <col min="4569" max="4571" width="2" style="404" customWidth="1"/>
    <col min="4572" max="4572" width="2.85546875" style="404" customWidth="1"/>
    <col min="4573" max="4573" width="3" style="404" customWidth="1"/>
    <col min="4574" max="4574" width="2.7109375" style="404" customWidth="1"/>
    <col min="4575" max="4575" width="2.42578125" style="404" customWidth="1"/>
    <col min="4576" max="4576" width="3.28515625" style="404" customWidth="1"/>
    <col min="4577" max="4577" width="3.5703125" style="404" customWidth="1"/>
    <col min="4578" max="4578" width="4" style="404" customWidth="1"/>
    <col min="4579" max="4579" width="3.42578125" style="404" customWidth="1"/>
    <col min="4580" max="4580" width="3" style="404" customWidth="1"/>
    <col min="4581" max="4814" width="11.42578125" style="404"/>
    <col min="4815" max="4815" width="44.42578125" style="404" customWidth="1"/>
    <col min="4816" max="4816" width="13" style="404" customWidth="1"/>
    <col min="4817" max="4822" width="2" style="404" customWidth="1"/>
    <col min="4823" max="4823" width="2.42578125" style="404" customWidth="1"/>
    <col min="4824" max="4824" width="3" style="404" customWidth="1"/>
    <col min="4825" max="4827" width="2" style="404" customWidth="1"/>
    <col min="4828" max="4828" width="2.85546875" style="404" customWidth="1"/>
    <col min="4829" max="4829" width="3" style="404" customWidth="1"/>
    <col min="4830" max="4830" width="2.7109375" style="404" customWidth="1"/>
    <col min="4831" max="4831" width="2.42578125" style="404" customWidth="1"/>
    <col min="4832" max="4832" width="3.28515625" style="404" customWidth="1"/>
    <col min="4833" max="4833" width="3.5703125" style="404" customWidth="1"/>
    <col min="4834" max="4834" width="4" style="404" customWidth="1"/>
    <col min="4835" max="4835" width="3.42578125" style="404" customWidth="1"/>
    <col min="4836" max="4836" width="3" style="404" customWidth="1"/>
    <col min="4837" max="5070" width="11.42578125" style="404"/>
    <col min="5071" max="5071" width="44.42578125" style="404" customWidth="1"/>
    <col min="5072" max="5072" width="13" style="404" customWidth="1"/>
    <col min="5073" max="5078" width="2" style="404" customWidth="1"/>
    <col min="5079" max="5079" width="2.42578125" style="404" customWidth="1"/>
    <col min="5080" max="5080" width="3" style="404" customWidth="1"/>
    <col min="5081" max="5083" width="2" style="404" customWidth="1"/>
    <col min="5084" max="5084" width="2.85546875" style="404" customWidth="1"/>
    <col min="5085" max="5085" width="3" style="404" customWidth="1"/>
    <col min="5086" max="5086" width="2.7109375" style="404" customWidth="1"/>
    <col min="5087" max="5087" width="2.42578125" style="404" customWidth="1"/>
    <col min="5088" max="5088" width="3.28515625" style="404" customWidth="1"/>
    <col min="5089" max="5089" width="3.5703125" style="404" customWidth="1"/>
    <col min="5090" max="5090" width="4" style="404" customWidth="1"/>
    <col min="5091" max="5091" width="3.42578125" style="404" customWidth="1"/>
    <col min="5092" max="5092" width="3" style="404" customWidth="1"/>
    <col min="5093" max="5326" width="11.42578125" style="404"/>
    <col min="5327" max="5327" width="44.42578125" style="404" customWidth="1"/>
    <col min="5328" max="5328" width="13" style="404" customWidth="1"/>
    <col min="5329" max="5334" width="2" style="404" customWidth="1"/>
    <col min="5335" max="5335" width="2.42578125" style="404" customWidth="1"/>
    <col min="5336" max="5336" width="3" style="404" customWidth="1"/>
    <col min="5337" max="5339" width="2" style="404" customWidth="1"/>
    <col min="5340" max="5340" width="2.85546875" style="404" customWidth="1"/>
    <col min="5341" max="5341" width="3" style="404" customWidth="1"/>
    <col min="5342" max="5342" width="2.7109375" style="404" customWidth="1"/>
    <col min="5343" max="5343" width="2.42578125" style="404" customWidth="1"/>
    <col min="5344" max="5344" width="3.28515625" style="404" customWidth="1"/>
    <col min="5345" max="5345" width="3.5703125" style="404" customWidth="1"/>
    <col min="5346" max="5346" width="4" style="404" customWidth="1"/>
    <col min="5347" max="5347" width="3.42578125" style="404" customWidth="1"/>
    <col min="5348" max="5348" width="3" style="404" customWidth="1"/>
    <col min="5349" max="5582" width="11.42578125" style="404"/>
    <col min="5583" max="5583" width="44.42578125" style="404" customWidth="1"/>
    <col min="5584" max="5584" width="13" style="404" customWidth="1"/>
    <col min="5585" max="5590" width="2" style="404" customWidth="1"/>
    <col min="5591" max="5591" width="2.42578125" style="404" customWidth="1"/>
    <col min="5592" max="5592" width="3" style="404" customWidth="1"/>
    <col min="5593" max="5595" width="2" style="404" customWidth="1"/>
    <col min="5596" max="5596" width="2.85546875" style="404" customWidth="1"/>
    <col min="5597" max="5597" width="3" style="404" customWidth="1"/>
    <col min="5598" max="5598" width="2.7109375" style="404" customWidth="1"/>
    <col min="5599" max="5599" width="2.42578125" style="404" customWidth="1"/>
    <col min="5600" max="5600" width="3.28515625" style="404" customWidth="1"/>
    <col min="5601" max="5601" width="3.5703125" style="404" customWidth="1"/>
    <col min="5602" max="5602" width="4" style="404" customWidth="1"/>
    <col min="5603" max="5603" width="3.42578125" style="404" customWidth="1"/>
    <col min="5604" max="5604" width="3" style="404" customWidth="1"/>
    <col min="5605" max="5838" width="11.42578125" style="404"/>
    <col min="5839" max="5839" width="44.42578125" style="404" customWidth="1"/>
    <col min="5840" max="5840" width="13" style="404" customWidth="1"/>
    <col min="5841" max="5846" width="2" style="404" customWidth="1"/>
    <col min="5847" max="5847" width="2.42578125" style="404" customWidth="1"/>
    <col min="5848" max="5848" width="3" style="404" customWidth="1"/>
    <col min="5849" max="5851" width="2" style="404" customWidth="1"/>
    <col min="5852" max="5852" width="2.85546875" style="404" customWidth="1"/>
    <col min="5853" max="5853" width="3" style="404" customWidth="1"/>
    <col min="5854" max="5854" width="2.7109375" style="404" customWidth="1"/>
    <col min="5855" max="5855" width="2.42578125" style="404" customWidth="1"/>
    <col min="5856" max="5856" width="3.28515625" style="404" customWidth="1"/>
    <col min="5857" max="5857" width="3.5703125" style="404" customWidth="1"/>
    <col min="5858" max="5858" width="4" style="404" customWidth="1"/>
    <col min="5859" max="5859" width="3.42578125" style="404" customWidth="1"/>
    <col min="5860" max="5860" width="3" style="404" customWidth="1"/>
    <col min="5861" max="6094" width="11.42578125" style="404"/>
    <col min="6095" max="6095" width="44.42578125" style="404" customWidth="1"/>
    <col min="6096" max="6096" width="13" style="404" customWidth="1"/>
    <col min="6097" max="6102" width="2" style="404" customWidth="1"/>
    <col min="6103" max="6103" width="2.42578125" style="404" customWidth="1"/>
    <col min="6104" max="6104" width="3" style="404" customWidth="1"/>
    <col min="6105" max="6107" width="2" style="404" customWidth="1"/>
    <col min="6108" max="6108" width="2.85546875" style="404" customWidth="1"/>
    <col min="6109" max="6109" width="3" style="404" customWidth="1"/>
    <col min="6110" max="6110" width="2.7109375" style="404" customWidth="1"/>
    <col min="6111" max="6111" width="2.42578125" style="404" customWidth="1"/>
    <col min="6112" max="6112" width="3.28515625" style="404" customWidth="1"/>
    <col min="6113" max="6113" width="3.5703125" style="404" customWidth="1"/>
    <col min="6114" max="6114" width="4" style="404" customWidth="1"/>
    <col min="6115" max="6115" width="3.42578125" style="404" customWidth="1"/>
    <col min="6116" max="6116" width="3" style="404" customWidth="1"/>
    <col min="6117" max="6350" width="11.42578125" style="404"/>
    <col min="6351" max="6351" width="44.42578125" style="404" customWidth="1"/>
    <col min="6352" max="6352" width="13" style="404" customWidth="1"/>
    <col min="6353" max="6358" width="2" style="404" customWidth="1"/>
    <col min="6359" max="6359" width="2.42578125" style="404" customWidth="1"/>
    <col min="6360" max="6360" width="3" style="404" customWidth="1"/>
    <col min="6361" max="6363" width="2" style="404" customWidth="1"/>
    <col min="6364" max="6364" width="2.85546875" style="404" customWidth="1"/>
    <col min="6365" max="6365" width="3" style="404" customWidth="1"/>
    <col min="6366" max="6366" width="2.7109375" style="404" customWidth="1"/>
    <col min="6367" max="6367" width="2.42578125" style="404" customWidth="1"/>
    <col min="6368" max="6368" width="3.28515625" style="404" customWidth="1"/>
    <col min="6369" max="6369" width="3.5703125" style="404" customWidth="1"/>
    <col min="6370" max="6370" width="4" style="404" customWidth="1"/>
    <col min="6371" max="6371" width="3.42578125" style="404" customWidth="1"/>
    <col min="6372" max="6372" width="3" style="404" customWidth="1"/>
    <col min="6373" max="6606" width="11.42578125" style="404"/>
    <col min="6607" max="6607" width="44.42578125" style="404" customWidth="1"/>
    <col min="6608" max="6608" width="13" style="404" customWidth="1"/>
    <col min="6609" max="6614" width="2" style="404" customWidth="1"/>
    <col min="6615" max="6615" width="2.42578125" style="404" customWidth="1"/>
    <col min="6616" max="6616" width="3" style="404" customWidth="1"/>
    <col min="6617" max="6619" width="2" style="404" customWidth="1"/>
    <col min="6620" max="6620" width="2.85546875" style="404" customWidth="1"/>
    <col min="6621" max="6621" width="3" style="404" customWidth="1"/>
    <col min="6622" max="6622" width="2.7109375" style="404" customWidth="1"/>
    <col min="6623" max="6623" width="2.42578125" style="404" customWidth="1"/>
    <col min="6624" max="6624" width="3.28515625" style="404" customWidth="1"/>
    <col min="6625" max="6625" width="3.5703125" style="404" customWidth="1"/>
    <col min="6626" max="6626" width="4" style="404" customWidth="1"/>
    <col min="6627" max="6627" width="3.42578125" style="404" customWidth="1"/>
    <col min="6628" max="6628" width="3" style="404" customWidth="1"/>
    <col min="6629" max="6862" width="11.42578125" style="404"/>
    <col min="6863" max="6863" width="44.42578125" style="404" customWidth="1"/>
    <col min="6864" max="6864" width="13" style="404" customWidth="1"/>
    <col min="6865" max="6870" width="2" style="404" customWidth="1"/>
    <col min="6871" max="6871" width="2.42578125" style="404" customWidth="1"/>
    <col min="6872" max="6872" width="3" style="404" customWidth="1"/>
    <col min="6873" max="6875" width="2" style="404" customWidth="1"/>
    <col min="6876" max="6876" width="2.85546875" style="404" customWidth="1"/>
    <col min="6877" max="6877" width="3" style="404" customWidth="1"/>
    <col min="6878" max="6878" width="2.7109375" style="404" customWidth="1"/>
    <col min="6879" max="6879" width="2.42578125" style="404" customWidth="1"/>
    <col min="6880" max="6880" width="3.28515625" style="404" customWidth="1"/>
    <col min="6881" max="6881" width="3.5703125" style="404" customWidth="1"/>
    <col min="6882" max="6882" width="4" style="404" customWidth="1"/>
    <col min="6883" max="6883" width="3.42578125" style="404" customWidth="1"/>
    <col min="6884" max="6884" width="3" style="404" customWidth="1"/>
    <col min="6885" max="7118" width="11.42578125" style="404"/>
    <col min="7119" max="7119" width="44.42578125" style="404" customWidth="1"/>
    <col min="7120" max="7120" width="13" style="404" customWidth="1"/>
    <col min="7121" max="7126" width="2" style="404" customWidth="1"/>
    <col min="7127" max="7127" width="2.42578125" style="404" customWidth="1"/>
    <col min="7128" max="7128" width="3" style="404" customWidth="1"/>
    <col min="7129" max="7131" width="2" style="404" customWidth="1"/>
    <col min="7132" max="7132" width="2.85546875" style="404" customWidth="1"/>
    <col min="7133" max="7133" width="3" style="404" customWidth="1"/>
    <col min="7134" max="7134" width="2.7109375" style="404" customWidth="1"/>
    <col min="7135" max="7135" width="2.42578125" style="404" customWidth="1"/>
    <col min="7136" max="7136" width="3.28515625" style="404" customWidth="1"/>
    <col min="7137" max="7137" width="3.5703125" style="404" customWidth="1"/>
    <col min="7138" max="7138" width="4" style="404" customWidth="1"/>
    <col min="7139" max="7139" width="3.42578125" style="404" customWidth="1"/>
    <col min="7140" max="7140" width="3" style="404" customWidth="1"/>
    <col min="7141" max="7374" width="11.42578125" style="404"/>
    <col min="7375" max="7375" width="44.42578125" style="404" customWidth="1"/>
    <col min="7376" max="7376" width="13" style="404" customWidth="1"/>
    <col min="7377" max="7382" width="2" style="404" customWidth="1"/>
    <col min="7383" max="7383" width="2.42578125" style="404" customWidth="1"/>
    <col min="7384" max="7384" width="3" style="404" customWidth="1"/>
    <col min="7385" max="7387" width="2" style="404" customWidth="1"/>
    <col min="7388" max="7388" width="2.85546875" style="404" customWidth="1"/>
    <col min="7389" max="7389" width="3" style="404" customWidth="1"/>
    <col min="7390" max="7390" width="2.7109375" style="404" customWidth="1"/>
    <col min="7391" max="7391" width="2.42578125" style="404" customWidth="1"/>
    <col min="7392" max="7392" width="3.28515625" style="404" customWidth="1"/>
    <col min="7393" max="7393" width="3.5703125" style="404" customWidth="1"/>
    <col min="7394" max="7394" width="4" style="404" customWidth="1"/>
    <col min="7395" max="7395" width="3.42578125" style="404" customWidth="1"/>
    <col min="7396" max="7396" width="3" style="404" customWidth="1"/>
    <col min="7397" max="7630" width="11.42578125" style="404"/>
    <col min="7631" max="7631" width="44.42578125" style="404" customWidth="1"/>
    <col min="7632" max="7632" width="13" style="404" customWidth="1"/>
    <col min="7633" max="7638" width="2" style="404" customWidth="1"/>
    <col min="7639" max="7639" width="2.42578125" style="404" customWidth="1"/>
    <col min="7640" max="7640" width="3" style="404" customWidth="1"/>
    <col min="7641" max="7643" width="2" style="404" customWidth="1"/>
    <col min="7644" max="7644" width="2.85546875" style="404" customWidth="1"/>
    <col min="7645" max="7645" width="3" style="404" customWidth="1"/>
    <col min="7646" max="7646" width="2.7109375" style="404" customWidth="1"/>
    <col min="7647" max="7647" width="2.42578125" style="404" customWidth="1"/>
    <col min="7648" max="7648" width="3.28515625" style="404" customWidth="1"/>
    <col min="7649" max="7649" width="3.5703125" style="404" customWidth="1"/>
    <col min="7650" max="7650" width="4" style="404" customWidth="1"/>
    <col min="7651" max="7651" width="3.42578125" style="404" customWidth="1"/>
    <col min="7652" max="7652" width="3" style="404" customWidth="1"/>
    <col min="7653" max="7886" width="11.42578125" style="404"/>
    <col min="7887" max="7887" width="44.42578125" style="404" customWidth="1"/>
    <col min="7888" max="7888" width="13" style="404" customWidth="1"/>
    <col min="7889" max="7894" width="2" style="404" customWidth="1"/>
    <col min="7895" max="7895" width="2.42578125" style="404" customWidth="1"/>
    <col min="7896" max="7896" width="3" style="404" customWidth="1"/>
    <col min="7897" max="7899" width="2" style="404" customWidth="1"/>
    <col min="7900" max="7900" width="2.85546875" style="404" customWidth="1"/>
    <col min="7901" max="7901" width="3" style="404" customWidth="1"/>
    <col min="7902" max="7902" width="2.7109375" style="404" customWidth="1"/>
    <col min="7903" max="7903" width="2.42578125" style="404" customWidth="1"/>
    <col min="7904" max="7904" width="3.28515625" style="404" customWidth="1"/>
    <col min="7905" max="7905" width="3.5703125" style="404" customWidth="1"/>
    <col min="7906" max="7906" width="4" style="404" customWidth="1"/>
    <col min="7907" max="7907" width="3.42578125" style="404" customWidth="1"/>
    <col min="7908" max="7908" width="3" style="404" customWidth="1"/>
    <col min="7909" max="8142" width="11.42578125" style="404"/>
    <col min="8143" max="8143" width="44.42578125" style="404" customWidth="1"/>
    <col min="8144" max="8144" width="13" style="404" customWidth="1"/>
    <col min="8145" max="8150" width="2" style="404" customWidth="1"/>
    <col min="8151" max="8151" width="2.42578125" style="404" customWidth="1"/>
    <col min="8152" max="8152" width="3" style="404" customWidth="1"/>
    <col min="8153" max="8155" width="2" style="404" customWidth="1"/>
    <col min="8156" max="8156" width="2.85546875" style="404" customWidth="1"/>
    <col min="8157" max="8157" width="3" style="404" customWidth="1"/>
    <col min="8158" max="8158" width="2.7109375" style="404" customWidth="1"/>
    <col min="8159" max="8159" width="2.42578125" style="404" customWidth="1"/>
    <col min="8160" max="8160" width="3.28515625" style="404" customWidth="1"/>
    <col min="8161" max="8161" width="3.5703125" style="404" customWidth="1"/>
    <col min="8162" max="8162" width="4" style="404" customWidth="1"/>
    <col min="8163" max="8163" width="3.42578125" style="404" customWidth="1"/>
    <col min="8164" max="8164" width="3" style="404" customWidth="1"/>
    <col min="8165" max="8398" width="11.42578125" style="404"/>
    <col min="8399" max="8399" width="44.42578125" style="404" customWidth="1"/>
    <col min="8400" max="8400" width="13" style="404" customWidth="1"/>
    <col min="8401" max="8406" width="2" style="404" customWidth="1"/>
    <col min="8407" max="8407" width="2.42578125" style="404" customWidth="1"/>
    <col min="8408" max="8408" width="3" style="404" customWidth="1"/>
    <col min="8409" max="8411" width="2" style="404" customWidth="1"/>
    <col min="8412" max="8412" width="2.85546875" style="404" customWidth="1"/>
    <col min="8413" max="8413" width="3" style="404" customWidth="1"/>
    <col min="8414" max="8414" width="2.7109375" style="404" customWidth="1"/>
    <col min="8415" max="8415" width="2.42578125" style="404" customWidth="1"/>
    <col min="8416" max="8416" width="3.28515625" style="404" customWidth="1"/>
    <col min="8417" max="8417" width="3.5703125" style="404" customWidth="1"/>
    <col min="8418" max="8418" width="4" style="404" customWidth="1"/>
    <col min="8419" max="8419" width="3.42578125" style="404" customWidth="1"/>
    <col min="8420" max="8420" width="3" style="404" customWidth="1"/>
    <col min="8421" max="8654" width="11.42578125" style="404"/>
    <col min="8655" max="8655" width="44.42578125" style="404" customWidth="1"/>
    <col min="8656" max="8656" width="13" style="404" customWidth="1"/>
    <col min="8657" max="8662" width="2" style="404" customWidth="1"/>
    <col min="8663" max="8663" width="2.42578125" style="404" customWidth="1"/>
    <col min="8664" max="8664" width="3" style="404" customWidth="1"/>
    <col min="8665" max="8667" width="2" style="404" customWidth="1"/>
    <col min="8668" max="8668" width="2.85546875" style="404" customWidth="1"/>
    <col min="8669" max="8669" width="3" style="404" customWidth="1"/>
    <col min="8670" max="8670" width="2.7109375" style="404" customWidth="1"/>
    <col min="8671" max="8671" width="2.42578125" style="404" customWidth="1"/>
    <col min="8672" max="8672" width="3.28515625" style="404" customWidth="1"/>
    <col min="8673" max="8673" width="3.5703125" style="404" customWidth="1"/>
    <col min="8674" max="8674" width="4" style="404" customWidth="1"/>
    <col min="8675" max="8675" width="3.42578125" style="404" customWidth="1"/>
    <col min="8676" max="8676" width="3" style="404" customWidth="1"/>
    <col min="8677" max="8910" width="11.42578125" style="404"/>
    <col min="8911" max="8911" width="44.42578125" style="404" customWidth="1"/>
    <col min="8912" max="8912" width="13" style="404" customWidth="1"/>
    <col min="8913" max="8918" width="2" style="404" customWidth="1"/>
    <col min="8919" max="8919" width="2.42578125" style="404" customWidth="1"/>
    <col min="8920" max="8920" width="3" style="404" customWidth="1"/>
    <col min="8921" max="8923" width="2" style="404" customWidth="1"/>
    <col min="8924" max="8924" width="2.85546875" style="404" customWidth="1"/>
    <col min="8925" max="8925" width="3" style="404" customWidth="1"/>
    <col min="8926" max="8926" width="2.7109375" style="404" customWidth="1"/>
    <col min="8927" max="8927" width="2.42578125" style="404" customWidth="1"/>
    <col min="8928" max="8928" width="3.28515625" style="404" customWidth="1"/>
    <col min="8929" max="8929" width="3.5703125" style="404" customWidth="1"/>
    <col min="8930" max="8930" width="4" style="404" customWidth="1"/>
    <col min="8931" max="8931" width="3.42578125" style="404" customWidth="1"/>
    <col min="8932" max="8932" width="3" style="404" customWidth="1"/>
    <col min="8933" max="9166" width="11.42578125" style="404"/>
    <col min="9167" max="9167" width="44.42578125" style="404" customWidth="1"/>
    <col min="9168" max="9168" width="13" style="404" customWidth="1"/>
    <col min="9169" max="9174" width="2" style="404" customWidth="1"/>
    <col min="9175" max="9175" width="2.42578125" style="404" customWidth="1"/>
    <col min="9176" max="9176" width="3" style="404" customWidth="1"/>
    <col min="9177" max="9179" width="2" style="404" customWidth="1"/>
    <col min="9180" max="9180" width="2.85546875" style="404" customWidth="1"/>
    <col min="9181" max="9181" width="3" style="404" customWidth="1"/>
    <col min="9182" max="9182" width="2.7109375" style="404" customWidth="1"/>
    <col min="9183" max="9183" width="2.42578125" style="404" customWidth="1"/>
    <col min="9184" max="9184" width="3.28515625" style="404" customWidth="1"/>
    <col min="9185" max="9185" width="3.5703125" style="404" customWidth="1"/>
    <col min="9186" max="9186" width="4" style="404" customWidth="1"/>
    <col min="9187" max="9187" width="3.42578125" style="404" customWidth="1"/>
    <col min="9188" max="9188" width="3" style="404" customWidth="1"/>
    <col min="9189" max="9422" width="11.42578125" style="404"/>
    <col min="9423" max="9423" width="44.42578125" style="404" customWidth="1"/>
    <col min="9424" max="9424" width="13" style="404" customWidth="1"/>
    <col min="9425" max="9430" width="2" style="404" customWidth="1"/>
    <col min="9431" max="9431" width="2.42578125" style="404" customWidth="1"/>
    <col min="9432" max="9432" width="3" style="404" customWidth="1"/>
    <col min="9433" max="9435" width="2" style="404" customWidth="1"/>
    <col min="9436" max="9436" width="2.85546875" style="404" customWidth="1"/>
    <col min="9437" max="9437" width="3" style="404" customWidth="1"/>
    <col min="9438" max="9438" width="2.7109375" style="404" customWidth="1"/>
    <col min="9439" max="9439" width="2.42578125" style="404" customWidth="1"/>
    <col min="9440" max="9440" width="3.28515625" style="404" customWidth="1"/>
    <col min="9441" max="9441" width="3.5703125" style="404" customWidth="1"/>
    <col min="9442" max="9442" width="4" style="404" customWidth="1"/>
    <col min="9443" max="9443" width="3.42578125" style="404" customWidth="1"/>
    <col min="9444" max="9444" width="3" style="404" customWidth="1"/>
    <col min="9445" max="9678" width="11.42578125" style="404"/>
    <col min="9679" max="9679" width="44.42578125" style="404" customWidth="1"/>
    <col min="9680" max="9680" width="13" style="404" customWidth="1"/>
    <col min="9681" max="9686" width="2" style="404" customWidth="1"/>
    <col min="9687" max="9687" width="2.42578125" style="404" customWidth="1"/>
    <col min="9688" max="9688" width="3" style="404" customWidth="1"/>
    <col min="9689" max="9691" width="2" style="404" customWidth="1"/>
    <col min="9692" max="9692" width="2.85546875" style="404" customWidth="1"/>
    <col min="9693" max="9693" width="3" style="404" customWidth="1"/>
    <col min="9694" max="9694" width="2.7109375" style="404" customWidth="1"/>
    <col min="9695" max="9695" width="2.42578125" style="404" customWidth="1"/>
    <col min="9696" max="9696" width="3.28515625" style="404" customWidth="1"/>
    <col min="9697" max="9697" width="3.5703125" style="404" customWidth="1"/>
    <col min="9698" max="9698" width="4" style="404" customWidth="1"/>
    <col min="9699" max="9699" width="3.42578125" style="404" customWidth="1"/>
    <col min="9700" max="9700" width="3" style="404" customWidth="1"/>
    <col min="9701" max="9934" width="11.42578125" style="404"/>
    <col min="9935" max="9935" width="44.42578125" style="404" customWidth="1"/>
    <col min="9936" max="9936" width="13" style="404" customWidth="1"/>
    <col min="9937" max="9942" width="2" style="404" customWidth="1"/>
    <col min="9943" max="9943" width="2.42578125" style="404" customWidth="1"/>
    <col min="9944" max="9944" width="3" style="404" customWidth="1"/>
    <col min="9945" max="9947" width="2" style="404" customWidth="1"/>
    <col min="9948" max="9948" width="2.85546875" style="404" customWidth="1"/>
    <col min="9949" max="9949" width="3" style="404" customWidth="1"/>
    <col min="9950" max="9950" width="2.7109375" style="404" customWidth="1"/>
    <col min="9951" max="9951" width="2.42578125" style="404" customWidth="1"/>
    <col min="9952" max="9952" width="3.28515625" style="404" customWidth="1"/>
    <col min="9953" max="9953" width="3.5703125" style="404" customWidth="1"/>
    <col min="9954" max="9954" width="4" style="404" customWidth="1"/>
    <col min="9955" max="9955" width="3.42578125" style="404" customWidth="1"/>
    <col min="9956" max="9956" width="3" style="404" customWidth="1"/>
    <col min="9957" max="10190" width="11.42578125" style="404"/>
    <col min="10191" max="10191" width="44.42578125" style="404" customWidth="1"/>
    <col min="10192" max="10192" width="13" style="404" customWidth="1"/>
    <col min="10193" max="10198" width="2" style="404" customWidth="1"/>
    <col min="10199" max="10199" width="2.42578125" style="404" customWidth="1"/>
    <col min="10200" max="10200" width="3" style="404" customWidth="1"/>
    <col min="10201" max="10203" width="2" style="404" customWidth="1"/>
    <col min="10204" max="10204" width="2.85546875" style="404" customWidth="1"/>
    <col min="10205" max="10205" width="3" style="404" customWidth="1"/>
    <col min="10206" max="10206" width="2.7109375" style="404" customWidth="1"/>
    <col min="10207" max="10207" width="2.42578125" style="404" customWidth="1"/>
    <col min="10208" max="10208" width="3.28515625" style="404" customWidth="1"/>
    <col min="10209" max="10209" width="3.5703125" style="404" customWidth="1"/>
    <col min="10210" max="10210" width="4" style="404" customWidth="1"/>
    <col min="10211" max="10211" width="3.42578125" style="404" customWidth="1"/>
    <col min="10212" max="10212" width="3" style="404" customWidth="1"/>
    <col min="10213" max="10446" width="11.42578125" style="404"/>
    <col min="10447" max="10447" width="44.42578125" style="404" customWidth="1"/>
    <col min="10448" max="10448" width="13" style="404" customWidth="1"/>
    <col min="10449" max="10454" width="2" style="404" customWidth="1"/>
    <col min="10455" max="10455" width="2.42578125" style="404" customWidth="1"/>
    <col min="10456" max="10456" width="3" style="404" customWidth="1"/>
    <col min="10457" max="10459" width="2" style="404" customWidth="1"/>
    <col min="10460" max="10460" width="2.85546875" style="404" customWidth="1"/>
    <col min="10461" max="10461" width="3" style="404" customWidth="1"/>
    <col min="10462" max="10462" width="2.7109375" style="404" customWidth="1"/>
    <col min="10463" max="10463" width="2.42578125" style="404" customWidth="1"/>
    <col min="10464" max="10464" width="3.28515625" style="404" customWidth="1"/>
    <col min="10465" max="10465" width="3.5703125" style="404" customWidth="1"/>
    <col min="10466" max="10466" width="4" style="404" customWidth="1"/>
    <col min="10467" max="10467" width="3.42578125" style="404" customWidth="1"/>
    <col min="10468" max="10468" width="3" style="404" customWidth="1"/>
    <col min="10469" max="10702" width="11.42578125" style="404"/>
    <col min="10703" max="10703" width="44.42578125" style="404" customWidth="1"/>
    <col min="10704" max="10704" width="13" style="404" customWidth="1"/>
    <col min="10705" max="10710" width="2" style="404" customWidth="1"/>
    <col min="10711" max="10711" width="2.42578125" style="404" customWidth="1"/>
    <col min="10712" max="10712" width="3" style="404" customWidth="1"/>
    <col min="10713" max="10715" width="2" style="404" customWidth="1"/>
    <col min="10716" max="10716" width="2.85546875" style="404" customWidth="1"/>
    <col min="10717" max="10717" width="3" style="404" customWidth="1"/>
    <col min="10718" max="10718" width="2.7109375" style="404" customWidth="1"/>
    <col min="10719" max="10719" width="2.42578125" style="404" customWidth="1"/>
    <col min="10720" max="10720" width="3.28515625" style="404" customWidth="1"/>
    <col min="10721" max="10721" width="3.5703125" style="404" customWidth="1"/>
    <col min="10722" max="10722" width="4" style="404" customWidth="1"/>
    <col min="10723" max="10723" width="3.42578125" style="404" customWidth="1"/>
    <col min="10724" max="10724" width="3" style="404" customWidth="1"/>
    <col min="10725" max="10958" width="11.42578125" style="404"/>
    <col min="10959" max="10959" width="44.42578125" style="404" customWidth="1"/>
    <col min="10960" max="10960" width="13" style="404" customWidth="1"/>
    <col min="10961" max="10966" width="2" style="404" customWidth="1"/>
    <col min="10967" max="10967" width="2.42578125" style="404" customWidth="1"/>
    <col min="10968" max="10968" width="3" style="404" customWidth="1"/>
    <col min="10969" max="10971" width="2" style="404" customWidth="1"/>
    <col min="10972" max="10972" width="2.85546875" style="404" customWidth="1"/>
    <col min="10973" max="10973" width="3" style="404" customWidth="1"/>
    <col min="10974" max="10974" width="2.7109375" style="404" customWidth="1"/>
    <col min="10975" max="10975" width="2.42578125" style="404" customWidth="1"/>
    <col min="10976" max="10976" width="3.28515625" style="404" customWidth="1"/>
    <col min="10977" max="10977" width="3.5703125" style="404" customWidth="1"/>
    <col min="10978" max="10978" width="4" style="404" customWidth="1"/>
    <col min="10979" max="10979" width="3.42578125" style="404" customWidth="1"/>
    <col min="10980" max="10980" width="3" style="404" customWidth="1"/>
    <col min="10981" max="11214" width="11.42578125" style="404"/>
    <col min="11215" max="11215" width="44.42578125" style="404" customWidth="1"/>
    <col min="11216" max="11216" width="13" style="404" customWidth="1"/>
    <col min="11217" max="11222" width="2" style="404" customWidth="1"/>
    <col min="11223" max="11223" width="2.42578125" style="404" customWidth="1"/>
    <col min="11224" max="11224" width="3" style="404" customWidth="1"/>
    <col min="11225" max="11227" width="2" style="404" customWidth="1"/>
    <col min="11228" max="11228" width="2.85546875" style="404" customWidth="1"/>
    <col min="11229" max="11229" width="3" style="404" customWidth="1"/>
    <col min="11230" max="11230" width="2.7109375" style="404" customWidth="1"/>
    <col min="11231" max="11231" width="2.42578125" style="404" customWidth="1"/>
    <col min="11232" max="11232" width="3.28515625" style="404" customWidth="1"/>
    <col min="11233" max="11233" width="3.5703125" style="404" customWidth="1"/>
    <col min="11234" max="11234" width="4" style="404" customWidth="1"/>
    <col min="11235" max="11235" width="3.42578125" style="404" customWidth="1"/>
    <col min="11236" max="11236" width="3" style="404" customWidth="1"/>
    <col min="11237" max="11470" width="11.42578125" style="404"/>
    <col min="11471" max="11471" width="44.42578125" style="404" customWidth="1"/>
    <col min="11472" max="11472" width="13" style="404" customWidth="1"/>
    <col min="11473" max="11478" width="2" style="404" customWidth="1"/>
    <col min="11479" max="11479" width="2.42578125" style="404" customWidth="1"/>
    <col min="11480" max="11480" width="3" style="404" customWidth="1"/>
    <col min="11481" max="11483" width="2" style="404" customWidth="1"/>
    <col min="11484" max="11484" width="2.85546875" style="404" customWidth="1"/>
    <col min="11485" max="11485" width="3" style="404" customWidth="1"/>
    <col min="11486" max="11486" width="2.7109375" style="404" customWidth="1"/>
    <col min="11487" max="11487" width="2.42578125" style="404" customWidth="1"/>
    <col min="11488" max="11488" width="3.28515625" style="404" customWidth="1"/>
    <col min="11489" max="11489" width="3.5703125" style="404" customWidth="1"/>
    <col min="11490" max="11490" width="4" style="404" customWidth="1"/>
    <col min="11491" max="11491" width="3.42578125" style="404" customWidth="1"/>
    <col min="11492" max="11492" width="3" style="404" customWidth="1"/>
    <col min="11493" max="11726" width="11.42578125" style="404"/>
    <col min="11727" max="11727" width="44.42578125" style="404" customWidth="1"/>
    <col min="11728" max="11728" width="13" style="404" customWidth="1"/>
    <col min="11729" max="11734" width="2" style="404" customWidth="1"/>
    <col min="11735" max="11735" width="2.42578125" style="404" customWidth="1"/>
    <col min="11736" max="11736" width="3" style="404" customWidth="1"/>
    <col min="11737" max="11739" width="2" style="404" customWidth="1"/>
    <col min="11740" max="11740" width="2.85546875" style="404" customWidth="1"/>
    <col min="11741" max="11741" width="3" style="404" customWidth="1"/>
    <col min="11742" max="11742" width="2.7109375" style="404" customWidth="1"/>
    <col min="11743" max="11743" width="2.42578125" style="404" customWidth="1"/>
    <col min="11744" max="11744" width="3.28515625" style="404" customWidth="1"/>
    <col min="11745" max="11745" width="3.5703125" style="404" customWidth="1"/>
    <col min="11746" max="11746" width="4" style="404" customWidth="1"/>
    <col min="11747" max="11747" width="3.42578125" style="404" customWidth="1"/>
    <col min="11748" max="11748" width="3" style="404" customWidth="1"/>
    <col min="11749" max="11982" width="11.42578125" style="404"/>
    <col min="11983" max="11983" width="44.42578125" style="404" customWidth="1"/>
    <col min="11984" max="11984" width="13" style="404" customWidth="1"/>
    <col min="11985" max="11990" width="2" style="404" customWidth="1"/>
    <col min="11991" max="11991" width="2.42578125" style="404" customWidth="1"/>
    <col min="11992" max="11992" width="3" style="404" customWidth="1"/>
    <col min="11993" max="11995" width="2" style="404" customWidth="1"/>
    <col min="11996" max="11996" width="2.85546875" style="404" customWidth="1"/>
    <col min="11997" max="11997" width="3" style="404" customWidth="1"/>
    <col min="11998" max="11998" width="2.7109375" style="404" customWidth="1"/>
    <col min="11999" max="11999" width="2.42578125" style="404" customWidth="1"/>
    <col min="12000" max="12000" width="3.28515625" style="404" customWidth="1"/>
    <col min="12001" max="12001" width="3.5703125" style="404" customWidth="1"/>
    <col min="12002" max="12002" width="4" style="404" customWidth="1"/>
    <col min="12003" max="12003" width="3.42578125" style="404" customWidth="1"/>
    <col min="12004" max="12004" width="3" style="404" customWidth="1"/>
    <col min="12005" max="12238" width="11.42578125" style="404"/>
    <col min="12239" max="12239" width="44.42578125" style="404" customWidth="1"/>
    <col min="12240" max="12240" width="13" style="404" customWidth="1"/>
    <col min="12241" max="12246" width="2" style="404" customWidth="1"/>
    <col min="12247" max="12247" width="2.42578125" style="404" customWidth="1"/>
    <col min="12248" max="12248" width="3" style="404" customWidth="1"/>
    <col min="12249" max="12251" width="2" style="404" customWidth="1"/>
    <col min="12252" max="12252" width="2.85546875" style="404" customWidth="1"/>
    <col min="12253" max="12253" width="3" style="404" customWidth="1"/>
    <col min="12254" max="12254" width="2.7109375" style="404" customWidth="1"/>
    <col min="12255" max="12255" width="2.42578125" style="404" customWidth="1"/>
    <col min="12256" max="12256" width="3.28515625" style="404" customWidth="1"/>
    <col min="12257" max="12257" width="3.5703125" style="404" customWidth="1"/>
    <col min="12258" max="12258" width="4" style="404" customWidth="1"/>
    <col min="12259" max="12259" width="3.42578125" style="404" customWidth="1"/>
    <col min="12260" max="12260" width="3" style="404" customWidth="1"/>
    <col min="12261" max="12494" width="11.42578125" style="404"/>
    <col min="12495" max="12495" width="44.42578125" style="404" customWidth="1"/>
    <col min="12496" max="12496" width="13" style="404" customWidth="1"/>
    <col min="12497" max="12502" width="2" style="404" customWidth="1"/>
    <col min="12503" max="12503" width="2.42578125" style="404" customWidth="1"/>
    <col min="12504" max="12504" width="3" style="404" customWidth="1"/>
    <col min="12505" max="12507" width="2" style="404" customWidth="1"/>
    <col min="12508" max="12508" width="2.85546875" style="404" customWidth="1"/>
    <col min="12509" max="12509" width="3" style="404" customWidth="1"/>
    <col min="12510" max="12510" width="2.7109375" style="404" customWidth="1"/>
    <col min="12511" max="12511" width="2.42578125" style="404" customWidth="1"/>
    <col min="12512" max="12512" width="3.28515625" style="404" customWidth="1"/>
    <col min="12513" max="12513" width="3.5703125" style="404" customWidth="1"/>
    <col min="12514" max="12514" width="4" style="404" customWidth="1"/>
    <col min="12515" max="12515" width="3.42578125" style="404" customWidth="1"/>
    <col min="12516" max="12516" width="3" style="404" customWidth="1"/>
    <col min="12517" max="12750" width="11.42578125" style="404"/>
    <col min="12751" max="12751" width="44.42578125" style="404" customWidth="1"/>
    <col min="12752" max="12752" width="13" style="404" customWidth="1"/>
    <col min="12753" max="12758" width="2" style="404" customWidth="1"/>
    <col min="12759" max="12759" width="2.42578125" style="404" customWidth="1"/>
    <col min="12760" max="12760" width="3" style="404" customWidth="1"/>
    <col min="12761" max="12763" width="2" style="404" customWidth="1"/>
    <col min="12764" max="12764" width="2.85546875" style="404" customWidth="1"/>
    <col min="12765" max="12765" width="3" style="404" customWidth="1"/>
    <col min="12766" max="12766" width="2.7109375" style="404" customWidth="1"/>
    <col min="12767" max="12767" width="2.42578125" style="404" customWidth="1"/>
    <col min="12768" max="12768" width="3.28515625" style="404" customWidth="1"/>
    <col min="12769" max="12769" width="3.5703125" style="404" customWidth="1"/>
    <col min="12770" max="12770" width="4" style="404" customWidth="1"/>
    <col min="12771" max="12771" width="3.42578125" style="404" customWidth="1"/>
    <col min="12772" max="12772" width="3" style="404" customWidth="1"/>
    <col min="12773" max="13006" width="11.42578125" style="404"/>
    <col min="13007" max="13007" width="44.42578125" style="404" customWidth="1"/>
    <col min="13008" max="13008" width="13" style="404" customWidth="1"/>
    <col min="13009" max="13014" width="2" style="404" customWidth="1"/>
    <col min="13015" max="13015" width="2.42578125" style="404" customWidth="1"/>
    <col min="13016" max="13016" width="3" style="404" customWidth="1"/>
    <col min="13017" max="13019" width="2" style="404" customWidth="1"/>
    <col min="13020" max="13020" width="2.85546875" style="404" customWidth="1"/>
    <col min="13021" max="13021" width="3" style="404" customWidth="1"/>
    <col min="13022" max="13022" width="2.7109375" style="404" customWidth="1"/>
    <col min="13023" max="13023" width="2.42578125" style="404" customWidth="1"/>
    <col min="13024" max="13024" width="3.28515625" style="404" customWidth="1"/>
    <col min="13025" max="13025" width="3.5703125" style="404" customWidth="1"/>
    <col min="13026" max="13026" width="4" style="404" customWidth="1"/>
    <col min="13027" max="13027" width="3.42578125" style="404" customWidth="1"/>
    <col min="13028" max="13028" width="3" style="404" customWidth="1"/>
    <col min="13029" max="13262" width="11.42578125" style="404"/>
    <col min="13263" max="13263" width="44.42578125" style="404" customWidth="1"/>
    <col min="13264" max="13264" width="13" style="404" customWidth="1"/>
    <col min="13265" max="13270" width="2" style="404" customWidth="1"/>
    <col min="13271" max="13271" width="2.42578125" style="404" customWidth="1"/>
    <col min="13272" max="13272" width="3" style="404" customWidth="1"/>
    <col min="13273" max="13275" width="2" style="404" customWidth="1"/>
    <col min="13276" max="13276" width="2.85546875" style="404" customWidth="1"/>
    <col min="13277" max="13277" width="3" style="404" customWidth="1"/>
    <col min="13278" max="13278" width="2.7109375" style="404" customWidth="1"/>
    <col min="13279" max="13279" width="2.42578125" style="404" customWidth="1"/>
    <col min="13280" max="13280" width="3.28515625" style="404" customWidth="1"/>
    <col min="13281" max="13281" width="3.5703125" style="404" customWidth="1"/>
    <col min="13282" max="13282" width="4" style="404" customWidth="1"/>
    <col min="13283" max="13283" width="3.42578125" style="404" customWidth="1"/>
    <col min="13284" max="13284" width="3" style="404" customWidth="1"/>
    <col min="13285" max="13518" width="11.42578125" style="404"/>
    <col min="13519" max="13519" width="44.42578125" style="404" customWidth="1"/>
    <col min="13520" max="13520" width="13" style="404" customWidth="1"/>
    <col min="13521" max="13526" width="2" style="404" customWidth="1"/>
    <col min="13527" max="13527" width="2.42578125" style="404" customWidth="1"/>
    <col min="13528" max="13528" width="3" style="404" customWidth="1"/>
    <col min="13529" max="13531" width="2" style="404" customWidth="1"/>
    <col min="13532" max="13532" width="2.85546875" style="404" customWidth="1"/>
    <col min="13533" max="13533" width="3" style="404" customWidth="1"/>
    <col min="13534" max="13534" width="2.7109375" style="404" customWidth="1"/>
    <col min="13535" max="13535" width="2.42578125" style="404" customWidth="1"/>
    <col min="13536" max="13536" width="3.28515625" style="404" customWidth="1"/>
    <col min="13537" max="13537" width="3.5703125" style="404" customWidth="1"/>
    <col min="13538" max="13538" width="4" style="404" customWidth="1"/>
    <col min="13539" max="13539" width="3.42578125" style="404" customWidth="1"/>
    <col min="13540" max="13540" width="3" style="404" customWidth="1"/>
    <col min="13541" max="13774" width="11.42578125" style="404"/>
    <col min="13775" max="13775" width="44.42578125" style="404" customWidth="1"/>
    <col min="13776" max="13776" width="13" style="404" customWidth="1"/>
    <col min="13777" max="13782" width="2" style="404" customWidth="1"/>
    <col min="13783" max="13783" width="2.42578125" style="404" customWidth="1"/>
    <col min="13784" max="13784" width="3" style="404" customWidth="1"/>
    <col min="13785" max="13787" width="2" style="404" customWidth="1"/>
    <col min="13788" max="13788" width="2.85546875" style="404" customWidth="1"/>
    <col min="13789" max="13789" width="3" style="404" customWidth="1"/>
    <col min="13790" max="13790" width="2.7109375" style="404" customWidth="1"/>
    <col min="13791" max="13791" width="2.42578125" style="404" customWidth="1"/>
    <col min="13792" max="13792" width="3.28515625" style="404" customWidth="1"/>
    <col min="13793" max="13793" width="3.5703125" style="404" customWidth="1"/>
    <col min="13794" max="13794" width="4" style="404" customWidth="1"/>
    <col min="13795" max="13795" width="3.42578125" style="404" customWidth="1"/>
    <col min="13796" max="13796" width="3" style="404" customWidth="1"/>
    <col min="13797" max="14030" width="11.42578125" style="404"/>
    <col min="14031" max="14031" width="44.42578125" style="404" customWidth="1"/>
    <col min="14032" max="14032" width="13" style="404" customWidth="1"/>
    <col min="14033" max="14038" width="2" style="404" customWidth="1"/>
    <col min="14039" max="14039" width="2.42578125" style="404" customWidth="1"/>
    <col min="14040" max="14040" width="3" style="404" customWidth="1"/>
    <col min="14041" max="14043" width="2" style="404" customWidth="1"/>
    <col min="14044" max="14044" width="2.85546875" style="404" customWidth="1"/>
    <col min="14045" max="14045" width="3" style="404" customWidth="1"/>
    <col min="14046" max="14046" width="2.7109375" style="404" customWidth="1"/>
    <col min="14047" max="14047" width="2.42578125" style="404" customWidth="1"/>
    <col min="14048" max="14048" width="3.28515625" style="404" customWidth="1"/>
    <col min="14049" max="14049" width="3.5703125" style="404" customWidth="1"/>
    <col min="14050" max="14050" width="4" style="404" customWidth="1"/>
    <col min="14051" max="14051" width="3.42578125" style="404" customWidth="1"/>
    <col min="14052" max="14052" width="3" style="404" customWidth="1"/>
    <col min="14053" max="14286" width="11.42578125" style="404"/>
    <col min="14287" max="14287" width="44.42578125" style="404" customWidth="1"/>
    <col min="14288" max="14288" width="13" style="404" customWidth="1"/>
    <col min="14289" max="14294" width="2" style="404" customWidth="1"/>
    <col min="14295" max="14295" width="2.42578125" style="404" customWidth="1"/>
    <col min="14296" max="14296" width="3" style="404" customWidth="1"/>
    <col min="14297" max="14299" width="2" style="404" customWidth="1"/>
    <col min="14300" max="14300" width="2.85546875" style="404" customWidth="1"/>
    <col min="14301" max="14301" width="3" style="404" customWidth="1"/>
    <col min="14302" max="14302" width="2.7109375" style="404" customWidth="1"/>
    <col min="14303" max="14303" width="2.42578125" style="404" customWidth="1"/>
    <col min="14304" max="14304" width="3.28515625" style="404" customWidth="1"/>
    <col min="14305" max="14305" width="3.5703125" style="404" customWidth="1"/>
    <col min="14306" max="14306" width="4" style="404" customWidth="1"/>
    <col min="14307" max="14307" width="3.42578125" style="404" customWidth="1"/>
    <col min="14308" max="14308" width="3" style="404" customWidth="1"/>
    <col min="14309" max="14542" width="11.42578125" style="404"/>
    <col min="14543" max="14543" width="44.42578125" style="404" customWidth="1"/>
    <col min="14544" max="14544" width="13" style="404" customWidth="1"/>
    <col min="14545" max="14550" width="2" style="404" customWidth="1"/>
    <col min="14551" max="14551" width="2.42578125" style="404" customWidth="1"/>
    <col min="14552" max="14552" width="3" style="404" customWidth="1"/>
    <col min="14553" max="14555" width="2" style="404" customWidth="1"/>
    <col min="14556" max="14556" width="2.85546875" style="404" customWidth="1"/>
    <col min="14557" max="14557" width="3" style="404" customWidth="1"/>
    <col min="14558" max="14558" width="2.7109375" style="404" customWidth="1"/>
    <col min="14559" max="14559" width="2.42578125" style="404" customWidth="1"/>
    <col min="14560" max="14560" width="3.28515625" style="404" customWidth="1"/>
    <col min="14561" max="14561" width="3.5703125" style="404" customWidth="1"/>
    <col min="14562" max="14562" width="4" style="404" customWidth="1"/>
    <col min="14563" max="14563" width="3.42578125" style="404" customWidth="1"/>
    <col min="14564" max="14564" width="3" style="404" customWidth="1"/>
    <col min="14565" max="14798" width="11.42578125" style="404"/>
    <col min="14799" max="14799" width="44.42578125" style="404" customWidth="1"/>
    <col min="14800" max="14800" width="13" style="404" customWidth="1"/>
    <col min="14801" max="14806" width="2" style="404" customWidth="1"/>
    <col min="14807" max="14807" width="2.42578125" style="404" customWidth="1"/>
    <col min="14808" max="14808" width="3" style="404" customWidth="1"/>
    <col min="14809" max="14811" width="2" style="404" customWidth="1"/>
    <col min="14812" max="14812" width="2.85546875" style="404" customWidth="1"/>
    <col min="14813" max="14813" width="3" style="404" customWidth="1"/>
    <col min="14814" max="14814" width="2.7109375" style="404" customWidth="1"/>
    <col min="14815" max="14815" width="2.42578125" style="404" customWidth="1"/>
    <col min="14816" max="14816" width="3.28515625" style="404" customWidth="1"/>
    <col min="14817" max="14817" width="3.5703125" style="404" customWidth="1"/>
    <col min="14818" max="14818" width="4" style="404" customWidth="1"/>
    <col min="14819" max="14819" width="3.42578125" style="404" customWidth="1"/>
    <col min="14820" max="14820" width="3" style="404" customWidth="1"/>
    <col min="14821" max="15054" width="11.42578125" style="404"/>
    <col min="15055" max="15055" width="44.42578125" style="404" customWidth="1"/>
    <col min="15056" max="15056" width="13" style="404" customWidth="1"/>
    <col min="15057" max="15062" width="2" style="404" customWidth="1"/>
    <col min="15063" max="15063" width="2.42578125" style="404" customWidth="1"/>
    <col min="15064" max="15064" width="3" style="404" customWidth="1"/>
    <col min="15065" max="15067" width="2" style="404" customWidth="1"/>
    <col min="15068" max="15068" width="2.85546875" style="404" customWidth="1"/>
    <col min="15069" max="15069" width="3" style="404" customWidth="1"/>
    <col min="15070" max="15070" width="2.7109375" style="404" customWidth="1"/>
    <col min="15071" max="15071" width="2.42578125" style="404" customWidth="1"/>
    <col min="15072" max="15072" width="3.28515625" style="404" customWidth="1"/>
    <col min="15073" max="15073" width="3.5703125" style="404" customWidth="1"/>
    <col min="15074" max="15074" width="4" style="404" customWidth="1"/>
    <col min="15075" max="15075" width="3.42578125" style="404" customWidth="1"/>
    <col min="15076" max="15076" width="3" style="404" customWidth="1"/>
    <col min="15077" max="15310" width="11.42578125" style="404"/>
    <col min="15311" max="15311" width="44.42578125" style="404" customWidth="1"/>
    <col min="15312" max="15312" width="13" style="404" customWidth="1"/>
    <col min="15313" max="15318" width="2" style="404" customWidth="1"/>
    <col min="15319" max="15319" width="2.42578125" style="404" customWidth="1"/>
    <col min="15320" max="15320" width="3" style="404" customWidth="1"/>
    <col min="15321" max="15323" width="2" style="404" customWidth="1"/>
    <col min="15324" max="15324" width="2.85546875" style="404" customWidth="1"/>
    <col min="15325" max="15325" width="3" style="404" customWidth="1"/>
    <col min="15326" max="15326" width="2.7109375" style="404" customWidth="1"/>
    <col min="15327" max="15327" width="2.42578125" style="404" customWidth="1"/>
    <col min="15328" max="15328" width="3.28515625" style="404" customWidth="1"/>
    <col min="15329" max="15329" width="3.5703125" style="404" customWidth="1"/>
    <col min="15330" max="15330" width="4" style="404" customWidth="1"/>
    <col min="15331" max="15331" width="3.42578125" style="404" customWidth="1"/>
    <col min="15332" max="15332" width="3" style="404" customWidth="1"/>
    <col min="15333" max="15566" width="11.42578125" style="404"/>
    <col min="15567" max="15567" width="44.42578125" style="404" customWidth="1"/>
    <col min="15568" max="15568" width="13" style="404" customWidth="1"/>
    <col min="15569" max="15574" width="2" style="404" customWidth="1"/>
    <col min="15575" max="15575" width="2.42578125" style="404" customWidth="1"/>
    <col min="15576" max="15576" width="3" style="404" customWidth="1"/>
    <col min="15577" max="15579" width="2" style="404" customWidth="1"/>
    <col min="15580" max="15580" width="2.85546875" style="404" customWidth="1"/>
    <col min="15581" max="15581" width="3" style="404" customWidth="1"/>
    <col min="15582" max="15582" width="2.7109375" style="404" customWidth="1"/>
    <col min="15583" max="15583" width="2.42578125" style="404" customWidth="1"/>
    <col min="15584" max="15584" width="3.28515625" style="404" customWidth="1"/>
    <col min="15585" max="15585" width="3.5703125" style="404" customWidth="1"/>
    <col min="15586" max="15586" width="4" style="404" customWidth="1"/>
    <col min="15587" max="15587" width="3.42578125" style="404" customWidth="1"/>
    <col min="15588" max="15588" width="3" style="404" customWidth="1"/>
    <col min="15589" max="15822" width="11.42578125" style="404"/>
    <col min="15823" max="15823" width="44.42578125" style="404" customWidth="1"/>
    <col min="15824" max="15824" width="13" style="404" customWidth="1"/>
    <col min="15825" max="15830" width="2" style="404" customWidth="1"/>
    <col min="15831" max="15831" width="2.42578125" style="404" customWidth="1"/>
    <col min="15832" max="15832" width="3" style="404" customWidth="1"/>
    <col min="15833" max="15835" width="2" style="404" customWidth="1"/>
    <col min="15836" max="15836" width="2.85546875" style="404" customWidth="1"/>
    <col min="15837" max="15837" width="3" style="404" customWidth="1"/>
    <col min="15838" max="15838" width="2.7109375" style="404" customWidth="1"/>
    <col min="15839" max="15839" width="2.42578125" style="404" customWidth="1"/>
    <col min="15840" max="15840" width="3.28515625" style="404" customWidth="1"/>
    <col min="15841" max="15841" width="3.5703125" style="404" customWidth="1"/>
    <col min="15842" max="15842" width="4" style="404" customWidth="1"/>
    <col min="15843" max="15843" width="3.42578125" style="404" customWidth="1"/>
    <col min="15844" max="15844" width="3" style="404" customWidth="1"/>
    <col min="15845" max="16078" width="11.42578125" style="404"/>
    <col min="16079" max="16079" width="44.42578125" style="404" customWidth="1"/>
    <col min="16080" max="16080" width="13" style="404" customWidth="1"/>
    <col min="16081" max="16086" width="2" style="404" customWidth="1"/>
    <col min="16087" max="16087" width="2.42578125" style="404" customWidth="1"/>
    <col min="16088" max="16088" width="3" style="404" customWidth="1"/>
    <col min="16089" max="16091" width="2" style="404" customWidth="1"/>
    <col min="16092" max="16092" width="2.85546875" style="404" customWidth="1"/>
    <col min="16093" max="16093" width="3" style="404" customWidth="1"/>
    <col min="16094" max="16094" width="2.7109375" style="404" customWidth="1"/>
    <col min="16095" max="16095" width="2.42578125" style="404" customWidth="1"/>
    <col min="16096" max="16096" width="3.28515625" style="404" customWidth="1"/>
    <col min="16097" max="16097" width="3.5703125" style="404" customWidth="1"/>
    <col min="16098" max="16098" width="4" style="404" customWidth="1"/>
    <col min="16099" max="16099" width="3.42578125" style="404" customWidth="1"/>
    <col min="16100" max="16100" width="3" style="404" customWidth="1"/>
    <col min="16101" max="16384" width="11.42578125" style="404"/>
  </cols>
  <sheetData>
    <row r="1" spans="1:159" ht="15" x14ac:dyDescent="0.25">
      <c r="A1" s="249" t="s">
        <v>312</v>
      </c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85"/>
      <c r="BT1" s="585"/>
      <c r="BU1" s="585"/>
      <c r="BV1" s="585"/>
      <c r="BW1" s="585"/>
      <c r="BX1" s="585"/>
      <c r="BY1" s="585"/>
      <c r="BZ1" s="585"/>
      <c r="CA1" s="585"/>
      <c r="CB1" s="585"/>
      <c r="CC1" s="585"/>
      <c r="CD1" s="585"/>
      <c r="CE1" s="585"/>
      <c r="CF1" s="585"/>
      <c r="CG1" s="585"/>
      <c r="CH1" s="585"/>
      <c r="CI1" s="585"/>
      <c r="CJ1" s="585"/>
      <c r="CK1" s="585"/>
      <c r="CL1" s="585"/>
      <c r="CM1" s="585"/>
      <c r="CN1" s="585"/>
      <c r="CO1" s="585"/>
      <c r="CP1" s="585"/>
      <c r="CQ1" s="585"/>
      <c r="CR1" s="585"/>
      <c r="CS1" s="585"/>
      <c r="CT1" s="585"/>
      <c r="CU1" s="585"/>
      <c r="CV1" s="585"/>
      <c r="CW1" s="585"/>
      <c r="CX1" s="585"/>
      <c r="CY1" s="585"/>
      <c r="CZ1" s="585"/>
      <c r="DA1" s="585"/>
      <c r="DB1" s="585"/>
      <c r="DC1" s="585"/>
      <c r="DD1" s="585"/>
      <c r="DE1" s="585"/>
      <c r="DF1" s="585"/>
      <c r="DG1" s="585"/>
      <c r="DH1" s="585"/>
      <c r="DI1" s="585"/>
      <c r="DJ1" s="585"/>
      <c r="DK1" s="585"/>
      <c r="DL1" s="585"/>
      <c r="DM1" s="585"/>
      <c r="DN1" s="585"/>
      <c r="DO1" s="585"/>
      <c r="DP1" s="585"/>
      <c r="DQ1" s="585"/>
      <c r="DR1" s="585"/>
      <c r="DS1" s="585"/>
      <c r="DT1" s="585"/>
      <c r="DU1" s="585"/>
      <c r="DV1" s="585"/>
      <c r="DW1" s="585"/>
      <c r="DX1" s="585"/>
      <c r="DY1" s="585"/>
      <c r="DZ1" s="585"/>
      <c r="EA1" s="585"/>
      <c r="EB1" s="585"/>
      <c r="EC1" s="585"/>
      <c r="ED1" s="585"/>
      <c r="EE1" s="585"/>
      <c r="EF1" s="585"/>
      <c r="EG1" s="585"/>
      <c r="EH1" s="585"/>
      <c r="EI1" s="585"/>
      <c r="EJ1" s="585"/>
      <c r="EK1" s="585"/>
      <c r="EL1" s="585"/>
      <c r="EM1" s="585"/>
      <c r="EN1" s="585"/>
      <c r="EO1" s="585"/>
      <c r="EP1" s="585"/>
      <c r="EQ1" s="585"/>
      <c r="ER1" s="585"/>
      <c r="ES1" s="585"/>
      <c r="ET1" s="585"/>
      <c r="EU1" s="585"/>
      <c r="EV1" s="585"/>
      <c r="EW1" s="585"/>
      <c r="EX1" s="585"/>
      <c r="EY1" s="585"/>
      <c r="EZ1" s="585"/>
      <c r="FA1" s="585"/>
      <c r="FB1" s="585"/>
      <c r="FC1" s="585"/>
    </row>
    <row r="2" spans="1:159" ht="15" x14ac:dyDescent="0.25">
      <c r="A2" s="249" t="s">
        <v>8</v>
      </c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5"/>
      <c r="BB2" s="585"/>
      <c r="BC2" s="585"/>
      <c r="BD2" s="585"/>
      <c r="BE2" s="585"/>
      <c r="BF2" s="585"/>
      <c r="BG2" s="585"/>
      <c r="BH2" s="585"/>
      <c r="BI2" s="585"/>
      <c r="BJ2" s="585"/>
      <c r="BK2" s="585"/>
      <c r="BL2" s="585"/>
      <c r="BM2" s="585"/>
      <c r="BN2" s="585"/>
      <c r="BO2" s="585"/>
      <c r="BP2" s="585"/>
      <c r="BQ2" s="585"/>
      <c r="BR2" s="585"/>
      <c r="BS2" s="585"/>
      <c r="BT2" s="585"/>
      <c r="BU2" s="585"/>
      <c r="BV2" s="585"/>
      <c r="BW2" s="585"/>
      <c r="BX2" s="585"/>
      <c r="BY2" s="585"/>
      <c r="BZ2" s="585"/>
      <c r="CA2" s="585"/>
      <c r="CB2" s="585"/>
      <c r="CC2" s="585"/>
      <c r="CD2" s="585"/>
      <c r="CE2" s="585"/>
      <c r="CF2" s="585"/>
      <c r="CG2" s="585"/>
      <c r="CH2" s="585"/>
      <c r="CI2" s="585"/>
      <c r="CJ2" s="585"/>
      <c r="CK2" s="585"/>
      <c r="CL2" s="585"/>
      <c r="CM2" s="585"/>
      <c r="CN2" s="585"/>
      <c r="CO2" s="585"/>
      <c r="CP2" s="585"/>
      <c r="CQ2" s="585"/>
      <c r="CR2" s="585"/>
      <c r="CS2" s="585"/>
      <c r="CT2" s="585"/>
      <c r="CU2" s="585"/>
      <c r="CV2" s="585"/>
      <c r="CW2" s="585"/>
      <c r="CX2" s="585"/>
      <c r="CY2" s="585"/>
      <c r="CZ2" s="585"/>
      <c r="DA2" s="585"/>
      <c r="DB2" s="585"/>
      <c r="DC2" s="585"/>
      <c r="DD2" s="585"/>
      <c r="DE2" s="585"/>
      <c r="DF2" s="585"/>
      <c r="DG2" s="585"/>
      <c r="DH2" s="585"/>
      <c r="DI2" s="585"/>
      <c r="DJ2" s="585"/>
      <c r="DK2" s="585"/>
      <c r="DL2" s="585"/>
      <c r="DM2" s="585"/>
      <c r="DN2" s="585"/>
      <c r="DO2" s="585"/>
      <c r="DP2" s="585"/>
      <c r="DQ2" s="585"/>
      <c r="DR2" s="585"/>
      <c r="DS2" s="585"/>
      <c r="DT2" s="585"/>
      <c r="DU2" s="585"/>
      <c r="DV2" s="585"/>
      <c r="DW2" s="585"/>
      <c r="DX2" s="585"/>
      <c r="DY2" s="585"/>
      <c r="DZ2" s="585"/>
      <c r="EA2" s="585"/>
      <c r="EB2" s="585"/>
      <c r="EC2" s="585"/>
      <c r="ED2" s="585"/>
      <c r="EE2" s="585"/>
      <c r="EF2" s="585"/>
      <c r="EG2" s="585"/>
      <c r="EH2" s="585"/>
      <c r="EI2" s="585"/>
      <c r="EJ2" s="585"/>
      <c r="EK2" s="585"/>
      <c r="EL2" s="585"/>
      <c r="EM2" s="585"/>
      <c r="EN2" s="585"/>
      <c r="EO2" s="585"/>
      <c r="EP2" s="585"/>
      <c r="EQ2" s="585"/>
      <c r="ER2" s="585"/>
      <c r="ES2" s="585"/>
      <c r="ET2" s="585"/>
      <c r="EU2" s="585"/>
      <c r="EV2" s="585"/>
      <c r="EW2" s="585"/>
      <c r="EX2" s="585"/>
      <c r="EY2" s="585"/>
      <c r="EZ2" s="585"/>
      <c r="FA2" s="585"/>
      <c r="FB2" s="585"/>
      <c r="FC2" s="585"/>
    </row>
    <row r="3" spans="1:159" ht="15" x14ac:dyDescent="0.25">
      <c r="A3" s="249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585"/>
      <c r="AY3" s="585"/>
      <c r="AZ3" s="585"/>
      <c r="BA3" s="585"/>
      <c r="BB3" s="585"/>
      <c r="BC3" s="585"/>
      <c r="BD3" s="585"/>
      <c r="BE3" s="585"/>
      <c r="BF3" s="585"/>
      <c r="BG3" s="585"/>
      <c r="BH3" s="585"/>
      <c r="BI3" s="585"/>
      <c r="BJ3" s="585"/>
      <c r="BK3" s="585"/>
      <c r="BL3" s="585"/>
      <c r="BM3" s="585"/>
      <c r="BN3" s="585"/>
      <c r="BO3" s="585"/>
      <c r="BP3" s="585"/>
      <c r="BQ3" s="585"/>
      <c r="BR3" s="585"/>
      <c r="BS3" s="585"/>
      <c r="BT3" s="585"/>
      <c r="BU3" s="585"/>
      <c r="BV3" s="585"/>
      <c r="BW3" s="585"/>
      <c r="BX3" s="585"/>
      <c r="BY3" s="585"/>
      <c r="BZ3" s="585"/>
      <c r="CA3" s="585"/>
      <c r="CB3" s="585"/>
      <c r="CC3" s="585"/>
      <c r="CD3" s="585"/>
      <c r="CE3" s="585"/>
      <c r="CF3" s="585"/>
      <c r="CG3" s="585"/>
      <c r="CH3" s="585"/>
      <c r="CI3" s="585"/>
      <c r="CJ3" s="585"/>
      <c r="CK3" s="585"/>
      <c r="CL3" s="585"/>
      <c r="CM3" s="585"/>
      <c r="CN3" s="585"/>
      <c r="CO3" s="585"/>
      <c r="CP3" s="585"/>
      <c r="CQ3" s="585"/>
      <c r="CR3" s="585"/>
      <c r="CS3" s="585"/>
      <c r="CT3" s="585"/>
      <c r="CU3" s="585"/>
      <c r="CV3" s="585"/>
      <c r="CW3" s="585"/>
      <c r="CX3" s="585"/>
      <c r="CY3" s="585"/>
      <c r="CZ3" s="585"/>
      <c r="DA3" s="585"/>
      <c r="DB3" s="585"/>
      <c r="DC3" s="585"/>
      <c r="DD3" s="585"/>
      <c r="DE3" s="585"/>
      <c r="DF3" s="585"/>
      <c r="DG3" s="585"/>
      <c r="DH3" s="585"/>
      <c r="DI3" s="585"/>
      <c r="DJ3" s="585"/>
      <c r="DK3" s="585"/>
      <c r="DL3" s="585"/>
      <c r="DM3" s="585"/>
      <c r="DN3" s="585"/>
      <c r="DO3" s="585"/>
      <c r="DP3" s="585"/>
      <c r="DQ3" s="585"/>
      <c r="DR3" s="585"/>
      <c r="DS3" s="585"/>
      <c r="DT3" s="585"/>
      <c r="DU3" s="585"/>
      <c r="DV3" s="585"/>
      <c r="DW3" s="585"/>
      <c r="DX3" s="585"/>
      <c r="DY3" s="585"/>
      <c r="DZ3" s="585"/>
      <c r="EA3" s="585"/>
      <c r="EB3" s="585"/>
      <c r="EC3" s="585"/>
      <c r="ED3" s="585"/>
      <c r="EE3" s="585"/>
      <c r="EF3" s="585"/>
      <c r="EG3" s="585"/>
      <c r="EH3" s="585"/>
      <c r="EI3" s="585"/>
      <c r="EJ3" s="585"/>
      <c r="EK3" s="585"/>
      <c r="EL3" s="585"/>
      <c r="EM3" s="585"/>
      <c r="EN3" s="585"/>
      <c r="EO3" s="585"/>
      <c r="EP3" s="585"/>
      <c r="EQ3" s="585"/>
      <c r="ER3" s="585"/>
      <c r="ES3" s="585"/>
      <c r="ET3" s="585"/>
      <c r="EU3" s="585"/>
      <c r="EV3" s="585"/>
      <c r="EW3" s="585"/>
      <c r="EX3" s="585"/>
      <c r="EY3" s="585"/>
      <c r="EZ3" s="585"/>
      <c r="FA3" s="585"/>
      <c r="FB3" s="585"/>
      <c r="FC3" s="585"/>
    </row>
    <row r="4" spans="1:159" ht="15" x14ac:dyDescent="0.25">
      <c r="A4" s="249" t="str">
        <f>+'4. CC D'!A4</f>
        <v>Operación: Programa de Mejoramiento y conservación de corredores agroindustriales</v>
      </c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85"/>
      <c r="BN4" s="585"/>
      <c r="BO4" s="585"/>
      <c r="BP4" s="585"/>
      <c r="BQ4" s="585"/>
      <c r="BR4" s="585"/>
      <c r="BS4" s="585"/>
      <c r="BT4" s="585"/>
      <c r="BU4" s="585"/>
      <c r="BV4" s="585"/>
      <c r="BW4" s="585"/>
      <c r="BX4" s="585"/>
      <c r="BY4" s="585"/>
      <c r="BZ4" s="585"/>
      <c r="CA4" s="585"/>
      <c r="CB4" s="585"/>
      <c r="CC4" s="585"/>
      <c r="CD4" s="585"/>
      <c r="CE4" s="585"/>
      <c r="CF4" s="585"/>
      <c r="CG4" s="585"/>
      <c r="CH4" s="585"/>
      <c r="CI4" s="585"/>
      <c r="CJ4" s="585"/>
      <c r="CK4" s="585"/>
      <c r="CL4" s="585"/>
      <c r="CM4" s="585"/>
      <c r="CN4" s="585"/>
      <c r="CO4" s="585"/>
      <c r="CP4" s="585"/>
      <c r="CQ4" s="585"/>
      <c r="CR4" s="585"/>
      <c r="CS4" s="585"/>
      <c r="CT4" s="585"/>
      <c r="CU4" s="585"/>
      <c r="CV4" s="585"/>
      <c r="CW4" s="585"/>
      <c r="CX4" s="585"/>
      <c r="CY4" s="585"/>
      <c r="CZ4" s="585"/>
      <c r="DA4" s="585"/>
      <c r="DB4" s="585"/>
      <c r="DC4" s="585"/>
      <c r="DD4" s="585"/>
      <c r="DE4" s="585"/>
      <c r="DF4" s="585"/>
      <c r="DG4" s="585"/>
      <c r="DH4" s="585"/>
      <c r="DI4" s="585"/>
      <c r="DJ4" s="585"/>
      <c r="DK4" s="585"/>
      <c r="DL4" s="585"/>
      <c r="DM4" s="585"/>
      <c r="DN4" s="585"/>
      <c r="DO4" s="585"/>
      <c r="DP4" s="585"/>
      <c r="DQ4" s="585"/>
      <c r="DR4" s="585"/>
      <c r="DS4" s="585"/>
      <c r="DT4" s="585"/>
      <c r="DU4" s="585"/>
      <c r="DV4" s="585"/>
      <c r="DW4" s="585"/>
      <c r="DX4" s="585"/>
      <c r="DY4" s="585"/>
      <c r="DZ4" s="585"/>
      <c r="EA4" s="585"/>
      <c r="EB4" s="585"/>
      <c r="EC4" s="585"/>
      <c r="ED4" s="585"/>
      <c r="EE4" s="585"/>
      <c r="EF4" s="585"/>
      <c r="EG4" s="585"/>
      <c r="EH4" s="585"/>
      <c r="EI4" s="585"/>
      <c r="EJ4" s="585"/>
      <c r="EK4" s="585"/>
      <c r="EL4" s="585"/>
      <c r="EM4" s="585"/>
      <c r="EN4" s="585"/>
      <c r="EO4" s="585"/>
      <c r="EP4" s="585"/>
      <c r="EQ4" s="585"/>
      <c r="ER4" s="585"/>
      <c r="ES4" s="585"/>
      <c r="ET4" s="585"/>
      <c r="EU4" s="585"/>
      <c r="EV4" s="585"/>
      <c r="EW4" s="585"/>
      <c r="EX4" s="585"/>
      <c r="EY4" s="585"/>
      <c r="EZ4" s="585"/>
      <c r="FA4" s="585"/>
      <c r="FB4" s="585"/>
      <c r="FC4" s="585"/>
    </row>
    <row r="5" spans="1:159" ht="15" x14ac:dyDescent="0.25">
      <c r="A5" s="249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  <c r="AY5" s="585"/>
      <c r="AZ5" s="585"/>
      <c r="BA5" s="585"/>
      <c r="BB5" s="585"/>
      <c r="BC5" s="585"/>
      <c r="BD5" s="585"/>
      <c r="BE5" s="585"/>
      <c r="BF5" s="585"/>
      <c r="BG5" s="585"/>
      <c r="BH5" s="585"/>
      <c r="BI5" s="585"/>
      <c r="BJ5" s="585"/>
      <c r="BK5" s="585"/>
      <c r="BL5" s="585"/>
      <c r="BM5" s="585"/>
      <c r="BN5" s="585"/>
      <c r="BO5" s="585"/>
      <c r="BP5" s="585"/>
      <c r="BQ5" s="585"/>
      <c r="BR5" s="585"/>
      <c r="BS5" s="585"/>
      <c r="BT5" s="585"/>
      <c r="BU5" s="585"/>
      <c r="BV5" s="585"/>
      <c r="BW5" s="585"/>
      <c r="BX5" s="585"/>
      <c r="BY5" s="585"/>
      <c r="BZ5" s="585"/>
      <c r="CA5" s="585"/>
      <c r="CB5" s="585"/>
      <c r="CC5" s="585"/>
      <c r="CD5" s="585"/>
      <c r="CE5" s="585"/>
      <c r="CF5" s="585"/>
      <c r="CG5" s="585"/>
      <c r="CH5" s="585"/>
      <c r="CI5" s="585"/>
      <c r="CJ5" s="585"/>
      <c r="CK5" s="585"/>
      <c r="CL5" s="585"/>
      <c r="CM5" s="585"/>
      <c r="CN5" s="585"/>
      <c r="CO5" s="585"/>
      <c r="CP5" s="585"/>
      <c r="CQ5" s="585"/>
      <c r="CR5" s="585"/>
      <c r="CS5" s="585"/>
      <c r="CT5" s="585"/>
      <c r="CU5" s="585"/>
      <c r="CV5" s="585"/>
      <c r="CW5" s="585"/>
      <c r="CX5" s="585"/>
      <c r="CY5" s="585"/>
      <c r="CZ5" s="585"/>
      <c r="DA5" s="585"/>
      <c r="DB5" s="585"/>
      <c r="DC5" s="585"/>
      <c r="DD5" s="585"/>
      <c r="DE5" s="585"/>
      <c r="DF5" s="585"/>
      <c r="DG5" s="585"/>
      <c r="DH5" s="585"/>
      <c r="DI5" s="585"/>
      <c r="DJ5" s="585"/>
      <c r="DK5" s="585"/>
      <c r="DL5" s="585"/>
      <c r="DM5" s="585"/>
      <c r="DN5" s="585"/>
      <c r="DO5" s="585"/>
      <c r="DP5" s="585"/>
      <c r="DQ5" s="585"/>
      <c r="DR5" s="585"/>
      <c r="DS5" s="585"/>
      <c r="DT5" s="585"/>
      <c r="DU5" s="585"/>
      <c r="DV5" s="585"/>
      <c r="DW5" s="585"/>
      <c r="DX5" s="585"/>
      <c r="DY5" s="585"/>
      <c r="DZ5" s="585"/>
      <c r="EA5" s="585"/>
      <c r="EB5" s="585"/>
      <c r="EC5" s="585"/>
      <c r="ED5" s="585"/>
      <c r="EE5" s="585"/>
      <c r="EF5" s="585"/>
      <c r="EG5" s="585"/>
      <c r="EH5" s="585"/>
      <c r="EI5" s="585"/>
      <c r="EJ5" s="585"/>
      <c r="EK5" s="585"/>
      <c r="EL5" s="585"/>
      <c r="EM5" s="585"/>
      <c r="EN5" s="585"/>
      <c r="EO5" s="585"/>
      <c r="EP5" s="585"/>
      <c r="EQ5" s="585"/>
      <c r="ER5" s="585"/>
      <c r="ES5" s="585"/>
      <c r="ET5" s="585"/>
      <c r="EU5" s="585"/>
      <c r="EV5" s="585"/>
      <c r="EW5" s="585"/>
      <c r="EX5" s="585"/>
      <c r="EY5" s="585"/>
      <c r="EZ5" s="585"/>
      <c r="FA5" s="585"/>
      <c r="FB5" s="585"/>
      <c r="FC5" s="585"/>
    </row>
    <row r="6" spans="1:159" ht="15" x14ac:dyDescent="0.25">
      <c r="A6" s="249" t="s">
        <v>329</v>
      </c>
      <c r="AA6" s="585"/>
      <c r="AB6" s="585"/>
      <c r="AC6" s="585"/>
      <c r="AD6" s="585"/>
      <c r="AE6" s="585"/>
      <c r="AF6" s="585"/>
      <c r="AG6" s="585"/>
      <c r="AH6" s="585"/>
      <c r="AI6" s="585"/>
      <c r="AJ6" s="585"/>
      <c r="AK6" s="585"/>
      <c r="AL6" s="585"/>
      <c r="AM6" s="585"/>
      <c r="AN6" s="585"/>
      <c r="AO6" s="585"/>
      <c r="AP6" s="585"/>
      <c r="AQ6" s="585"/>
      <c r="AR6" s="585"/>
      <c r="AS6" s="585"/>
      <c r="AT6" s="585"/>
      <c r="AU6" s="585"/>
      <c r="AV6" s="585"/>
      <c r="AW6" s="585"/>
      <c r="AX6" s="585"/>
      <c r="AY6" s="585"/>
      <c r="AZ6" s="585"/>
      <c r="BA6" s="585"/>
      <c r="BB6" s="585"/>
      <c r="BC6" s="585"/>
      <c r="BD6" s="585"/>
      <c r="BE6" s="585"/>
      <c r="BF6" s="585"/>
      <c r="BG6" s="585"/>
      <c r="BH6" s="585"/>
      <c r="BI6" s="585"/>
      <c r="BJ6" s="585"/>
      <c r="BK6" s="585"/>
      <c r="BL6" s="585"/>
      <c r="BM6" s="585"/>
      <c r="BN6" s="585"/>
      <c r="BO6" s="585"/>
      <c r="BP6" s="585"/>
      <c r="BQ6" s="585"/>
      <c r="BR6" s="585"/>
      <c r="BS6" s="585"/>
      <c r="BT6" s="585"/>
      <c r="BU6" s="585"/>
      <c r="BV6" s="585"/>
      <c r="BW6" s="585"/>
      <c r="BX6" s="585"/>
      <c r="BY6" s="585"/>
      <c r="BZ6" s="585"/>
      <c r="CA6" s="585"/>
      <c r="CB6" s="585"/>
      <c r="CC6" s="585"/>
      <c r="CD6" s="585"/>
      <c r="CE6" s="585"/>
      <c r="CF6" s="585"/>
      <c r="CG6" s="585"/>
      <c r="CH6" s="585"/>
      <c r="CI6" s="585"/>
      <c r="CJ6" s="585"/>
      <c r="CK6" s="585"/>
      <c r="CL6" s="585"/>
      <c r="CM6" s="585"/>
      <c r="CN6" s="585"/>
      <c r="CO6" s="585"/>
      <c r="CP6" s="585"/>
      <c r="CQ6" s="585"/>
      <c r="CR6" s="585"/>
      <c r="CS6" s="585"/>
      <c r="CT6" s="585"/>
      <c r="CU6" s="585"/>
      <c r="CV6" s="585"/>
      <c r="CW6" s="585"/>
      <c r="CX6" s="585"/>
      <c r="CY6" s="585"/>
      <c r="CZ6" s="585"/>
      <c r="DA6" s="585"/>
      <c r="DB6" s="585"/>
      <c r="DC6" s="585"/>
      <c r="DD6" s="585"/>
      <c r="DE6" s="585"/>
      <c r="DF6" s="585"/>
      <c r="DG6" s="585"/>
      <c r="DH6" s="585"/>
      <c r="DI6" s="585"/>
      <c r="DJ6" s="585"/>
      <c r="DK6" s="585"/>
      <c r="DL6" s="585"/>
      <c r="DM6" s="585"/>
      <c r="DN6" s="585"/>
      <c r="DO6" s="585"/>
      <c r="DP6" s="585"/>
      <c r="DQ6" s="585"/>
      <c r="DR6" s="585"/>
      <c r="DS6" s="585"/>
      <c r="DT6" s="585"/>
      <c r="DU6" s="585"/>
      <c r="DV6" s="585"/>
      <c r="DW6" s="585"/>
      <c r="DX6" s="585"/>
      <c r="DY6" s="585"/>
      <c r="DZ6" s="585"/>
      <c r="EA6" s="585"/>
      <c r="EB6" s="585"/>
      <c r="EC6" s="585"/>
      <c r="ED6" s="585"/>
      <c r="EE6" s="585"/>
      <c r="EF6" s="585"/>
      <c r="EG6" s="585"/>
      <c r="EH6" s="585"/>
      <c r="EI6" s="585"/>
      <c r="EJ6" s="585"/>
      <c r="EK6" s="585"/>
      <c r="EL6" s="585"/>
      <c r="EM6" s="585"/>
      <c r="EN6" s="585"/>
      <c r="EO6" s="585"/>
      <c r="EP6" s="585"/>
      <c r="EQ6" s="585"/>
      <c r="ER6" s="585"/>
      <c r="ES6" s="585"/>
      <c r="ET6" s="585"/>
      <c r="EU6" s="585"/>
      <c r="EV6" s="585"/>
      <c r="EW6" s="585"/>
      <c r="EX6" s="585"/>
      <c r="EY6" s="585"/>
      <c r="EZ6" s="585"/>
      <c r="FA6" s="585"/>
      <c r="FB6" s="585"/>
      <c r="FC6" s="585"/>
    </row>
    <row r="7" spans="1:159" ht="15" x14ac:dyDescent="0.25">
      <c r="A7" s="412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5"/>
      <c r="BX7" s="585"/>
      <c r="BY7" s="585"/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5"/>
      <c r="CN7" s="585"/>
      <c r="CO7" s="585"/>
      <c r="CP7" s="585"/>
      <c r="CQ7" s="585"/>
      <c r="CR7" s="585"/>
      <c r="CS7" s="585"/>
      <c r="CT7" s="585"/>
      <c r="CU7" s="585"/>
      <c r="CV7" s="585"/>
      <c r="CW7" s="585"/>
      <c r="CX7" s="585"/>
      <c r="CY7" s="585"/>
      <c r="CZ7" s="585"/>
      <c r="DA7" s="585"/>
      <c r="DB7" s="585"/>
      <c r="DC7" s="585"/>
      <c r="DD7" s="585"/>
      <c r="DE7" s="585"/>
      <c r="DF7" s="585"/>
      <c r="DG7" s="585"/>
      <c r="DH7" s="585"/>
      <c r="DI7" s="585"/>
      <c r="DJ7" s="585"/>
      <c r="DK7" s="585"/>
      <c r="DL7" s="585"/>
      <c r="DM7" s="585"/>
      <c r="DN7" s="585"/>
      <c r="DO7" s="585"/>
      <c r="DP7" s="585"/>
      <c r="DQ7" s="585"/>
      <c r="DR7" s="585"/>
      <c r="DS7" s="585"/>
      <c r="DT7" s="585"/>
      <c r="DU7" s="585"/>
      <c r="DV7" s="585"/>
      <c r="DW7" s="585"/>
      <c r="DX7" s="585"/>
      <c r="DY7" s="585"/>
      <c r="DZ7" s="585"/>
      <c r="EA7" s="585"/>
      <c r="EB7" s="585"/>
      <c r="EC7" s="585"/>
      <c r="ED7" s="585"/>
      <c r="EE7" s="585"/>
      <c r="EF7" s="585"/>
      <c r="EG7" s="585"/>
      <c r="EH7" s="585"/>
      <c r="EI7" s="585"/>
      <c r="EJ7" s="585"/>
      <c r="EK7" s="585"/>
      <c r="EL7" s="585"/>
      <c r="EM7" s="585"/>
      <c r="EN7" s="585"/>
      <c r="EO7" s="585"/>
      <c r="EP7" s="585"/>
      <c r="EQ7" s="585"/>
      <c r="ER7" s="585"/>
      <c r="ES7" s="585"/>
      <c r="ET7" s="585"/>
      <c r="EU7" s="585"/>
      <c r="EV7" s="585"/>
      <c r="EW7" s="585"/>
      <c r="EX7" s="585"/>
      <c r="EY7" s="585"/>
      <c r="EZ7" s="585"/>
      <c r="FA7" s="585"/>
      <c r="FB7" s="585"/>
      <c r="FC7" s="585"/>
    </row>
    <row r="8" spans="1:159" s="413" customFormat="1" x14ac:dyDescent="0.2">
      <c r="A8" s="498" t="s">
        <v>313</v>
      </c>
      <c r="B8" s="499" t="s">
        <v>314</v>
      </c>
      <c r="C8" s="650" t="s">
        <v>315</v>
      </c>
      <c r="D8" s="650"/>
      <c r="E8" s="650"/>
      <c r="F8" s="650"/>
      <c r="G8" s="650" t="s">
        <v>316</v>
      </c>
      <c r="H8" s="650"/>
      <c r="I8" s="650"/>
      <c r="J8" s="650"/>
      <c r="K8" s="650"/>
      <c r="L8" s="650" t="s">
        <v>317</v>
      </c>
      <c r="M8" s="650"/>
      <c r="N8" s="650" t="s">
        <v>318</v>
      </c>
      <c r="O8" s="649" t="s">
        <v>23</v>
      </c>
      <c r="P8" s="649"/>
      <c r="Q8" s="649"/>
      <c r="R8" s="649" t="s">
        <v>24</v>
      </c>
      <c r="S8" s="649"/>
      <c r="T8" s="649"/>
      <c r="U8" s="649" t="s">
        <v>25</v>
      </c>
      <c r="V8" s="649"/>
      <c r="W8" s="649"/>
      <c r="X8" s="649" t="s">
        <v>26</v>
      </c>
      <c r="Y8" s="649"/>
      <c r="Z8" s="649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586"/>
      <c r="BC8" s="586"/>
      <c r="BD8" s="586"/>
      <c r="BE8" s="586"/>
      <c r="BF8" s="586"/>
      <c r="BG8" s="586"/>
      <c r="BH8" s="586"/>
      <c r="BI8" s="586"/>
      <c r="BJ8" s="586"/>
      <c r="BK8" s="586"/>
      <c r="BL8" s="586"/>
      <c r="BM8" s="586"/>
      <c r="BN8" s="586"/>
      <c r="BO8" s="586"/>
      <c r="BP8" s="586"/>
      <c r="BQ8" s="586"/>
      <c r="BR8" s="586"/>
      <c r="BS8" s="586"/>
      <c r="BT8" s="586"/>
      <c r="BU8" s="586"/>
      <c r="BV8" s="586"/>
      <c r="BW8" s="586"/>
      <c r="BX8" s="586"/>
      <c r="BY8" s="586"/>
      <c r="BZ8" s="586"/>
      <c r="CA8" s="586"/>
      <c r="CB8" s="586"/>
      <c r="CC8" s="586"/>
      <c r="CD8" s="586"/>
      <c r="CE8" s="586"/>
      <c r="CF8" s="586"/>
      <c r="CG8" s="586"/>
      <c r="CH8" s="586"/>
      <c r="CI8" s="586"/>
      <c r="CJ8" s="586"/>
      <c r="CK8" s="586"/>
      <c r="CL8" s="586"/>
      <c r="CM8" s="586"/>
      <c r="CN8" s="586"/>
      <c r="CO8" s="586"/>
      <c r="CP8" s="586"/>
      <c r="CQ8" s="586"/>
      <c r="CR8" s="586"/>
      <c r="CS8" s="586"/>
      <c r="CT8" s="586"/>
      <c r="CU8" s="586"/>
      <c r="CV8" s="586"/>
      <c r="CW8" s="586"/>
      <c r="CX8" s="586"/>
      <c r="CY8" s="586"/>
      <c r="CZ8" s="586"/>
      <c r="DA8" s="586"/>
      <c r="DB8" s="586"/>
      <c r="DC8" s="586"/>
      <c r="DD8" s="586"/>
      <c r="DE8" s="586"/>
      <c r="DF8" s="586"/>
      <c r="DG8" s="586"/>
      <c r="DH8" s="586"/>
      <c r="DI8" s="586"/>
      <c r="DJ8" s="586"/>
      <c r="DK8" s="586"/>
      <c r="DL8" s="586"/>
      <c r="DM8" s="586"/>
      <c r="DN8" s="586"/>
      <c r="DO8" s="586"/>
      <c r="DP8" s="586"/>
      <c r="DQ8" s="586"/>
      <c r="DR8" s="586"/>
      <c r="DS8" s="586"/>
      <c r="DT8" s="586"/>
      <c r="DU8" s="586"/>
      <c r="DV8" s="586"/>
      <c r="DW8" s="586"/>
      <c r="DX8" s="586"/>
      <c r="DY8" s="586"/>
      <c r="DZ8" s="586"/>
      <c r="EA8" s="586"/>
      <c r="EB8" s="586"/>
      <c r="EC8" s="586"/>
      <c r="ED8" s="586"/>
      <c r="EE8" s="586"/>
      <c r="EF8" s="586"/>
      <c r="EG8" s="586"/>
      <c r="EH8" s="586"/>
      <c r="EI8" s="586"/>
      <c r="EJ8" s="586"/>
      <c r="EK8" s="586"/>
      <c r="EL8" s="586"/>
      <c r="EM8" s="586"/>
      <c r="EN8" s="586"/>
      <c r="EO8" s="586"/>
      <c r="EP8" s="586"/>
      <c r="EQ8" s="586"/>
      <c r="ER8" s="586"/>
      <c r="ES8" s="586"/>
      <c r="ET8" s="586"/>
      <c r="EU8" s="586"/>
      <c r="EV8" s="586"/>
      <c r="EW8" s="586"/>
      <c r="EX8" s="586"/>
      <c r="EY8" s="586"/>
      <c r="EZ8" s="586"/>
      <c r="FA8" s="586"/>
      <c r="FB8" s="586"/>
      <c r="FC8" s="586"/>
    </row>
    <row r="9" spans="1:159" s="413" customFormat="1" ht="25.5" x14ac:dyDescent="0.2">
      <c r="A9" s="498" t="s">
        <v>315</v>
      </c>
      <c r="B9" s="500" t="str">
        <f>+'6. PEP Mensual'!B11</f>
        <v>Programa de Mejoramiento y conservación de Corredores Viales</v>
      </c>
      <c r="C9" s="501" t="s">
        <v>20</v>
      </c>
      <c r="D9" s="501" t="s">
        <v>21</v>
      </c>
      <c r="E9" s="502" t="s">
        <v>319</v>
      </c>
      <c r="F9" s="501" t="s">
        <v>320</v>
      </c>
      <c r="G9" s="501" t="s">
        <v>321</v>
      </c>
      <c r="H9" s="501" t="s">
        <v>21</v>
      </c>
      <c r="I9" s="501" t="s">
        <v>322</v>
      </c>
      <c r="J9" s="501" t="s">
        <v>323</v>
      </c>
      <c r="K9" s="503" t="s">
        <v>324</v>
      </c>
      <c r="L9" s="501" t="s">
        <v>325</v>
      </c>
      <c r="M9" s="501" t="s">
        <v>326</v>
      </c>
      <c r="N9" s="650"/>
      <c r="O9" s="555">
        <v>1</v>
      </c>
      <c r="P9" s="555">
        <v>2</v>
      </c>
      <c r="Q9" s="555">
        <v>3</v>
      </c>
      <c r="R9" s="555">
        <v>4</v>
      </c>
      <c r="S9" s="555">
        <v>5</v>
      </c>
      <c r="T9" s="555">
        <v>6</v>
      </c>
      <c r="U9" s="555">
        <v>7</v>
      </c>
      <c r="V9" s="555">
        <v>8</v>
      </c>
      <c r="W9" s="555">
        <v>9</v>
      </c>
      <c r="X9" s="555">
        <v>10</v>
      </c>
      <c r="Y9" s="555">
        <v>11</v>
      </c>
      <c r="Z9" s="555">
        <v>12</v>
      </c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86"/>
      <c r="AX9" s="586"/>
      <c r="AY9" s="586"/>
      <c r="AZ9" s="586"/>
      <c r="BA9" s="586"/>
      <c r="BB9" s="586"/>
      <c r="BC9" s="586"/>
      <c r="BD9" s="586"/>
      <c r="BE9" s="586"/>
      <c r="BF9" s="586"/>
      <c r="BG9" s="586"/>
      <c r="BH9" s="586"/>
      <c r="BI9" s="586"/>
      <c r="BJ9" s="586"/>
      <c r="BK9" s="586"/>
      <c r="BL9" s="586"/>
      <c r="BM9" s="586"/>
      <c r="BN9" s="586"/>
      <c r="BO9" s="586"/>
      <c r="BP9" s="586"/>
      <c r="BQ9" s="586"/>
      <c r="BR9" s="586"/>
      <c r="BS9" s="586"/>
      <c r="BT9" s="586"/>
      <c r="BU9" s="586"/>
      <c r="BV9" s="586"/>
      <c r="BW9" s="586"/>
      <c r="BX9" s="586"/>
      <c r="BY9" s="586"/>
      <c r="BZ9" s="586"/>
      <c r="CA9" s="586"/>
      <c r="CB9" s="586"/>
      <c r="CC9" s="586"/>
      <c r="CD9" s="586"/>
      <c r="CE9" s="586"/>
      <c r="CF9" s="586"/>
      <c r="CG9" s="586"/>
      <c r="CH9" s="586"/>
      <c r="CI9" s="586"/>
      <c r="CJ9" s="586"/>
      <c r="CK9" s="586"/>
      <c r="CL9" s="586"/>
      <c r="CM9" s="586"/>
      <c r="CN9" s="586"/>
      <c r="CO9" s="586"/>
      <c r="CP9" s="586"/>
      <c r="CQ9" s="586"/>
      <c r="CR9" s="586"/>
      <c r="CS9" s="586"/>
      <c r="CT9" s="586"/>
      <c r="CU9" s="586"/>
      <c r="CV9" s="586"/>
      <c r="CW9" s="586"/>
      <c r="CX9" s="586"/>
      <c r="CY9" s="586"/>
      <c r="CZ9" s="586"/>
      <c r="DA9" s="586"/>
      <c r="DB9" s="586"/>
      <c r="DC9" s="586"/>
      <c r="DD9" s="586"/>
      <c r="DE9" s="586"/>
      <c r="DF9" s="586"/>
      <c r="DG9" s="586"/>
      <c r="DH9" s="586"/>
      <c r="DI9" s="586"/>
      <c r="DJ9" s="586"/>
      <c r="DK9" s="586"/>
      <c r="DL9" s="586"/>
      <c r="DM9" s="586"/>
      <c r="DN9" s="586"/>
      <c r="DO9" s="586"/>
      <c r="DP9" s="586"/>
      <c r="DQ9" s="586"/>
      <c r="DR9" s="586"/>
      <c r="DS9" s="586"/>
      <c r="DT9" s="586"/>
      <c r="DU9" s="586"/>
      <c r="DV9" s="586"/>
      <c r="DW9" s="586"/>
      <c r="DX9" s="586"/>
      <c r="DY9" s="586"/>
      <c r="DZ9" s="586"/>
      <c r="EA9" s="586"/>
      <c r="EB9" s="586"/>
      <c r="EC9" s="586"/>
      <c r="ED9" s="586"/>
      <c r="EE9" s="586"/>
      <c r="EF9" s="586"/>
      <c r="EG9" s="586"/>
      <c r="EH9" s="586"/>
      <c r="EI9" s="586"/>
      <c r="EJ9" s="586"/>
      <c r="EK9" s="586"/>
      <c r="EL9" s="586"/>
      <c r="EM9" s="586"/>
      <c r="EN9" s="586"/>
      <c r="EO9" s="586"/>
      <c r="EP9" s="586"/>
      <c r="EQ9" s="586"/>
      <c r="ER9" s="586"/>
      <c r="ES9" s="586"/>
      <c r="ET9" s="586"/>
      <c r="EU9" s="586"/>
      <c r="EV9" s="586"/>
      <c r="EW9" s="586"/>
      <c r="EX9" s="586"/>
      <c r="EY9" s="586"/>
      <c r="EZ9" s="586"/>
      <c r="FA9" s="586"/>
      <c r="FB9" s="586"/>
      <c r="FC9" s="586"/>
    </row>
    <row r="10" spans="1:159" x14ac:dyDescent="0.2">
      <c r="A10" s="504" t="str">
        <f>+'6. PEP Mensual'!A12</f>
        <v>1.</v>
      </c>
      <c r="B10" s="505" t="str">
        <f>+'6. PEP Mensual'!B12</f>
        <v>Componente Unico Obras civiles</v>
      </c>
      <c r="C10" s="506"/>
      <c r="D10" s="506"/>
      <c r="E10" s="507">
        <f>'[3]3. PEP'!G26</f>
        <v>58220000</v>
      </c>
      <c r="F10" s="506"/>
      <c r="G10" s="506"/>
      <c r="H10" s="506"/>
      <c r="I10" s="508"/>
      <c r="J10" s="506"/>
      <c r="K10" s="507">
        <f>+'7. PEP Anual'!F9</f>
        <v>54740012.102786668</v>
      </c>
      <c r="L10" s="506"/>
      <c r="M10" s="506"/>
      <c r="N10" s="506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585"/>
      <c r="BN10" s="585"/>
      <c r="BO10" s="585"/>
      <c r="BP10" s="585"/>
      <c r="BQ10" s="585"/>
      <c r="BR10" s="585"/>
      <c r="BS10" s="585"/>
      <c r="BT10" s="585"/>
      <c r="BU10" s="585"/>
      <c r="BV10" s="585"/>
      <c r="BW10" s="585"/>
      <c r="BX10" s="585"/>
      <c r="BY10" s="585"/>
      <c r="BZ10" s="585"/>
      <c r="CA10" s="585"/>
      <c r="CB10" s="585"/>
      <c r="CC10" s="585"/>
      <c r="CD10" s="585"/>
      <c r="CE10" s="585"/>
      <c r="CF10" s="585"/>
      <c r="CG10" s="585"/>
      <c r="CH10" s="585"/>
      <c r="CI10" s="585"/>
      <c r="CJ10" s="585"/>
      <c r="CK10" s="585"/>
      <c r="CL10" s="585"/>
      <c r="CM10" s="585"/>
      <c r="CN10" s="585"/>
      <c r="CO10" s="585"/>
      <c r="CP10" s="585"/>
      <c r="CQ10" s="585"/>
      <c r="CR10" s="585"/>
      <c r="CS10" s="585"/>
      <c r="CT10" s="585"/>
      <c r="CU10" s="585"/>
      <c r="CV10" s="585"/>
      <c r="CW10" s="585"/>
      <c r="CX10" s="585"/>
      <c r="CY10" s="585"/>
      <c r="CZ10" s="585"/>
      <c r="DA10" s="585"/>
      <c r="DB10" s="585"/>
      <c r="DC10" s="585"/>
      <c r="DD10" s="585"/>
      <c r="DE10" s="585"/>
      <c r="DF10" s="585"/>
      <c r="DG10" s="585"/>
      <c r="DH10" s="585"/>
      <c r="DI10" s="585"/>
      <c r="DJ10" s="585"/>
      <c r="DK10" s="585"/>
      <c r="DL10" s="585"/>
      <c r="DM10" s="585"/>
      <c r="DN10" s="585"/>
      <c r="DO10" s="585"/>
      <c r="DP10" s="585"/>
      <c r="DQ10" s="585"/>
      <c r="DR10" s="585"/>
      <c r="DS10" s="585"/>
      <c r="DT10" s="585"/>
      <c r="DU10" s="585"/>
      <c r="DV10" s="585"/>
      <c r="DW10" s="585"/>
      <c r="DX10" s="585"/>
      <c r="DY10" s="585"/>
      <c r="DZ10" s="585"/>
      <c r="EA10" s="585"/>
      <c r="EB10" s="585"/>
      <c r="EC10" s="585"/>
      <c r="ED10" s="585"/>
      <c r="EE10" s="585"/>
      <c r="EF10" s="585"/>
      <c r="EG10" s="585"/>
      <c r="EH10" s="585"/>
      <c r="EI10" s="585"/>
      <c r="EJ10" s="585"/>
      <c r="EK10" s="585"/>
      <c r="EL10" s="585"/>
      <c r="EM10" s="585"/>
      <c r="EN10" s="585"/>
      <c r="EO10" s="585"/>
      <c r="EP10" s="585"/>
      <c r="EQ10" s="585"/>
      <c r="ER10" s="585"/>
      <c r="ES10" s="585"/>
      <c r="ET10" s="585"/>
      <c r="EU10" s="585"/>
      <c r="EV10" s="585"/>
      <c r="EW10" s="585"/>
      <c r="EX10" s="585"/>
      <c r="EY10" s="585"/>
      <c r="EZ10" s="585"/>
      <c r="FA10" s="585"/>
      <c r="FB10" s="585"/>
      <c r="FC10" s="585"/>
    </row>
    <row r="11" spans="1:159" ht="25.5" x14ac:dyDescent="0.2">
      <c r="A11" s="509">
        <f>+'6. PEP Mensual'!A13</f>
        <v>1.1000000000000001</v>
      </c>
      <c r="B11" s="510" t="str">
        <f>+'6. PEP Mensual'!B13</f>
        <v>Producto 1: 270,42 Km de carreteras de la red vial de caminos departamentales y nacionales pavimentados y mantenidos por el programa</v>
      </c>
      <c r="C11" s="511"/>
      <c r="D11" s="511"/>
      <c r="E11" s="512">
        <f>'[3]3. PEP'!G27</f>
        <v>42340000</v>
      </c>
      <c r="F11" s="511"/>
      <c r="G11" s="511"/>
      <c r="H11" s="511"/>
      <c r="I11" s="513"/>
      <c r="J11" s="511"/>
      <c r="K11" s="512">
        <f>+'7. PEP Anual'!F10</f>
        <v>54346745.436120003</v>
      </c>
      <c r="L11" s="511"/>
      <c r="M11" s="511"/>
      <c r="N11" s="511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2"/>
      <c r="Z11" s="512"/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5"/>
      <c r="AL11" s="585"/>
      <c r="AM11" s="585"/>
      <c r="AN11" s="585"/>
      <c r="AO11" s="585"/>
      <c r="AP11" s="585"/>
      <c r="AQ11" s="585"/>
      <c r="AR11" s="585"/>
      <c r="AS11" s="585"/>
      <c r="AT11" s="585"/>
      <c r="AU11" s="585"/>
      <c r="AV11" s="585"/>
      <c r="AW11" s="585"/>
      <c r="AX11" s="585"/>
      <c r="AY11" s="585"/>
      <c r="AZ11" s="585"/>
      <c r="BA11" s="585"/>
      <c r="BB11" s="585"/>
      <c r="BC11" s="585"/>
      <c r="BD11" s="585"/>
      <c r="BE11" s="585"/>
      <c r="BF11" s="585"/>
      <c r="BG11" s="585"/>
      <c r="BH11" s="585"/>
      <c r="BI11" s="585"/>
      <c r="BJ11" s="585"/>
      <c r="BK11" s="585"/>
      <c r="BL11" s="585"/>
      <c r="BM11" s="585"/>
      <c r="BN11" s="585"/>
      <c r="BO11" s="585"/>
      <c r="BP11" s="585"/>
      <c r="BQ11" s="585"/>
      <c r="BR11" s="585"/>
      <c r="BS11" s="585"/>
      <c r="BT11" s="585"/>
      <c r="BU11" s="585"/>
      <c r="BV11" s="585"/>
      <c r="BW11" s="585"/>
      <c r="BX11" s="585"/>
      <c r="BY11" s="585"/>
      <c r="BZ11" s="585"/>
      <c r="CA11" s="585"/>
      <c r="CB11" s="585"/>
      <c r="CC11" s="585"/>
      <c r="CD11" s="585"/>
      <c r="CE11" s="585"/>
      <c r="CF11" s="585"/>
      <c r="CG11" s="585"/>
      <c r="CH11" s="585"/>
      <c r="CI11" s="585"/>
      <c r="CJ11" s="585"/>
      <c r="CK11" s="585"/>
      <c r="CL11" s="585"/>
      <c r="CM11" s="585"/>
      <c r="CN11" s="585"/>
      <c r="CO11" s="585"/>
      <c r="CP11" s="585"/>
      <c r="CQ11" s="585"/>
      <c r="CR11" s="585"/>
      <c r="CS11" s="585"/>
      <c r="CT11" s="585"/>
      <c r="CU11" s="585"/>
      <c r="CV11" s="585"/>
      <c r="CW11" s="585"/>
      <c r="CX11" s="585"/>
      <c r="CY11" s="585"/>
      <c r="CZ11" s="585"/>
      <c r="DA11" s="585"/>
      <c r="DB11" s="585"/>
      <c r="DC11" s="585"/>
      <c r="DD11" s="585"/>
      <c r="DE11" s="585"/>
      <c r="DF11" s="585"/>
      <c r="DG11" s="585"/>
      <c r="DH11" s="585"/>
      <c r="DI11" s="585"/>
      <c r="DJ11" s="585"/>
      <c r="DK11" s="585"/>
      <c r="DL11" s="585"/>
      <c r="DM11" s="585"/>
      <c r="DN11" s="585"/>
      <c r="DO11" s="585"/>
      <c r="DP11" s="585"/>
      <c r="DQ11" s="585"/>
      <c r="DR11" s="585"/>
      <c r="DS11" s="585"/>
      <c r="DT11" s="585"/>
      <c r="DU11" s="585"/>
      <c r="DV11" s="585"/>
      <c r="DW11" s="585"/>
      <c r="DX11" s="585"/>
      <c r="DY11" s="585"/>
      <c r="DZ11" s="585"/>
      <c r="EA11" s="585"/>
      <c r="EB11" s="585"/>
      <c r="EC11" s="585"/>
      <c r="ED11" s="585"/>
      <c r="EE11" s="585"/>
      <c r="EF11" s="585"/>
      <c r="EG11" s="585"/>
      <c r="EH11" s="585"/>
      <c r="EI11" s="585"/>
      <c r="EJ11" s="585"/>
      <c r="EK11" s="585"/>
      <c r="EL11" s="585"/>
      <c r="EM11" s="585"/>
      <c r="EN11" s="585"/>
      <c r="EO11" s="585"/>
      <c r="EP11" s="585"/>
      <c r="EQ11" s="585"/>
      <c r="ER11" s="585"/>
      <c r="ES11" s="585"/>
      <c r="ET11" s="585"/>
      <c r="EU11" s="585"/>
      <c r="EV11" s="585"/>
      <c r="EW11" s="585"/>
      <c r="EX11" s="585"/>
      <c r="EY11" s="585"/>
      <c r="EZ11" s="585"/>
      <c r="FA11" s="585"/>
      <c r="FB11" s="585"/>
      <c r="FC11" s="585"/>
    </row>
    <row r="12" spans="1:159" ht="47.25" customHeight="1" x14ac:dyDescent="0.2">
      <c r="A12" s="514" t="str">
        <f>+'6. PEP Mensual'!A14</f>
        <v>1.1.1</v>
      </c>
      <c r="B12" s="515" t="str">
        <f>+'6. PEP Mensual'!B14</f>
        <v>Contratación de Empresa Constructora para la Pavimentación  y mantenimiento del Tramo Cruce Pioneros (Ruta Nacional N° 9) – Paratodo, y accesos– Región Occidental (104 Km)</v>
      </c>
      <c r="C12" s="516" t="str">
        <f>'[3]3. PEP'!D28</f>
        <v>T2 - Año 1</v>
      </c>
      <c r="D12" s="516" t="str">
        <f>'[3]3. PEP'!F28</f>
        <v>T3 - Año 3</v>
      </c>
      <c r="E12" s="517">
        <f>'[3]3. PEP'!G28</f>
        <v>13200000</v>
      </c>
      <c r="F12" s="516"/>
      <c r="G12" s="516" t="str">
        <f t="shared" ref="G12:H35" si="0">C12</f>
        <v>T2 - Año 1</v>
      </c>
      <c r="H12" s="516" t="str">
        <f t="shared" si="0"/>
        <v>T3 - Año 3</v>
      </c>
      <c r="I12" s="518" t="s">
        <v>330</v>
      </c>
      <c r="J12" s="516" t="s">
        <v>331</v>
      </c>
      <c r="K12" s="517">
        <f>+'7. PEP Anual'!F11</f>
        <v>31833642</v>
      </c>
      <c r="L12" s="516"/>
      <c r="M12" s="516"/>
      <c r="N12" s="516"/>
      <c r="O12" s="519"/>
      <c r="P12" s="519"/>
      <c r="Q12" s="520"/>
      <c r="R12" s="520"/>
      <c r="S12" s="520"/>
      <c r="T12" s="520"/>
      <c r="U12" s="521">
        <v>1</v>
      </c>
      <c r="V12" s="521">
        <v>2</v>
      </c>
      <c r="W12" s="521">
        <v>3</v>
      </c>
      <c r="X12" s="521">
        <v>4</v>
      </c>
      <c r="Y12" s="521">
        <v>5</v>
      </c>
      <c r="Z12" s="521">
        <v>6</v>
      </c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5"/>
      <c r="AV12" s="585"/>
      <c r="AW12" s="585"/>
      <c r="AX12" s="585"/>
      <c r="AY12" s="585"/>
      <c r="AZ12" s="585"/>
      <c r="BA12" s="585"/>
      <c r="BB12" s="585"/>
      <c r="BC12" s="585"/>
      <c r="BD12" s="585"/>
      <c r="BE12" s="585"/>
      <c r="BF12" s="585"/>
      <c r="BG12" s="585"/>
      <c r="BH12" s="585"/>
      <c r="BI12" s="585"/>
      <c r="BJ12" s="585"/>
      <c r="BK12" s="585"/>
      <c r="BL12" s="585"/>
      <c r="BM12" s="585"/>
      <c r="BN12" s="585"/>
      <c r="BO12" s="585"/>
      <c r="BP12" s="585"/>
      <c r="BQ12" s="585"/>
      <c r="BR12" s="585"/>
      <c r="BS12" s="585"/>
      <c r="BT12" s="585"/>
      <c r="BU12" s="585"/>
      <c r="BV12" s="585"/>
      <c r="BW12" s="585"/>
      <c r="BX12" s="585"/>
      <c r="BY12" s="585"/>
      <c r="BZ12" s="585"/>
      <c r="CA12" s="585"/>
      <c r="CB12" s="585"/>
      <c r="CC12" s="585"/>
      <c r="CD12" s="585"/>
      <c r="CE12" s="585"/>
      <c r="CF12" s="585"/>
      <c r="CG12" s="585"/>
      <c r="CH12" s="585"/>
      <c r="CI12" s="585"/>
      <c r="CJ12" s="585"/>
      <c r="CK12" s="585"/>
      <c r="CL12" s="585"/>
      <c r="CM12" s="585"/>
      <c r="CN12" s="585"/>
      <c r="CO12" s="585"/>
      <c r="CP12" s="585"/>
      <c r="CQ12" s="585"/>
      <c r="CR12" s="585"/>
      <c r="CS12" s="585"/>
      <c r="CT12" s="585"/>
      <c r="CU12" s="585"/>
      <c r="CV12" s="585"/>
      <c r="CW12" s="585"/>
      <c r="CX12" s="585"/>
      <c r="CY12" s="585"/>
      <c r="CZ12" s="585"/>
      <c r="DA12" s="585"/>
      <c r="DB12" s="585"/>
      <c r="DC12" s="585"/>
      <c r="DD12" s="585"/>
      <c r="DE12" s="585"/>
      <c r="DF12" s="585"/>
      <c r="DG12" s="585"/>
      <c r="DH12" s="585"/>
      <c r="DI12" s="585"/>
      <c r="DJ12" s="585"/>
      <c r="DK12" s="585"/>
      <c r="DL12" s="585"/>
      <c r="DM12" s="585"/>
      <c r="DN12" s="585"/>
      <c r="DO12" s="585"/>
      <c r="DP12" s="585"/>
      <c r="DQ12" s="585"/>
      <c r="DR12" s="585"/>
      <c r="DS12" s="585"/>
      <c r="DT12" s="585"/>
      <c r="DU12" s="585"/>
      <c r="DV12" s="585"/>
      <c r="DW12" s="585"/>
      <c r="DX12" s="585"/>
      <c r="DY12" s="585"/>
      <c r="DZ12" s="585"/>
      <c r="EA12" s="585"/>
      <c r="EB12" s="585"/>
      <c r="EC12" s="585"/>
      <c r="ED12" s="585"/>
      <c r="EE12" s="585"/>
      <c r="EF12" s="585"/>
      <c r="EG12" s="585"/>
      <c r="EH12" s="585"/>
      <c r="EI12" s="585"/>
      <c r="EJ12" s="585"/>
      <c r="EK12" s="585"/>
      <c r="EL12" s="585"/>
      <c r="EM12" s="585"/>
      <c r="EN12" s="585"/>
      <c r="EO12" s="585"/>
      <c r="EP12" s="585"/>
      <c r="EQ12" s="585"/>
      <c r="ER12" s="585"/>
      <c r="ES12" s="585"/>
      <c r="ET12" s="585"/>
      <c r="EU12" s="585"/>
      <c r="EV12" s="585"/>
      <c r="EW12" s="585"/>
      <c r="EX12" s="585"/>
      <c r="EY12" s="585"/>
      <c r="EZ12" s="585"/>
      <c r="FA12" s="585"/>
      <c r="FB12" s="585"/>
      <c r="FC12" s="585"/>
    </row>
    <row r="13" spans="1:159" ht="39.75" customHeight="1" x14ac:dyDescent="0.2">
      <c r="A13" s="514" t="str">
        <f>+'6. PEP Mensual'!A15</f>
        <v>1.1.2</v>
      </c>
      <c r="B13" s="515" t="str">
        <f>+'6. PEP Mensual'!B15</f>
        <v>Contratación de Empresa Constructora para la Pavimentación y mantenimiento del Tramo Villa del Rosario - Volendam - San Pablo - Ruta 11, y accesos– Región Oriental (80,36 Km)</v>
      </c>
      <c r="C13" s="516" t="str">
        <f>'[3]3. PEP'!D29</f>
        <v>T2 - Año 2</v>
      </c>
      <c r="D13" s="516" t="str">
        <f>'[3]3. PEP'!F29</f>
        <v>T3 - Año 4</v>
      </c>
      <c r="E13" s="517">
        <f>'[3]3. PEP'!G29</f>
        <v>24800000</v>
      </c>
      <c r="F13" s="516"/>
      <c r="G13" s="516" t="str">
        <f t="shared" si="0"/>
        <v>T2 - Año 2</v>
      </c>
      <c r="H13" s="516" t="str">
        <f t="shared" si="0"/>
        <v>T3 - Año 4</v>
      </c>
      <c r="I13" s="518" t="s">
        <v>332</v>
      </c>
      <c r="J13" s="516" t="s">
        <v>327</v>
      </c>
      <c r="K13" s="517">
        <f>+'7. PEP Anual'!F12</f>
        <v>19219314</v>
      </c>
      <c r="L13" s="516"/>
      <c r="M13" s="516"/>
      <c r="N13" s="516"/>
      <c r="O13" s="517"/>
      <c r="P13" s="517"/>
      <c r="Q13" s="517"/>
      <c r="R13" s="517"/>
      <c r="S13" s="519"/>
      <c r="T13" s="520"/>
      <c r="U13" s="520"/>
      <c r="V13" s="520"/>
      <c r="W13" s="520"/>
      <c r="X13" s="520"/>
      <c r="Y13" s="520"/>
      <c r="Z13" s="520"/>
      <c r="AA13" s="585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5"/>
      <c r="AR13" s="585"/>
      <c r="AS13" s="585"/>
      <c r="AT13" s="585"/>
      <c r="AU13" s="585"/>
      <c r="AV13" s="585"/>
      <c r="AW13" s="585"/>
      <c r="AX13" s="585"/>
      <c r="AY13" s="585"/>
      <c r="AZ13" s="585"/>
      <c r="BA13" s="585"/>
      <c r="BB13" s="585"/>
      <c r="BC13" s="585"/>
      <c r="BD13" s="585"/>
      <c r="BE13" s="585"/>
      <c r="BF13" s="585"/>
      <c r="BG13" s="585"/>
      <c r="BH13" s="585"/>
      <c r="BI13" s="585"/>
      <c r="BJ13" s="585"/>
      <c r="BK13" s="585"/>
      <c r="BL13" s="585"/>
      <c r="BM13" s="585"/>
      <c r="BN13" s="585"/>
      <c r="BO13" s="585"/>
      <c r="BP13" s="585"/>
      <c r="BQ13" s="585"/>
      <c r="BR13" s="585"/>
      <c r="BS13" s="585"/>
      <c r="BT13" s="585"/>
      <c r="BU13" s="585"/>
      <c r="BV13" s="585"/>
      <c r="BW13" s="585"/>
      <c r="BX13" s="585"/>
      <c r="BY13" s="585"/>
      <c r="BZ13" s="585"/>
      <c r="CA13" s="585"/>
      <c r="CB13" s="585"/>
      <c r="CC13" s="585"/>
      <c r="CD13" s="585"/>
      <c r="CE13" s="585"/>
      <c r="CF13" s="585"/>
      <c r="CG13" s="585"/>
      <c r="CH13" s="585"/>
      <c r="CI13" s="585"/>
      <c r="CJ13" s="585"/>
      <c r="CK13" s="585"/>
      <c r="CL13" s="585"/>
      <c r="CM13" s="585"/>
      <c r="CN13" s="585"/>
      <c r="CO13" s="585"/>
      <c r="CP13" s="585"/>
      <c r="CQ13" s="585"/>
      <c r="CR13" s="585"/>
      <c r="CS13" s="585"/>
      <c r="CT13" s="585"/>
      <c r="CU13" s="585"/>
      <c r="CV13" s="585"/>
      <c r="CW13" s="585"/>
      <c r="CX13" s="585"/>
      <c r="CY13" s="585"/>
      <c r="CZ13" s="585"/>
      <c r="DA13" s="585"/>
      <c r="DB13" s="585"/>
      <c r="DC13" s="585"/>
      <c r="DD13" s="585"/>
      <c r="DE13" s="585"/>
      <c r="DF13" s="585"/>
      <c r="DG13" s="585"/>
      <c r="DH13" s="585"/>
      <c r="DI13" s="585"/>
      <c r="DJ13" s="585"/>
      <c r="DK13" s="585"/>
      <c r="DL13" s="585"/>
      <c r="DM13" s="585"/>
      <c r="DN13" s="585"/>
      <c r="DO13" s="585"/>
      <c r="DP13" s="585"/>
      <c r="DQ13" s="585"/>
      <c r="DR13" s="585"/>
      <c r="DS13" s="585"/>
      <c r="DT13" s="585"/>
      <c r="DU13" s="585"/>
      <c r="DV13" s="585"/>
      <c r="DW13" s="585"/>
      <c r="DX13" s="585"/>
      <c r="DY13" s="585"/>
      <c r="DZ13" s="585"/>
      <c r="EA13" s="585"/>
      <c r="EB13" s="585"/>
      <c r="EC13" s="585"/>
      <c r="ED13" s="585"/>
      <c r="EE13" s="585"/>
      <c r="EF13" s="585"/>
      <c r="EG13" s="585"/>
      <c r="EH13" s="585"/>
      <c r="EI13" s="585"/>
      <c r="EJ13" s="585"/>
      <c r="EK13" s="585"/>
      <c r="EL13" s="585"/>
      <c r="EM13" s="585"/>
      <c r="EN13" s="585"/>
      <c r="EO13" s="585"/>
      <c r="EP13" s="585"/>
      <c r="EQ13" s="585"/>
      <c r="ER13" s="585"/>
      <c r="ES13" s="585"/>
      <c r="ET13" s="585"/>
      <c r="EU13" s="585"/>
      <c r="EV13" s="585"/>
      <c r="EW13" s="585"/>
      <c r="EX13" s="585"/>
      <c r="EY13" s="585"/>
      <c r="EZ13" s="585"/>
      <c r="FA13" s="585"/>
      <c r="FB13" s="585"/>
      <c r="FC13" s="585"/>
    </row>
    <row r="14" spans="1:159" ht="56.25" customHeight="1" x14ac:dyDescent="0.2">
      <c r="A14" s="514" t="str">
        <f>+'6. PEP Mensual'!A16</f>
        <v>1.1.3</v>
      </c>
      <c r="B14" s="515" t="str">
        <f>+'6. PEP Mensual'!B16</f>
        <v xml:space="preserve">Contratación de Empresa Constructora para la Pavimentación y mantenimiento del Tramo Campo Aceval – Cruce Jordán (35 km) </v>
      </c>
      <c r="C14" s="516" t="str">
        <f>'[3]3. PEP'!D30</f>
        <v>T2 - Año 1</v>
      </c>
      <c r="D14" s="516" t="str">
        <f>'[3]3. PEP'!F30</f>
        <v>T3 - Año 3</v>
      </c>
      <c r="E14" s="517">
        <f>'[3]3. PEP'!G30</f>
        <v>875000</v>
      </c>
      <c r="F14" s="516"/>
      <c r="G14" s="516" t="str">
        <f>C14</f>
        <v>T2 - Año 1</v>
      </c>
      <c r="H14" s="516" t="str">
        <f>D14</f>
        <v>T3 - Año 3</v>
      </c>
      <c r="I14" s="518" t="s">
        <v>332</v>
      </c>
      <c r="J14" s="516" t="s">
        <v>327</v>
      </c>
      <c r="K14" s="517">
        <f>+'7. PEP Anual'!F13</f>
        <v>0</v>
      </c>
      <c r="L14" s="516"/>
      <c r="M14" s="516"/>
      <c r="N14" s="516"/>
      <c r="O14" s="517"/>
      <c r="P14" s="517"/>
      <c r="Q14" s="517"/>
      <c r="R14" s="522"/>
      <c r="S14" s="522"/>
      <c r="T14" s="522"/>
      <c r="U14" s="522"/>
      <c r="V14" s="522"/>
      <c r="W14" s="522"/>
      <c r="X14" s="522"/>
      <c r="Y14" s="522"/>
      <c r="Z14" s="522"/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5"/>
      <c r="AM14" s="585"/>
      <c r="AN14" s="585"/>
      <c r="AO14" s="585"/>
      <c r="AP14" s="585"/>
      <c r="AQ14" s="585"/>
      <c r="AR14" s="585"/>
      <c r="AS14" s="585"/>
      <c r="AT14" s="585"/>
      <c r="AU14" s="585"/>
      <c r="AV14" s="585"/>
      <c r="AW14" s="585"/>
      <c r="AX14" s="585"/>
      <c r="AY14" s="585"/>
      <c r="AZ14" s="585"/>
      <c r="BA14" s="585"/>
      <c r="BB14" s="585"/>
      <c r="BC14" s="585"/>
      <c r="BD14" s="585"/>
      <c r="BE14" s="585"/>
      <c r="BF14" s="585"/>
      <c r="BG14" s="585"/>
      <c r="BH14" s="585"/>
      <c r="BI14" s="585"/>
      <c r="BJ14" s="585"/>
      <c r="BK14" s="585"/>
      <c r="BL14" s="585"/>
      <c r="BM14" s="585"/>
      <c r="BN14" s="585"/>
      <c r="BO14" s="585"/>
      <c r="BP14" s="585"/>
      <c r="BQ14" s="585"/>
      <c r="BR14" s="585"/>
      <c r="BS14" s="585"/>
      <c r="BT14" s="585"/>
      <c r="BU14" s="585"/>
      <c r="BV14" s="585"/>
      <c r="BW14" s="585"/>
      <c r="BX14" s="585"/>
      <c r="BY14" s="585"/>
      <c r="BZ14" s="585"/>
      <c r="CA14" s="585"/>
      <c r="CB14" s="585"/>
      <c r="CC14" s="585"/>
      <c r="CD14" s="585"/>
      <c r="CE14" s="585"/>
      <c r="CF14" s="585"/>
      <c r="CG14" s="585"/>
      <c r="CH14" s="585"/>
      <c r="CI14" s="585"/>
      <c r="CJ14" s="585"/>
      <c r="CK14" s="585"/>
      <c r="CL14" s="585"/>
      <c r="CM14" s="585"/>
      <c r="CN14" s="585"/>
      <c r="CO14" s="585"/>
      <c r="CP14" s="585"/>
      <c r="CQ14" s="585"/>
      <c r="CR14" s="585"/>
      <c r="CS14" s="585"/>
      <c r="CT14" s="585"/>
      <c r="CU14" s="585"/>
      <c r="CV14" s="585"/>
      <c r="CW14" s="585"/>
      <c r="CX14" s="585"/>
      <c r="CY14" s="585"/>
      <c r="CZ14" s="585"/>
      <c r="DA14" s="585"/>
      <c r="DB14" s="585"/>
      <c r="DC14" s="585"/>
      <c r="DD14" s="585"/>
      <c r="DE14" s="585"/>
      <c r="DF14" s="585"/>
      <c r="DG14" s="585"/>
      <c r="DH14" s="585"/>
      <c r="DI14" s="585"/>
      <c r="DJ14" s="585"/>
      <c r="DK14" s="585"/>
      <c r="DL14" s="585"/>
      <c r="DM14" s="585"/>
      <c r="DN14" s="585"/>
      <c r="DO14" s="585"/>
      <c r="DP14" s="585"/>
      <c r="DQ14" s="585"/>
      <c r="DR14" s="585"/>
      <c r="DS14" s="585"/>
      <c r="DT14" s="585"/>
      <c r="DU14" s="585"/>
      <c r="DV14" s="585"/>
      <c r="DW14" s="585"/>
      <c r="DX14" s="585"/>
      <c r="DY14" s="585"/>
      <c r="DZ14" s="585"/>
      <c r="EA14" s="585"/>
      <c r="EB14" s="585"/>
      <c r="EC14" s="585"/>
      <c r="ED14" s="585"/>
      <c r="EE14" s="585"/>
      <c r="EF14" s="585"/>
      <c r="EG14" s="585"/>
      <c r="EH14" s="585"/>
      <c r="EI14" s="585"/>
      <c r="EJ14" s="585"/>
      <c r="EK14" s="585"/>
      <c r="EL14" s="585"/>
      <c r="EM14" s="585"/>
      <c r="EN14" s="585"/>
      <c r="EO14" s="585"/>
      <c r="EP14" s="585"/>
      <c r="EQ14" s="585"/>
      <c r="ER14" s="585"/>
      <c r="ES14" s="585"/>
      <c r="ET14" s="585"/>
      <c r="EU14" s="585"/>
      <c r="EV14" s="585"/>
      <c r="EW14" s="585"/>
      <c r="EX14" s="585"/>
      <c r="EY14" s="585"/>
      <c r="EZ14" s="585"/>
      <c r="FA14" s="585"/>
      <c r="FB14" s="585"/>
      <c r="FC14" s="585"/>
    </row>
    <row r="15" spans="1:159" ht="56.25" customHeight="1" x14ac:dyDescent="0.2">
      <c r="A15" s="514" t="str">
        <f>+'6. PEP Mensual'!A17</f>
        <v>1.1.4</v>
      </c>
      <c r="B15" s="515" t="str">
        <f>+'6. PEP Mensual'!B17</f>
        <v xml:space="preserve">Contratación de Empresa Constructora para realización de Obras básicas de mejoramiento y mantenimiento de tramos críticos en la Región Occidental (51 km) - (Cruce Jordan – Avalos Sanchez; y  Paratodo – Cruce Douglas.) </v>
      </c>
      <c r="C15" s="516" t="e">
        <f>'[3]3. PEP'!D31</f>
        <v>#REF!</v>
      </c>
      <c r="D15" s="516" t="e">
        <f>'[3]3. PEP'!F31</f>
        <v>#REF!</v>
      </c>
      <c r="E15" s="517" t="e">
        <f>'[3]3. PEP'!G31</f>
        <v>#REF!</v>
      </c>
      <c r="F15" s="516"/>
      <c r="G15" s="516" t="e">
        <f>C15</f>
        <v>#REF!</v>
      </c>
      <c r="H15" s="516" t="e">
        <f>D15</f>
        <v>#REF!</v>
      </c>
      <c r="I15" s="518" t="s">
        <v>332</v>
      </c>
      <c r="J15" s="516" t="s">
        <v>327</v>
      </c>
      <c r="K15" s="517">
        <f>+'7. PEP Anual'!F14</f>
        <v>0</v>
      </c>
      <c r="L15" s="516"/>
      <c r="M15" s="516"/>
      <c r="N15" s="516"/>
      <c r="O15" s="517"/>
      <c r="P15" s="517"/>
      <c r="Q15" s="517"/>
      <c r="R15" s="522"/>
      <c r="S15" s="522"/>
      <c r="T15" s="522"/>
      <c r="U15" s="522"/>
      <c r="V15" s="522"/>
      <c r="W15" s="522"/>
      <c r="X15" s="522"/>
      <c r="Y15" s="522"/>
      <c r="Z15" s="522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5"/>
      <c r="AL15" s="585"/>
      <c r="AM15" s="585"/>
      <c r="AN15" s="585"/>
      <c r="AO15" s="585"/>
      <c r="AP15" s="585"/>
      <c r="AQ15" s="585"/>
      <c r="AR15" s="585"/>
      <c r="AS15" s="585"/>
      <c r="AT15" s="585"/>
      <c r="AU15" s="585"/>
      <c r="AV15" s="585"/>
      <c r="AW15" s="585"/>
      <c r="AX15" s="585"/>
      <c r="AY15" s="585"/>
      <c r="AZ15" s="585"/>
      <c r="BA15" s="585"/>
      <c r="BB15" s="585"/>
      <c r="BC15" s="585"/>
      <c r="BD15" s="585"/>
      <c r="BE15" s="585"/>
      <c r="BF15" s="585"/>
      <c r="BG15" s="585"/>
      <c r="BH15" s="585"/>
      <c r="BI15" s="585"/>
      <c r="BJ15" s="585"/>
      <c r="BK15" s="585"/>
      <c r="BL15" s="585"/>
      <c r="BM15" s="585"/>
      <c r="BN15" s="585"/>
      <c r="BO15" s="585"/>
      <c r="BP15" s="585"/>
      <c r="BQ15" s="585"/>
      <c r="BR15" s="585"/>
      <c r="BS15" s="585"/>
      <c r="BT15" s="585"/>
      <c r="BU15" s="585"/>
      <c r="BV15" s="585"/>
      <c r="BW15" s="585"/>
      <c r="BX15" s="585"/>
      <c r="BY15" s="585"/>
      <c r="BZ15" s="585"/>
      <c r="CA15" s="585"/>
      <c r="CB15" s="585"/>
      <c r="CC15" s="585"/>
      <c r="CD15" s="585"/>
      <c r="CE15" s="585"/>
      <c r="CF15" s="585"/>
      <c r="CG15" s="585"/>
      <c r="CH15" s="585"/>
      <c r="CI15" s="585"/>
      <c r="CJ15" s="585"/>
      <c r="CK15" s="585"/>
      <c r="CL15" s="585"/>
      <c r="CM15" s="585"/>
      <c r="CN15" s="585"/>
      <c r="CO15" s="585"/>
      <c r="CP15" s="585"/>
      <c r="CQ15" s="585"/>
      <c r="CR15" s="585"/>
      <c r="CS15" s="585"/>
      <c r="CT15" s="585"/>
      <c r="CU15" s="585"/>
      <c r="CV15" s="585"/>
      <c r="CW15" s="585"/>
      <c r="CX15" s="585"/>
      <c r="CY15" s="585"/>
      <c r="CZ15" s="585"/>
      <c r="DA15" s="585"/>
      <c r="DB15" s="585"/>
      <c r="DC15" s="585"/>
      <c r="DD15" s="585"/>
      <c r="DE15" s="585"/>
      <c r="DF15" s="585"/>
      <c r="DG15" s="585"/>
      <c r="DH15" s="585"/>
      <c r="DI15" s="585"/>
      <c r="DJ15" s="585"/>
      <c r="DK15" s="585"/>
      <c r="DL15" s="585"/>
      <c r="DM15" s="585"/>
      <c r="DN15" s="585"/>
      <c r="DO15" s="585"/>
      <c r="DP15" s="585"/>
      <c r="DQ15" s="585"/>
      <c r="DR15" s="585"/>
      <c r="DS15" s="585"/>
      <c r="DT15" s="585"/>
      <c r="DU15" s="585"/>
      <c r="DV15" s="585"/>
      <c r="DW15" s="585"/>
      <c r="DX15" s="585"/>
      <c r="DY15" s="585"/>
      <c r="DZ15" s="585"/>
      <c r="EA15" s="585"/>
      <c r="EB15" s="585"/>
      <c r="EC15" s="585"/>
      <c r="ED15" s="585"/>
      <c r="EE15" s="585"/>
      <c r="EF15" s="585"/>
      <c r="EG15" s="585"/>
      <c r="EH15" s="585"/>
      <c r="EI15" s="585"/>
      <c r="EJ15" s="585"/>
      <c r="EK15" s="585"/>
      <c r="EL15" s="585"/>
      <c r="EM15" s="585"/>
      <c r="EN15" s="585"/>
      <c r="EO15" s="585"/>
      <c r="EP15" s="585"/>
      <c r="EQ15" s="585"/>
      <c r="ER15" s="585"/>
      <c r="ES15" s="585"/>
      <c r="ET15" s="585"/>
      <c r="EU15" s="585"/>
      <c r="EV15" s="585"/>
      <c r="EW15" s="585"/>
      <c r="EX15" s="585"/>
      <c r="EY15" s="585"/>
      <c r="EZ15" s="585"/>
      <c r="FA15" s="585"/>
      <c r="FB15" s="585"/>
      <c r="FC15" s="585"/>
    </row>
    <row r="16" spans="1:159" ht="44.25" customHeight="1" x14ac:dyDescent="0.2">
      <c r="A16" s="514" t="str">
        <f>+'6. PEP Mensual'!A18</f>
        <v>1.1.5</v>
      </c>
      <c r="B16" s="515" t="str">
        <f>+'6. PEP Mensual'!B18</f>
        <v>Contratación de Firma Consultora para Fiscalización de obras de   Mejoramiento y Conservación de Tramo Cruce Pioneros (Ruta Nacional N° 9) – Paratodo, y accesos – Región Occidental (104 Km)</v>
      </c>
      <c r="C16" s="516" t="str">
        <f>'[3]3. PEP'!D32</f>
        <v>T2 - Año 1</v>
      </c>
      <c r="D16" s="516" t="str">
        <f>'[3]3. PEP'!F32</f>
        <v>T3 - Año 2</v>
      </c>
      <c r="E16" s="517">
        <f>'[3]3. PEP'!G32</f>
        <v>1820000</v>
      </c>
      <c r="F16" s="516"/>
      <c r="G16" s="516" t="str">
        <f>C16</f>
        <v>T2 - Año 1</v>
      </c>
      <c r="H16" s="516" t="str">
        <f t="shared" ref="H16:H18" si="1">D16</f>
        <v>T3 - Año 2</v>
      </c>
      <c r="I16" s="518" t="s">
        <v>330</v>
      </c>
      <c r="J16" s="516" t="s">
        <v>331</v>
      </c>
      <c r="K16" s="517">
        <f>+'7. PEP Anual'!F15</f>
        <v>1768241.9570000004</v>
      </c>
      <c r="L16" s="516"/>
      <c r="M16" s="516"/>
      <c r="N16" s="516"/>
      <c r="O16" s="519"/>
      <c r="P16" s="519"/>
      <c r="Q16" s="519"/>
      <c r="R16" s="520"/>
      <c r="S16" s="520"/>
      <c r="T16" s="520"/>
      <c r="U16" s="521">
        <v>1</v>
      </c>
      <c r="V16" s="521">
        <v>2</v>
      </c>
      <c r="W16" s="521">
        <v>3</v>
      </c>
      <c r="X16" s="521">
        <v>4</v>
      </c>
      <c r="Y16" s="521">
        <v>5</v>
      </c>
      <c r="Z16" s="521">
        <v>6</v>
      </c>
      <c r="AA16" s="585"/>
      <c r="AB16" s="585"/>
      <c r="AC16" s="585"/>
      <c r="AD16" s="585"/>
      <c r="AE16" s="585"/>
      <c r="AF16" s="585"/>
      <c r="AG16" s="585"/>
      <c r="AH16" s="585"/>
      <c r="AI16" s="585"/>
      <c r="AJ16" s="585"/>
      <c r="AK16" s="585"/>
      <c r="AL16" s="585"/>
      <c r="AM16" s="585"/>
      <c r="AN16" s="585"/>
      <c r="AO16" s="585"/>
      <c r="AP16" s="585"/>
      <c r="AQ16" s="585"/>
      <c r="AR16" s="585"/>
      <c r="AS16" s="585"/>
      <c r="AT16" s="585"/>
      <c r="AU16" s="585"/>
      <c r="AV16" s="585"/>
      <c r="AW16" s="585"/>
      <c r="AX16" s="585"/>
      <c r="AY16" s="585"/>
      <c r="AZ16" s="585"/>
      <c r="BA16" s="585"/>
      <c r="BB16" s="585"/>
      <c r="BC16" s="585"/>
      <c r="BD16" s="585"/>
      <c r="BE16" s="585"/>
      <c r="BF16" s="585"/>
      <c r="BG16" s="585"/>
      <c r="BH16" s="585"/>
      <c r="BI16" s="585"/>
      <c r="BJ16" s="585"/>
      <c r="BK16" s="585"/>
      <c r="BL16" s="585"/>
      <c r="BM16" s="585"/>
      <c r="BN16" s="585"/>
      <c r="BO16" s="585"/>
      <c r="BP16" s="585"/>
      <c r="BQ16" s="585"/>
      <c r="BR16" s="585"/>
      <c r="BS16" s="585"/>
      <c r="BT16" s="585"/>
      <c r="BU16" s="585"/>
      <c r="BV16" s="585"/>
      <c r="BW16" s="585"/>
      <c r="BX16" s="585"/>
      <c r="BY16" s="585"/>
      <c r="BZ16" s="585"/>
      <c r="CA16" s="585"/>
      <c r="CB16" s="585"/>
      <c r="CC16" s="585"/>
      <c r="CD16" s="585"/>
      <c r="CE16" s="585"/>
      <c r="CF16" s="585"/>
      <c r="CG16" s="585"/>
      <c r="CH16" s="585"/>
      <c r="CI16" s="585"/>
      <c r="CJ16" s="585"/>
      <c r="CK16" s="585"/>
      <c r="CL16" s="585"/>
      <c r="CM16" s="585"/>
      <c r="CN16" s="585"/>
      <c r="CO16" s="585"/>
      <c r="CP16" s="585"/>
      <c r="CQ16" s="585"/>
      <c r="CR16" s="585"/>
      <c r="CS16" s="585"/>
      <c r="CT16" s="585"/>
      <c r="CU16" s="585"/>
      <c r="CV16" s="585"/>
      <c r="CW16" s="585"/>
      <c r="CX16" s="585"/>
      <c r="CY16" s="585"/>
      <c r="CZ16" s="585"/>
      <c r="DA16" s="585"/>
      <c r="DB16" s="585"/>
      <c r="DC16" s="585"/>
      <c r="DD16" s="585"/>
      <c r="DE16" s="585"/>
      <c r="DF16" s="585"/>
      <c r="DG16" s="585"/>
      <c r="DH16" s="585"/>
      <c r="DI16" s="585"/>
      <c r="DJ16" s="585"/>
      <c r="DK16" s="585"/>
      <c r="DL16" s="585"/>
      <c r="DM16" s="585"/>
      <c r="DN16" s="585"/>
      <c r="DO16" s="585"/>
      <c r="DP16" s="585"/>
      <c r="DQ16" s="585"/>
      <c r="DR16" s="585"/>
      <c r="DS16" s="585"/>
      <c r="DT16" s="585"/>
      <c r="DU16" s="585"/>
      <c r="DV16" s="585"/>
      <c r="DW16" s="585"/>
      <c r="DX16" s="585"/>
      <c r="DY16" s="585"/>
      <c r="DZ16" s="585"/>
      <c r="EA16" s="585"/>
      <c r="EB16" s="585"/>
      <c r="EC16" s="585"/>
      <c r="ED16" s="585"/>
      <c r="EE16" s="585"/>
      <c r="EF16" s="585"/>
      <c r="EG16" s="585"/>
      <c r="EH16" s="585"/>
      <c r="EI16" s="585"/>
      <c r="EJ16" s="585"/>
      <c r="EK16" s="585"/>
      <c r="EL16" s="585"/>
      <c r="EM16" s="585"/>
      <c r="EN16" s="585"/>
      <c r="EO16" s="585"/>
      <c r="EP16" s="585"/>
      <c r="EQ16" s="585"/>
      <c r="ER16" s="585"/>
      <c r="ES16" s="585"/>
      <c r="ET16" s="585"/>
      <c r="EU16" s="585"/>
      <c r="EV16" s="585"/>
      <c r="EW16" s="585"/>
      <c r="EX16" s="585"/>
      <c r="EY16" s="585"/>
      <c r="EZ16" s="585"/>
      <c r="FA16" s="585"/>
      <c r="FB16" s="585"/>
      <c r="FC16" s="585"/>
    </row>
    <row r="17" spans="1:16384" ht="48.75" customHeight="1" x14ac:dyDescent="0.2">
      <c r="A17" s="514" t="str">
        <f>+'6. PEP Mensual'!A19</f>
        <v>1.1.6</v>
      </c>
      <c r="B17" s="515" t="str">
        <f>+'6. PEP Mensual'!B19</f>
        <v>Contratación de Firma Consultora para Fiscalización de las Obras de Mejoramiento y Conservación del tramo Villa del Rosario - Volendam - San Pablo - Ruta 11, y accesos– Región Oriental (80,36 Km)</v>
      </c>
      <c r="C17" s="516" t="e">
        <f>'[3]3. PEP'!D33</f>
        <v>#REF!</v>
      </c>
      <c r="D17" s="516" t="e">
        <f>'[3]3. PEP'!F33</f>
        <v>#REF!</v>
      </c>
      <c r="E17" s="517">
        <f>'[3]3. PEP'!G33</f>
        <v>4000000</v>
      </c>
      <c r="F17" s="516"/>
      <c r="G17" s="516" t="e">
        <f t="shared" ref="G17:G18" si="2">C17</f>
        <v>#REF!</v>
      </c>
      <c r="H17" s="516" t="e">
        <f t="shared" si="1"/>
        <v>#REF!</v>
      </c>
      <c r="I17" s="518" t="s">
        <v>332</v>
      </c>
      <c r="J17" s="516" t="s">
        <v>327</v>
      </c>
      <c r="K17" s="517">
        <f>+'7. PEP Anual'!F16</f>
        <v>1525547.47912</v>
      </c>
      <c r="L17" s="516"/>
      <c r="M17" s="516"/>
      <c r="N17" s="516"/>
      <c r="O17" s="517"/>
      <c r="P17" s="517"/>
      <c r="Q17" s="519"/>
      <c r="R17" s="519"/>
      <c r="S17" s="519"/>
      <c r="T17" s="520"/>
      <c r="U17" s="520"/>
      <c r="V17" s="520"/>
      <c r="W17" s="520"/>
      <c r="X17" s="520"/>
      <c r="Y17" s="520"/>
      <c r="Z17" s="520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5"/>
      <c r="AV17" s="585"/>
      <c r="AW17" s="585"/>
      <c r="AX17" s="585"/>
      <c r="AY17" s="585"/>
      <c r="AZ17" s="585"/>
      <c r="BA17" s="585"/>
      <c r="BB17" s="585"/>
      <c r="BC17" s="585"/>
      <c r="BD17" s="585"/>
      <c r="BE17" s="585"/>
      <c r="BF17" s="585"/>
      <c r="BG17" s="585"/>
      <c r="BH17" s="585"/>
      <c r="BI17" s="585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5"/>
      <c r="BZ17" s="585"/>
      <c r="CA17" s="585"/>
      <c r="CB17" s="585"/>
      <c r="CC17" s="585"/>
      <c r="CD17" s="585"/>
      <c r="CE17" s="585"/>
      <c r="CF17" s="585"/>
      <c r="CG17" s="585"/>
      <c r="CH17" s="585"/>
      <c r="CI17" s="585"/>
      <c r="CJ17" s="585"/>
      <c r="CK17" s="585"/>
      <c r="CL17" s="585"/>
      <c r="CM17" s="585"/>
      <c r="CN17" s="585"/>
      <c r="CO17" s="585"/>
      <c r="CP17" s="585"/>
      <c r="CQ17" s="585"/>
      <c r="CR17" s="585"/>
      <c r="CS17" s="585"/>
      <c r="CT17" s="585"/>
      <c r="CU17" s="585"/>
      <c r="CV17" s="585"/>
      <c r="CW17" s="585"/>
      <c r="CX17" s="585"/>
      <c r="CY17" s="585"/>
      <c r="CZ17" s="585"/>
      <c r="DA17" s="585"/>
      <c r="DB17" s="585"/>
      <c r="DC17" s="585"/>
      <c r="DD17" s="585"/>
      <c r="DE17" s="585"/>
      <c r="DF17" s="585"/>
      <c r="DG17" s="585"/>
      <c r="DH17" s="585"/>
      <c r="DI17" s="585"/>
      <c r="DJ17" s="585"/>
      <c r="DK17" s="585"/>
      <c r="DL17" s="585"/>
      <c r="DM17" s="585"/>
      <c r="DN17" s="585"/>
      <c r="DO17" s="585"/>
      <c r="DP17" s="585"/>
      <c r="DQ17" s="585"/>
      <c r="DR17" s="585"/>
      <c r="DS17" s="585"/>
      <c r="DT17" s="585"/>
      <c r="DU17" s="585"/>
      <c r="DV17" s="585"/>
      <c r="DW17" s="585"/>
      <c r="DX17" s="585"/>
      <c r="DY17" s="585"/>
      <c r="DZ17" s="585"/>
      <c r="EA17" s="585"/>
      <c r="EB17" s="585"/>
      <c r="EC17" s="585"/>
      <c r="ED17" s="585"/>
      <c r="EE17" s="585"/>
      <c r="EF17" s="585"/>
      <c r="EG17" s="585"/>
      <c r="EH17" s="585"/>
      <c r="EI17" s="585"/>
      <c r="EJ17" s="585"/>
      <c r="EK17" s="585"/>
      <c r="EL17" s="585"/>
      <c r="EM17" s="585"/>
      <c r="EN17" s="585"/>
      <c r="EO17" s="585"/>
      <c r="EP17" s="585"/>
      <c r="EQ17" s="585"/>
      <c r="ER17" s="585"/>
      <c r="ES17" s="585"/>
      <c r="ET17" s="585"/>
      <c r="EU17" s="585"/>
      <c r="EV17" s="585"/>
      <c r="EW17" s="585"/>
      <c r="EX17" s="585"/>
      <c r="EY17" s="585"/>
      <c r="EZ17" s="585"/>
      <c r="FA17" s="585"/>
      <c r="FB17" s="585"/>
      <c r="FC17" s="585"/>
    </row>
    <row r="18" spans="1:16384" ht="63" customHeight="1" x14ac:dyDescent="0.2">
      <c r="A18" s="514" t="str">
        <f>+'6. PEP Mensual'!A20</f>
        <v>1.1.7</v>
      </c>
      <c r="B18" s="515" t="str">
        <f>+'6. PEP Mensual'!B20</f>
        <v>Contratación de Firma Consultora para Fiscalización de las Obras básicas de Mejoramiento y Conservación de caminos complementarios tramos Paratodo-Cruce Douglas y Campo Aceval – Avalos Sanchez – Región Occidental (86 Km)</v>
      </c>
      <c r="C18" s="516" t="str">
        <f>'[3]3. PEP'!D34</f>
        <v>T1 - Año 1</v>
      </c>
      <c r="D18" s="516" t="str">
        <f>'[3]3. PEP'!F34</f>
        <v>T4 - Año 5</v>
      </c>
      <c r="E18" s="517">
        <f>'[3]3. PEP'!G34</f>
        <v>764080</v>
      </c>
      <c r="F18" s="516"/>
      <c r="G18" s="516" t="str">
        <f t="shared" si="2"/>
        <v>T1 - Año 1</v>
      </c>
      <c r="H18" s="516" t="str">
        <f t="shared" si="1"/>
        <v>T4 - Año 5</v>
      </c>
      <c r="I18" s="518" t="s">
        <v>332</v>
      </c>
      <c r="J18" s="516" t="s">
        <v>327</v>
      </c>
      <c r="K18" s="517">
        <f>+'7. PEP Anual'!F17</f>
        <v>0</v>
      </c>
      <c r="L18" s="516"/>
      <c r="M18" s="516"/>
      <c r="N18" s="516"/>
      <c r="O18" s="517"/>
      <c r="P18" s="517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5"/>
      <c r="AV18" s="585"/>
      <c r="AW18" s="585"/>
      <c r="AX18" s="585"/>
      <c r="AY18" s="585"/>
      <c r="AZ18" s="585"/>
      <c r="BA18" s="585"/>
      <c r="BB18" s="585"/>
      <c r="BC18" s="585"/>
      <c r="BD18" s="585"/>
      <c r="BE18" s="585"/>
      <c r="BF18" s="585"/>
      <c r="BG18" s="585"/>
      <c r="BH18" s="585"/>
      <c r="BI18" s="585"/>
      <c r="BJ18" s="585"/>
      <c r="BK18" s="585"/>
      <c r="BL18" s="585"/>
      <c r="BM18" s="585"/>
      <c r="BN18" s="585"/>
      <c r="BO18" s="585"/>
      <c r="BP18" s="585"/>
      <c r="BQ18" s="585"/>
      <c r="BR18" s="585"/>
      <c r="BS18" s="585"/>
      <c r="BT18" s="585"/>
      <c r="BU18" s="585"/>
      <c r="BV18" s="585"/>
      <c r="BW18" s="585"/>
      <c r="BX18" s="585"/>
      <c r="BY18" s="585"/>
      <c r="BZ18" s="585"/>
      <c r="CA18" s="585"/>
      <c r="CB18" s="585"/>
      <c r="CC18" s="585"/>
      <c r="CD18" s="585"/>
      <c r="CE18" s="585"/>
      <c r="CF18" s="585"/>
      <c r="CG18" s="585"/>
      <c r="CH18" s="585"/>
      <c r="CI18" s="585"/>
      <c r="CJ18" s="585"/>
      <c r="CK18" s="585"/>
      <c r="CL18" s="585"/>
      <c r="CM18" s="585"/>
      <c r="CN18" s="585"/>
      <c r="CO18" s="585"/>
      <c r="CP18" s="585"/>
      <c r="CQ18" s="585"/>
      <c r="CR18" s="585"/>
      <c r="CS18" s="585"/>
      <c r="CT18" s="585"/>
      <c r="CU18" s="585"/>
      <c r="CV18" s="585"/>
      <c r="CW18" s="585"/>
      <c r="CX18" s="585"/>
      <c r="CY18" s="585"/>
      <c r="CZ18" s="585"/>
      <c r="DA18" s="585"/>
      <c r="DB18" s="585"/>
      <c r="DC18" s="585"/>
      <c r="DD18" s="585"/>
      <c r="DE18" s="585"/>
      <c r="DF18" s="585"/>
      <c r="DG18" s="585"/>
      <c r="DH18" s="585"/>
      <c r="DI18" s="585"/>
      <c r="DJ18" s="585"/>
      <c r="DK18" s="585"/>
      <c r="DL18" s="585"/>
      <c r="DM18" s="585"/>
      <c r="DN18" s="585"/>
      <c r="DO18" s="585"/>
      <c r="DP18" s="585"/>
      <c r="DQ18" s="585"/>
      <c r="DR18" s="585"/>
      <c r="DS18" s="585"/>
      <c r="DT18" s="585"/>
      <c r="DU18" s="585"/>
      <c r="DV18" s="585"/>
      <c r="DW18" s="585"/>
      <c r="DX18" s="585"/>
      <c r="DY18" s="585"/>
      <c r="DZ18" s="585"/>
      <c r="EA18" s="585"/>
      <c r="EB18" s="585"/>
      <c r="EC18" s="585"/>
      <c r="ED18" s="585"/>
      <c r="EE18" s="585"/>
      <c r="EF18" s="585"/>
      <c r="EG18" s="585"/>
      <c r="EH18" s="585"/>
      <c r="EI18" s="585"/>
      <c r="EJ18" s="585"/>
      <c r="EK18" s="585"/>
      <c r="EL18" s="585"/>
      <c r="EM18" s="585"/>
      <c r="EN18" s="585"/>
      <c r="EO18" s="585"/>
      <c r="EP18" s="585"/>
      <c r="EQ18" s="585"/>
      <c r="ER18" s="585"/>
      <c r="ES18" s="585"/>
      <c r="ET18" s="585"/>
      <c r="EU18" s="585"/>
      <c r="EV18" s="585"/>
      <c r="EW18" s="585"/>
      <c r="EX18" s="585"/>
      <c r="EY18" s="585"/>
      <c r="EZ18" s="585"/>
      <c r="FA18" s="585"/>
      <c r="FB18" s="585"/>
      <c r="FC18" s="585"/>
    </row>
    <row r="19" spans="1:16384" s="585" customFormat="1" x14ac:dyDescent="0.2">
      <c r="A19" s="509" t="str">
        <f>+'6. PEP Mensual'!A21</f>
        <v>1.2</v>
      </c>
      <c r="B19" s="510" t="str">
        <f>+'6. PEP Mensual'!B21</f>
        <v>Gestión Socio Ambiental</v>
      </c>
      <c r="C19" s="511"/>
      <c r="D19" s="511"/>
      <c r="E19" s="512">
        <f>'[3]3. PEP'!G33</f>
        <v>4000000</v>
      </c>
      <c r="F19" s="511"/>
      <c r="G19" s="511"/>
      <c r="H19" s="511"/>
      <c r="I19" s="513"/>
      <c r="J19" s="511"/>
      <c r="K19" s="512">
        <f>+'7. PEP Anual'!F18</f>
        <v>36600</v>
      </c>
      <c r="L19" s="511"/>
      <c r="M19" s="511"/>
      <c r="N19" s="511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87"/>
      <c r="AB19" s="588"/>
      <c r="AC19" s="589"/>
      <c r="AD19" s="589"/>
      <c r="AE19" s="590"/>
      <c r="AF19" s="589"/>
      <c r="AG19" s="589"/>
      <c r="AH19" s="589"/>
      <c r="AI19" s="591"/>
      <c r="AJ19" s="589"/>
      <c r="AK19" s="590"/>
      <c r="AL19" s="589"/>
      <c r="AM19" s="589"/>
      <c r="AN19" s="589"/>
      <c r="AO19" s="590"/>
      <c r="AP19" s="590"/>
      <c r="AQ19" s="590"/>
      <c r="AR19" s="590"/>
      <c r="AS19" s="590"/>
      <c r="AT19" s="590"/>
      <c r="AU19" s="590"/>
      <c r="AV19" s="590"/>
      <c r="AW19" s="590"/>
      <c r="AX19" s="590"/>
      <c r="AY19" s="590"/>
      <c r="AZ19" s="590"/>
      <c r="BA19" s="587"/>
      <c r="BB19" s="588"/>
      <c r="BC19" s="589"/>
      <c r="BD19" s="589"/>
      <c r="BE19" s="590"/>
      <c r="BF19" s="589"/>
      <c r="BG19" s="589"/>
      <c r="BH19" s="589"/>
      <c r="BI19" s="591"/>
      <c r="BJ19" s="589"/>
      <c r="BK19" s="590"/>
      <c r="BL19" s="589"/>
      <c r="BM19" s="589"/>
      <c r="BN19" s="589"/>
      <c r="BO19" s="590"/>
      <c r="BP19" s="590"/>
      <c r="BQ19" s="590"/>
      <c r="BR19" s="590"/>
      <c r="BS19" s="590"/>
      <c r="BT19" s="590"/>
      <c r="BU19" s="590"/>
      <c r="BV19" s="590"/>
      <c r="BW19" s="590"/>
      <c r="BX19" s="590"/>
      <c r="BY19" s="590"/>
      <c r="BZ19" s="590"/>
      <c r="CA19" s="587"/>
      <c r="CB19" s="588"/>
      <c r="CC19" s="589"/>
      <c r="CD19" s="589"/>
      <c r="CE19" s="590"/>
      <c r="CF19" s="589"/>
      <c r="CG19" s="589"/>
      <c r="CH19" s="589"/>
      <c r="CI19" s="591"/>
      <c r="CJ19" s="589"/>
      <c r="CK19" s="590"/>
      <c r="CL19" s="589"/>
      <c r="CM19" s="589"/>
      <c r="CN19" s="589"/>
      <c r="CO19" s="590"/>
      <c r="CP19" s="590"/>
      <c r="CQ19" s="590"/>
      <c r="CR19" s="590"/>
      <c r="CS19" s="590"/>
      <c r="CT19" s="590"/>
      <c r="CU19" s="590"/>
      <c r="CV19" s="590"/>
      <c r="CW19" s="590"/>
      <c r="CX19" s="590"/>
      <c r="CY19" s="590"/>
      <c r="CZ19" s="590"/>
      <c r="DA19" s="587"/>
      <c r="DB19" s="588"/>
      <c r="DC19" s="589"/>
      <c r="DD19" s="589"/>
      <c r="DE19" s="590"/>
      <c r="DF19" s="589"/>
      <c r="DG19" s="589"/>
      <c r="DH19" s="589"/>
      <c r="DI19" s="591"/>
      <c r="DJ19" s="589"/>
      <c r="DK19" s="590"/>
      <c r="DL19" s="589"/>
      <c r="DM19" s="589"/>
      <c r="DN19" s="589"/>
      <c r="DO19" s="590"/>
      <c r="DP19" s="590"/>
      <c r="DQ19" s="590"/>
      <c r="DR19" s="590"/>
      <c r="DS19" s="590"/>
      <c r="DT19" s="590"/>
      <c r="DU19" s="590"/>
      <c r="DV19" s="590"/>
      <c r="DW19" s="590"/>
      <c r="DX19" s="590"/>
      <c r="DY19" s="590"/>
      <c r="DZ19" s="590"/>
      <c r="EA19" s="587"/>
      <c r="EB19" s="588"/>
      <c r="EC19" s="589"/>
      <c r="ED19" s="589"/>
      <c r="EE19" s="590"/>
      <c r="EF19" s="589"/>
      <c r="EG19" s="589"/>
      <c r="EH19" s="589"/>
      <c r="EI19" s="591"/>
      <c r="EJ19" s="589"/>
      <c r="EK19" s="590"/>
      <c r="EL19" s="589"/>
      <c r="EM19" s="589"/>
      <c r="EN19" s="589"/>
      <c r="EO19" s="590"/>
      <c r="EP19" s="590"/>
      <c r="EQ19" s="590"/>
      <c r="ER19" s="590"/>
      <c r="ES19" s="590"/>
      <c r="ET19" s="590"/>
      <c r="EU19" s="590"/>
      <c r="EV19" s="590"/>
      <c r="EW19" s="590"/>
      <c r="EX19" s="590"/>
      <c r="EY19" s="590"/>
      <c r="EZ19" s="590"/>
      <c r="FA19" s="587"/>
      <c r="FB19" s="588"/>
      <c r="FC19" s="589"/>
      <c r="FD19" s="589"/>
      <c r="FE19" s="590"/>
      <c r="FF19" s="589"/>
      <c r="FG19" s="589"/>
      <c r="FH19" s="589"/>
      <c r="FI19" s="591"/>
      <c r="FJ19" s="589"/>
      <c r="FK19" s="590"/>
      <c r="FL19" s="589"/>
      <c r="FM19" s="589"/>
      <c r="FN19" s="589"/>
      <c r="FO19" s="590"/>
      <c r="FP19" s="590"/>
      <c r="FQ19" s="590"/>
      <c r="FR19" s="590"/>
      <c r="FS19" s="590"/>
      <c r="FT19" s="590"/>
      <c r="FU19" s="590"/>
      <c r="FV19" s="590"/>
      <c r="FW19" s="590"/>
      <c r="FX19" s="590"/>
      <c r="FY19" s="590"/>
      <c r="FZ19" s="590"/>
      <c r="GA19" s="587"/>
      <c r="GB19" s="588"/>
      <c r="GC19" s="589"/>
      <c r="GD19" s="589"/>
      <c r="GE19" s="590"/>
      <c r="GF19" s="589"/>
      <c r="GG19" s="589"/>
      <c r="GH19" s="589"/>
      <c r="GI19" s="591"/>
      <c r="GJ19" s="589"/>
      <c r="GK19" s="590"/>
      <c r="GL19" s="589"/>
      <c r="GM19" s="589"/>
      <c r="GN19" s="589"/>
      <c r="GO19" s="590"/>
      <c r="GP19" s="590"/>
      <c r="GQ19" s="590"/>
      <c r="GR19" s="590"/>
      <c r="GS19" s="590"/>
      <c r="GT19" s="590"/>
      <c r="GU19" s="590"/>
      <c r="GV19" s="590"/>
      <c r="GW19" s="590"/>
      <c r="GX19" s="590"/>
      <c r="GY19" s="590"/>
      <c r="GZ19" s="590"/>
      <c r="HA19" s="587"/>
      <c r="HB19" s="588"/>
      <c r="HC19" s="589"/>
      <c r="HD19" s="589"/>
      <c r="HE19" s="590"/>
      <c r="HF19" s="589"/>
      <c r="HG19" s="589"/>
      <c r="HH19" s="589"/>
      <c r="HI19" s="591"/>
      <c r="HJ19" s="589"/>
      <c r="HK19" s="590"/>
      <c r="HL19" s="589"/>
      <c r="HM19" s="589"/>
      <c r="HN19" s="589"/>
      <c r="HO19" s="590"/>
      <c r="HP19" s="590"/>
      <c r="HQ19" s="590"/>
      <c r="HR19" s="590"/>
      <c r="HS19" s="590"/>
      <c r="HT19" s="590"/>
      <c r="HU19" s="590"/>
      <c r="HV19" s="590"/>
      <c r="HW19" s="590"/>
      <c r="HX19" s="590"/>
      <c r="HY19" s="590"/>
      <c r="HZ19" s="590"/>
      <c r="IA19" s="587"/>
      <c r="IB19" s="588"/>
      <c r="IC19" s="589"/>
      <c r="ID19" s="589"/>
      <c r="IE19" s="590"/>
      <c r="IF19" s="589"/>
      <c r="IG19" s="589"/>
      <c r="IH19" s="589"/>
      <c r="II19" s="591"/>
      <c r="IJ19" s="589"/>
      <c r="IK19" s="590"/>
      <c r="IL19" s="589"/>
      <c r="IM19" s="589"/>
      <c r="IN19" s="589"/>
      <c r="IO19" s="590"/>
      <c r="IP19" s="590"/>
      <c r="IQ19" s="590"/>
      <c r="IR19" s="590"/>
      <c r="IS19" s="590"/>
      <c r="IT19" s="590"/>
      <c r="IU19" s="590"/>
      <c r="IV19" s="590"/>
      <c r="IW19" s="590"/>
      <c r="IX19" s="590"/>
      <c r="IY19" s="590"/>
      <c r="IZ19" s="590"/>
      <c r="JA19" s="587"/>
      <c r="JB19" s="588"/>
      <c r="JC19" s="589"/>
      <c r="JD19" s="589"/>
      <c r="JE19" s="590"/>
      <c r="JF19" s="589"/>
      <c r="JG19" s="589"/>
      <c r="JH19" s="589"/>
      <c r="JI19" s="591"/>
      <c r="JJ19" s="589"/>
      <c r="JK19" s="590"/>
      <c r="JL19" s="589"/>
      <c r="JM19" s="589"/>
      <c r="JN19" s="589"/>
      <c r="JO19" s="590"/>
      <c r="JP19" s="590"/>
      <c r="JQ19" s="590"/>
      <c r="JR19" s="590"/>
      <c r="JS19" s="590"/>
      <c r="JT19" s="590"/>
      <c r="JU19" s="590"/>
      <c r="JV19" s="590"/>
      <c r="JW19" s="590"/>
      <c r="JX19" s="590"/>
      <c r="JY19" s="590"/>
      <c r="JZ19" s="590"/>
      <c r="KA19" s="587"/>
      <c r="KB19" s="588"/>
      <c r="KC19" s="589"/>
      <c r="KD19" s="589"/>
      <c r="KE19" s="590"/>
      <c r="KF19" s="589"/>
      <c r="KG19" s="589"/>
      <c r="KH19" s="589"/>
      <c r="KI19" s="591"/>
      <c r="KJ19" s="589"/>
      <c r="KK19" s="590"/>
      <c r="KL19" s="589"/>
      <c r="KM19" s="589"/>
      <c r="KN19" s="589"/>
      <c r="KO19" s="590"/>
      <c r="KP19" s="590"/>
      <c r="KQ19" s="590"/>
      <c r="KR19" s="590"/>
      <c r="KS19" s="590"/>
      <c r="KT19" s="590"/>
      <c r="KU19" s="590"/>
      <c r="KV19" s="590"/>
      <c r="KW19" s="590"/>
      <c r="KX19" s="590"/>
      <c r="KY19" s="590"/>
      <c r="KZ19" s="590"/>
      <c r="LA19" s="587"/>
      <c r="LB19" s="588"/>
      <c r="LC19" s="589"/>
      <c r="LD19" s="589"/>
      <c r="LE19" s="590"/>
      <c r="LF19" s="589"/>
      <c r="LG19" s="589"/>
      <c r="LH19" s="589"/>
      <c r="LI19" s="591"/>
      <c r="LJ19" s="589"/>
      <c r="LK19" s="590"/>
      <c r="LL19" s="589"/>
      <c r="LM19" s="589"/>
      <c r="LN19" s="589"/>
      <c r="LO19" s="590"/>
      <c r="LP19" s="590"/>
      <c r="LQ19" s="590"/>
      <c r="LR19" s="590"/>
      <c r="LS19" s="590"/>
      <c r="LT19" s="590"/>
      <c r="LU19" s="590"/>
      <c r="LV19" s="590"/>
      <c r="LW19" s="590"/>
      <c r="LX19" s="590"/>
      <c r="LY19" s="590"/>
      <c r="LZ19" s="590"/>
      <c r="MA19" s="587"/>
      <c r="MB19" s="588"/>
      <c r="MC19" s="589"/>
      <c r="MD19" s="589"/>
      <c r="ME19" s="590"/>
      <c r="MF19" s="589"/>
      <c r="MG19" s="589"/>
      <c r="MH19" s="589"/>
      <c r="MI19" s="591"/>
      <c r="MJ19" s="589"/>
      <c r="MK19" s="590"/>
      <c r="ML19" s="589"/>
      <c r="MM19" s="589"/>
      <c r="MN19" s="589"/>
      <c r="MO19" s="590"/>
      <c r="MP19" s="590"/>
      <c r="MQ19" s="590"/>
      <c r="MR19" s="590"/>
      <c r="MS19" s="590"/>
      <c r="MT19" s="590"/>
      <c r="MU19" s="590"/>
      <c r="MV19" s="590"/>
      <c r="MW19" s="590"/>
      <c r="MX19" s="590"/>
      <c r="MY19" s="590"/>
      <c r="MZ19" s="590"/>
      <c r="NA19" s="587"/>
      <c r="NB19" s="588"/>
      <c r="NC19" s="589"/>
      <c r="ND19" s="589"/>
      <c r="NE19" s="590"/>
      <c r="NF19" s="589"/>
      <c r="NG19" s="589"/>
      <c r="NH19" s="589"/>
      <c r="NI19" s="591"/>
      <c r="NJ19" s="589"/>
      <c r="NK19" s="590"/>
      <c r="NL19" s="589"/>
      <c r="NM19" s="589"/>
      <c r="NN19" s="589"/>
      <c r="NO19" s="590"/>
      <c r="NP19" s="590"/>
      <c r="NQ19" s="590"/>
      <c r="NR19" s="590"/>
      <c r="NS19" s="590"/>
      <c r="NT19" s="590"/>
      <c r="NU19" s="590"/>
      <c r="NV19" s="590"/>
      <c r="NW19" s="590"/>
      <c r="NX19" s="590"/>
      <c r="NY19" s="590"/>
      <c r="NZ19" s="590"/>
      <c r="OA19" s="587"/>
      <c r="OB19" s="588"/>
      <c r="OC19" s="589"/>
      <c r="OD19" s="589"/>
      <c r="OE19" s="590"/>
      <c r="OF19" s="589"/>
      <c r="OG19" s="589"/>
      <c r="OH19" s="589"/>
      <c r="OI19" s="591"/>
      <c r="OJ19" s="589"/>
      <c r="OK19" s="590"/>
      <c r="OL19" s="589"/>
      <c r="OM19" s="589"/>
      <c r="ON19" s="589"/>
      <c r="OO19" s="590"/>
      <c r="OP19" s="590"/>
      <c r="OQ19" s="590"/>
      <c r="OR19" s="590"/>
      <c r="OS19" s="590"/>
      <c r="OT19" s="590"/>
      <c r="OU19" s="590"/>
      <c r="OV19" s="590"/>
      <c r="OW19" s="590"/>
      <c r="OX19" s="590"/>
      <c r="OY19" s="590"/>
      <c r="OZ19" s="590"/>
      <c r="PA19" s="587"/>
      <c r="PB19" s="588"/>
      <c r="PC19" s="589"/>
      <c r="PD19" s="589"/>
      <c r="PE19" s="590"/>
      <c r="PF19" s="589"/>
      <c r="PG19" s="589"/>
      <c r="PH19" s="589"/>
      <c r="PI19" s="591"/>
      <c r="PJ19" s="589"/>
      <c r="PK19" s="590"/>
      <c r="PL19" s="589"/>
      <c r="PM19" s="589"/>
      <c r="PN19" s="589"/>
      <c r="PO19" s="590"/>
      <c r="PP19" s="590"/>
      <c r="PQ19" s="590"/>
      <c r="PR19" s="590"/>
      <c r="PS19" s="590"/>
      <c r="PT19" s="590"/>
      <c r="PU19" s="590"/>
      <c r="PV19" s="590"/>
      <c r="PW19" s="590"/>
      <c r="PX19" s="590"/>
      <c r="PY19" s="590"/>
      <c r="PZ19" s="590"/>
      <c r="QA19" s="587"/>
      <c r="QB19" s="588"/>
      <c r="QC19" s="589"/>
      <c r="QD19" s="589"/>
      <c r="QE19" s="590"/>
      <c r="QF19" s="589"/>
      <c r="QG19" s="589"/>
      <c r="QH19" s="589"/>
      <c r="QI19" s="591"/>
      <c r="QJ19" s="589"/>
      <c r="QK19" s="590"/>
      <c r="QL19" s="589"/>
      <c r="QM19" s="589"/>
      <c r="QN19" s="589"/>
      <c r="QO19" s="590"/>
      <c r="QP19" s="590"/>
      <c r="QQ19" s="590"/>
      <c r="QR19" s="590"/>
      <c r="QS19" s="590"/>
      <c r="QT19" s="590"/>
      <c r="QU19" s="590"/>
      <c r="QV19" s="590"/>
      <c r="QW19" s="590"/>
      <c r="QX19" s="590"/>
      <c r="QY19" s="590"/>
      <c r="QZ19" s="590"/>
      <c r="RA19" s="587"/>
      <c r="RB19" s="588"/>
      <c r="RC19" s="589"/>
      <c r="RD19" s="589"/>
      <c r="RE19" s="590"/>
      <c r="RF19" s="589"/>
      <c r="RG19" s="589"/>
      <c r="RH19" s="589"/>
      <c r="RI19" s="591"/>
      <c r="RJ19" s="589"/>
      <c r="RK19" s="590"/>
      <c r="RL19" s="589"/>
      <c r="RM19" s="589"/>
      <c r="RN19" s="589"/>
      <c r="RO19" s="590"/>
      <c r="RP19" s="590"/>
      <c r="RQ19" s="590"/>
      <c r="RR19" s="590"/>
      <c r="RS19" s="590"/>
      <c r="RT19" s="590"/>
      <c r="RU19" s="590"/>
      <c r="RV19" s="590"/>
      <c r="RW19" s="590"/>
      <c r="RX19" s="590"/>
      <c r="RY19" s="590"/>
      <c r="RZ19" s="590"/>
      <c r="SA19" s="587"/>
      <c r="SB19" s="588"/>
      <c r="SC19" s="589"/>
      <c r="SD19" s="589"/>
      <c r="SE19" s="590"/>
      <c r="SF19" s="589"/>
      <c r="SG19" s="589"/>
      <c r="SH19" s="589"/>
      <c r="SI19" s="591"/>
      <c r="SJ19" s="589"/>
      <c r="SK19" s="590"/>
      <c r="SL19" s="589"/>
      <c r="SM19" s="589"/>
      <c r="SN19" s="589"/>
      <c r="SO19" s="590"/>
      <c r="SP19" s="590"/>
      <c r="SQ19" s="590"/>
      <c r="SR19" s="590"/>
      <c r="SS19" s="590"/>
      <c r="ST19" s="590"/>
      <c r="SU19" s="590"/>
      <c r="SV19" s="590"/>
      <c r="SW19" s="590"/>
      <c r="SX19" s="590"/>
      <c r="SY19" s="590"/>
      <c r="SZ19" s="590"/>
      <c r="TA19" s="587"/>
      <c r="TB19" s="588"/>
      <c r="TC19" s="589"/>
      <c r="TD19" s="589"/>
      <c r="TE19" s="590"/>
      <c r="TF19" s="589"/>
      <c r="TG19" s="589"/>
      <c r="TH19" s="589"/>
      <c r="TI19" s="591"/>
      <c r="TJ19" s="589"/>
      <c r="TK19" s="590"/>
      <c r="TL19" s="589"/>
      <c r="TM19" s="589"/>
      <c r="TN19" s="589"/>
      <c r="TO19" s="590"/>
      <c r="TP19" s="590"/>
      <c r="TQ19" s="590"/>
      <c r="TR19" s="590"/>
      <c r="TS19" s="590"/>
      <c r="TT19" s="590"/>
      <c r="TU19" s="590"/>
      <c r="TV19" s="590"/>
      <c r="TW19" s="590"/>
      <c r="TX19" s="590"/>
      <c r="TY19" s="590"/>
      <c r="TZ19" s="590"/>
      <c r="UA19" s="587"/>
      <c r="UB19" s="588"/>
      <c r="UC19" s="589"/>
      <c r="UD19" s="589"/>
      <c r="UE19" s="590"/>
      <c r="UF19" s="589"/>
      <c r="UG19" s="589"/>
      <c r="UH19" s="589"/>
      <c r="UI19" s="591"/>
      <c r="UJ19" s="589"/>
      <c r="UK19" s="590"/>
      <c r="UL19" s="589"/>
      <c r="UM19" s="589"/>
      <c r="UN19" s="589"/>
      <c r="UO19" s="590"/>
      <c r="UP19" s="590"/>
      <c r="UQ19" s="590"/>
      <c r="UR19" s="590"/>
      <c r="US19" s="590"/>
      <c r="UT19" s="590"/>
      <c r="UU19" s="590"/>
      <c r="UV19" s="590"/>
      <c r="UW19" s="590"/>
      <c r="UX19" s="590"/>
      <c r="UY19" s="590"/>
      <c r="UZ19" s="590"/>
      <c r="VA19" s="587"/>
      <c r="VB19" s="588"/>
      <c r="VC19" s="589"/>
      <c r="VD19" s="589"/>
      <c r="VE19" s="590"/>
      <c r="VF19" s="589"/>
      <c r="VG19" s="589"/>
      <c r="VH19" s="589"/>
      <c r="VI19" s="591"/>
      <c r="VJ19" s="589"/>
      <c r="VK19" s="590"/>
      <c r="VL19" s="589"/>
      <c r="VM19" s="589"/>
      <c r="VN19" s="589"/>
      <c r="VO19" s="590"/>
      <c r="VP19" s="590"/>
      <c r="VQ19" s="590"/>
      <c r="VR19" s="590"/>
      <c r="VS19" s="590"/>
      <c r="VT19" s="590"/>
      <c r="VU19" s="590"/>
      <c r="VV19" s="590"/>
      <c r="VW19" s="590"/>
      <c r="VX19" s="590"/>
      <c r="VY19" s="590"/>
      <c r="VZ19" s="590"/>
      <c r="WA19" s="587"/>
      <c r="WB19" s="588"/>
      <c r="WC19" s="589"/>
      <c r="WD19" s="589"/>
      <c r="WE19" s="590"/>
      <c r="WF19" s="589"/>
      <c r="WG19" s="589"/>
      <c r="WH19" s="589"/>
      <c r="WI19" s="591"/>
      <c r="WJ19" s="589"/>
      <c r="WK19" s="590"/>
      <c r="WL19" s="589"/>
      <c r="WM19" s="589"/>
      <c r="WN19" s="589"/>
      <c r="WO19" s="590"/>
      <c r="WP19" s="590"/>
      <c r="WQ19" s="590"/>
      <c r="WR19" s="590"/>
      <c r="WS19" s="590"/>
      <c r="WT19" s="590"/>
      <c r="WU19" s="590"/>
      <c r="WV19" s="590"/>
      <c r="WW19" s="590"/>
      <c r="WX19" s="590"/>
      <c r="WY19" s="590"/>
      <c r="WZ19" s="590"/>
      <c r="XA19" s="587"/>
      <c r="XB19" s="588"/>
      <c r="XC19" s="589"/>
      <c r="XD19" s="589"/>
      <c r="XE19" s="590"/>
      <c r="XF19" s="589"/>
      <c r="XG19" s="589"/>
      <c r="XH19" s="589"/>
      <c r="XI19" s="591"/>
      <c r="XJ19" s="589"/>
      <c r="XK19" s="590"/>
      <c r="XL19" s="589"/>
      <c r="XM19" s="589"/>
      <c r="XN19" s="589"/>
      <c r="XO19" s="590"/>
      <c r="XP19" s="590"/>
      <c r="XQ19" s="590"/>
      <c r="XR19" s="590"/>
      <c r="XS19" s="590"/>
      <c r="XT19" s="590"/>
      <c r="XU19" s="590"/>
      <c r="XV19" s="590"/>
      <c r="XW19" s="590"/>
      <c r="XX19" s="590"/>
      <c r="XY19" s="590"/>
      <c r="XZ19" s="590"/>
      <c r="YA19" s="587"/>
      <c r="YB19" s="588"/>
      <c r="YC19" s="589"/>
      <c r="YD19" s="589"/>
      <c r="YE19" s="590"/>
      <c r="YF19" s="589"/>
      <c r="YG19" s="589"/>
      <c r="YH19" s="589"/>
      <c r="YI19" s="591"/>
      <c r="YJ19" s="589"/>
      <c r="YK19" s="590"/>
      <c r="YL19" s="589"/>
      <c r="YM19" s="589"/>
      <c r="YN19" s="589"/>
      <c r="YO19" s="590"/>
      <c r="YP19" s="590"/>
      <c r="YQ19" s="590"/>
      <c r="YR19" s="590"/>
      <c r="YS19" s="590"/>
      <c r="YT19" s="590"/>
      <c r="YU19" s="590"/>
      <c r="YV19" s="590"/>
      <c r="YW19" s="590"/>
      <c r="YX19" s="590"/>
      <c r="YY19" s="590"/>
      <c r="YZ19" s="590"/>
      <c r="ZA19" s="587"/>
      <c r="ZB19" s="588"/>
      <c r="ZC19" s="589"/>
      <c r="ZD19" s="589"/>
      <c r="ZE19" s="590"/>
      <c r="ZF19" s="589"/>
      <c r="ZG19" s="589"/>
      <c r="ZH19" s="589"/>
      <c r="ZI19" s="591"/>
      <c r="ZJ19" s="589"/>
      <c r="ZK19" s="590"/>
      <c r="ZL19" s="589"/>
      <c r="ZM19" s="589"/>
      <c r="ZN19" s="589"/>
      <c r="ZO19" s="590"/>
      <c r="ZP19" s="590"/>
      <c r="ZQ19" s="590"/>
      <c r="ZR19" s="590"/>
      <c r="ZS19" s="590"/>
      <c r="ZT19" s="590"/>
      <c r="ZU19" s="590"/>
      <c r="ZV19" s="590"/>
      <c r="ZW19" s="590"/>
      <c r="ZX19" s="590"/>
      <c r="ZY19" s="590"/>
      <c r="ZZ19" s="590"/>
      <c r="AAA19" s="587"/>
      <c r="AAB19" s="588"/>
      <c r="AAC19" s="589"/>
      <c r="AAD19" s="589"/>
      <c r="AAE19" s="590"/>
      <c r="AAF19" s="589"/>
      <c r="AAG19" s="589"/>
      <c r="AAH19" s="589"/>
      <c r="AAI19" s="591"/>
      <c r="AAJ19" s="589"/>
      <c r="AAK19" s="590"/>
      <c r="AAL19" s="589"/>
      <c r="AAM19" s="589"/>
      <c r="AAN19" s="589"/>
      <c r="AAO19" s="590"/>
      <c r="AAP19" s="590"/>
      <c r="AAQ19" s="590"/>
      <c r="AAR19" s="590"/>
      <c r="AAS19" s="590"/>
      <c r="AAT19" s="590"/>
      <c r="AAU19" s="590"/>
      <c r="AAV19" s="590"/>
      <c r="AAW19" s="590"/>
      <c r="AAX19" s="590"/>
      <c r="AAY19" s="590"/>
      <c r="AAZ19" s="590"/>
      <c r="ABA19" s="587"/>
      <c r="ABB19" s="588"/>
      <c r="ABC19" s="589"/>
      <c r="ABD19" s="589"/>
      <c r="ABE19" s="590"/>
      <c r="ABF19" s="589"/>
      <c r="ABG19" s="589"/>
      <c r="ABH19" s="589"/>
      <c r="ABI19" s="591"/>
      <c r="ABJ19" s="589"/>
      <c r="ABK19" s="590"/>
      <c r="ABL19" s="589"/>
      <c r="ABM19" s="589"/>
      <c r="ABN19" s="589"/>
      <c r="ABO19" s="590"/>
      <c r="ABP19" s="590"/>
      <c r="ABQ19" s="590"/>
      <c r="ABR19" s="590"/>
      <c r="ABS19" s="590"/>
      <c r="ABT19" s="590"/>
      <c r="ABU19" s="590"/>
      <c r="ABV19" s="590"/>
      <c r="ABW19" s="590"/>
      <c r="ABX19" s="590"/>
      <c r="ABY19" s="590"/>
      <c r="ABZ19" s="590"/>
      <c r="ACA19" s="587"/>
      <c r="ACB19" s="588"/>
      <c r="ACC19" s="589"/>
      <c r="ACD19" s="589"/>
      <c r="ACE19" s="590"/>
      <c r="ACF19" s="589"/>
      <c r="ACG19" s="589"/>
      <c r="ACH19" s="589"/>
      <c r="ACI19" s="591"/>
      <c r="ACJ19" s="589"/>
      <c r="ACK19" s="590"/>
      <c r="ACL19" s="589"/>
      <c r="ACM19" s="589"/>
      <c r="ACN19" s="589"/>
      <c r="ACO19" s="590"/>
      <c r="ACP19" s="590"/>
      <c r="ACQ19" s="590"/>
      <c r="ACR19" s="590"/>
      <c r="ACS19" s="590"/>
      <c r="ACT19" s="590"/>
      <c r="ACU19" s="590"/>
      <c r="ACV19" s="590"/>
      <c r="ACW19" s="590"/>
      <c r="ACX19" s="590"/>
      <c r="ACY19" s="590"/>
      <c r="ACZ19" s="590"/>
      <c r="ADA19" s="587"/>
      <c r="ADB19" s="588"/>
      <c r="ADC19" s="589"/>
      <c r="ADD19" s="589"/>
      <c r="ADE19" s="590"/>
      <c r="ADF19" s="589"/>
      <c r="ADG19" s="589"/>
      <c r="ADH19" s="589"/>
      <c r="ADI19" s="591"/>
      <c r="ADJ19" s="589"/>
      <c r="ADK19" s="590"/>
      <c r="ADL19" s="589"/>
      <c r="ADM19" s="589"/>
      <c r="ADN19" s="589"/>
      <c r="ADO19" s="590"/>
      <c r="ADP19" s="590"/>
      <c r="ADQ19" s="590"/>
      <c r="ADR19" s="590"/>
      <c r="ADS19" s="590"/>
      <c r="ADT19" s="590"/>
      <c r="ADU19" s="590"/>
      <c r="ADV19" s="590"/>
      <c r="ADW19" s="590"/>
      <c r="ADX19" s="590"/>
      <c r="ADY19" s="590"/>
      <c r="ADZ19" s="590"/>
      <c r="AEA19" s="587"/>
      <c r="AEB19" s="588"/>
      <c r="AEC19" s="589"/>
      <c r="AED19" s="589"/>
      <c r="AEE19" s="590"/>
      <c r="AEF19" s="589"/>
      <c r="AEG19" s="589"/>
      <c r="AEH19" s="589"/>
      <c r="AEI19" s="591"/>
      <c r="AEJ19" s="589"/>
      <c r="AEK19" s="590"/>
      <c r="AEL19" s="589"/>
      <c r="AEM19" s="589"/>
      <c r="AEN19" s="589"/>
      <c r="AEO19" s="590"/>
      <c r="AEP19" s="590"/>
      <c r="AEQ19" s="590"/>
      <c r="AER19" s="590"/>
      <c r="AES19" s="590"/>
      <c r="AET19" s="590"/>
      <c r="AEU19" s="590"/>
      <c r="AEV19" s="590"/>
      <c r="AEW19" s="590"/>
      <c r="AEX19" s="590"/>
      <c r="AEY19" s="590"/>
      <c r="AEZ19" s="590"/>
      <c r="AFA19" s="587"/>
      <c r="AFB19" s="588"/>
      <c r="AFC19" s="589"/>
      <c r="AFD19" s="589"/>
      <c r="AFE19" s="590"/>
      <c r="AFF19" s="589"/>
      <c r="AFG19" s="589"/>
      <c r="AFH19" s="589"/>
      <c r="AFI19" s="591"/>
      <c r="AFJ19" s="589"/>
      <c r="AFK19" s="590"/>
      <c r="AFL19" s="589"/>
      <c r="AFM19" s="589"/>
      <c r="AFN19" s="589"/>
      <c r="AFO19" s="590"/>
      <c r="AFP19" s="590"/>
      <c r="AFQ19" s="590"/>
      <c r="AFR19" s="590"/>
      <c r="AFS19" s="590"/>
      <c r="AFT19" s="590"/>
      <c r="AFU19" s="590"/>
      <c r="AFV19" s="590"/>
      <c r="AFW19" s="590"/>
      <c r="AFX19" s="590"/>
      <c r="AFY19" s="590"/>
      <c r="AFZ19" s="590"/>
      <c r="AGA19" s="587"/>
      <c r="AGB19" s="588"/>
      <c r="AGC19" s="589"/>
      <c r="AGD19" s="589"/>
      <c r="AGE19" s="590"/>
      <c r="AGF19" s="589"/>
      <c r="AGG19" s="589"/>
      <c r="AGH19" s="589"/>
      <c r="AGI19" s="591"/>
      <c r="AGJ19" s="589"/>
      <c r="AGK19" s="590"/>
      <c r="AGL19" s="589"/>
      <c r="AGM19" s="589"/>
      <c r="AGN19" s="589"/>
      <c r="AGO19" s="590"/>
      <c r="AGP19" s="590"/>
      <c r="AGQ19" s="590"/>
      <c r="AGR19" s="590"/>
      <c r="AGS19" s="590"/>
      <c r="AGT19" s="590"/>
      <c r="AGU19" s="590"/>
      <c r="AGV19" s="590"/>
      <c r="AGW19" s="590"/>
      <c r="AGX19" s="590"/>
      <c r="AGY19" s="590"/>
      <c r="AGZ19" s="590"/>
      <c r="AHA19" s="587"/>
      <c r="AHB19" s="588"/>
      <c r="AHC19" s="589"/>
      <c r="AHD19" s="589"/>
      <c r="AHE19" s="590"/>
      <c r="AHF19" s="589"/>
      <c r="AHG19" s="589"/>
      <c r="AHH19" s="589"/>
      <c r="AHI19" s="591"/>
      <c r="AHJ19" s="589"/>
      <c r="AHK19" s="590"/>
      <c r="AHL19" s="589"/>
      <c r="AHM19" s="589"/>
      <c r="AHN19" s="589"/>
      <c r="AHO19" s="590"/>
      <c r="AHP19" s="590"/>
      <c r="AHQ19" s="590"/>
      <c r="AHR19" s="590"/>
      <c r="AHS19" s="590"/>
      <c r="AHT19" s="590"/>
      <c r="AHU19" s="590"/>
      <c r="AHV19" s="590"/>
      <c r="AHW19" s="590"/>
      <c r="AHX19" s="590"/>
      <c r="AHY19" s="590"/>
      <c r="AHZ19" s="590"/>
      <c r="AIA19" s="587"/>
      <c r="AIB19" s="588"/>
      <c r="AIC19" s="589"/>
      <c r="AID19" s="589"/>
      <c r="AIE19" s="590"/>
      <c r="AIF19" s="589"/>
      <c r="AIG19" s="589"/>
      <c r="AIH19" s="589"/>
      <c r="AII19" s="591"/>
      <c r="AIJ19" s="589"/>
      <c r="AIK19" s="590"/>
      <c r="AIL19" s="589"/>
      <c r="AIM19" s="589"/>
      <c r="AIN19" s="589"/>
      <c r="AIO19" s="590"/>
      <c r="AIP19" s="590"/>
      <c r="AIQ19" s="590"/>
      <c r="AIR19" s="590"/>
      <c r="AIS19" s="590"/>
      <c r="AIT19" s="590"/>
      <c r="AIU19" s="590"/>
      <c r="AIV19" s="590"/>
      <c r="AIW19" s="590"/>
      <c r="AIX19" s="590"/>
      <c r="AIY19" s="590"/>
      <c r="AIZ19" s="590"/>
      <c r="AJA19" s="587"/>
      <c r="AJB19" s="588"/>
      <c r="AJC19" s="589"/>
      <c r="AJD19" s="589"/>
      <c r="AJE19" s="590"/>
      <c r="AJF19" s="589"/>
      <c r="AJG19" s="589"/>
      <c r="AJH19" s="589"/>
      <c r="AJI19" s="591"/>
      <c r="AJJ19" s="589"/>
      <c r="AJK19" s="590"/>
      <c r="AJL19" s="589"/>
      <c r="AJM19" s="589"/>
      <c r="AJN19" s="589"/>
      <c r="AJO19" s="590"/>
      <c r="AJP19" s="590"/>
      <c r="AJQ19" s="590"/>
      <c r="AJR19" s="590"/>
      <c r="AJS19" s="590"/>
      <c r="AJT19" s="590"/>
      <c r="AJU19" s="590"/>
      <c r="AJV19" s="590"/>
      <c r="AJW19" s="590"/>
      <c r="AJX19" s="590"/>
      <c r="AJY19" s="590"/>
      <c r="AJZ19" s="590"/>
      <c r="AKA19" s="587"/>
      <c r="AKB19" s="588"/>
      <c r="AKC19" s="589"/>
      <c r="AKD19" s="589"/>
      <c r="AKE19" s="590"/>
      <c r="AKF19" s="589"/>
      <c r="AKG19" s="589"/>
      <c r="AKH19" s="589"/>
      <c r="AKI19" s="591"/>
      <c r="AKJ19" s="589"/>
      <c r="AKK19" s="590"/>
      <c r="AKL19" s="589"/>
      <c r="AKM19" s="589"/>
      <c r="AKN19" s="589"/>
      <c r="AKO19" s="590"/>
      <c r="AKP19" s="590"/>
      <c r="AKQ19" s="590"/>
      <c r="AKR19" s="590"/>
      <c r="AKS19" s="590"/>
      <c r="AKT19" s="590"/>
      <c r="AKU19" s="590"/>
      <c r="AKV19" s="590"/>
      <c r="AKW19" s="590"/>
      <c r="AKX19" s="590"/>
      <c r="AKY19" s="590"/>
      <c r="AKZ19" s="590"/>
      <c r="ALA19" s="587"/>
      <c r="ALB19" s="588"/>
      <c r="ALC19" s="589"/>
      <c r="ALD19" s="589"/>
      <c r="ALE19" s="590"/>
      <c r="ALF19" s="589"/>
      <c r="ALG19" s="589"/>
      <c r="ALH19" s="589"/>
      <c r="ALI19" s="591"/>
      <c r="ALJ19" s="589"/>
      <c r="ALK19" s="590"/>
      <c r="ALL19" s="589"/>
      <c r="ALM19" s="589"/>
      <c r="ALN19" s="589"/>
      <c r="ALO19" s="590"/>
      <c r="ALP19" s="590"/>
      <c r="ALQ19" s="590"/>
      <c r="ALR19" s="590"/>
      <c r="ALS19" s="590"/>
      <c r="ALT19" s="590"/>
      <c r="ALU19" s="590"/>
      <c r="ALV19" s="590"/>
      <c r="ALW19" s="590"/>
      <c r="ALX19" s="590"/>
      <c r="ALY19" s="590"/>
      <c r="ALZ19" s="590"/>
      <c r="AMA19" s="587"/>
      <c r="AMB19" s="588"/>
      <c r="AMC19" s="589"/>
      <c r="AMD19" s="589"/>
      <c r="AME19" s="590"/>
      <c r="AMF19" s="589"/>
      <c r="AMG19" s="589"/>
      <c r="AMH19" s="589"/>
      <c r="AMI19" s="591"/>
      <c r="AMJ19" s="589"/>
      <c r="AMK19" s="590"/>
      <c r="AML19" s="589"/>
      <c r="AMM19" s="589"/>
      <c r="AMN19" s="589"/>
      <c r="AMO19" s="590"/>
      <c r="AMP19" s="590"/>
      <c r="AMQ19" s="590"/>
      <c r="AMR19" s="590"/>
      <c r="AMS19" s="590"/>
      <c r="AMT19" s="590"/>
      <c r="AMU19" s="590"/>
      <c r="AMV19" s="590"/>
      <c r="AMW19" s="590"/>
      <c r="AMX19" s="590"/>
      <c r="AMY19" s="590"/>
      <c r="AMZ19" s="590"/>
      <c r="ANA19" s="587"/>
      <c r="ANB19" s="588"/>
      <c r="ANC19" s="589"/>
      <c r="AND19" s="589"/>
      <c r="ANE19" s="590"/>
      <c r="ANF19" s="589"/>
      <c r="ANG19" s="589"/>
      <c r="ANH19" s="589"/>
      <c r="ANI19" s="591"/>
      <c r="ANJ19" s="589"/>
      <c r="ANK19" s="590"/>
      <c r="ANL19" s="589"/>
      <c r="ANM19" s="589"/>
      <c r="ANN19" s="589"/>
      <c r="ANO19" s="590"/>
      <c r="ANP19" s="590"/>
      <c r="ANQ19" s="590"/>
      <c r="ANR19" s="590"/>
      <c r="ANS19" s="590"/>
      <c r="ANT19" s="590"/>
      <c r="ANU19" s="590"/>
      <c r="ANV19" s="590"/>
      <c r="ANW19" s="590"/>
      <c r="ANX19" s="590"/>
      <c r="ANY19" s="590"/>
      <c r="ANZ19" s="590"/>
      <c r="AOA19" s="587"/>
      <c r="AOB19" s="588"/>
      <c r="AOC19" s="589"/>
      <c r="AOD19" s="589"/>
      <c r="AOE19" s="590"/>
      <c r="AOF19" s="589"/>
      <c r="AOG19" s="589"/>
      <c r="AOH19" s="589"/>
      <c r="AOI19" s="591"/>
      <c r="AOJ19" s="589"/>
      <c r="AOK19" s="590"/>
      <c r="AOL19" s="589"/>
      <c r="AOM19" s="589"/>
      <c r="AON19" s="589"/>
      <c r="AOO19" s="590"/>
      <c r="AOP19" s="590"/>
      <c r="AOQ19" s="590"/>
      <c r="AOR19" s="590"/>
      <c r="AOS19" s="590"/>
      <c r="AOT19" s="590"/>
      <c r="AOU19" s="590"/>
      <c r="AOV19" s="590"/>
      <c r="AOW19" s="590"/>
      <c r="AOX19" s="590"/>
      <c r="AOY19" s="590"/>
      <c r="AOZ19" s="590"/>
      <c r="APA19" s="587"/>
      <c r="APB19" s="588"/>
      <c r="APC19" s="589"/>
      <c r="APD19" s="589"/>
      <c r="APE19" s="590"/>
      <c r="APF19" s="589"/>
      <c r="APG19" s="589"/>
      <c r="APH19" s="589"/>
      <c r="API19" s="591"/>
      <c r="APJ19" s="589"/>
      <c r="APK19" s="590"/>
      <c r="APL19" s="589"/>
      <c r="APM19" s="589"/>
      <c r="APN19" s="589"/>
      <c r="APO19" s="590"/>
      <c r="APP19" s="590"/>
      <c r="APQ19" s="590"/>
      <c r="APR19" s="590"/>
      <c r="APS19" s="590"/>
      <c r="APT19" s="590"/>
      <c r="APU19" s="590"/>
      <c r="APV19" s="590"/>
      <c r="APW19" s="590"/>
      <c r="APX19" s="590"/>
      <c r="APY19" s="590"/>
      <c r="APZ19" s="590"/>
      <c r="AQA19" s="587"/>
      <c r="AQB19" s="588"/>
      <c r="AQC19" s="589"/>
      <c r="AQD19" s="589"/>
      <c r="AQE19" s="590"/>
      <c r="AQF19" s="589"/>
      <c r="AQG19" s="589"/>
      <c r="AQH19" s="589"/>
      <c r="AQI19" s="591"/>
      <c r="AQJ19" s="589"/>
      <c r="AQK19" s="590"/>
      <c r="AQL19" s="589"/>
      <c r="AQM19" s="589"/>
      <c r="AQN19" s="589"/>
      <c r="AQO19" s="590"/>
      <c r="AQP19" s="590"/>
      <c r="AQQ19" s="590"/>
      <c r="AQR19" s="590"/>
      <c r="AQS19" s="590"/>
      <c r="AQT19" s="590"/>
      <c r="AQU19" s="590"/>
      <c r="AQV19" s="590"/>
      <c r="AQW19" s="590"/>
      <c r="AQX19" s="590"/>
      <c r="AQY19" s="590"/>
      <c r="AQZ19" s="590"/>
      <c r="ARA19" s="587"/>
      <c r="ARB19" s="588"/>
      <c r="ARC19" s="589"/>
      <c r="ARD19" s="589"/>
      <c r="ARE19" s="590"/>
      <c r="ARF19" s="589"/>
      <c r="ARG19" s="589"/>
      <c r="ARH19" s="589"/>
      <c r="ARI19" s="591"/>
      <c r="ARJ19" s="589"/>
      <c r="ARK19" s="590"/>
      <c r="ARL19" s="589"/>
      <c r="ARM19" s="589"/>
      <c r="ARN19" s="589"/>
      <c r="ARO19" s="590"/>
      <c r="ARP19" s="590"/>
      <c r="ARQ19" s="590"/>
      <c r="ARR19" s="590"/>
      <c r="ARS19" s="590"/>
      <c r="ART19" s="590"/>
      <c r="ARU19" s="590"/>
      <c r="ARV19" s="590"/>
      <c r="ARW19" s="590"/>
      <c r="ARX19" s="590"/>
      <c r="ARY19" s="590"/>
      <c r="ARZ19" s="590"/>
      <c r="ASA19" s="587"/>
      <c r="ASB19" s="588"/>
      <c r="ASC19" s="589"/>
      <c r="ASD19" s="589"/>
      <c r="ASE19" s="590"/>
      <c r="ASF19" s="589"/>
      <c r="ASG19" s="589"/>
      <c r="ASH19" s="589"/>
      <c r="ASI19" s="591"/>
      <c r="ASJ19" s="589"/>
      <c r="ASK19" s="590"/>
      <c r="ASL19" s="589"/>
      <c r="ASM19" s="589"/>
      <c r="ASN19" s="589"/>
      <c r="ASO19" s="590"/>
      <c r="ASP19" s="590"/>
      <c r="ASQ19" s="590"/>
      <c r="ASR19" s="590"/>
      <c r="ASS19" s="590"/>
      <c r="AST19" s="590"/>
      <c r="ASU19" s="590"/>
      <c r="ASV19" s="590"/>
      <c r="ASW19" s="590"/>
      <c r="ASX19" s="590"/>
      <c r="ASY19" s="590"/>
      <c r="ASZ19" s="590"/>
      <c r="ATA19" s="587"/>
      <c r="ATB19" s="588"/>
      <c r="ATC19" s="589"/>
      <c r="ATD19" s="589"/>
      <c r="ATE19" s="590"/>
      <c r="ATF19" s="589"/>
      <c r="ATG19" s="589"/>
      <c r="ATH19" s="589"/>
      <c r="ATI19" s="591"/>
      <c r="ATJ19" s="589"/>
      <c r="ATK19" s="590"/>
      <c r="ATL19" s="589"/>
      <c r="ATM19" s="589"/>
      <c r="ATN19" s="589"/>
      <c r="ATO19" s="590"/>
      <c r="ATP19" s="590"/>
      <c r="ATQ19" s="590"/>
      <c r="ATR19" s="590"/>
      <c r="ATS19" s="590"/>
      <c r="ATT19" s="590"/>
      <c r="ATU19" s="590"/>
      <c r="ATV19" s="590"/>
      <c r="ATW19" s="590"/>
      <c r="ATX19" s="590"/>
      <c r="ATY19" s="590"/>
      <c r="ATZ19" s="590"/>
      <c r="AUA19" s="587"/>
      <c r="AUB19" s="588"/>
      <c r="AUC19" s="589"/>
      <c r="AUD19" s="589"/>
      <c r="AUE19" s="590"/>
      <c r="AUF19" s="589"/>
      <c r="AUG19" s="589"/>
      <c r="AUH19" s="589"/>
      <c r="AUI19" s="591"/>
      <c r="AUJ19" s="589"/>
      <c r="AUK19" s="590"/>
      <c r="AUL19" s="589"/>
      <c r="AUM19" s="589"/>
      <c r="AUN19" s="589"/>
      <c r="AUO19" s="590"/>
      <c r="AUP19" s="590"/>
      <c r="AUQ19" s="590"/>
      <c r="AUR19" s="590"/>
      <c r="AUS19" s="590"/>
      <c r="AUT19" s="590"/>
      <c r="AUU19" s="590"/>
      <c r="AUV19" s="590"/>
      <c r="AUW19" s="590"/>
      <c r="AUX19" s="590"/>
      <c r="AUY19" s="590"/>
      <c r="AUZ19" s="590"/>
      <c r="AVA19" s="587"/>
      <c r="AVB19" s="588"/>
      <c r="AVC19" s="589"/>
      <c r="AVD19" s="589"/>
      <c r="AVE19" s="590"/>
      <c r="AVF19" s="589"/>
      <c r="AVG19" s="589"/>
      <c r="AVH19" s="589"/>
      <c r="AVI19" s="591"/>
      <c r="AVJ19" s="589"/>
      <c r="AVK19" s="590"/>
      <c r="AVL19" s="589"/>
      <c r="AVM19" s="589"/>
      <c r="AVN19" s="589"/>
      <c r="AVO19" s="590"/>
      <c r="AVP19" s="590"/>
      <c r="AVQ19" s="590"/>
      <c r="AVR19" s="590"/>
      <c r="AVS19" s="590"/>
      <c r="AVT19" s="590"/>
      <c r="AVU19" s="590"/>
      <c r="AVV19" s="590"/>
      <c r="AVW19" s="590"/>
      <c r="AVX19" s="590"/>
      <c r="AVY19" s="590"/>
      <c r="AVZ19" s="590"/>
      <c r="AWA19" s="587"/>
      <c r="AWB19" s="588"/>
      <c r="AWC19" s="589"/>
      <c r="AWD19" s="589"/>
      <c r="AWE19" s="590"/>
      <c r="AWF19" s="589"/>
      <c r="AWG19" s="589"/>
      <c r="AWH19" s="589"/>
      <c r="AWI19" s="591"/>
      <c r="AWJ19" s="589"/>
      <c r="AWK19" s="590"/>
      <c r="AWL19" s="589"/>
      <c r="AWM19" s="589"/>
      <c r="AWN19" s="589"/>
      <c r="AWO19" s="590"/>
      <c r="AWP19" s="590"/>
      <c r="AWQ19" s="590"/>
      <c r="AWR19" s="590"/>
      <c r="AWS19" s="590"/>
      <c r="AWT19" s="590"/>
      <c r="AWU19" s="590"/>
      <c r="AWV19" s="590"/>
      <c r="AWW19" s="590"/>
      <c r="AWX19" s="590"/>
      <c r="AWY19" s="590"/>
      <c r="AWZ19" s="590"/>
      <c r="AXA19" s="587"/>
      <c r="AXB19" s="588"/>
      <c r="AXC19" s="589"/>
      <c r="AXD19" s="589"/>
      <c r="AXE19" s="590"/>
      <c r="AXF19" s="589"/>
      <c r="AXG19" s="589"/>
      <c r="AXH19" s="589"/>
      <c r="AXI19" s="591"/>
      <c r="AXJ19" s="589"/>
      <c r="AXK19" s="590"/>
      <c r="AXL19" s="589"/>
      <c r="AXM19" s="589"/>
      <c r="AXN19" s="589"/>
      <c r="AXO19" s="590"/>
      <c r="AXP19" s="590"/>
      <c r="AXQ19" s="590"/>
      <c r="AXR19" s="590"/>
      <c r="AXS19" s="590"/>
      <c r="AXT19" s="590"/>
      <c r="AXU19" s="590"/>
      <c r="AXV19" s="590"/>
      <c r="AXW19" s="590"/>
      <c r="AXX19" s="590"/>
      <c r="AXY19" s="590"/>
      <c r="AXZ19" s="590"/>
      <c r="AYA19" s="587"/>
      <c r="AYB19" s="588"/>
      <c r="AYC19" s="589"/>
      <c r="AYD19" s="589"/>
      <c r="AYE19" s="590"/>
      <c r="AYF19" s="589"/>
      <c r="AYG19" s="589"/>
      <c r="AYH19" s="589"/>
      <c r="AYI19" s="591"/>
      <c r="AYJ19" s="589"/>
      <c r="AYK19" s="590"/>
      <c r="AYL19" s="589"/>
      <c r="AYM19" s="589"/>
      <c r="AYN19" s="589"/>
      <c r="AYO19" s="590"/>
      <c r="AYP19" s="590"/>
      <c r="AYQ19" s="590"/>
      <c r="AYR19" s="590"/>
      <c r="AYS19" s="590"/>
      <c r="AYT19" s="590"/>
      <c r="AYU19" s="590"/>
      <c r="AYV19" s="590"/>
      <c r="AYW19" s="590"/>
      <c r="AYX19" s="590"/>
      <c r="AYY19" s="590"/>
      <c r="AYZ19" s="590"/>
      <c r="AZA19" s="587"/>
      <c r="AZB19" s="588"/>
      <c r="AZC19" s="589"/>
      <c r="AZD19" s="589"/>
      <c r="AZE19" s="590"/>
      <c r="AZF19" s="589"/>
      <c r="AZG19" s="589"/>
      <c r="AZH19" s="589"/>
      <c r="AZI19" s="591"/>
      <c r="AZJ19" s="589"/>
      <c r="AZK19" s="590"/>
      <c r="AZL19" s="589"/>
      <c r="AZM19" s="589"/>
      <c r="AZN19" s="589"/>
      <c r="AZO19" s="590"/>
      <c r="AZP19" s="590"/>
      <c r="AZQ19" s="590"/>
      <c r="AZR19" s="590"/>
      <c r="AZS19" s="590"/>
      <c r="AZT19" s="590"/>
      <c r="AZU19" s="590"/>
      <c r="AZV19" s="590"/>
      <c r="AZW19" s="590"/>
      <c r="AZX19" s="590"/>
      <c r="AZY19" s="590"/>
      <c r="AZZ19" s="590"/>
      <c r="BAA19" s="587"/>
      <c r="BAB19" s="588"/>
      <c r="BAC19" s="589"/>
      <c r="BAD19" s="589"/>
      <c r="BAE19" s="590"/>
      <c r="BAF19" s="589"/>
      <c r="BAG19" s="589"/>
      <c r="BAH19" s="589"/>
      <c r="BAI19" s="591"/>
      <c r="BAJ19" s="589"/>
      <c r="BAK19" s="590"/>
      <c r="BAL19" s="589"/>
      <c r="BAM19" s="589"/>
      <c r="BAN19" s="589"/>
      <c r="BAO19" s="590"/>
      <c r="BAP19" s="590"/>
      <c r="BAQ19" s="590"/>
      <c r="BAR19" s="590"/>
      <c r="BAS19" s="590"/>
      <c r="BAT19" s="590"/>
      <c r="BAU19" s="590"/>
      <c r="BAV19" s="590"/>
      <c r="BAW19" s="590"/>
      <c r="BAX19" s="590"/>
      <c r="BAY19" s="590"/>
      <c r="BAZ19" s="590"/>
      <c r="BBA19" s="587"/>
      <c r="BBB19" s="588"/>
      <c r="BBC19" s="589"/>
      <c r="BBD19" s="589"/>
      <c r="BBE19" s="590"/>
      <c r="BBF19" s="589"/>
      <c r="BBG19" s="589"/>
      <c r="BBH19" s="589"/>
      <c r="BBI19" s="591"/>
      <c r="BBJ19" s="589"/>
      <c r="BBK19" s="590"/>
      <c r="BBL19" s="589"/>
      <c r="BBM19" s="589"/>
      <c r="BBN19" s="589"/>
      <c r="BBO19" s="590"/>
      <c r="BBP19" s="590"/>
      <c r="BBQ19" s="590"/>
      <c r="BBR19" s="590"/>
      <c r="BBS19" s="590"/>
      <c r="BBT19" s="590"/>
      <c r="BBU19" s="590"/>
      <c r="BBV19" s="590"/>
      <c r="BBW19" s="590"/>
      <c r="BBX19" s="590"/>
      <c r="BBY19" s="590"/>
      <c r="BBZ19" s="590"/>
      <c r="BCA19" s="587"/>
      <c r="BCB19" s="588"/>
      <c r="BCC19" s="589"/>
      <c r="BCD19" s="589"/>
      <c r="BCE19" s="590"/>
      <c r="BCF19" s="589"/>
      <c r="BCG19" s="589"/>
      <c r="BCH19" s="589"/>
      <c r="BCI19" s="591"/>
      <c r="BCJ19" s="589"/>
      <c r="BCK19" s="590"/>
      <c r="BCL19" s="589"/>
      <c r="BCM19" s="589"/>
      <c r="BCN19" s="589"/>
      <c r="BCO19" s="590"/>
      <c r="BCP19" s="590"/>
      <c r="BCQ19" s="590"/>
      <c r="BCR19" s="590"/>
      <c r="BCS19" s="590"/>
      <c r="BCT19" s="590"/>
      <c r="BCU19" s="590"/>
      <c r="BCV19" s="590"/>
      <c r="BCW19" s="590"/>
      <c r="BCX19" s="590"/>
      <c r="BCY19" s="590"/>
      <c r="BCZ19" s="590"/>
      <c r="BDA19" s="587"/>
      <c r="BDB19" s="588"/>
      <c r="BDC19" s="589"/>
      <c r="BDD19" s="589"/>
      <c r="BDE19" s="590"/>
      <c r="BDF19" s="589"/>
      <c r="BDG19" s="589"/>
      <c r="BDH19" s="589"/>
      <c r="BDI19" s="591"/>
      <c r="BDJ19" s="589"/>
      <c r="BDK19" s="590"/>
      <c r="BDL19" s="589"/>
      <c r="BDM19" s="589"/>
      <c r="BDN19" s="589"/>
      <c r="BDO19" s="590"/>
      <c r="BDP19" s="590"/>
      <c r="BDQ19" s="590"/>
      <c r="BDR19" s="590"/>
      <c r="BDS19" s="590"/>
      <c r="BDT19" s="590"/>
      <c r="BDU19" s="590"/>
      <c r="BDV19" s="590"/>
      <c r="BDW19" s="590"/>
      <c r="BDX19" s="590"/>
      <c r="BDY19" s="590"/>
      <c r="BDZ19" s="590"/>
      <c r="BEA19" s="587"/>
      <c r="BEB19" s="588"/>
      <c r="BEC19" s="589"/>
      <c r="BED19" s="589"/>
      <c r="BEE19" s="590"/>
      <c r="BEF19" s="589"/>
      <c r="BEG19" s="589"/>
      <c r="BEH19" s="589"/>
      <c r="BEI19" s="591"/>
      <c r="BEJ19" s="589"/>
      <c r="BEK19" s="590"/>
      <c r="BEL19" s="589"/>
      <c r="BEM19" s="589"/>
      <c r="BEN19" s="589"/>
      <c r="BEO19" s="590"/>
      <c r="BEP19" s="590"/>
      <c r="BEQ19" s="590"/>
      <c r="BER19" s="590"/>
      <c r="BES19" s="590"/>
      <c r="BET19" s="590"/>
      <c r="BEU19" s="590"/>
      <c r="BEV19" s="590"/>
      <c r="BEW19" s="590"/>
      <c r="BEX19" s="590"/>
      <c r="BEY19" s="590"/>
      <c r="BEZ19" s="590"/>
      <c r="BFA19" s="587"/>
      <c r="BFB19" s="588"/>
      <c r="BFC19" s="589"/>
      <c r="BFD19" s="589"/>
      <c r="BFE19" s="590"/>
      <c r="BFF19" s="589"/>
      <c r="BFG19" s="589"/>
      <c r="BFH19" s="589"/>
      <c r="BFI19" s="591"/>
      <c r="BFJ19" s="589"/>
      <c r="BFK19" s="590"/>
      <c r="BFL19" s="589"/>
      <c r="BFM19" s="589"/>
      <c r="BFN19" s="589"/>
      <c r="BFO19" s="590"/>
      <c r="BFP19" s="590"/>
      <c r="BFQ19" s="590"/>
      <c r="BFR19" s="590"/>
      <c r="BFS19" s="590"/>
      <c r="BFT19" s="590"/>
      <c r="BFU19" s="590"/>
      <c r="BFV19" s="590"/>
      <c r="BFW19" s="590"/>
      <c r="BFX19" s="590"/>
      <c r="BFY19" s="590"/>
      <c r="BFZ19" s="590"/>
      <c r="BGA19" s="587"/>
      <c r="BGB19" s="588"/>
      <c r="BGC19" s="589"/>
      <c r="BGD19" s="589"/>
      <c r="BGE19" s="590"/>
      <c r="BGF19" s="589"/>
      <c r="BGG19" s="589"/>
      <c r="BGH19" s="589"/>
      <c r="BGI19" s="591"/>
      <c r="BGJ19" s="589"/>
      <c r="BGK19" s="590"/>
      <c r="BGL19" s="589"/>
      <c r="BGM19" s="589"/>
      <c r="BGN19" s="589"/>
      <c r="BGO19" s="590"/>
      <c r="BGP19" s="590"/>
      <c r="BGQ19" s="590"/>
      <c r="BGR19" s="590"/>
      <c r="BGS19" s="590"/>
      <c r="BGT19" s="590"/>
      <c r="BGU19" s="590"/>
      <c r="BGV19" s="590"/>
      <c r="BGW19" s="590"/>
      <c r="BGX19" s="590"/>
      <c r="BGY19" s="590"/>
      <c r="BGZ19" s="590"/>
      <c r="BHA19" s="587"/>
      <c r="BHB19" s="588"/>
      <c r="BHC19" s="589"/>
      <c r="BHD19" s="589"/>
      <c r="BHE19" s="590"/>
      <c r="BHF19" s="589"/>
      <c r="BHG19" s="589"/>
      <c r="BHH19" s="589"/>
      <c r="BHI19" s="591"/>
      <c r="BHJ19" s="589"/>
      <c r="BHK19" s="590"/>
      <c r="BHL19" s="589"/>
      <c r="BHM19" s="589"/>
      <c r="BHN19" s="589"/>
      <c r="BHO19" s="590"/>
      <c r="BHP19" s="590"/>
      <c r="BHQ19" s="590"/>
      <c r="BHR19" s="590"/>
      <c r="BHS19" s="590"/>
      <c r="BHT19" s="590"/>
      <c r="BHU19" s="590"/>
      <c r="BHV19" s="590"/>
      <c r="BHW19" s="590"/>
      <c r="BHX19" s="590"/>
      <c r="BHY19" s="590"/>
      <c r="BHZ19" s="590"/>
      <c r="BIA19" s="587"/>
      <c r="BIB19" s="588"/>
      <c r="BIC19" s="589"/>
      <c r="BID19" s="589"/>
      <c r="BIE19" s="590"/>
      <c r="BIF19" s="589"/>
      <c r="BIG19" s="589"/>
      <c r="BIH19" s="589"/>
      <c r="BII19" s="591"/>
      <c r="BIJ19" s="589"/>
      <c r="BIK19" s="590"/>
      <c r="BIL19" s="589"/>
      <c r="BIM19" s="589"/>
      <c r="BIN19" s="589"/>
      <c r="BIO19" s="590"/>
      <c r="BIP19" s="590"/>
      <c r="BIQ19" s="590"/>
      <c r="BIR19" s="590"/>
      <c r="BIS19" s="590"/>
      <c r="BIT19" s="590"/>
      <c r="BIU19" s="590"/>
      <c r="BIV19" s="590"/>
      <c r="BIW19" s="590"/>
      <c r="BIX19" s="590"/>
      <c r="BIY19" s="590"/>
      <c r="BIZ19" s="590"/>
      <c r="BJA19" s="587"/>
      <c r="BJB19" s="588"/>
      <c r="BJC19" s="589"/>
      <c r="BJD19" s="589"/>
      <c r="BJE19" s="590"/>
      <c r="BJF19" s="589"/>
      <c r="BJG19" s="589"/>
      <c r="BJH19" s="589"/>
      <c r="BJI19" s="591"/>
      <c r="BJJ19" s="589"/>
      <c r="BJK19" s="590"/>
      <c r="BJL19" s="589"/>
      <c r="BJM19" s="589"/>
      <c r="BJN19" s="589"/>
      <c r="BJO19" s="590"/>
      <c r="BJP19" s="590"/>
      <c r="BJQ19" s="590"/>
      <c r="BJR19" s="590"/>
      <c r="BJS19" s="590"/>
      <c r="BJT19" s="590"/>
      <c r="BJU19" s="590"/>
      <c r="BJV19" s="590"/>
      <c r="BJW19" s="590"/>
      <c r="BJX19" s="590"/>
      <c r="BJY19" s="590"/>
      <c r="BJZ19" s="590"/>
      <c r="BKA19" s="587"/>
      <c r="BKB19" s="588"/>
      <c r="BKC19" s="589"/>
      <c r="BKD19" s="589"/>
      <c r="BKE19" s="590"/>
      <c r="BKF19" s="589"/>
      <c r="BKG19" s="589"/>
      <c r="BKH19" s="589"/>
      <c r="BKI19" s="591"/>
      <c r="BKJ19" s="589"/>
      <c r="BKK19" s="590"/>
      <c r="BKL19" s="589"/>
      <c r="BKM19" s="589"/>
      <c r="BKN19" s="589"/>
      <c r="BKO19" s="590"/>
      <c r="BKP19" s="590"/>
      <c r="BKQ19" s="590"/>
      <c r="BKR19" s="590"/>
      <c r="BKS19" s="590"/>
      <c r="BKT19" s="590"/>
      <c r="BKU19" s="590"/>
      <c r="BKV19" s="590"/>
      <c r="BKW19" s="590"/>
      <c r="BKX19" s="590"/>
      <c r="BKY19" s="590"/>
      <c r="BKZ19" s="590"/>
      <c r="BLA19" s="587"/>
      <c r="BLB19" s="588"/>
      <c r="BLC19" s="589"/>
      <c r="BLD19" s="589"/>
      <c r="BLE19" s="590"/>
      <c r="BLF19" s="589"/>
      <c r="BLG19" s="589"/>
      <c r="BLH19" s="589"/>
      <c r="BLI19" s="591"/>
      <c r="BLJ19" s="589"/>
      <c r="BLK19" s="590"/>
      <c r="BLL19" s="589"/>
      <c r="BLM19" s="589"/>
      <c r="BLN19" s="589"/>
      <c r="BLO19" s="590"/>
      <c r="BLP19" s="590"/>
      <c r="BLQ19" s="590"/>
      <c r="BLR19" s="590"/>
      <c r="BLS19" s="590"/>
      <c r="BLT19" s="590"/>
      <c r="BLU19" s="590"/>
      <c r="BLV19" s="590"/>
      <c r="BLW19" s="590"/>
      <c r="BLX19" s="590"/>
      <c r="BLY19" s="590"/>
      <c r="BLZ19" s="590"/>
      <c r="BMA19" s="587"/>
      <c r="BMB19" s="588"/>
      <c r="BMC19" s="589"/>
      <c r="BMD19" s="589"/>
      <c r="BME19" s="590"/>
      <c r="BMF19" s="589"/>
      <c r="BMG19" s="589"/>
      <c r="BMH19" s="589"/>
      <c r="BMI19" s="591"/>
      <c r="BMJ19" s="589"/>
      <c r="BMK19" s="590"/>
      <c r="BML19" s="589"/>
      <c r="BMM19" s="589"/>
      <c r="BMN19" s="589"/>
      <c r="BMO19" s="590"/>
      <c r="BMP19" s="590"/>
      <c r="BMQ19" s="590"/>
      <c r="BMR19" s="590"/>
      <c r="BMS19" s="590"/>
      <c r="BMT19" s="590"/>
      <c r="BMU19" s="590"/>
      <c r="BMV19" s="590"/>
      <c r="BMW19" s="590"/>
      <c r="BMX19" s="590"/>
      <c r="BMY19" s="590"/>
      <c r="BMZ19" s="590"/>
      <c r="BNA19" s="587"/>
      <c r="BNB19" s="588"/>
      <c r="BNC19" s="589"/>
      <c r="BND19" s="589"/>
      <c r="BNE19" s="590"/>
      <c r="BNF19" s="589"/>
      <c r="BNG19" s="589"/>
      <c r="BNH19" s="589"/>
      <c r="BNI19" s="591"/>
      <c r="BNJ19" s="589"/>
      <c r="BNK19" s="590"/>
      <c r="BNL19" s="589"/>
      <c r="BNM19" s="589"/>
      <c r="BNN19" s="589"/>
      <c r="BNO19" s="590"/>
      <c r="BNP19" s="590"/>
      <c r="BNQ19" s="590"/>
      <c r="BNR19" s="590"/>
      <c r="BNS19" s="590"/>
      <c r="BNT19" s="590"/>
      <c r="BNU19" s="590"/>
      <c r="BNV19" s="590"/>
      <c r="BNW19" s="590"/>
      <c r="BNX19" s="590"/>
      <c r="BNY19" s="590"/>
      <c r="BNZ19" s="590"/>
      <c r="BOA19" s="587"/>
      <c r="BOB19" s="588"/>
      <c r="BOC19" s="589"/>
      <c r="BOD19" s="589"/>
      <c r="BOE19" s="590"/>
      <c r="BOF19" s="589"/>
      <c r="BOG19" s="589"/>
      <c r="BOH19" s="589"/>
      <c r="BOI19" s="591"/>
      <c r="BOJ19" s="589"/>
      <c r="BOK19" s="590"/>
      <c r="BOL19" s="589"/>
      <c r="BOM19" s="589"/>
      <c r="BON19" s="589"/>
      <c r="BOO19" s="590"/>
      <c r="BOP19" s="590"/>
      <c r="BOQ19" s="590"/>
      <c r="BOR19" s="590"/>
      <c r="BOS19" s="590"/>
      <c r="BOT19" s="590"/>
      <c r="BOU19" s="590"/>
      <c r="BOV19" s="590"/>
      <c r="BOW19" s="590"/>
      <c r="BOX19" s="590"/>
      <c r="BOY19" s="590"/>
      <c r="BOZ19" s="590"/>
      <c r="BPA19" s="587"/>
      <c r="BPB19" s="588"/>
      <c r="BPC19" s="589"/>
      <c r="BPD19" s="589"/>
      <c r="BPE19" s="590"/>
      <c r="BPF19" s="589"/>
      <c r="BPG19" s="589"/>
      <c r="BPH19" s="589"/>
      <c r="BPI19" s="591"/>
      <c r="BPJ19" s="589"/>
      <c r="BPK19" s="590"/>
      <c r="BPL19" s="589"/>
      <c r="BPM19" s="589"/>
      <c r="BPN19" s="589"/>
      <c r="BPO19" s="590"/>
      <c r="BPP19" s="590"/>
      <c r="BPQ19" s="590"/>
      <c r="BPR19" s="590"/>
      <c r="BPS19" s="590"/>
      <c r="BPT19" s="590"/>
      <c r="BPU19" s="590"/>
      <c r="BPV19" s="590"/>
      <c r="BPW19" s="590"/>
      <c r="BPX19" s="590"/>
      <c r="BPY19" s="590"/>
      <c r="BPZ19" s="590"/>
      <c r="BQA19" s="587"/>
      <c r="BQB19" s="588"/>
      <c r="BQC19" s="589"/>
      <c r="BQD19" s="589"/>
      <c r="BQE19" s="590"/>
      <c r="BQF19" s="589"/>
      <c r="BQG19" s="589"/>
      <c r="BQH19" s="589"/>
      <c r="BQI19" s="591"/>
      <c r="BQJ19" s="589"/>
      <c r="BQK19" s="590"/>
      <c r="BQL19" s="589"/>
      <c r="BQM19" s="589"/>
      <c r="BQN19" s="589"/>
      <c r="BQO19" s="590"/>
      <c r="BQP19" s="590"/>
      <c r="BQQ19" s="590"/>
      <c r="BQR19" s="590"/>
      <c r="BQS19" s="590"/>
      <c r="BQT19" s="590"/>
      <c r="BQU19" s="590"/>
      <c r="BQV19" s="590"/>
      <c r="BQW19" s="590"/>
      <c r="BQX19" s="590"/>
      <c r="BQY19" s="590"/>
      <c r="BQZ19" s="590"/>
      <c r="BRA19" s="587"/>
      <c r="BRB19" s="588"/>
      <c r="BRC19" s="589"/>
      <c r="BRD19" s="589"/>
      <c r="BRE19" s="590"/>
      <c r="BRF19" s="589"/>
      <c r="BRG19" s="589"/>
      <c r="BRH19" s="589"/>
      <c r="BRI19" s="591"/>
      <c r="BRJ19" s="589"/>
      <c r="BRK19" s="590"/>
      <c r="BRL19" s="589"/>
      <c r="BRM19" s="589"/>
      <c r="BRN19" s="589"/>
      <c r="BRO19" s="590"/>
      <c r="BRP19" s="590"/>
      <c r="BRQ19" s="590"/>
      <c r="BRR19" s="590"/>
      <c r="BRS19" s="590"/>
      <c r="BRT19" s="590"/>
      <c r="BRU19" s="590"/>
      <c r="BRV19" s="590"/>
      <c r="BRW19" s="590"/>
      <c r="BRX19" s="590"/>
      <c r="BRY19" s="590"/>
      <c r="BRZ19" s="590"/>
      <c r="BSA19" s="587"/>
      <c r="BSB19" s="588"/>
      <c r="BSC19" s="589"/>
      <c r="BSD19" s="589"/>
      <c r="BSE19" s="590"/>
      <c r="BSF19" s="589"/>
      <c r="BSG19" s="589"/>
      <c r="BSH19" s="589"/>
      <c r="BSI19" s="591"/>
      <c r="BSJ19" s="589"/>
      <c r="BSK19" s="590"/>
      <c r="BSL19" s="589"/>
      <c r="BSM19" s="589"/>
      <c r="BSN19" s="589"/>
      <c r="BSO19" s="590"/>
      <c r="BSP19" s="590"/>
      <c r="BSQ19" s="590"/>
      <c r="BSR19" s="590"/>
      <c r="BSS19" s="590"/>
      <c r="BST19" s="590"/>
      <c r="BSU19" s="590"/>
      <c r="BSV19" s="590"/>
      <c r="BSW19" s="590"/>
      <c r="BSX19" s="590"/>
      <c r="BSY19" s="590"/>
      <c r="BSZ19" s="590"/>
      <c r="BTA19" s="587"/>
      <c r="BTB19" s="588"/>
      <c r="BTC19" s="589"/>
      <c r="BTD19" s="589"/>
      <c r="BTE19" s="590"/>
      <c r="BTF19" s="589"/>
      <c r="BTG19" s="589"/>
      <c r="BTH19" s="589"/>
      <c r="BTI19" s="591"/>
      <c r="BTJ19" s="589"/>
      <c r="BTK19" s="590"/>
      <c r="BTL19" s="589"/>
      <c r="BTM19" s="589"/>
      <c r="BTN19" s="589"/>
      <c r="BTO19" s="590"/>
      <c r="BTP19" s="590"/>
      <c r="BTQ19" s="590"/>
      <c r="BTR19" s="590"/>
      <c r="BTS19" s="590"/>
      <c r="BTT19" s="590"/>
      <c r="BTU19" s="590"/>
      <c r="BTV19" s="590"/>
      <c r="BTW19" s="590"/>
      <c r="BTX19" s="590"/>
      <c r="BTY19" s="590"/>
      <c r="BTZ19" s="590"/>
      <c r="BUA19" s="587"/>
      <c r="BUB19" s="588"/>
      <c r="BUC19" s="589"/>
      <c r="BUD19" s="589"/>
      <c r="BUE19" s="590"/>
      <c r="BUF19" s="589"/>
      <c r="BUG19" s="589"/>
      <c r="BUH19" s="589"/>
      <c r="BUI19" s="591"/>
      <c r="BUJ19" s="589"/>
      <c r="BUK19" s="590"/>
      <c r="BUL19" s="589"/>
      <c r="BUM19" s="589"/>
      <c r="BUN19" s="589"/>
      <c r="BUO19" s="590"/>
      <c r="BUP19" s="590"/>
      <c r="BUQ19" s="590"/>
      <c r="BUR19" s="590"/>
      <c r="BUS19" s="590"/>
      <c r="BUT19" s="590"/>
      <c r="BUU19" s="590"/>
      <c r="BUV19" s="590"/>
      <c r="BUW19" s="590"/>
      <c r="BUX19" s="590"/>
      <c r="BUY19" s="590"/>
      <c r="BUZ19" s="590"/>
      <c r="BVA19" s="587"/>
      <c r="BVB19" s="588"/>
      <c r="BVC19" s="589"/>
      <c r="BVD19" s="589"/>
      <c r="BVE19" s="590"/>
      <c r="BVF19" s="589"/>
      <c r="BVG19" s="589"/>
      <c r="BVH19" s="589"/>
      <c r="BVI19" s="591"/>
      <c r="BVJ19" s="589"/>
      <c r="BVK19" s="590"/>
      <c r="BVL19" s="589"/>
      <c r="BVM19" s="589"/>
      <c r="BVN19" s="589"/>
      <c r="BVO19" s="590"/>
      <c r="BVP19" s="590"/>
      <c r="BVQ19" s="590"/>
      <c r="BVR19" s="590"/>
      <c r="BVS19" s="590"/>
      <c r="BVT19" s="590"/>
      <c r="BVU19" s="590"/>
      <c r="BVV19" s="590"/>
      <c r="BVW19" s="590"/>
      <c r="BVX19" s="590"/>
      <c r="BVY19" s="590"/>
      <c r="BVZ19" s="590"/>
      <c r="BWA19" s="587"/>
      <c r="BWB19" s="588"/>
      <c r="BWC19" s="589"/>
      <c r="BWD19" s="589"/>
      <c r="BWE19" s="590"/>
      <c r="BWF19" s="589"/>
      <c r="BWG19" s="589"/>
      <c r="BWH19" s="589"/>
      <c r="BWI19" s="591"/>
      <c r="BWJ19" s="589"/>
      <c r="BWK19" s="590"/>
      <c r="BWL19" s="589"/>
      <c r="BWM19" s="589"/>
      <c r="BWN19" s="589"/>
      <c r="BWO19" s="590"/>
      <c r="BWP19" s="590"/>
      <c r="BWQ19" s="590"/>
      <c r="BWR19" s="590"/>
      <c r="BWS19" s="590"/>
      <c r="BWT19" s="590"/>
      <c r="BWU19" s="590"/>
      <c r="BWV19" s="590"/>
      <c r="BWW19" s="590"/>
      <c r="BWX19" s="590"/>
      <c r="BWY19" s="590"/>
      <c r="BWZ19" s="590"/>
      <c r="BXA19" s="587"/>
      <c r="BXB19" s="588"/>
      <c r="BXC19" s="589"/>
      <c r="BXD19" s="589"/>
      <c r="BXE19" s="590"/>
      <c r="BXF19" s="589"/>
      <c r="BXG19" s="589"/>
      <c r="BXH19" s="589"/>
      <c r="BXI19" s="591"/>
      <c r="BXJ19" s="589"/>
      <c r="BXK19" s="590"/>
      <c r="BXL19" s="589"/>
      <c r="BXM19" s="589"/>
      <c r="BXN19" s="589"/>
      <c r="BXO19" s="590"/>
      <c r="BXP19" s="590"/>
      <c r="BXQ19" s="590"/>
      <c r="BXR19" s="590"/>
      <c r="BXS19" s="590"/>
      <c r="BXT19" s="590"/>
      <c r="BXU19" s="590"/>
      <c r="BXV19" s="590"/>
      <c r="BXW19" s="590"/>
      <c r="BXX19" s="590"/>
      <c r="BXY19" s="590"/>
      <c r="BXZ19" s="590"/>
      <c r="BYA19" s="587"/>
      <c r="BYB19" s="588"/>
      <c r="BYC19" s="589"/>
      <c r="BYD19" s="589"/>
      <c r="BYE19" s="590"/>
      <c r="BYF19" s="589"/>
      <c r="BYG19" s="589"/>
      <c r="BYH19" s="589"/>
      <c r="BYI19" s="591"/>
      <c r="BYJ19" s="589"/>
      <c r="BYK19" s="590"/>
      <c r="BYL19" s="589"/>
      <c r="BYM19" s="589"/>
      <c r="BYN19" s="589"/>
      <c r="BYO19" s="590"/>
      <c r="BYP19" s="590"/>
      <c r="BYQ19" s="590"/>
      <c r="BYR19" s="590"/>
      <c r="BYS19" s="590"/>
      <c r="BYT19" s="590"/>
      <c r="BYU19" s="590"/>
      <c r="BYV19" s="590"/>
      <c r="BYW19" s="590"/>
      <c r="BYX19" s="590"/>
      <c r="BYY19" s="590"/>
      <c r="BYZ19" s="590"/>
      <c r="BZA19" s="587"/>
      <c r="BZB19" s="588"/>
      <c r="BZC19" s="589"/>
      <c r="BZD19" s="589"/>
      <c r="BZE19" s="590"/>
      <c r="BZF19" s="589"/>
      <c r="BZG19" s="589"/>
      <c r="BZH19" s="589"/>
      <c r="BZI19" s="591"/>
      <c r="BZJ19" s="589"/>
      <c r="BZK19" s="590"/>
      <c r="BZL19" s="589"/>
      <c r="BZM19" s="589"/>
      <c r="BZN19" s="589"/>
      <c r="BZO19" s="590"/>
      <c r="BZP19" s="590"/>
      <c r="BZQ19" s="590"/>
      <c r="BZR19" s="590"/>
      <c r="BZS19" s="590"/>
      <c r="BZT19" s="590"/>
      <c r="BZU19" s="590"/>
      <c r="BZV19" s="590"/>
      <c r="BZW19" s="590"/>
      <c r="BZX19" s="590"/>
      <c r="BZY19" s="590"/>
      <c r="BZZ19" s="590"/>
      <c r="CAA19" s="587"/>
      <c r="CAB19" s="588"/>
      <c r="CAC19" s="589"/>
      <c r="CAD19" s="589"/>
      <c r="CAE19" s="590"/>
      <c r="CAF19" s="589"/>
      <c r="CAG19" s="589"/>
      <c r="CAH19" s="589"/>
      <c r="CAI19" s="591"/>
      <c r="CAJ19" s="589"/>
      <c r="CAK19" s="590"/>
      <c r="CAL19" s="589"/>
      <c r="CAM19" s="589"/>
      <c r="CAN19" s="589"/>
      <c r="CAO19" s="590"/>
      <c r="CAP19" s="590"/>
      <c r="CAQ19" s="590"/>
      <c r="CAR19" s="590"/>
      <c r="CAS19" s="590"/>
      <c r="CAT19" s="590"/>
      <c r="CAU19" s="590"/>
      <c r="CAV19" s="590"/>
      <c r="CAW19" s="590"/>
      <c r="CAX19" s="590"/>
      <c r="CAY19" s="590"/>
      <c r="CAZ19" s="590"/>
      <c r="CBA19" s="587"/>
      <c r="CBB19" s="588"/>
      <c r="CBC19" s="589"/>
      <c r="CBD19" s="589"/>
      <c r="CBE19" s="590"/>
      <c r="CBF19" s="589"/>
      <c r="CBG19" s="589"/>
      <c r="CBH19" s="589"/>
      <c r="CBI19" s="591"/>
      <c r="CBJ19" s="589"/>
      <c r="CBK19" s="590"/>
      <c r="CBL19" s="589"/>
      <c r="CBM19" s="589"/>
      <c r="CBN19" s="589"/>
      <c r="CBO19" s="590"/>
      <c r="CBP19" s="590"/>
      <c r="CBQ19" s="590"/>
      <c r="CBR19" s="590"/>
      <c r="CBS19" s="590"/>
      <c r="CBT19" s="590"/>
      <c r="CBU19" s="590"/>
      <c r="CBV19" s="590"/>
      <c r="CBW19" s="590"/>
      <c r="CBX19" s="590"/>
      <c r="CBY19" s="590"/>
      <c r="CBZ19" s="590"/>
      <c r="CCA19" s="587"/>
      <c r="CCB19" s="588"/>
      <c r="CCC19" s="589"/>
      <c r="CCD19" s="589"/>
      <c r="CCE19" s="590"/>
      <c r="CCF19" s="589"/>
      <c r="CCG19" s="589"/>
      <c r="CCH19" s="589"/>
      <c r="CCI19" s="591"/>
      <c r="CCJ19" s="589"/>
      <c r="CCK19" s="590"/>
      <c r="CCL19" s="589"/>
      <c r="CCM19" s="589"/>
      <c r="CCN19" s="589"/>
      <c r="CCO19" s="590"/>
      <c r="CCP19" s="590"/>
      <c r="CCQ19" s="590"/>
      <c r="CCR19" s="590"/>
      <c r="CCS19" s="590"/>
      <c r="CCT19" s="590"/>
      <c r="CCU19" s="590"/>
      <c r="CCV19" s="590"/>
      <c r="CCW19" s="590"/>
      <c r="CCX19" s="590"/>
      <c r="CCY19" s="590"/>
      <c r="CCZ19" s="590"/>
      <c r="CDA19" s="587"/>
      <c r="CDB19" s="588"/>
      <c r="CDC19" s="589"/>
      <c r="CDD19" s="589"/>
      <c r="CDE19" s="590"/>
      <c r="CDF19" s="589"/>
      <c r="CDG19" s="589"/>
      <c r="CDH19" s="589"/>
      <c r="CDI19" s="591"/>
      <c r="CDJ19" s="589"/>
      <c r="CDK19" s="590"/>
      <c r="CDL19" s="589"/>
      <c r="CDM19" s="589"/>
      <c r="CDN19" s="589"/>
      <c r="CDO19" s="590"/>
      <c r="CDP19" s="590"/>
      <c r="CDQ19" s="590"/>
      <c r="CDR19" s="590"/>
      <c r="CDS19" s="590"/>
      <c r="CDT19" s="590"/>
      <c r="CDU19" s="590"/>
      <c r="CDV19" s="590"/>
      <c r="CDW19" s="590"/>
      <c r="CDX19" s="590"/>
      <c r="CDY19" s="590"/>
      <c r="CDZ19" s="590"/>
      <c r="CEA19" s="587"/>
      <c r="CEB19" s="588"/>
      <c r="CEC19" s="589"/>
      <c r="CED19" s="589"/>
      <c r="CEE19" s="590"/>
      <c r="CEF19" s="589"/>
      <c r="CEG19" s="589"/>
      <c r="CEH19" s="589"/>
      <c r="CEI19" s="591"/>
      <c r="CEJ19" s="589"/>
      <c r="CEK19" s="590"/>
      <c r="CEL19" s="589"/>
      <c r="CEM19" s="589"/>
      <c r="CEN19" s="589"/>
      <c r="CEO19" s="590"/>
      <c r="CEP19" s="590"/>
      <c r="CEQ19" s="590"/>
      <c r="CER19" s="590"/>
      <c r="CES19" s="590"/>
      <c r="CET19" s="590"/>
      <c r="CEU19" s="590"/>
      <c r="CEV19" s="590"/>
      <c r="CEW19" s="590"/>
      <c r="CEX19" s="590"/>
      <c r="CEY19" s="590"/>
      <c r="CEZ19" s="590"/>
      <c r="CFA19" s="587"/>
      <c r="CFB19" s="588"/>
      <c r="CFC19" s="589"/>
      <c r="CFD19" s="589"/>
      <c r="CFE19" s="590"/>
      <c r="CFF19" s="589"/>
      <c r="CFG19" s="589"/>
      <c r="CFH19" s="589"/>
      <c r="CFI19" s="591"/>
      <c r="CFJ19" s="589"/>
      <c r="CFK19" s="590"/>
      <c r="CFL19" s="589"/>
      <c r="CFM19" s="589"/>
      <c r="CFN19" s="589"/>
      <c r="CFO19" s="590"/>
      <c r="CFP19" s="590"/>
      <c r="CFQ19" s="590"/>
      <c r="CFR19" s="590"/>
      <c r="CFS19" s="590"/>
      <c r="CFT19" s="590"/>
      <c r="CFU19" s="590"/>
      <c r="CFV19" s="590"/>
      <c r="CFW19" s="590"/>
      <c r="CFX19" s="590"/>
      <c r="CFY19" s="590"/>
      <c r="CFZ19" s="590"/>
      <c r="CGA19" s="587"/>
      <c r="CGB19" s="588"/>
      <c r="CGC19" s="589"/>
      <c r="CGD19" s="589"/>
      <c r="CGE19" s="590"/>
      <c r="CGF19" s="589"/>
      <c r="CGG19" s="589"/>
      <c r="CGH19" s="589"/>
      <c r="CGI19" s="591"/>
      <c r="CGJ19" s="589"/>
      <c r="CGK19" s="590"/>
      <c r="CGL19" s="589"/>
      <c r="CGM19" s="589"/>
      <c r="CGN19" s="589"/>
      <c r="CGO19" s="590"/>
      <c r="CGP19" s="590"/>
      <c r="CGQ19" s="590"/>
      <c r="CGR19" s="590"/>
      <c r="CGS19" s="590"/>
      <c r="CGT19" s="590"/>
      <c r="CGU19" s="590"/>
      <c r="CGV19" s="590"/>
      <c r="CGW19" s="590"/>
      <c r="CGX19" s="590"/>
      <c r="CGY19" s="590"/>
      <c r="CGZ19" s="590"/>
      <c r="CHA19" s="587"/>
      <c r="CHB19" s="588"/>
      <c r="CHC19" s="589"/>
      <c r="CHD19" s="589"/>
      <c r="CHE19" s="590"/>
      <c r="CHF19" s="589"/>
      <c r="CHG19" s="589"/>
      <c r="CHH19" s="589"/>
      <c r="CHI19" s="591"/>
      <c r="CHJ19" s="589"/>
      <c r="CHK19" s="590"/>
      <c r="CHL19" s="589"/>
      <c r="CHM19" s="589"/>
      <c r="CHN19" s="589"/>
      <c r="CHO19" s="590"/>
      <c r="CHP19" s="590"/>
      <c r="CHQ19" s="590"/>
      <c r="CHR19" s="590"/>
      <c r="CHS19" s="590"/>
      <c r="CHT19" s="590"/>
      <c r="CHU19" s="590"/>
      <c r="CHV19" s="590"/>
      <c r="CHW19" s="590"/>
      <c r="CHX19" s="590"/>
      <c r="CHY19" s="590"/>
      <c r="CHZ19" s="590"/>
      <c r="CIA19" s="587"/>
      <c r="CIB19" s="588"/>
      <c r="CIC19" s="589"/>
      <c r="CID19" s="589"/>
      <c r="CIE19" s="590"/>
      <c r="CIF19" s="589"/>
      <c r="CIG19" s="589"/>
      <c r="CIH19" s="589"/>
      <c r="CII19" s="591"/>
      <c r="CIJ19" s="589"/>
      <c r="CIK19" s="590"/>
      <c r="CIL19" s="589"/>
      <c r="CIM19" s="589"/>
      <c r="CIN19" s="589"/>
      <c r="CIO19" s="590"/>
      <c r="CIP19" s="590"/>
      <c r="CIQ19" s="590"/>
      <c r="CIR19" s="590"/>
      <c r="CIS19" s="590"/>
      <c r="CIT19" s="590"/>
      <c r="CIU19" s="590"/>
      <c r="CIV19" s="590"/>
      <c r="CIW19" s="590"/>
      <c r="CIX19" s="590"/>
      <c r="CIY19" s="590"/>
      <c r="CIZ19" s="590"/>
      <c r="CJA19" s="587"/>
      <c r="CJB19" s="588"/>
      <c r="CJC19" s="589"/>
      <c r="CJD19" s="589"/>
      <c r="CJE19" s="590"/>
      <c r="CJF19" s="589"/>
      <c r="CJG19" s="589"/>
      <c r="CJH19" s="589"/>
      <c r="CJI19" s="591"/>
      <c r="CJJ19" s="589"/>
      <c r="CJK19" s="590"/>
      <c r="CJL19" s="589"/>
      <c r="CJM19" s="589"/>
      <c r="CJN19" s="589"/>
      <c r="CJO19" s="590"/>
      <c r="CJP19" s="590"/>
      <c r="CJQ19" s="590"/>
      <c r="CJR19" s="590"/>
      <c r="CJS19" s="590"/>
      <c r="CJT19" s="590"/>
      <c r="CJU19" s="590"/>
      <c r="CJV19" s="590"/>
      <c r="CJW19" s="590"/>
      <c r="CJX19" s="590"/>
      <c r="CJY19" s="590"/>
      <c r="CJZ19" s="590"/>
      <c r="CKA19" s="587"/>
      <c r="CKB19" s="588"/>
      <c r="CKC19" s="589"/>
      <c r="CKD19" s="589"/>
      <c r="CKE19" s="590"/>
      <c r="CKF19" s="589"/>
      <c r="CKG19" s="589"/>
      <c r="CKH19" s="589"/>
      <c r="CKI19" s="591"/>
      <c r="CKJ19" s="589"/>
      <c r="CKK19" s="590"/>
      <c r="CKL19" s="589"/>
      <c r="CKM19" s="589"/>
      <c r="CKN19" s="589"/>
      <c r="CKO19" s="590"/>
      <c r="CKP19" s="590"/>
      <c r="CKQ19" s="590"/>
      <c r="CKR19" s="590"/>
      <c r="CKS19" s="590"/>
      <c r="CKT19" s="590"/>
      <c r="CKU19" s="590"/>
      <c r="CKV19" s="590"/>
      <c r="CKW19" s="590"/>
      <c r="CKX19" s="590"/>
      <c r="CKY19" s="590"/>
      <c r="CKZ19" s="590"/>
      <c r="CLA19" s="587"/>
      <c r="CLB19" s="588"/>
      <c r="CLC19" s="589"/>
      <c r="CLD19" s="589"/>
      <c r="CLE19" s="590"/>
      <c r="CLF19" s="589"/>
      <c r="CLG19" s="589"/>
      <c r="CLH19" s="589"/>
      <c r="CLI19" s="591"/>
      <c r="CLJ19" s="589"/>
      <c r="CLK19" s="590"/>
      <c r="CLL19" s="589"/>
      <c r="CLM19" s="589"/>
      <c r="CLN19" s="589"/>
      <c r="CLO19" s="590"/>
      <c r="CLP19" s="590"/>
      <c r="CLQ19" s="590"/>
      <c r="CLR19" s="590"/>
      <c r="CLS19" s="590"/>
      <c r="CLT19" s="590"/>
      <c r="CLU19" s="590"/>
      <c r="CLV19" s="590"/>
      <c r="CLW19" s="590"/>
      <c r="CLX19" s="590"/>
      <c r="CLY19" s="590"/>
      <c r="CLZ19" s="590"/>
      <c r="CMA19" s="587"/>
      <c r="CMB19" s="588"/>
      <c r="CMC19" s="589"/>
      <c r="CMD19" s="589"/>
      <c r="CME19" s="590"/>
      <c r="CMF19" s="589"/>
      <c r="CMG19" s="589"/>
      <c r="CMH19" s="589"/>
      <c r="CMI19" s="591"/>
      <c r="CMJ19" s="589"/>
      <c r="CMK19" s="590"/>
      <c r="CML19" s="589"/>
      <c r="CMM19" s="589"/>
      <c r="CMN19" s="589"/>
      <c r="CMO19" s="590"/>
      <c r="CMP19" s="590"/>
      <c r="CMQ19" s="590"/>
      <c r="CMR19" s="590"/>
      <c r="CMS19" s="590"/>
      <c r="CMT19" s="590"/>
      <c r="CMU19" s="590"/>
      <c r="CMV19" s="590"/>
      <c r="CMW19" s="590"/>
      <c r="CMX19" s="590"/>
      <c r="CMY19" s="590"/>
      <c r="CMZ19" s="590"/>
      <c r="CNA19" s="587"/>
      <c r="CNB19" s="588"/>
      <c r="CNC19" s="589"/>
      <c r="CND19" s="589"/>
      <c r="CNE19" s="590"/>
      <c r="CNF19" s="589"/>
      <c r="CNG19" s="589"/>
      <c r="CNH19" s="589"/>
      <c r="CNI19" s="591"/>
      <c r="CNJ19" s="589"/>
      <c r="CNK19" s="590"/>
      <c r="CNL19" s="589"/>
      <c r="CNM19" s="589"/>
      <c r="CNN19" s="589"/>
      <c r="CNO19" s="590"/>
      <c r="CNP19" s="590"/>
      <c r="CNQ19" s="590"/>
      <c r="CNR19" s="590"/>
      <c r="CNS19" s="590"/>
      <c r="CNT19" s="590"/>
      <c r="CNU19" s="590"/>
      <c r="CNV19" s="590"/>
      <c r="CNW19" s="590"/>
      <c r="CNX19" s="590"/>
      <c r="CNY19" s="590"/>
      <c r="CNZ19" s="590"/>
      <c r="COA19" s="587"/>
      <c r="COB19" s="588"/>
      <c r="COC19" s="589"/>
      <c r="COD19" s="589"/>
      <c r="COE19" s="590"/>
      <c r="COF19" s="589"/>
      <c r="COG19" s="589"/>
      <c r="COH19" s="589"/>
      <c r="COI19" s="591"/>
      <c r="COJ19" s="589"/>
      <c r="COK19" s="590"/>
      <c r="COL19" s="589"/>
      <c r="COM19" s="589"/>
      <c r="CON19" s="589"/>
      <c r="COO19" s="590"/>
      <c r="COP19" s="590"/>
      <c r="COQ19" s="590"/>
      <c r="COR19" s="590"/>
      <c r="COS19" s="590"/>
      <c r="COT19" s="590"/>
      <c r="COU19" s="590"/>
      <c r="COV19" s="590"/>
      <c r="COW19" s="590"/>
      <c r="COX19" s="590"/>
      <c r="COY19" s="590"/>
      <c r="COZ19" s="590"/>
      <c r="CPA19" s="587"/>
      <c r="CPB19" s="588"/>
      <c r="CPC19" s="589"/>
      <c r="CPD19" s="589"/>
      <c r="CPE19" s="590"/>
      <c r="CPF19" s="589"/>
      <c r="CPG19" s="589"/>
      <c r="CPH19" s="589"/>
      <c r="CPI19" s="591"/>
      <c r="CPJ19" s="589"/>
      <c r="CPK19" s="590"/>
      <c r="CPL19" s="589"/>
      <c r="CPM19" s="589"/>
      <c r="CPN19" s="589"/>
      <c r="CPO19" s="590"/>
      <c r="CPP19" s="590"/>
      <c r="CPQ19" s="590"/>
      <c r="CPR19" s="590"/>
      <c r="CPS19" s="590"/>
      <c r="CPT19" s="590"/>
      <c r="CPU19" s="590"/>
      <c r="CPV19" s="590"/>
      <c r="CPW19" s="590"/>
      <c r="CPX19" s="590"/>
      <c r="CPY19" s="590"/>
      <c r="CPZ19" s="590"/>
      <c r="CQA19" s="587"/>
      <c r="CQB19" s="588"/>
      <c r="CQC19" s="589"/>
      <c r="CQD19" s="589"/>
      <c r="CQE19" s="590"/>
      <c r="CQF19" s="589"/>
      <c r="CQG19" s="589"/>
      <c r="CQH19" s="589"/>
      <c r="CQI19" s="591"/>
      <c r="CQJ19" s="589"/>
      <c r="CQK19" s="590"/>
      <c r="CQL19" s="589"/>
      <c r="CQM19" s="589"/>
      <c r="CQN19" s="589"/>
      <c r="CQO19" s="590"/>
      <c r="CQP19" s="590"/>
      <c r="CQQ19" s="590"/>
      <c r="CQR19" s="590"/>
      <c r="CQS19" s="590"/>
      <c r="CQT19" s="590"/>
      <c r="CQU19" s="590"/>
      <c r="CQV19" s="590"/>
      <c r="CQW19" s="590"/>
      <c r="CQX19" s="590"/>
      <c r="CQY19" s="590"/>
      <c r="CQZ19" s="590"/>
      <c r="CRA19" s="587"/>
      <c r="CRB19" s="588"/>
      <c r="CRC19" s="589"/>
      <c r="CRD19" s="589"/>
      <c r="CRE19" s="590"/>
      <c r="CRF19" s="589"/>
      <c r="CRG19" s="589"/>
      <c r="CRH19" s="589"/>
      <c r="CRI19" s="591"/>
      <c r="CRJ19" s="589"/>
      <c r="CRK19" s="590"/>
      <c r="CRL19" s="589"/>
      <c r="CRM19" s="589"/>
      <c r="CRN19" s="589"/>
      <c r="CRO19" s="590"/>
      <c r="CRP19" s="590"/>
      <c r="CRQ19" s="590"/>
      <c r="CRR19" s="590"/>
      <c r="CRS19" s="590"/>
      <c r="CRT19" s="590"/>
      <c r="CRU19" s="590"/>
      <c r="CRV19" s="590"/>
      <c r="CRW19" s="590"/>
      <c r="CRX19" s="590"/>
      <c r="CRY19" s="590"/>
      <c r="CRZ19" s="590"/>
      <c r="CSA19" s="587"/>
      <c r="CSB19" s="588"/>
      <c r="CSC19" s="589"/>
      <c r="CSD19" s="589"/>
      <c r="CSE19" s="590"/>
      <c r="CSF19" s="589"/>
      <c r="CSG19" s="589"/>
      <c r="CSH19" s="589"/>
      <c r="CSI19" s="591"/>
      <c r="CSJ19" s="589"/>
      <c r="CSK19" s="590"/>
      <c r="CSL19" s="589"/>
      <c r="CSM19" s="589"/>
      <c r="CSN19" s="589"/>
      <c r="CSO19" s="590"/>
      <c r="CSP19" s="590"/>
      <c r="CSQ19" s="590"/>
      <c r="CSR19" s="590"/>
      <c r="CSS19" s="590"/>
      <c r="CST19" s="590"/>
      <c r="CSU19" s="590"/>
      <c r="CSV19" s="590"/>
      <c r="CSW19" s="590"/>
      <c r="CSX19" s="590"/>
      <c r="CSY19" s="590"/>
      <c r="CSZ19" s="590"/>
      <c r="CTA19" s="587"/>
      <c r="CTB19" s="588"/>
      <c r="CTC19" s="589"/>
      <c r="CTD19" s="589"/>
      <c r="CTE19" s="590"/>
      <c r="CTF19" s="589"/>
      <c r="CTG19" s="589"/>
      <c r="CTH19" s="589"/>
      <c r="CTI19" s="591"/>
      <c r="CTJ19" s="589"/>
      <c r="CTK19" s="590"/>
      <c r="CTL19" s="589"/>
      <c r="CTM19" s="589"/>
      <c r="CTN19" s="589"/>
      <c r="CTO19" s="590"/>
      <c r="CTP19" s="590"/>
      <c r="CTQ19" s="590"/>
      <c r="CTR19" s="590"/>
      <c r="CTS19" s="590"/>
      <c r="CTT19" s="590"/>
      <c r="CTU19" s="590"/>
      <c r="CTV19" s="590"/>
      <c r="CTW19" s="590"/>
      <c r="CTX19" s="590"/>
      <c r="CTY19" s="590"/>
      <c r="CTZ19" s="590"/>
      <c r="CUA19" s="587"/>
      <c r="CUB19" s="588"/>
      <c r="CUC19" s="589"/>
      <c r="CUD19" s="589"/>
      <c r="CUE19" s="590"/>
      <c r="CUF19" s="589"/>
      <c r="CUG19" s="589"/>
      <c r="CUH19" s="589"/>
      <c r="CUI19" s="591"/>
      <c r="CUJ19" s="589"/>
      <c r="CUK19" s="590"/>
      <c r="CUL19" s="589"/>
      <c r="CUM19" s="589"/>
      <c r="CUN19" s="589"/>
      <c r="CUO19" s="590"/>
      <c r="CUP19" s="590"/>
      <c r="CUQ19" s="590"/>
      <c r="CUR19" s="590"/>
      <c r="CUS19" s="590"/>
      <c r="CUT19" s="590"/>
      <c r="CUU19" s="590"/>
      <c r="CUV19" s="590"/>
      <c r="CUW19" s="590"/>
      <c r="CUX19" s="590"/>
      <c r="CUY19" s="590"/>
      <c r="CUZ19" s="590"/>
      <c r="CVA19" s="587"/>
      <c r="CVB19" s="588"/>
      <c r="CVC19" s="589"/>
      <c r="CVD19" s="589"/>
      <c r="CVE19" s="590"/>
      <c r="CVF19" s="589"/>
      <c r="CVG19" s="589"/>
      <c r="CVH19" s="589"/>
      <c r="CVI19" s="591"/>
      <c r="CVJ19" s="589"/>
      <c r="CVK19" s="590"/>
      <c r="CVL19" s="589"/>
      <c r="CVM19" s="589"/>
      <c r="CVN19" s="589"/>
      <c r="CVO19" s="590"/>
      <c r="CVP19" s="590"/>
      <c r="CVQ19" s="590"/>
      <c r="CVR19" s="590"/>
      <c r="CVS19" s="590"/>
      <c r="CVT19" s="590"/>
      <c r="CVU19" s="590"/>
      <c r="CVV19" s="590"/>
      <c r="CVW19" s="590"/>
      <c r="CVX19" s="590"/>
      <c r="CVY19" s="590"/>
      <c r="CVZ19" s="590"/>
      <c r="CWA19" s="587"/>
      <c r="CWB19" s="588"/>
      <c r="CWC19" s="589"/>
      <c r="CWD19" s="589"/>
      <c r="CWE19" s="590"/>
      <c r="CWF19" s="589"/>
      <c r="CWG19" s="589"/>
      <c r="CWH19" s="589"/>
      <c r="CWI19" s="591"/>
      <c r="CWJ19" s="589"/>
      <c r="CWK19" s="590"/>
      <c r="CWL19" s="589"/>
      <c r="CWM19" s="589"/>
      <c r="CWN19" s="589"/>
      <c r="CWO19" s="590"/>
      <c r="CWP19" s="590"/>
      <c r="CWQ19" s="590"/>
      <c r="CWR19" s="590"/>
      <c r="CWS19" s="590"/>
      <c r="CWT19" s="590"/>
      <c r="CWU19" s="590"/>
      <c r="CWV19" s="590"/>
      <c r="CWW19" s="590"/>
      <c r="CWX19" s="590"/>
      <c r="CWY19" s="590"/>
      <c r="CWZ19" s="590"/>
      <c r="CXA19" s="587"/>
      <c r="CXB19" s="588"/>
      <c r="CXC19" s="589"/>
      <c r="CXD19" s="589"/>
      <c r="CXE19" s="590"/>
      <c r="CXF19" s="589"/>
      <c r="CXG19" s="589"/>
      <c r="CXH19" s="589"/>
      <c r="CXI19" s="591"/>
      <c r="CXJ19" s="589"/>
      <c r="CXK19" s="590"/>
      <c r="CXL19" s="589"/>
      <c r="CXM19" s="589"/>
      <c r="CXN19" s="589"/>
      <c r="CXO19" s="590"/>
      <c r="CXP19" s="590"/>
      <c r="CXQ19" s="590"/>
      <c r="CXR19" s="590"/>
      <c r="CXS19" s="590"/>
      <c r="CXT19" s="590"/>
      <c r="CXU19" s="590"/>
      <c r="CXV19" s="590"/>
      <c r="CXW19" s="590"/>
      <c r="CXX19" s="590"/>
      <c r="CXY19" s="590"/>
      <c r="CXZ19" s="590"/>
      <c r="CYA19" s="587"/>
      <c r="CYB19" s="588"/>
      <c r="CYC19" s="589"/>
      <c r="CYD19" s="589"/>
      <c r="CYE19" s="590"/>
      <c r="CYF19" s="589"/>
      <c r="CYG19" s="589"/>
      <c r="CYH19" s="589"/>
      <c r="CYI19" s="591"/>
      <c r="CYJ19" s="589"/>
      <c r="CYK19" s="590"/>
      <c r="CYL19" s="589"/>
      <c r="CYM19" s="589"/>
      <c r="CYN19" s="589"/>
      <c r="CYO19" s="590"/>
      <c r="CYP19" s="590"/>
      <c r="CYQ19" s="590"/>
      <c r="CYR19" s="590"/>
      <c r="CYS19" s="590"/>
      <c r="CYT19" s="590"/>
      <c r="CYU19" s="590"/>
      <c r="CYV19" s="590"/>
      <c r="CYW19" s="590"/>
      <c r="CYX19" s="590"/>
      <c r="CYY19" s="590"/>
      <c r="CYZ19" s="590"/>
      <c r="CZA19" s="587"/>
      <c r="CZB19" s="588"/>
      <c r="CZC19" s="589"/>
      <c r="CZD19" s="589"/>
      <c r="CZE19" s="590"/>
      <c r="CZF19" s="589"/>
      <c r="CZG19" s="589"/>
      <c r="CZH19" s="589"/>
      <c r="CZI19" s="591"/>
      <c r="CZJ19" s="589"/>
      <c r="CZK19" s="590"/>
      <c r="CZL19" s="589"/>
      <c r="CZM19" s="589"/>
      <c r="CZN19" s="589"/>
      <c r="CZO19" s="590"/>
      <c r="CZP19" s="590"/>
      <c r="CZQ19" s="590"/>
      <c r="CZR19" s="590"/>
      <c r="CZS19" s="590"/>
      <c r="CZT19" s="590"/>
      <c r="CZU19" s="590"/>
      <c r="CZV19" s="590"/>
      <c r="CZW19" s="590"/>
      <c r="CZX19" s="590"/>
      <c r="CZY19" s="590"/>
      <c r="CZZ19" s="590"/>
      <c r="DAA19" s="587"/>
      <c r="DAB19" s="588"/>
      <c r="DAC19" s="589"/>
      <c r="DAD19" s="589"/>
      <c r="DAE19" s="590"/>
      <c r="DAF19" s="589"/>
      <c r="DAG19" s="589"/>
      <c r="DAH19" s="589"/>
      <c r="DAI19" s="591"/>
      <c r="DAJ19" s="589"/>
      <c r="DAK19" s="590"/>
      <c r="DAL19" s="589"/>
      <c r="DAM19" s="589"/>
      <c r="DAN19" s="589"/>
      <c r="DAO19" s="590"/>
      <c r="DAP19" s="590"/>
      <c r="DAQ19" s="590"/>
      <c r="DAR19" s="590"/>
      <c r="DAS19" s="590"/>
      <c r="DAT19" s="590"/>
      <c r="DAU19" s="590"/>
      <c r="DAV19" s="590"/>
      <c r="DAW19" s="590"/>
      <c r="DAX19" s="590"/>
      <c r="DAY19" s="590"/>
      <c r="DAZ19" s="590"/>
      <c r="DBA19" s="587"/>
      <c r="DBB19" s="588"/>
      <c r="DBC19" s="589"/>
      <c r="DBD19" s="589"/>
      <c r="DBE19" s="590"/>
      <c r="DBF19" s="589"/>
      <c r="DBG19" s="589"/>
      <c r="DBH19" s="589"/>
      <c r="DBI19" s="591"/>
      <c r="DBJ19" s="589"/>
      <c r="DBK19" s="590"/>
      <c r="DBL19" s="589"/>
      <c r="DBM19" s="589"/>
      <c r="DBN19" s="589"/>
      <c r="DBO19" s="590"/>
      <c r="DBP19" s="590"/>
      <c r="DBQ19" s="590"/>
      <c r="DBR19" s="590"/>
      <c r="DBS19" s="590"/>
      <c r="DBT19" s="590"/>
      <c r="DBU19" s="590"/>
      <c r="DBV19" s="590"/>
      <c r="DBW19" s="590"/>
      <c r="DBX19" s="590"/>
      <c r="DBY19" s="590"/>
      <c r="DBZ19" s="590"/>
      <c r="DCA19" s="587"/>
      <c r="DCB19" s="588"/>
      <c r="DCC19" s="589"/>
      <c r="DCD19" s="589"/>
      <c r="DCE19" s="590"/>
      <c r="DCF19" s="589"/>
      <c r="DCG19" s="589"/>
      <c r="DCH19" s="589"/>
      <c r="DCI19" s="591"/>
      <c r="DCJ19" s="589"/>
      <c r="DCK19" s="590"/>
      <c r="DCL19" s="589"/>
      <c r="DCM19" s="589"/>
      <c r="DCN19" s="589"/>
      <c r="DCO19" s="590"/>
      <c r="DCP19" s="590"/>
      <c r="DCQ19" s="590"/>
      <c r="DCR19" s="590"/>
      <c r="DCS19" s="590"/>
      <c r="DCT19" s="590"/>
      <c r="DCU19" s="590"/>
      <c r="DCV19" s="590"/>
      <c r="DCW19" s="590"/>
      <c r="DCX19" s="590"/>
      <c r="DCY19" s="590"/>
      <c r="DCZ19" s="590"/>
      <c r="DDA19" s="587"/>
      <c r="DDB19" s="588"/>
      <c r="DDC19" s="589"/>
      <c r="DDD19" s="589"/>
      <c r="DDE19" s="590"/>
      <c r="DDF19" s="589"/>
      <c r="DDG19" s="589"/>
      <c r="DDH19" s="589"/>
      <c r="DDI19" s="591"/>
      <c r="DDJ19" s="589"/>
      <c r="DDK19" s="590"/>
      <c r="DDL19" s="589"/>
      <c r="DDM19" s="589"/>
      <c r="DDN19" s="589"/>
      <c r="DDO19" s="590"/>
      <c r="DDP19" s="590"/>
      <c r="DDQ19" s="590"/>
      <c r="DDR19" s="590"/>
      <c r="DDS19" s="590"/>
      <c r="DDT19" s="590"/>
      <c r="DDU19" s="590"/>
      <c r="DDV19" s="590"/>
      <c r="DDW19" s="590"/>
      <c r="DDX19" s="590"/>
      <c r="DDY19" s="590"/>
      <c r="DDZ19" s="590"/>
      <c r="DEA19" s="587"/>
      <c r="DEB19" s="588"/>
      <c r="DEC19" s="589"/>
      <c r="DED19" s="589"/>
      <c r="DEE19" s="590"/>
      <c r="DEF19" s="589"/>
      <c r="DEG19" s="589"/>
      <c r="DEH19" s="589"/>
      <c r="DEI19" s="591"/>
      <c r="DEJ19" s="589"/>
      <c r="DEK19" s="590"/>
      <c r="DEL19" s="589"/>
      <c r="DEM19" s="589"/>
      <c r="DEN19" s="589"/>
      <c r="DEO19" s="590"/>
      <c r="DEP19" s="590"/>
      <c r="DEQ19" s="590"/>
      <c r="DER19" s="590"/>
      <c r="DES19" s="590"/>
      <c r="DET19" s="590"/>
      <c r="DEU19" s="590"/>
      <c r="DEV19" s="590"/>
      <c r="DEW19" s="590"/>
      <c r="DEX19" s="590"/>
      <c r="DEY19" s="590"/>
      <c r="DEZ19" s="590"/>
      <c r="DFA19" s="587"/>
      <c r="DFB19" s="588"/>
      <c r="DFC19" s="589"/>
      <c r="DFD19" s="589"/>
      <c r="DFE19" s="590"/>
      <c r="DFF19" s="589"/>
      <c r="DFG19" s="589"/>
      <c r="DFH19" s="589"/>
      <c r="DFI19" s="591"/>
      <c r="DFJ19" s="589"/>
      <c r="DFK19" s="590"/>
      <c r="DFL19" s="589"/>
      <c r="DFM19" s="589"/>
      <c r="DFN19" s="589"/>
      <c r="DFO19" s="590"/>
      <c r="DFP19" s="590"/>
      <c r="DFQ19" s="590"/>
      <c r="DFR19" s="590"/>
      <c r="DFS19" s="590"/>
      <c r="DFT19" s="590"/>
      <c r="DFU19" s="590"/>
      <c r="DFV19" s="590"/>
      <c r="DFW19" s="590"/>
      <c r="DFX19" s="590"/>
      <c r="DFY19" s="590"/>
      <c r="DFZ19" s="590"/>
      <c r="DGA19" s="587"/>
      <c r="DGB19" s="588"/>
      <c r="DGC19" s="589"/>
      <c r="DGD19" s="589"/>
      <c r="DGE19" s="590"/>
      <c r="DGF19" s="589"/>
      <c r="DGG19" s="589"/>
      <c r="DGH19" s="589"/>
      <c r="DGI19" s="591"/>
      <c r="DGJ19" s="589"/>
      <c r="DGK19" s="590"/>
      <c r="DGL19" s="589"/>
      <c r="DGM19" s="589"/>
      <c r="DGN19" s="589"/>
      <c r="DGO19" s="590"/>
      <c r="DGP19" s="590"/>
      <c r="DGQ19" s="590"/>
      <c r="DGR19" s="590"/>
      <c r="DGS19" s="590"/>
      <c r="DGT19" s="590"/>
      <c r="DGU19" s="590"/>
      <c r="DGV19" s="590"/>
      <c r="DGW19" s="590"/>
      <c r="DGX19" s="590"/>
      <c r="DGY19" s="590"/>
      <c r="DGZ19" s="590"/>
      <c r="DHA19" s="587"/>
      <c r="DHB19" s="588"/>
      <c r="DHC19" s="589"/>
      <c r="DHD19" s="589"/>
      <c r="DHE19" s="590"/>
      <c r="DHF19" s="589"/>
      <c r="DHG19" s="589"/>
      <c r="DHH19" s="589"/>
      <c r="DHI19" s="591"/>
      <c r="DHJ19" s="589"/>
      <c r="DHK19" s="590"/>
      <c r="DHL19" s="589"/>
      <c r="DHM19" s="589"/>
      <c r="DHN19" s="589"/>
      <c r="DHO19" s="590"/>
      <c r="DHP19" s="590"/>
      <c r="DHQ19" s="590"/>
      <c r="DHR19" s="590"/>
      <c r="DHS19" s="590"/>
      <c r="DHT19" s="590"/>
      <c r="DHU19" s="590"/>
      <c r="DHV19" s="590"/>
      <c r="DHW19" s="590"/>
      <c r="DHX19" s="590"/>
      <c r="DHY19" s="590"/>
      <c r="DHZ19" s="590"/>
      <c r="DIA19" s="587"/>
      <c r="DIB19" s="588"/>
      <c r="DIC19" s="589"/>
      <c r="DID19" s="589"/>
      <c r="DIE19" s="590"/>
      <c r="DIF19" s="589"/>
      <c r="DIG19" s="589"/>
      <c r="DIH19" s="589"/>
      <c r="DII19" s="591"/>
      <c r="DIJ19" s="589"/>
      <c r="DIK19" s="590"/>
      <c r="DIL19" s="589"/>
      <c r="DIM19" s="589"/>
      <c r="DIN19" s="589"/>
      <c r="DIO19" s="590"/>
      <c r="DIP19" s="590"/>
      <c r="DIQ19" s="590"/>
      <c r="DIR19" s="590"/>
      <c r="DIS19" s="590"/>
      <c r="DIT19" s="590"/>
      <c r="DIU19" s="590"/>
      <c r="DIV19" s="590"/>
      <c r="DIW19" s="590"/>
      <c r="DIX19" s="590"/>
      <c r="DIY19" s="590"/>
      <c r="DIZ19" s="590"/>
      <c r="DJA19" s="587"/>
      <c r="DJB19" s="588"/>
      <c r="DJC19" s="589"/>
      <c r="DJD19" s="589"/>
      <c r="DJE19" s="590"/>
      <c r="DJF19" s="589"/>
      <c r="DJG19" s="589"/>
      <c r="DJH19" s="589"/>
      <c r="DJI19" s="591"/>
      <c r="DJJ19" s="589"/>
      <c r="DJK19" s="590"/>
      <c r="DJL19" s="589"/>
      <c r="DJM19" s="589"/>
      <c r="DJN19" s="589"/>
      <c r="DJO19" s="590"/>
      <c r="DJP19" s="590"/>
      <c r="DJQ19" s="590"/>
      <c r="DJR19" s="590"/>
      <c r="DJS19" s="590"/>
      <c r="DJT19" s="590"/>
      <c r="DJU19" s="590"/>
      <c r="DJV19" s="590"/>
      <c r="DJW19" s="590"/>
      <c r="DJX19" s="590"/>
      <c r="DJY19" s="590"/>
      <c r="DJZ19" s="590"/>
      <c r="DKA19" s="587"/>
      <c r="DKB19" s="588"/>
      <c r="DKC19" s="589"/>
      <c r="DKD19" s="589"/>
      <c r="DKE19" s="590"/>
      <c r="DKF19" s="589"/>
      <c r="DKG19" s="589"/>
      <c r="DKH19" s="589"/>
      <c r="DKI19" s="591"/>
      <c r="DKJ19" s="589"/>
      <c r="DKK19" s="590"/>
      <c r="DKL19" s="589"/>
      <c r="DKM19" s="589"/>
      <c r="DKN19" s="589"/>
      <c r="DKO19" s="590"/>
      <c r="DKP19" s="590"/>
      <c r="DKQ19" s="590"/>
      <c r="DKR19" s="590"/>
      <c r="DKS19" s="590"/>
      <c r="DKT19" s="590"/>
      <c r="DKU19" s="590"/>
      <c r="DKV19" s="590"/>
      <c r="DKW19" s="590"/>
      <c r="DKX19" s="590"/>
      <c r="DKY19" s="590"/>
      <c r="DKZ19" s="590"/>
      <c r="DLA19" s="587"/>
      <c r="DLB19" s="588"/>
      <c r="DLC19" s="589"/>
      <c r="DLD19" s="589"/>
      <c r="DLE19" s="590"/>
      <c r="DLF19" s="589"/>
      <c r="DLG19" s="589"/>
      <c r="DLH19" s="589"/>
      <c r="DLI19" s="591"/>
      <c r="DLJ19" s="589"/>
      <c r="DLK19" s="590"/>
      <c r="DLL19" s="589"/>
      <c r="DLM19" s="589"/>
      <c r="DLN19" s="589"/>
      <c r="DLO19" s="590"/>
      <c r="DLP19" s="590"/>
      <c r="DLQ19" s="590"/>
      <c r="DLR19" s="590"/>
      <c r="DLS19" s="590"/>
      <c r="DLT19" s="590"/>
      <c r="DLU19" s="590"/>
      <c r="DLV19" s="590"/>
      <c r="DLW19" s="590"/>
      <c r="DLX19" s="590"/>
      <c r="DLY19" s="590"/>
      <c r="DLZ19" s="590"/>
      <c r="DMA19" s="587"/>
      <c r="DMB19" s="588"/>
      <c r="DMC19" s="589"/>
      <c r="DMD19" s="589"/>
      <c r="DME19" s="590"/>
      <c r="DMF19" s="589"/>
      <c r="DMG19" s="589"/>
      <c r="DMH19" s="589"/>
      <c r="DMI19" s="591"/>
      <c r="DMJ19" s="589"/>
      <c r="DMK19" s="590"/>
      <c r="DML19" s="589"/>
      <c r="DMM19" s="589"/>
      <c r="DMN19" s="589"/>
      <c r="DMO19" s="590"/>
      <c r="DMP19" s="590"/>
      <c r="DMQ19" s="590"/>
      <c r="DMR19" s="590"/>
      <c r="DMS19" s="590"/>
      <c r="DMT19" s="590"/>
      <c r="DMU19" s="590"/>
      <c r="DMV19" s="590"/>
      <c r="DMW19" s="590"/>
      <c r="DMX19" s="590"/>
      <c r="DMY19" s="590"/>
      <c r="DMZ19" s="590"/>
      <c r="DNA19" s="587"/>
      <c r="DNB19" s="588"/>
      <c r="DNC19" s="589"/>
      <c r="DND19" s="589"/>
      <c r="DNE19" s="590"/>
      <c r="DNF19" s="589"/>
      <c r="DNG19" s="589"/>
      <c r="DNH19" s="589"/>
      <c r="DNI19" s="591"/>
      <c r="DNJ19" s="589"/>
      <c r="DNK19" s="590"/>
      <c r="DNL19" s="589"/>
      <c r="DNM19" s="589"/>
      <c r="DNN19" s="589"/>
      <c r="DNO19" s="590"/>
      <c r="DNP19" s="590"/>
      <c r="DNQ19" s="590"/>
      <c r="DNR19" s="590"/>
      <c r="DNS19" s="590"/>
      <c r="DNT19" s="590"/>
      <c r="DNU19" s="590"/>
      <c r="DNV19" s="590"/>
      <c r="DNW19" s="590"/>
      <c r="DNX19" s="590"/>
      <c r="DNY19" s="590"/>
      <c r="DNZ19" s="590"/>
      <c r="DOA19" s="587"/>
      <c r="DOB19" s="588"/>
      <c r="DOC19" s="589"/>
      <c r="DOD19" s="589"/>
      <c r="DOE19" s="590"/>
      <c r="DOF19" s="589"/>
      <c r="DOG19" s="589"/>
      <c r="DOH19" s="589"/>
      <c r="DOI19" s="591"/>
      <c r="DOJ19" s="589"/>
      <c r="DOK19" s="590"/>
      <c r="DOL19" s="589"/>
      <c r="DOM19" s="589"/>
      <c r="DON19" s="589"/>
      <c r="DOO19" s="590"/>
      <c r="DOP19" s="590"/>
      <c r="DOQ19" s="590"/>
      <c r="DOR19" s="590"/>
      <c r="DOS19" s="590"/>
      <c r="DOT19" s="590"/>
      <c r="DOU19" s="590"/>
      <c r="DOV19" s="590"/>
      <c r="DOW19" s="590"/>
      <c r="DOX19" s="590"/>
      <c r="DOY19" s="590"/>
      <c r="DOZ19" s="590"/>
      <c r="DPA19" s="587"/>
      <c r="DPB19" s="588"/>
      <c r="DPC19" s="589"/>
      <c r="DPD19" s="589"/>
      <c r="DPE19" s="590"/>
      <c r="DPF19" s="589"/>
      <c r="DPG19" s="589"/>
      <c r="DPH19" s="589"/>
      <c r="DPI19" s="591"/>
      <c r="DPJ19" s="589"/>
      <c r="DPK19" s="590"/>
      <c r="DPL19" s="589"/>
      <c r="DPM19" s="589"/>
      <c r="DPN19" s="589"/>
      <c r="DPO19" s="590"/>
      <c r="DPP19" s="590"/>
      <c r="DPQ19" s="590"/>
      <c r="DPR19" s="590"/>
      <c r="DPS19" s="590"/>
      <c r="DPT19" s="590"/>
      <c r="DPU19" s="590"/>
      <c r="DPV19" s="590"/>
      <c r="DPW19" s="590"/>
      <c r="DPX19" s="590"/>
      <c r="DPY19" s="590"/>
      <c r="DPZ19" s="590"/>
      <c r="DQA19" s="587"/>
      <c r="DQB19" s="588"/>
      <c r="DQC19" s="589"/>
      <c r="DQD19" s="589"/>
      <c r="DQE19" s="590"/>
      <c r="DQF19" s="589"/>
      <c r="DQG19" s="589"/>
      <c r="DQH19" s="589"/>
      <c r="DQI19" s="591"/>
      <c r="DQJ19" s="589"/>
      <c r="DQK19" s="590"/>
      <c r="DQL19" s="589"/>
      <c r="DQM19" s="589"/>
      <c r="DQN19" s="589"/>
      <c r="DQO19" s="590"/>
      <c r="DQP19" s="590"/>
      <c r="DQQ19" s="590"/>
      <c r="DQR19" s="590"/>
      <c r="DQS19" s="590"/>
      <c r="DQT19" s="590"/>
      <c r="DQU19" s="590"/>
      <c r="DQV19" s="590"/>
      <c r="DQW19" s="590"/>
      <c r="DQX19" s="590"/>
      <c r="DQY19" s="590"/>
      <c r="DQZ19" s="590"/>
      <c r="DRA19" s="587"/>
      <c r="DRB19" s="588"/>
      <c r="DRC19" s="589"/>
      <c r="DRD19" s="589"/>
      <c r="DRE19" s="590"/>
      <c r="DRF19" s="589"/>
      <c r="DRG19" s="589"/>
      <c r="DRH19" s="589"/>
      <c r="DRI19" s="591"/>
      <c r="DRJ19" s="589"/>
      <c r="DRK19" s="590"/>
      <c r="DRL19" s="589"/>
      <c r="DRM19" s="589"/>
      <c r="DRN19" s="589"/>
      <c r="DRO19" s="590"/>
      <c r="DRP19" s="590"/>
      <c r="DRQ19" s="590"/>
      <c r="DRR19" s="590"/>
      <c r="DRS19" s="590"/>
      <c r="DRT19" s="590"/>
      <c r="DRU19" s="590"/>
      <c r="DRV19" s="590"/>
      <c r="DRW19" s="590"/>
      <c r="DRX19" s="590"/>
      <c r="DRY19" s="590"/>
      <c r="DRZ19" s="590"/>
      <c r="DSA19" s="587"/>
      <c r="DSB19" s="588"/>
      <c r="DSC19" s="589"/>
      <c r="DSD19" s="589"/>
      <c r="DSE19" s="590"/>
      <c r="DSF19" s="589"/>
      <c r="DSG19" s="589"/>
      <c r="DSH19" s="589"/>
      <c r="DSI19" s="591"/>
      <c r="DSJ19" s="589"/>
      <c r="DSK19" s="590"/>
      <c r="DSL19" s="589"/>
      <c r="DSM19" s="589"/>
      <c r="DSN19" s="589"/>
      <c r="DSO19" s="590"/>
      <c r="DSP19" s="590"/>
      <c r="DSQ19" s="590"/>
      <c r="DSR19" s="590"/>
      <c r="DSS19" s="590"/>
      <c r="DST19" s="590"/>
      <c r="DSU19" s="590"/>
      <c r="DSV19" s="590"/>
      <c r="DSW19" s="590"/>
      <c r="DSX19" s="590"/>
      <c r="DSY19" s="590"/>
      <c r="DSZ19" s="590"/>
      <c r="DTA19" s="587"/>
      <c r="DTB19" s="588"/>
      <c r="DTC19" s="589"/>
      <c r="DTD19" s="589"/>
      <c r="DTE19" s="590"/>
      <c r="DTF19" s="589"/>
      <c r="DTG19" s="589"/>
      <c r="DTH19" s="589"/>
      <c r="DTI19" s="591"/>
      <c r="DTJ19" s="589"/>
      <c r="DTK19" s="590"/>
      <c r="DTL19" s="589"/>
      <c r="DTM19" s="589"/>
      <c r="DTN19" s="589"/>
      <c r="DTO19" s="590"/>
      <c r="DTP19" s="590"/>
      <c r="DTQ19" s="590"/>
      <c r="DTR19" s="590"/>
      <c r="DTS19" s="590"/>
      <c r="DTT19" s="590"/>
      <c r="DTU19" s="590"/>
      <c r="DTV19" s="590"/>
      <c r="DTW19" s="590"/>
      <c r="DTX19" s="590"/>
      <c r="DTY19" s="590"/>
      <c r="DTZ19" s="590"/>
      <c r="DUA19" s="587"/>
      <c r="DUB19" s="588"/>
      <c r="DUC19" s="589"/>
      <c r="DUD19" s="589"/>
      <c r="DUE19" s="590"/>
      <c r="DUF19" s="589"/>
      <c r="DUG19" s="589"/>
      <c r="DUH19" s="589"/>
      <c r="DUI19" s="591"/>
      <c r="DUJ19" s="589"/>
      <c r="DUK19" s="590"/>
      <c r="DUL19" s="589"/>
      <c r="DUM19" s="589"/>
      <c r="DUN19" s="589"/>
      <c r="DUO19" s="590"/>
      <c r="DUP19" s="590"/>
      <c r="DUQ19" s="590"/>
      <c r="DUR19" s="590"/>
      <c r="DUS19" s="590"/>
      <c r="DUT19" s="590"/>
      <c r="DUU19" s="590"/>
      <c r="DUV19" s="590"/>
      <c r="DUW19" s="590"/>
      <c r="DUX19" s="590"/>
      <c r="DUY19" s="590"/>
      <c r="DUZ19" s="590"/>
      <c r="DVA19" s="587"/>
      <c r="DVB19" s="588"/>
      <c r="DVC19" s="589"/>
      <c r="DVD19" s="589"/>
      <c r="DVE19" s="590"/>
      <c r="DVF19" s="589"/>
      <c r="DVG19" s="589"/>
      <c r="DVH19" s="589"/>
      <c r="DVI19" s="591"/>
      <c r="DVJ19" s="589"/>
      <c r="DVK19" s="590"/>
      <c r="DVL19" s="589"/>
      <c r="DVM19" s="589"/>
      <c r="DVN19" s="589"/>
      <c r="DVO19" s="590"/>
      <c r="DVP19" s="590"/>
      <c r="DVQ19" s="590"/>
      <c r="DVR19" s="590"/>
      <c r="DVS19" s="590"/>
      <c r="DVT19" s="590"/>
      <c r="DVU19" s="590"/>
      <c r="DVV19" s="590"/>
      <c r="DVW19" s="590"/>
      <c r="DVX19" s="590"/>
      <c r="DVY19" s="590"/>
      <c r="DVZ19" s="590"/>
      <c r="DWA19" s="587"/>
      <c r="DWB19" s="588"/>
      <c r="DWC19" s="589"/>
      <c r="DWD19" s="589"/>
      <c r="DWE19" s="590"/>
      <c r="DWF19" s="589"/>
      <c r="DWG19" s="589"/>
      <c r="DWH19" s="589"/>
      <c r="DWI19" s="591"/>
      <c r="DWJ19" s="589"/>
      <c r="DWK19" s="590"/>
      <c r="DWL19" s="589"/>
      <c r="DWM19" s="589"/>
      <c r="DWN19" s="589"/>
      <c r="DWO19" s="590"/>
      <c r="DWP19" s="590"/>
      <c r="DWQ19" s="590"/>
      <c r="DWR19" s="590"/>
      <c r="DWS19" s="590"/>
      <c r="DWT19" s="590"/>
      <c r="DWU19" s="590"/>
      <c r="DWV19" s="590"/>
      <c r="DWW19" s="590"/>
      <c r="DWX19" s="590"/>
      <c r="DWY19" s="590"/>
      <c r="DWZ19" s="590"/>
      <c r="DXA19" s="587"/>
      <c r="DXB19" s="588"/>
      <c r="DXC19" s="589"/>
      <c r="DXD19" s="589"/>
      <c r="DXE19" s="590"/>
      <c r="DXF19" s="589"/>
      <c r="DXG19" s="589"/>
      <c r="DXH19" s="589"/>
      <c r="DXI19" s="591"/>
      <c r="DXJ19" s="589"/>
      <c r="DXK19" s="590"/>
      <c r="DXL19" s="589"/>
      <c r="DXM19" s="589"/>
      <c r="DXN19" s="589"/>
      <c r="DXO19" s="590"/>
      <c r="DXP19" s="590"/>
      <c r="DXQ19" s="590"/>
      <c r="DXR19" s="590"/>
      <c r="DXS19" s="590"/>
      <c r="DXT19" s="590"/>
      <c r="DXU19" s="590"/>
      <c r="DXV19" s="590"/>
      <c r="DXW19" s="590"/>
      <c r="DXX19" s="590"/>
      <c r="DXY19" s="590"/>
      <c r="DXZ19" s="590"/>
      <c r="DYA19" s="587"/>
      <c r="DYB19" s="588"/>
      <c r="DYC19" s="589"/>
      <c r="DYD19" s="589"/>
      <c r="DYE19" s="590"/>
      <c r="DYF19" s="589"/>
      <c r="DYG19" s="589"/>
      <c r="DYH19" s="589"/>
      <c r="DYI19" s="591"/>
      <c r="DYJ19" s="589"/>
      <c r="DYK19" s="590"/>
      <c r="DYL19" s="589"/>
      <c r="DYM19" s="589"/>
      <c r="DYN19" s="589"/>
      <c r="DYO19" s="590"/>
      <c r="DYP19" s="590"/>
      <c r="DYQ19" s="590"/>
      <c r="DYR19" s="590"/>
      <c r="DYS19" s="590"/>
      <c r="DYT19" s="590"/>
      <c r="DYU19" s="590"/>
      <c r="DYV19" s="590"/>
      <c r="DYW19" s="590"/>
      <c r="DYX19" s="590"/>
      <c r="DYY19" s="590"/>
      <c r="DYZ19" s="590"/>
      <c r="DZA19" s="587"/>
      <c r="DZB19" s="588"/>
      <c r="DZC19" s="589"/>
      <c r="DZD19" s="589"/>
      <c r="DZE19" s="590"/>
      <c r="DZF19" s="589"/>
      <c r="DZG19" s="589"/>
      <c r="DZH19" s="589"/>
      <c r="DZI19" s="591"/>
      <c r="DZJ19" s="589"/>
      <c r="DZK19" s="590"/>
      <c r="DZL19" s="589"/>
      <c r="DZM19" s="589"/>
      <c r="DZN19" s="589"/>
      <c r="DZO19" s="590"/>
      <c r="DZP19" s="590"/>
      <c r="DZQ19" s="590"/>
      <c r="DZR19" s="590"/>
      <c r="DZS19" s="590"/>
      <c r="DZT19" s="590"/>
      <c r="DZU19" s="590"/>
      <c r="DZV19" s="590"/>
      <c r="DZW19" s="590"/>
      <c r="DZX19" s="590"/>
      <c r="DZY19" s="590"/>
      <c r="DZZ19" s="590"/>
      <c r="EAA19" s="587"/>
      <c r="EAB19" s="588"/>
      <c r="EAC19" s="589"/>
      <c r="EAD19" s="589"/>
      <c r="EAE19" s="590"/>
      <c r="EAF19" s="589"/>
      <c r="EAG19" s="589"/>
      <c r="EAH19" s="589"/>
      <c r="EAI19" s="591"/>
      <c r="EAJ19" s="589"/>
      <c r="EAK19" s="590"/>
      <c r="EAL19" s="589"/>
      <c r="EAM19" s="589"/>
      <c r="EAN19" s="589"/>
      <c r="EAO19" s="590"/>
      <c r="EAP19" s="590"/>
      <c r="EAQ19" s="590"/>
      <c r="EAR19" s="590"/>
      <c r="EAS19" s="590"/>
      <c r="EAT19" s="590"/>
      <c r="EAU19" s="590"/>
      <c r="EAV19" s="590"/>
      <c r="EAW19" s="590"/>
      <c r="EAX19" s="590"/>
      <c r="EAY19" s="590"/>
      <c r="EAZ19" s="590"/>
      <c r="EBA19" s="587"/>
      <c r="EBB19" s="588"/>
      <c r="EBC19" s="589"/>
      <c r="EBD19" s="589"/>
      <c r="EBE19" s="590"/>
      <c r="EBF19" s="589"/>
      <c r="EBG19" s="589"/>
      <c r="EBH19" s="589"/>
      <c r="EBI19" s="591"/>
      <c r="EBJ19" s="589"/>
      <c r="EBK19" s="590"/>
      <c r="EBL19" s="589"/>
      <c r="EBM19" s="589"/>
      <c r="EBN19" s="589"/>
      <c r="EBO19" s="590"/>
      <c r="EBP19" s="590"/>
      <c r="EBQ19" s="590"/>
      <c r="EBR19" s="590"/>
      <c r="EBS19" s="590"/>
      <c r="EBT19" s="590"/>
      <c r="EBU19" s="590"/>
      <c r="EBV19" s="590"/>
      <c r="EBW19" s="590"/>
      <c r="EBX19" s="590"/>
      <c r="EBY19" s="590"/>
      <c r="EBZ19" s="590"/>
      <c r="ECA19" s="587"/>
      <c r="ECB19" s="588"/>
      <c r="ECC19" s="589"/>
      <c r="ECD19" s="589"/>
      <c r="ECE19" s="590"/>
      <c r="ECF19" s="589"/>
      <c r="ECG19" s="589"/>
      <c r="ECH19" s="589"/>
      <c r="ECI19" s="591"/>
      <c r="ECJ19" s="589"/>
      <c r="ECK19" s="590"/>
      <c r="ECL19" s="589"/>
      <c r="ECM19" s="589"/>
      <c r="ECN19" s="589"/>
      <c r="ECO19" s="590"/>
      <c r="ECP19" s="590"/>
      <c r="ECQ19" s="590"/>
      <c r="ECR19" s="590"/>
      <c r="ECS19" s="590"/>
      <c r="ECT19" s="590"/>
      <c r="ECU19" s="590"/>
      <c r="ECV19" s="590"/>
      <c r="ECW19" s="590"/>
      <c r="ECX19" s="590"/>
      <c r="ECY19" s="590"/>
      <c r="ECZ19" s="590"/>
      <c r="EDA19" s="587"/>
      <c r="EDB19" s="588"/>
      <c r="EDC19" s="589"/>
      <c r="EDD19" s="589"/>
      <c r="EDE19" s="590"/>
      <c r="EDF19" s="589"/>
      <c r="EDG19" s="589"/>
      <c r="EDH19" s="589"/>
      <c r="EDI19" s="591"/>
      <c r="EDJ19" s="589"/>
      <c r="EDK19" s="590"/>
      <c r="EDL19" s="589"/>
      <c r="EDM19" s="589"/>
      <c r="EDN19" s="589"/>
      <c r="EDO19" s="590"/>
      <c r="EDP19" s="590"/>
      <c r="EDQ19" s="590"/>
      <c r="EDR19" s="590"/>
      <c r="EDS19" s="590"/>
      <c r="EDT19" s="590"/>
      <c r="EDU19" s="590"/>
      <c r="EDV19" s="590"/>
      <c r="EDW19" s="590"/>
      <c r="EDX19" s="590"/>
      <c r="EDY19" s="590"/>
      <c r="EDZ19" s="590"/>
      <c r="EEA19" s="587"/>
      <c r="EEB19" s="588"/>
      <c r="EEC19" s="589"/>
      <c r="EED19" s="589"/>
      <c r="EEE19" s="590"/>
      <c r="EEF19" s="589"/>
      <c r="EEG19" s="589"/>
      <c r="EEH19" s="589"/>
      <c r="EEI19" s="591"/>
      <c r="EEJ19" s="589"/>
      <c r="EEK19" s="590"/>
      <c r="EEL19" s="589"/>
      <c r="EEM19" s="589"/>
      <c r="EEN19" s="589"/>
      <c r="EEO19" s="590"/>
      <c r="EEP19" s="590"/>
      <c r="EEQ19" s="590"/>
      <c r="EER19" s="590"/>
      <c r="EES19" s="590"/>
      <c r="EET19" s="590"/>
      <c r="EEU19" s="590"/>
      <c r="EEV19" s="590"/>
      <c r="EEW19" s="590"/>
      <c r="EEX19" s="590"/>
      <c r="EEY19" s="590"/>
      <c r="EEZ19" s="590"/>
      <c r="EFA19" s="587"/>
      <c r="EFB19" s="588"/>
      <c r="EFC19" s="589"/>
      <c r="EFD19" s="589"/>
      <c r="EFE19" s="590"/>
      <c r="EFF19" s="589"/>
      <c r="EFG19" s="589"/>
      <c r="EFH19" s="589"/>
      <c r="EFI19" s="591"/>
      <c r="EFJ19" s="589"/>
      <c r="EFK19" s="590"/>
      <c r="EFL19" s="589"/>
      <c r="EFM19" s="589"/>
      <c r="EFN19" s="589"/>
      <c r="EFO19" s="590"/>
      <c r="EFP19" s="590"/>
      <c r="EFQ19" s="590"/>
      <c r="EFR19" s="590"/>
      <c r="EFS19" s="590"/>
      <c r="EFT19" s="590"/>
      <c r="EFU19" s="590"/>
      <c r="EFV19" s="590"/>
      <c r="EFW19" s="590"/>
      <c r="EFX19" s="590"/>
      <c r="EFY19" s="590"/>
      <c r="EFZ19" s="590"/>
      <c r="EGA19" s="587"/>
      <c r="EGB19" s="588"/>
      <c r="EGC19" s="589"/>
      <c r="EGD19" s="589"/>
      <c r="EGE19" s="590"/>
      <c r="EGF19" s="589"/>
      <c r="EGG19" s="589"/>
      <c r="EGH19" s="589"/>
      <c r="EGI19" s="591"/>
      <c r="EGJ19" s="589"/>
      <c r="EGK19" s="590"/>
      <c r="EGL19" s="589"/>
      <c r="EGM19" s="589"/>
      <c r="EGN19" s="589"/>
      <c r="EGO19" s="590"/>
      <c r="EGP19" s="590"/>
      <c r="EGQ19" s="590"/>
      <c r="EGR19" s="590"/>
      <c r="EGS19" s="590"/>
      <c r="EGT19" s="590"/>
      <c r="EGU19" s="590"/>
      <c r="EGV19" s="590"/>
      <c r="EGW19" s="590"/>
      <c r="EGX19" s="590"/>
      <c r="EGY19" s="590"/>
      <c r="EGZ19" s="590"/>
      <c r="EHA19" s="587"/>
      <c r="EHB19" s="588"/>
      <c r="EHC19" s="589"/>
      <c r="EHD19" s="589"/>
      <c r="EHE19" s="590"/>
      <c r="EHF19" s="589"/>
      <c r="EHG19" s="589"/>
      <c r="EHH19" s="589"/>
      <c r="EHI19" s="591"/>
      <c r="EHJ19" s="589"/>
      <c r="EHK19" s="590"/>
      <c r="EHL19" s="589"/>
      <c r="EHM19" s="589"/>
      <c r="EHN19" s="589"/>
      <c r="EHO19" s="590"/>
      <c r="EHP19" s="590"/>
      <c r="EHQ19" s="590"/>
      <c r="EHR19" s="590"/>
      <c r="EHS19" s="590"/>
      <c r="EHT19" s="590"/>
      <c r="EHU19" s="590"/>
      <c r="EHV19" s="590"/>
      <c r="EHW19" s="590"/>
      <c r="EHX19" s="590"/>
      <c r="EHY19" s="590"/>
      <c r="EHZ19" s="590"/>
      <c r="EIA19" s="587"/>
      <c r="EIB19" s="588"/>
      <c r="EIC19" s="589"/>
      <c r="EID19" s="589"/>
      <c r="EIE19" s="590"/>
      <c r="EIF19" s="589"/>
      <c r="EIG19" s="589"/>
      <c r="EIH19" s="589"/>
      <c r="EII19" s="591"/>
      <c r="EIJ19" s="589"/>
      <c r="EIK19" s="590"/>
      <c r="EIL19" s="589"/>
      <c r="EIM19" s="589"/>
      <c r="EIN19" s="589"/>
      <c r="EIO19" s="590"/>
      <c r="EIP19" s="590"/>
      <c r="EIQ19" s="590"/>
      <c r="EIR19" s="590"/>
      <c r="EIS19" s="590"/>
      <c r="EIT19" s="590"/>
      <c r="EIU19" s="590"/>
      <c r="EIV19" s="590"/>
      <c r="EIW19" s="590"/>
      <c r="EIX19" s="590"/>
      <c r="EIY19" s="590"/>
      <c r="EIZ19" s="590"/>
      <c r="EJA19" s="587"/>
      <c r="EJB19" s="588"/>
      <c r="EJC19" s="589"/>
      <c r="EJD19" s="589"/>
      <c r="EJE19" s="590"/>
      <c r="EJF19" s="589"/>
      <c r="EJG19" s="589"/>
      <c r="EJH19" s="589"/>
      <c r="EJI19" s="591"/>
      <c r="EJJ19" s="589"/>
      <c r="EJK19" s="590"/>
      <c r="EJL19" s="589"/>
      <c r="EJM19" s="589"/>
      <c r="EJN19" s="589"/>
      <c r="EJO19" s="590"/>
      <c r="EJP19" s="590"/>
      <c r="EJQ19" s="590"/>
      <c r="EJR19" s="590"/>
      <c r="EJS19" s="590"/>
      <c r="EJT19" s="590"/>
      <c r="EJU19" s="590"/>
      <c r="EJV19" s="590"/>
      <c r="EJW19" s="590"/>
      <c r="EJX19" s="590"/>
      <c r="EJY19" s="590"/>
      <c r="EJZ19" s="590"/>
      <c r="EKA19" s="587"/>
      <c r="EKB19" s="588"/>
      <c r="EKC19" s="589"/>
      <c r="EKD19" s="589"/>
      <c r="EKE19" s="590"/>
      <c r="EKF19" s="589"/>
      <c r="EKG19" s="589"/>
      <c r="EKH19" s="589"/>
      <c r="EKI19" s="591"/>
      <c r="EKJ19" s="589"/>
      <c r="EKK19" s="590"/>
      <c r="EKL19" s="589"/>
      <c r="EKM19" s="589"/>
      <c r="EKN19" s="589"/>
      <c r="EKO19" s="590"/>
      <c r="EKP19" s="590"/>
      <c r="EKQ19" s="590"/>
      <c r="EKR19" s="590"/>
      <c r="EKS19" s="590"/>
      <c r="EKT19" s="590"/>
      <c r="EKU19" s="590"/>
      <c r="EKV19" s="590"/>
      <c r="EKW19" s="590"/>
      <c r="EKX19" s="590"/>
      <c r="EKY19" s="590"/>
      <c r="EKZ19" s="590"/>
      <c r="ELA19" s="587"/>
      <c r="ELB19" s="588"/>
      <c r="ELC19" s="589"/>
      <c r="ELD19" s="589"/>
      <c r="ELE19" s="590"/>
      <c r="ELF19" s="589"/>
      <c r="ELG19" s="589"/>
      <c r="ELH19" s="589"/>
      <c r="ELI19" s="591"/>
      <c r="ELJ19" s="589"/>
      <c r="ELK19" s="590"/>
      <c r="ELL19" s="589"/>
      <c r="ELM19" s="589"/>
      <c r="ELN19" s="589"/>
      <c r="ELO19" s="590"/>
      <c r="ELP19" s="590"/>
      <c r="ELQ19" s="590"/>
      <c r="ELR19" s="590"/>
      <c r="ELS19" s="590"/>
      <c r="ELT19" s="590"/>
      <c r="ELU19" s="590"/>
      <c r="ELV19" s="590"/>
      <c r="ELW19" s="590"/>
      <c r="ELX19" s="590"/>
      <c r="ELY19" s="590"/>
      <c r="ELZ19" s="590"/>
      <c r="EMA19" s="587"/>
      <c r="EMB19" s="588"/>
      <c r="EMC19" s="589"/>
      <c r="EMD19" s="589"/>
      <c r="EME19" s="590"/>
      <c r="EMF19" s="589"/>
      <c r="EMG19" s="589"/>
      <c r="EMH19" s="589"/>
      <c r="EMI19" s="591"/>
      <c r="EMJ19" s="589"/>
      <c r="EMK19" s="590"/>
      <c r="EML19" s="589"/>
      <c r="EMM19" s="589"/>
      <c r="EMN19" s="589"/>
      <c r="EMO19" s="590"/>
      <c r="EMP19" s="590"/>
      <c r="EMQ19" s="590"/>
      <c r="EMR19" s="590"/>
      <c r="EMS19" s="590"/>
      <c r="EMT19" s="590"/>
      <c r="EMU19" s="590"/>
      <c r="EMV19" s="590"/>
      <c r="EMW19" s="590"/>
      <c r="EMX19" s="590"/>
      <c r="EMY19" s="590"/>
      <c r="EMZ19" s="590"/>
      <c r="ENA19" s="587"/>
      <c r="ENB19" s="588"/>
      <c r="ENC19" s="589"/>
      <c r="END19" s="589"/>
      <c r="ENE19" s="590"/>
      <c r="ENF19" s="589"/>
      <c r="ENG19" s="589"/>
      <c r="ENH19" s="589"/>
      <c r="ENI19" s="591"/>
      <c r="ENJ19" s="589"/>
      <c r="ENK19" s="590"/>
      <c r="ENL19" s="589"/>
      <c r="ENM19" s="589"/>
      <c r="ENN19" s="589"/>
      <c r="ENO19" s="590"/>
      <c r="ENP19" s="590"/>
      <c r="ENQ19" s="590"/>
      <c r="ENR19" s="590"/>
      <c r="ENS19" s="590"/>
      <c r="ENT19" s="590"/>
      <c r="ENU19" s="590"/>
      <c r="ENV19" s="590"/>
      <c r="ENW19" s="590"/>
      <c r="ENX19" s="590"/>
      <c r="ENY19" s="590"/>
      <c r="ENZ19" s="590"/>
      <c r="EOA19" s="587"/>
      <c r="EOB19" s="588"/>
      <c r="EOC19" s="589"/>
      <c r="EOD19" s="589"/>
      <c r="EOE19" s="590"/>
      <c r="EOF19" s="589"/>
      <c r="EOG19" s="589"/>
      <c r="EOH19" s="589"/>
      <c r="EOI19" s="591"/>
      <c r="EOJ19" s="589"/>
      <c r="EOK19" s="590"/>
      <c r="EOL19" s="589"/>
      <c r="EOM19" s="589"/>
      <c r="EON19" s="589"/>
      <c r="EOO19" s="590"/>
      <c r="EOP19" s="590"/>
      <c r="EOQ19" s="590"/>
      <c r="EOR19" s="590"/>
      <c r="EOS19" s="590"/>
      <c r="EOT19" s="590"/>
      <c r="EOU19" s="590"/>
      <c r="EOV19" s="590"/>
      <c r="EOW19" s="590"/>
      <c r="EOX19" s="590"/>
      <c r="EOY19" s="590"/>
      <c r="EOZ19" s="590"/>
      <c r="EPA19" s="587"/>
      <c r="EPB19" s="588"/>
      <c r="EPC19" s="589"/>
      <c r="EPD19" s="589"/>
      <c r="EPE19" s="590"/>
      <c r="EPF19" s="589"/>
      <c r="EPG19" s="589"/>
      <c r="EPH19" s="589"/>
      <c r="EPI19" s="591"/>
      <c r="EPJ19" s="589"/>
      <c r="EPK19" s="590"/>
      <c r="EPL19" s="589"/>
      <c r="EPM19" s="589"/>
      <c r="EPN19" s="589"/>
      <c r="EPO19" s="590"/>
      <c r="EPP19" s="590"/>
      <c r="EPQ19" s="590"/>
      <c r="EPR19" s="590"/>
      <c r="EPS19" s="590"/>
      <c r="EPT19" s="590"/>
      <c r="EPU19" s="590"/>
      <c r="EPV19" s="590"/>
      <c r="EPW19" s="590"/>
      <c r="EPX19" s="590"/>
      <c r="EPY19" s="590"/>
      <c r="EPZ19" s="590"/>
      <c r="EQA19" s="587"/>
      <c r="EQB19" s="588"/>
      <c r="EQC19" s="589"/>
      <c r="EQD19" s="589"/>
      <c r="EQE19" s="590"/>
      <c r="EQF19" s="589"/>
      <c r="EQG19" s="589"/>
      <c r="EQH19" s="589"/>
      <c r="EQI19" s="591"/>
      <c r="EQJ19" s="589"/>
      <c r="EQK19" s="590"/>
      <c r="EQL19" s="589"/>
      <c r="EQM19" s="589"/>
      <c r="EQN19" s="589"/>
      <c r="EQO19" s="590"/>
      <c r="EQP19" s="590"/>
      <c r="EQQ19" s="590"/>
      <c r="EQR19" s="590"/>
      <c r="EQS19" s="590"/>
      <c r="EQT19" s="590"/>
      <c r="EQU19" s="590"/>
      <c r="EQV19" s="590"/>
      <c r="EQW19" s="590"/>
      <c r="EQX19" s="590"/>
      <c r="EQY19" s="590"/>
      <c r="EQZ19" s="590"/>
      <c r="ERA19" s="587"/>
      <c r="ERB19" s="588"/>
      <c r="ERC19" s="589"/>
      <c r="ERD19" s="589"/>
      <c r="ERE19" s="590"/>
      <c r="ERF19" s="589"/>
      <c r="ERG19" s="589"/>
      <c r="ERH19" s="589"/>
      <c r="ERI19" s="591"/>
      <c r="ERJ19" s="589"/>
      <c r="ERK19" s="590"/>
      <c r="ERL19" s="589"/>
      <c r="ERM19" s="589"/>
      <c r="ERN19" s="589"/>
      <c r="ERO19" s="590"/>
      <c r="ERP19" s="590"/>
      <c r="ERQ19" s="590"/>
      <c r="ERR19" s="590"/>
      <c r="ERS19" s="590"/>
      <c r="ERT19" s="590"/>
      <c r="ERU19" s="590"/>
      <c r="ERV19" s="590"/>
      <c r="ERW19" s="590"/>
      <c r="ERX19" s="590"/>
      <c r="ERY19" s="590"/>
      <c r="ERZ19" s="590"/>
      <c r="ESA19" s="587"/>
      <c r="ESB19" s="588"/>
      <c r="ESC19" s="589"/>
      <c r="ESD19" s="589"/>
      <c r="ESE19" s="590"/>
      <c r="ESF19" s="589"/>
      <c r="ESG19" s="589"/>
      <c r="ESH19" s="589"/>
      <c r="ESI19" s="591"/>
      <c r="ESJ19" s="589"/>
      <c r="ESK19" s="590"/>
      <c r="ESL19" s="589"/>
      <c r="ESM19" s="589"/>
      <c r="ESN19" s="589"/>
      <c r="ESO19" s="590"/>
      <c r="ESP19" s="590"/>
      <c r="ESQ19" s="590"/>
      <c r="ESR19" s="590"/>
      <c r="ESS19" s="590"/>
      <c r="EST19" s="590"/>
      <c r="ESU19" s="590"/>
      <c r="ESV19" s="590"/>
      <c r="ESW19" s="590"/>
      <c r="ESX19" s="590"/>
      <c r="ESY19" s="590"/>
      <c r="ESZ19" s="590"/>
      <c r="ETA19" s="587"/>
      <c r="ETB19" s="588"/>
      <c r="ETC19" s="589"/>
      <c r="ETD19" s="589"/>
      <c r="ETE19" s="590"/>
      <c r="ETF19" s="589"/>
      <c r="ETG19" s="589"/>
      <c r="ETH19" s="589"/>
      <c r="ETI19" s="591"/>
      <c r="ETJ19" s="589"/>
      <c r="ETK19" s="590"/>
      <c r="ETL19" s="589"/>
      <c r="ETM19" s="589"/>
      <c r="ETN19" s="589"/>
      <c r="ETO19" s="590"/>
      <c r="ETP19" s="590"/>
      <c r="ETQ19" s="590"/>
      <c r="ETR19" s="590"/>
      <c r="ETS19" s="590"/>
      <c r="ETT19" s="590"/>
      <c r="ETU19" s="590"/>
      <c r="ETV19" s="590"/>
      <c r="ETW19" s="590"/>
      <c r="ETX19" s="590"/>
      <c r="ETY19" s="590"/>
      <c r="ETZ19" s="590"/>
      <c r="EUA19" s="587"/>
      <c r="EUB19" s="588"/>
      <c r="EUC19" s="589"/>
      <c r="EUD19" s="589"/>
      <c r="EUE19" s="590"/>
      <c r="EUF19" s="589"/>
      <c r="EUG19" s="589"/>
      <c r="EUH19" s="589"/>
      <c r="EUI19" s="591"/>
      <c r="EUJ19" s="589"/>
      <c r="EUK19" s="590"/>
      <c r="EUL19" s="589"/>
      <c r="EUM19" s="589"/>
      <c r="EUN19" s="589"/>
      <c r="EUO19" s="590"/>
      <c r="EUP19" s="590"/>
      <c r="EUQ19" s="590"/>
      <c r="EUR19" s="590"/>
      <c r="EUS19" s="590"/>
      <c r="EUT19" s="590"/>
      <c r="EUU19" s="590"/>
      <c r="EUV19" s="590"/>
      <c r="EUW19" s="590"/>
      <c r="EUX19" s="590"/>
      <c r="EUY19" s="590"/>
      <c r="EUZ19" s="590"/>
      <c r="EVA19" s="587"/>
      <c r="EVB19" s="588"/>
      <c r="EVC19" s="589"/>
      <c r="EVD19" s="589"/>
      <c r="EVE19" s="590"/>
      <c r="EVF19" s="589"/>
      <c r="EVG19" s="589"/>
      <c r="EVH19" s="589"/>
      <c r="EVI19" s="591"/>
      <c r="EVJ19" s="589"/>
      <c r="EVK19" s="590"/>
      <c r="EVL19" s="589"/>
      <c r="EVM19" s="589"/>
      <c r="EVN19" s="589"/>
      <c r="EVO19" s="590"/>
      <c r="EVP19" s="590"/>
      <c r="EVQ19" s="590"/>
      <c r="EVR19" s="590"/>
      <c r="EVS19" s="590"/>
      <c r="EVT19" s="590"/>
      <c r="EVU19" s="590"/>
      <c r="EVV19" s="590"/>
      <c r="EVW19" s="590"/>
      <c r="EVX19" s="590"/>
      <c r="EVY19" s="590"/>
      <c r="EVZ19" s="590"/>
      <c r="EWA19" s="587"/>
      <c r="EWB19" s="588"/>
      <c r="EWC19" s="589"/>
      <c r="EWD19" s="589"/>
      <c r="EWE19" s="590"/>
      <c r="EWF19" s="589"/>
      <c r="EWG19" s="589"/>
      <c r="EWH19" s="589"/>
      <c r="EWI19" s="591"/>
      <c r="EWJ19" s="589"/>
      <c r="EWK19" s="590"/>
      <c r="EWL19" s="589"/>
      <c r="EWM19" s="589"/>
      <c r="EWN19" s="589"/>
      <c r="EWO19" s="590"/>
      <c r="EWP19" s="590"/>
      <c r="EWQ19" s="590"/>
      <c r="EWR19" s="590"/>
      <c r="EWS19" s="590"/>
      <c r="EWT19" s="590"/>
      <c r="EWU19" s="590"/>
      <c r="EWV19" s="590"/>
      <c r="EWW19" s="590"/>
      <c r="EWX19" s="590"/>
      <c r="EWY19" s="590"/>
      <c r="EWZ19" s="590"/>
      <c r="EXA19" s="587"/>
      <c r="EXB19" s="588"/>
      <c r="EXC19" s="589"/>
      <c r="EXD19" s="589"/>
      <c r="EXE19" s="590"/>
      <c r="EXF19" s="589"/>
      <c r="EXG19" s="589"/>
      <c r="EXH19" s="589"/>
      <c r="EXI19" s="591"/>
      <c r="EXJ19" s="589"/>
      <c r="EXK19" s="590"/>
      <c r="EXL19" s="589"/>
      <c r="EXM19" s="589"/>
      <c r="EXN19" s="589"/>
      <c r="EXO19" s="590"/>
      <c r="EXP19" s="590"/>
      <c r="EXQ19" s="590"/>
      <c r="EXR19" s="590"/>
      <c r="EXS19" s="590"/>
      <c r="EXT19" s="590"/>
      <c r="EXU19" s="590"/>
      <c r="EXV19" s="590"/>
      <c r="EXW19" s="590"/>
      <c r="EXX19" s="590"/>
      <c r="EXY19" s="590"/>
      <c r="EXZ19" s="590"/>
      <c r="EYA19" s="587"/>
      <c r="EYB19" s="588"/>
      <c r="EYC19" s="589"/>
      <c r="EYD19" s="589"/>
      <c r="EYE19" s="590"/>
      <c r="EYF19" s="589"/>
      <c r="EYG19" s="589"/>
      <c r="EYH19" s="589"/>
      <c r="EYI19" s="591"/>
      <c r="EYJ19" s="589"/>
      <c r="EYK19" s="590"/>
      <c r="EYL19" s="589"/>
      <c r="EYM19" s="589"/>
      <c r="EYN19" s="589"/>
      <c r="EYO19" s="590"/>
      <c r="EYP19" s="590"/>
      <c r="EYQ19" s="590"/>
      <c r="EYR19" s="590"/>
      <c r="EYS19" s="590"/>
      <c r="EYT19" s="590"/>
      <c r="EYU19" s="590"/>
      <c r="EYV19" s="590"/>
      <c r="EYW19" s="590"/>
      <c r="EYX19" s="590"/>
      <c r="EYY19" s="590"/>
      <c r="EYZ19" s="590"/>
      <c r="EZA19" s="587"/>
      <c r="EZB19" s="588"/>
      <c r="EZC19" s="589"/>
      <c r="EZD19" s="589"/>
      <c r="EZE19" s="590"/>
      <c r="EZF19" s="589"/>
      <c r="EZG19" s="589"/>
      <c r="EZH19" s="589"/>
      <c r="EZI19" s="591"/>
      <c r="EZJ19" s="589"/>
      <c r="EZK19" s="590"/>
      <c r="EZL19" s="589"/>
      <c r="EZM19" s="589"/>
      <c r="EZN19" s="589"/>
      <c r="EZO19" s="590"/>
      <c r="EZP19" s="590"/>
      <c r="EZQ19" s="590"/>
      <c r="EZR19" s="590"/>
      <c r="EZS19" s="590"/>
      <c r="EZT19" s="590"/>
      <c r="EZU19" s="590"/>
      <c r="EZV19" s="590"/>
      <c r="EZW19" s="590"/>
      <c r="EZX19" s="590"/>
      <c r="EZY19" s="590"/>
      <c r="EZZ19" s="590"/>
      <c r="FAA19" s="587"/>
      <c r="FAB19" s="588"/>
      <c r="FAC19" s="589"/>
      <c r="FAD19" s="589"/>
      <c r="FAE19" s="590"/>
      <c r="FAF19" s="589"/>
      <c r="FAG19" s="589"/>
      <c r="FAH19" s="589"/>
      <c r="FAI19" s="591"/>
      <c r="FAJ19" s="589"/>
      <c r="FAK19" s="590"/>
      <c r="FAL19" s="589"/>
      <c r="FAM19" s="589"/>
      <c r="FAN19" s="589"/>
      <c r="FAO19" s="590"/>
      <c r="FAP19" s="590"/>
      <c r="FAQ19" s="590"/>
      <c r="FAR19" s="590"/>
      <c r="FAS19" s="590"/>
      <c r="FAT19" s="590"/>
      <c r="FAU19" s="590"/>
      <c r="FAV19" s="590"/>
      <c r="FAW19" s="590"/>
      <c r="FAX19" s="590"/>
      <c r="FAY19" s="590"/>
      <c r="FAZ19" s="590"/>
      <c r="FBA19" s="587"/>
      <c r="FBB19" s="588"/>
      <c r="FBC19" s="589"/>
      <c r="FBD19" s="589"/>
      <c r="FBE19" s="590"/>
      <c r="FBF19" s="589"/>
      <c r="FBG19" s="589"/>
      <c r="FBH19" s="589"/>
      <c r="FBI19" s="591"/>
      <c r="FBJ19" s="589"/>
      <c r="FBK19" s="590"/>
      <c r="FBL19" s="589"/>
      <c r="FBM19" s="589"/>
      <c r="FBN19" s="589"/>
      <c r="FBO19" s="590"/>
      <c r="FBP19" s="590"/>
      <c r="FBQ19" s="590"/>
      <c r="FBR19" s="590"/>
      <c r="FBS19" s="590"/>
      <c r="FBT19" s="590"/>
      <c r="FBU19" s="590"/>
      <c r="FBV19" s="590"/>
      <c r="FBW19" s="590"/>
      <c r="FBX19" s="590"/>
      <c r="FBY19" s="590"/>
      <c r="FBZ19" s="590"/>
      <c r="FCA19" s="587"/>
      <c r="FCB19" s="588"/>
      <c r="FCC19" s="589"/>
      <c r="FCD19" s="589"/>
      <c r="FCE19" s="590"/>
      <c r="FCF19" s="589"/>
      <c r="FCG19" s="589"/>
      <c r="FCH19" s="589"/>
      <c r="FCI19" s="591"/>
      <c r="FCJ19" s="589"/>
      <c r="FCK19" s="590"/>
      <c r="FCL19" s="589"/>
      <c r="FCM19" s="589"/>
      <c r="FCN19" s="589"/>
      <c r="FCO19" s="590"/>
      <c r="FCP19" s="590"/>
      <c r="FCQ19" s="590"/>
      <c r="FCR19" s="590"/>
      <c r="FCS19" s="590"/>
      <c r="FCT19" s="590"/>
      <c r="FCU19" s="590"/>
      <c r="FCV19" s="590"/>
      <c r="FCW19" s="590"/>
      <c r="FCX19" s="590"/>
      <c r="FCY19" s="590"/>
      <c r="FCZ19" s="590"/>
      <c r="FDA19" s="587"/>
      <c r="FDB19" s="588"/>
      <c r="FDC19" s="589"/>
      <c r="FDD19" s="589"/>
      <c r="FDE19" s="590"/>
      <c r="FDF19" s="589"/>
      <c r="FDG19" s="589"/>
      <c r="FDH19" s="589"/>
      <c r="FDI19" s="591"/>
      <c r="FDJ19" s="589"/>
      <c r="FDK19" s="590"/>
      <c r="FDL19" s="589"/>
      <c r="FDM19" s="589"/>
      <c r="FDN19" s="589"/>
      <c r="FDO19" s="590"/>
      <c r="FDP19" s="590"/>
      <c r="FDQ19" s="590"/>
      <c r="FDR19" s="590"/>
      <c r="FDS19" s="590"/>
      <c r="FDT19" s="590"/>
      <c r="FDU19" s="590"/>
      <c r="FDV19" s="590"/>
      <c r="FDW19" s="590"/>
      <c r="FDX19" s="590"/>
      <c r="FDY19" s="590"/>
      <c r="FDZ19" s="590"/>
      <c r="FEA19" s="587"/>
      <c r="FEB19" s="588"/>
      <c r="FEC19" s="589"/>
      <c r="FED19" s="589"/>
      <c r="FEE19" s="590"/>
      <c r="FEF19" s="589"/>
      <c r="FEG19" s="589"/>
      <c r="FEH19" s="589"/>
      <c r="FEI19" s="591"/>
      <c r="FEJ19" s="589"/>
      <c r="FEK19" s="590"/>
      <c r="FEL19" s="589"/>
      <c r="FEM19" s="589"/>
      <c r="FEN19" s="589"/>
      <c r="FEO19" s="590"/>
      <c r="FEP19" s="590"/>
      <c r="FEQ19" s="590"/>
      <c r="FER19" s="590"/>
      <c r="FES19" s="590"/>
      <c r="FET19" s="590"/>
      <c r="FEU19" s="590"/>
      <c r="FEV19" s="590"/>
      <c r="FEW19" s="590"/>
      <c r="FEX19" s="590"/>
      <c r="FEY19" s="590"/>
      <c r="FEZ19" s="590"/>
      <c r="FFA19" s="587"/>
      <c r="FFB19" s="588"/>
      <c r="FFC19" s="589"/>
      <c r="FFD19" s="589"/>
      <c r="FFE19" s="590"/>
      <c r="FFF19" s="589"/>
      <c r="FFG19" s="589"/>
      <c r="FFH19" s="589"/>
      <c r="FFI19" s="591"/>
      <c r="FFJ19" s="589"/>
      <c r="FFK19" s="590"/>
      <c r="FFL19" s="589"/>
      <c r="FFM19" s="589"/>
      <c r="FFN19" s="589"/>
      <c r="FFO19" s="590"/>
      <c r="FFP19" s="590"/>
      <c r="FFQ19" s="590"/>
      <c r="FFR19" s="590"/>
      <c r="FFS19" s="590"/>
      <c r="FFT19" s="590"/>
      <c r="FFU19" s="590"/>
      <c r="FFV19" s="590"/>
      <c r="FFW19" s="590"/>
      <c r="FFX19" s="590"/>
      <c r="FFY19" s="590"/>
      <c r="FFZ19" s="590"/>
      <c r="FGA19" s="587"/>
      <c r="FGB19" s="588"/>
      <c r="FGC19" s="589"/>
      <c r="FGD19" s="589"/>
      <c r="FGE19" s="590"/>
      <c r="FGF19" s="589"/>
      <c r="FGG19" s="589"/>
      <c r="FGH19" s="589"/>
      <c r="FGI19" s="591"/>
      <c r="FGJ19" s="589"/>
      <c r="FGK19" s="590"/>
      <c r="FGL19" s="589"/>
      <c r="FGM19" s="589"/>
      <c r="FGN19" s="589"/>
      <c r="FGO19" s="590"/>
      <c r="FGP19" s="590"/>
      <c r="FGQ19" s="590"/>
      <c r="FGR19" s="590"/>
      <c r="FGS19" s="590"/>
      <c r="FGT19" s="590"/>
      <c r="FGU19" s="590"/>
      <c r="FGV19" s="590"/>
      <c r="FGW19" s="590"/>
      <c r="FGX19" s="590"/>
      <c r="FGY19" s="590"/>
      <c r="FGZ19" s="590"/>
      <c r="FHA19" s="587"/>
      <c r="FHB19" s="588"/>
      <c r="FHC19" s="589"/>
      <c r="FHD19" s="589"/>
      <c r="FHE19" s="590"/>
      <c r="FHF19" s="589"/>
      <c r="FHG19" s="589"/>
      <c r="FHH19" s="589"/>
      <c r="FHI19" s="591"/>
      <c r="FHJ19" s="589"/>
      <c r="FHK19" s="590"/>
      <c r="FHL19" s="589"/>
      <c r="FHM19" s="589"/>
      <c r="FHN19" s="589"/>
      <c r="FHO19" s="590"/>
      <c r="FHP19" s="590"/>
      <c r="FHQ19" s="590"/>
      <c r="FHR19" s="590"/>
      <c r="FHS19" s="590"/>
      <c r="FHT19" s="590"/>
      <c r="FHU19" s="590"/>
      <c r="FHV19" s="590"/>
      <c r="FHW19" s="590"/>
      <c r="FHX19" s="590"/>
      <c r="FHY19" s="590"/>
      <c r="FHZ19" s="590"/>
      <c r="FIA19" s="587"/>
      <c r="FIB19" s="588"/>
      <c r="FIC19" s="589"/>
      <c r="FID19" s="589"/>
      <c r="FIE19" s="590"/>
      <c r="FIF19" s="589"/>
      <c r="FIG19" s="589"/>
      <c r="FIH19" s="589"/>
      <c r="FII19" s="591"/>
      <c r="FIJ19" s="589"/>
      <c r="FIK19" s="590"/>
      <c r="FIL19" s="589"/>
      <c r="FIM19" s="589"/>
      <c r="FIN19" s="589"/>
      <c r="FIO19" s="590"/>
      <c r="FIP19" s="590"/>
      <c r="FIQ19" s="590"/>
      <c r="FIR19" s="590"/>
      <c r="FIS19" s="590"/>
      <c r="FIT19" s="590"/>
      <c r="FIU19" s="590"/>
      <c r="FIV19" s="590"/>
      <c r="FIW19" s="590"/>
      <c r="FIX19" s="590"/>
      <c r="FIY19" s="590"/>
      <c r="FIZ19" s="590"/>
      <c r="FJA19" s="587"/>
      <c r="FJB19" s="588"/>
      <c r="FJC19" s="589"/>
      <c r="FJD19" s="589"/>
      <c r="FJE19" s="590"/>
      <c r="FJF19" s="589"/>
      <c r="FJG19" s="589"/>
      <c r="FJH19" s="589"/>
      <c r="FJI19" s="591"/>
      <c r="FJJ19" s="589"/>
      <c r="FJK19" s="590"/>
      <c r="FJL19" s="589"/>
      <c r="FJM19" s="589"/>
      <c r="FJN19" s="589"/>
      <c r="FJO19" s="590"/>
      <c r="FJP19" s="590"/>
      <c r="FJQ19" s="590"/>
      <c r="FJR19" s="590"/>
      <c r="FJS19" s="590"/>
      <c r="FJT19" s="590"/>
      <c r="FJU19" s="590"/>
      <c r="FJV19" s="590"/>
      <c r="FJW19" s="590"/>
      <c r="FJX19" s="590"/>
      <c r="FJY19" s="590"/>
      <c r="FJZ19" s="590"/>
      <c r="FKA19" s="587"/>
      <c r="FKB19" s="588"/>
      <c r="FKC19" s="589"/>
      <c r="FKD19" s="589"/>
      <c r="FKE19" s="590"/>
      <c r="FKF19" s="589"/>
      <c r="FKG19" s="589"/>
      <c r="FKH19" s="589"/>
      <c r="FKI19" s="591"/>
      <c r="FKJ19" s="589"/>
      <c r="FKK19" s="590"/>
      <c r="FKL19" s="589"/>
      <c r="FKM19" s="589"/>
      <c r="FKN19" s="589"/>
      <c r="FKO19" s="590"/>
      <c r="FKP19" s="590"/>
      <c r="FKQ19" s="590"/>
      <c r="FKR19" s="590"/>
      <c r="FKS19" s="590"/>
      <c r="FKT19" s="590"/>
      <c r="FKU19" s="590"/>
      <c r="FKV19" s="590"/>
      <c r="FKW19" s="590"/>
      <c r="FKX19" s="590"/>
      <c r="FKY19" s="590"/>
      <c r="FKZ19" s="590"/>
      <c r="FLA19" s="587"/>
      <c r="FLB19" s="588"/>
      <c r="FLC19" s="589"/>
      <c r="FLD19" s="589"/>
      <c r="FLE19" s="590"/>
      <c r="FLF19" s="589"/>
      <c r="FLG19" s="589"/>
      <c r="FLH19" s="589"/>
      <c r="FLI19" s="591"/>
      <c r="FLJ19" s="589"/>
      <c r="FLK19" s="590"/>
      <c r="FLL19" s="589"/>
      <c r="FLM19" s="589"/>
      <c r="FLN19" s="589"/>
      <c r="FLO19" s="590"/>
      <c r="FLP19" s="590"/>
      <c r="FLQ19" s="590"/>
      <c r="FLR19" s="590"/>
      <c r="FLS19" s="590"/>
      <c r="FLT19" s="590"/>
      <c r="FLU19" s="590"/>
      <c r="FLV19" s="590"/>
      <c r="FLW19" s="590"/>
      <c r="FLX19" s="590"/>
      <c r="FLY19" s="590"/>
      <c r="FLZ19" s="590"/>
      <c r="FMA19" s="587"/>
      <c r="FMB19" s="588"/>
      <c r="FMC19" s="589"/>
      <c r="FMD19" s="589"/>
      <c r="FME19" s="590"/>
      <c r="FMF19" s="589"/>
      <c r="FMG19" s="589"/>
      <c r="FMH19" s="589"/>
      <c r="FMI19" s="591"/>
      <c r="FMJ19" s="589"/>
      <c r="FMK19" s="590"/>
      <c r="FML19" s="589"/>
      <c r="FMM19" s="589"/>
      <c r="FMN19" s="589"/>
      <c r="FMO19" s="590"/>
      <c r="FMP19" s="590"/>
      <c r="FMQ19" s="590"/>
      <c r="FMR19" s="590"/>
      <c r="FMS19" s="590"/>
      <c r="FMT19" s="590"/>
      <c r="FMU19" s="590"/>
      <c r="FMV19" s="590"/>
      <c r="FMW19" s="590"/>
      <c r="FMX19" s="590"/>
      <c r="FMY19" s="590"/>
      <c r="FMZ19" s="590"/>
      <c r="FNA19" s="587"/>
      <c r="FNB19" s="588"/>
      <c r="FNC19" s="589"/>
      <c r="FND19" s="589"/>
      <c r="FNE19" s="590"/>
      <c r="FNF19" s="589"/>
      <c r="FNG19" s="589"/>
      <c r="FNH19" s="589"/>
      <c r="FNI19" s="591"/>
      <c r="FNJ19" s="589"/>
      <c r="FNK19" s="590"/>
      <c r="FNL19" s="589"/>
      <c r="FNM19" s="589"/>
      <c r="FNN19" s="589"/>
      <c r="FNO19" s="590"/>
      <c r="FNP19" s="590"/>
      <c r="FNQ19" s="590"/>
      <c r="FNR19" s="590"/>
      <c r="FNS19" s="590"/>
      <c r="FNT19" s="590"/>
      <c r="FNU19" s="590"/>
      <c r="FNV19" s="590"/>
      <c r="FNW19" s="590"/>
      <c r="FNX19" s="590"/>
      <c r="FNY19" s="590"/>
      <c r="FNZ19" s="590"/>
      <c r="FOA19" s="587"/>
      <c r="FOB19" s="588"/>
      <c r="FOC19" s="589"/>
      <c r="FOD19" s="589"/>
      <c r="FOE19" s="590"/>
      <c r="FOF19" s="589"/>
      <c r="FOG19" s="589"/>
      <c r="FOH19" s="589"/>
      <c r="FOI19" s="591"/>
      <c r="FOJ19" s="589"/>
      <c r="FOK19" s="590"/>
      <c r="FOL19" s="589"/>
      <c r="FOM19" s="589"/>
      <c r="FON19" s="589"/>
      <c r="FOO19" s="590"/>
      <c r="FOP19" s="590"/>
      <c r="FOQ19" s="590"/>
      <c r="FOR19" s="590"/>
      <c r="FOS19" s="590"/>
      <c r="FOT19" s="590"/>
      <c r="FOU19" s="590"/>
      <c r="FOV19" s="590"/>
      <c r="FOW19" s="590"/>
      <c r="FOX19" s="590"/>
      <c r="FOY19" s="590"/>
      <c r="FOZ19" s="590"/>
      <c r="FPA19" s="587"/>
      <c r="FPB19" s="588"/>
      <c r="FPC19" s="589"/>
      <c r="FPD19" s="589"/>
      <c r="FPE19" s="590"/>
      <c r="FPF19" s="589"/>
      <c r="FPG19" s="589"/>
      <c r="FPH19" s="589"/>
      <c r="FPI19" s="591"/>
      <c r="FPJ19" s="589"/>
      <c r="FPK19" s="590"/>
      <c r="FPL19" s="589"/>
      <c r="FPM19" s="589"/>
      <c r="FPN19" s="589"/>
      <c r="FPO19" s="590"/>
      <c r="FPP19" s="590"/>
      <c r="FPQ19" s="590"/>
      <c r="FPR19" s="590"/>
      <c r="FPS19" s="590"/>
      <c r="FPT19" s="590"/>
      <c r="FPU19" s="590"/>
      <c r="FPV19" s="590"/>
      <c r="FPW19" s="590"/>
      <c r="FPX19" s="590"/>
      <c r="FPY19" s="590"/>
      <c r="FPZ19" s="590"/>
      <c r="FQA19" s="587"/>
      <c r="FQB19" s="588"/>
      <c r="FQC19" s="589"/>
      <c r="FQD19" s="589"/>
      <c r="FQE19" s="590"/>
      <c r="FQF19" s="589"/>
      <c r="FQG19" s="589"/>
      <c r="FQH19" s="589"/>
      <c r="FQI19" s="591"/>
      <c r="FQJ19" s="589"/>
      <c r="FQK19" s="590"/>
      <c r="FQL19" s="589"/>
      <c r="FQM19" s="589"/>
      <c r="FQN19" s="589"/>
      <c r="FQO19" s="590"/>
      <c r="FQP19" s="590"/>
      <c r="FQQ19" s="590"/>
      <c r="FQR19" s="590"/>
      <c r="FQS19" s="590"/>
      <c r="FQT19" s="590"/>
      <c r="FQU19" s="590"/>
      <c r="FQV19" s="590"/>
      <c r="FQW19" s="590"/>
      <c r="FQX19" s="590"/>
      <c r="FQY19" s="590"/>
      <c r="FQZ19" s="590"/>
      <c r="FRA19" s="587"/>
      <c r="FRB19" s="588"/>
      <c r="FRC19" s="589"/>
      <c r="FRD19" s="589"/>
      <c r="FRE19" s="590"/>
      <c r="FRF19" s="589"/>
      <c r="FRG19" s="589"/>
      <c r="FRH19" s="589"/>
      <c r="FRI19" s="591"/>
      <c r="FRJ19" s="589"/>
      <c r="FRK19" s="590"/>
      <c r="FRL19" s="589"/>
      <c r="FRM19" s="589"/>
      <c r="FRN19" s="589"/>
      <c r="FRO19" s="590"/>
      <c r="FRP19" s="590"/>
      <c r="FRQ19" s="590"/>
      <c r="FRR19" s="590"/>
      <c r="FRS19" s="590"/>
      <c r="FRT19" s="590"/>
      <c r="FRU19" s="590"/>
      <c r="FRV19" s="590"/>
      <c r="FRW19" s="590"/>
      <c r="FRX19" s="590"/>
      <c r="FRY19" s="590"/>
      <c r="FRZ19" s="590"/>
      <c r="FSA19" s="587"/>
      <c r="FSB19" s="588"/>
      <c r="FSC19" s="589"/>
      <c r="FSD19" s="589"/>
      <c r="FSE19" s="590"/>
      <c r="FSF19" s="589"/>
      <c r="FSG19" s="589"/>
      <c r="FSH19" s="589"/>
      <c r="FSI19" s="591"/>
      <c r="FSJ19" s="589"/>
      <c r="FSK19" s="590"/>
      <c r="FSL19" s="589"/>
      <c r="FSM19" s="589"/>
      <c r="FSN19" s="589"/>
      <c r="FSO19" s="590"/>
      <c r="FSP19" s="590"/>
      <c r="FSQ19" s="590"/>
      <c r="FSR19" s="590"/>
      <c r="FSS19" s="590"/>
      <c r="FST19" s="590"/>
      <c r="FSU19" s="590"/>
      <c r="FSV19" s="590"/>
      <c r="FSW19" s="590"/>
      <c r="FSX19" s="590"/>
      <c r="FSY19" s="590"/>
      <c r="FSZ19" s="590"/>
      <c r="FTA19" s="587"/>
      <c r="FTB19" s="588"/>
      <c r="FTC19" s="589"/>
      <c r="FTD19" s="589"/>
      <c r="FTE19" s="590"/>
      <c r="FTF19" s="589"/>
      <c r="FTG19" s="589"/>
      <c r="FTH19" s="589"/>
      <c r="FTI19" s="591"/>
      <c r="FTJ19" s="589"/>
      <c r="FTK19" s="590"/>
      <c r="FTL19" s="589"/>
      <c r="FTM19" s="589"/>
      <c r="FTN19" s="589"/>
      <c r="FTO19" s="590"/>
      <c r="FTP19" s="590"/>
      <c r="FTQ19" s="590"/>
      <c r="FTR19" s="590"/>
      <c r="FTS19" s="590"/>
      <c r="FTT19" s="590"/>
      <c r="FTU19" s="590"/>
      <c r="FTV19" s="590"/>
      <c r="FTW19" s="590"/>
      <c r="FTX19" s="590"/>
      <c r="FTY19" s="590"/>
      <c r="FTZ19" s="590"/>
      <c r="FUA19" s="587"/>
      <c r="FUB19" s="588"/>
      <c r="FUC19" s="589"/>
      <c r="FUD19" s="589"/>
      <c r="FUE19" s="590"/>
      <c r="FUF19" s="589"/>
      <c r="FUG19" s="589"/>
      <c r="FUH19" s="589"/>
      <c r="FUI19" s="591"/>
      <c r="FUJ19" s="589"/>
      <c r="FUK19" s="590"/>
      <c r="FUL19" s="589"/>
      <c r="FUM19" s="589"/>
      <c r="FUN19" s="589"/>
      <c r="FUO19" s="590"/>
      <c r="FUP19" s="590"/>
      <c r="FUQ19" s="590"/>
      <c r="FUR19" s="590"/>
      <c r="FUS19" s="590"/>
      <c r="FUT19" s="590"/>
      <c r="FUU19" s="590"/>
      <c r="FUV19" s="590"/>
      <c r="FUW19" s="590"/>
      <c r="FUX19" s="590"/>
      <c r="FUY19" s="590"/>
      <c r="FUZ19" s="590"/>
      <c r="FVA19" s="587"/>
      <c r="FVB19" s="588"/>
      <c r="FVC19" s="589"/>
      <c r="FVD19" s="589"/>
      <c r="FVE19" s="590"/>
      <c r="FVF19" s="589"/>
      <c r="FVG19" s="589"/>
      <c r="FVH19" s="589"/>
      <c r="FVI19" s="591"/>
      <c r="FVJ19" s="589"/>
      <c r="FVK19" s="590"/>
      <c r="FVL19" s="589"/>
      <c r="FVM19" s="589"/>
      <c r="FVN19" s="589"/>
      <c r="FVO19" s="590"/>
      <c r="FVP19" s="590"/>
      <c r="FVQ19" s="590"/>
      <c r="FVR19" s="590"/>
      <c r="FVS19" s="590"/>
      <c r="FVT19" s="590"/>
      <c r="FVU19" s="590"/>
      <c r="FVV19" s="590"/>
      <c r="FVW19" s="590"/>
      <c r="FVX19" s="590"/>
      <c r="FVY19" s="590"/>
      <c r="FVZ19" s="590"/>
      <c r="FWA19" s="587"/>
      <c r="FWB19" s="588"/>
      <c r="FWC19" s="589"/>
      <c r="FWD19" s="589"/>
      <c r="FWE19" s="590"/>
      <c r="FWF19" s="589"/>
      <c r="FWG19" s="589"/>
      <c r="FWH19" s="589"/>
      <c r="FWI19" s="591"/>
      <c r="FWJ19" s="589"/>
      <c r="FWK19" s="590"/>
      <c r="FWL19" s="589"/>
      <c r="FWM19" s="589"/>
      <c r="FWN19" s="589"/>
      <c r="FWO19" s="590"/>
      <c r="FWP19" s="590"/>
      <c r="FWQ19" s="590"/>
      <c r="FWR19" s="590"/>
      <c r="FWS19" s="590"/>
      <c r="FWT19" s="590"/>
      <c r="FWU19" s="590"/>
      <c r="FWV19" s="590"/>
      <c r="FWW19" s="590"/>
      <c r="FWX19" s="590"/>
      <c r="FWY19" s="590"/>
      <c r="FWZ19" s="590"/>
      <c r="FXA19" s="587"/>
      <c r="FXB19" s="588"/>
      <c r="FXC19" s="589"/>
      <c r="FXD19" s="589"/>
      <c r="FXE19" s="590"/>
      <c r="FXF19" s="589"/>
      <c r="FXG19" s="589"/>
      <c r="FXH19" s="589"/>
      <c r="FXI19" s="591"/>
      <c r="FXJ19" s="589"/>
      <c r="FXK19" s="590"/>
      <c r="FXL19" s="589"/>
      <c r="FXM19" s="589"/>
      <c r="FXN19" s="589"/>
      <c r="FXO19" s="590"/>
      <c r="FXP19" s="590"/>
      <c r="FXQ19" s="590"/>
      <c r="FXR19" s="590"/>
      <c r="FXS19" s="590"/>
      <c r="FXT19" s="590"/>
      <c r="FXU19" s="590"/>
      <c r="FXV19" s="590"/>
      <c r="FXW19" s="590"/>
      <c r="FXX19" s="590"/>
      <c r="FXY19" s="590"/>
      <c r="FXZ19" s="590"/>
      <c r="FYA19" s="587"/>
      <c r="FYB19" s="588"/>
      <c r="FYC19" s="589"/>
      <c r="FYD19" s="589"/>
      <c r="FYE19" s="590"/>
      <c r="FYF19" s="589"/>
      <c r="FYG19" s="589"/>
      <c r="FYH19" s="589"/>
      <c r="FYI19" s="591"/>
      <c r="FYJ19" s="589"/>
      <c r="FYK19" s="590"/>
      <c r="FYL19" s="589"/>
      <c r="FYM19" s="589"/>
      <c r="FYN19" s="589"/>
      <c r="FYO19" s="590"/>
      <c r="FYP19" s="590"/>
      <c r="FYQ19" s="590"/>
      <c r="FYR19" s="590"/>
      <c r="FYS19" s="590"/>
      <c r="FYT19" s="590"/>
      <c r="FYU19" s="590"/>
      <c r="FYV19" s="590"/>
      <c r="FYW19" s="590"/>
      <c r="FYX19" s="590"/>
      <c r="FYY19" s="590"/>
      <c r="FYZ19" s="590"/>
      <c r="FZA19" s="587"/>
      <c r="FZB19" s="588"/>
      <c r="FZC19" s="589"/>
      <c r="FZD19" s="589"/>
      <c r="FZE19" s="590"/>
      <c r="FZF19" s="589"/>
      <c r="FZG19" s="589"/>
      <c r="FZH19" s="589"/>
      <c r="FZI19" s="591"/>
      <c r="FZJ19" s="589"/>
      <c r="FZK19" s="590"/>
      <c r="FZL19" s="589"/>
      <c r="FZM19" s="589"/>
      <c r="FZN19" s="589"/>
      <c r="FZO19" s="590"/>
      <c r="FZP19" s="590"/>
      <c r="FZQ19" s="590"/>
      <c r="FZR19" s="590"/>
      <c r="FZS19" s="590"/>
      <c r="FZT19" s="590"/>
      <c r="FZU19" s="590"/>
      <c r="FZV19" s="590"/>
      <c r="FZW19" s="590"/>
      <c r="FZX19" s="590"/>
      <c r="FZY19" s="590"/>
      <c r="FZZ19" s="590"/>
      <c r="GAA19" s="587"/>
      <c r="GAB19" s="588"/>
      <c r="GAC19" s="589"/>
      <c r="GAD19" s="589"/>
      <c r="GAE19" s="590"/>
      <c r="GAF19" s="589"/>
      <c r="GAG19" s="589"/>
      <c r="GAH19" s="589"/>
      <c r="GAI19" s="591"/>
      <c r="GAJ19" s="589"/>
      <c r="GAK19" s="590"/>
      <c r="GAL19" s="589"/>
      <c r="GAM19" s="589"/>
      <c r="GAN19" s="589"/>
      <c r="GAO19" s="590"/>
      <c r="GAP19" s="590"/>
      <c r="GAQ19" s="590"/>
      <c r="GAR19" s="590"/>
      <c r="GAS19" s="590"/>
      <c r="GAT19" s="590"/>
      <c r="GAU19" s="590"/>
      <c r="GAV19" s="590"/>
      <c r="GAW19" s="590"/>
      <c r="GAX19" s="590"/>
      <c r="GAY19" s="590"/>
      <c r="GAZ19" s="590"/>
      <c r="GBA19" s="587"/>
      <c r="GBB19" s="588"/>
      <c r="GBC19" s="589"/>
      <c r="GBD19" s="589"/>
      <c r="GBE19" s="590"/>
      <c r="GBF19" s="589"/>
      <c r="GBG19" s="589"/>
      <c r="GBH19" s="589"/>
      <c r="GBI19" s="591"/>
      <c r="GBJ19" s="589"/>
      <c r="GBK19" s="590"/>
      <c r="GBL19" s="589"/>
      <c r="GBM19" s="589"/>
      <c r="GBN19" s="589"/>
      <c r="GBO19" s="590"/>
      <c r="GBP19" s="590"/>
      <c r="GBQ19" s="590"/>
      <c r="GBR19" s="590"/>
      <c r="GBS19" s="590"/>
      <c r="GBT19" s="590"/>
      <c r="GBU19" s="590"/>
      <c r="GBV19" s="590"/>
      <c r="GBW19" s="590"/>
      <c r="GBX19" s="590"/>
      <c r="GBY19" s="590"/>
      <c r="GBZ19" s="590"/>
      <c r="GCA19" s="587"/>
      <c r="GCB19" s="588"/>
      <c r="GCC19" s="589"/>
      <c r="GCD19" s="589"/>
      <c r="GCE19" s="590"/>
      <c r="GCF19" s="589"/>
      <c r="GCG19" s="589"/>
      <c r="GCH19" s="589"/>
      <c r="GCI19" s="591"/>
      <c r="GCJ19" s="589"/>
      <c r="GCK19" s="590"/>
      <c r="GCL19" s="589"/>
      <c r="GCM19" s="589"/>
      <c r="GCN19" s="589"/>
      <c r="GCO19" s="590"/>
      <c r="GCP19" s="590"/>
      <c r="GCQ19" s="590"/>
      <c r="GCR19" s="590"/>
      <c r="GCS19" s="590"/>
      <c r="GCT19" s="590"/>
      <c r="GCU19" s="590"/>
      <c r="GCV19" s="590"/>
      <c r="GCW19" s="590"/>
      <c r="GCX19" s="590"/>
      <c r="GCY19" s="590"/>
      <c r="GCZ19" s="590"/>
      <c r="GDA19" s="587"/>
      <c r="GDB19" s="588"/>
      <c r="GDC19" s="589"/>
      <c r="GDD19" s="589"/>
      <c r="GDE19" s="590"/>
      <c r="GDF19" s="589"/>
      <c r="GDG19" s="589"/>
      <c r="GDH19" s="589"/>
      <c r="GDI19" s="591"/>
      <c r="GDJ19" s="589"/>
      <c r="GDK19" s="590"/>
      <c r="GDL19" s="589"/>
      <c r="GDM19" s="589"/>
      <c r="GDN19" s="589"/>
      <c r="GDO19" s="590"/>
      <c r="GDP19" s="590"/>
      <c r="GDQ19" s="590"/>
      <c r="GDR19" s="590"/>
      <c r="GDS19" s="590"/>
      <c r="GDT19" s="590"/>
      <c r="GDU19" s="590"/>
      <c r="GDV19" s="590"/>
      <c r="GDW19" s="590"/>
      <c r="GDX19" s="590"/>
      <c r="GDY19" s="590"/>
      <c r="GDZ19" s="590"/>
      <c r="GEA19" s="587"/>
      <c r="GEB19" s="588"/>
      <c r="GEC19" s="589"/>
      <c r="GED19" s="589"/>
      <c r="GEE19" s="590"/>
      <c r="GEF19" s="589"/>
      <c r="GEG19" s="589"/>
      <c r="GEH19" s="589"/>
      <c r="GEI19" s="591"/>
      <c r="GEJ19" s="589"/>
      <c r="GEK19" s="590"/>
      <c r="GEL19" s="589"/>
      <c r="GEM19" s="589"/>
      <c r="GEN19" s="589"/>
      <c r="GEO19" s="590"/>
      <c r="GEP19" s="590"/>
      <c r="GEQ19" s="590"/>
      <c r="GER19" s="590"/>
      <c r="GES19" s="590"/>
      <c r="GET19" s="590"/>
      <c r="GEU19" s="590"/>
      <c r="GEV19" s="590"/>
      <c r="GEW19" s="590"/>
      <c r="GEX19" s="590"/>
      <c r="GEY19" s="590"/>
      <c r="GEZ19" s="590"/>
      <c r="GFA19" s="587"/>
      <c r="GFB19" s="588"/>
      <c r="GFC19" s="589"/>
      <c r="GFD19" s="589"/>
      <c r="GFE19" s="590"/>
      <c r="GFF19" s="589"/>
      <c r="GFG19" s="589"/>
      <c r="GFH19" s="589"/>
      <c r="GFI19" s="591"/>
      <c r="GFJ19" s="589"/>
      <c r="GFK19" s="590"/>
      <c r="GFL19" s="589"/>
      <c r="GFM19" s="589"/>
      <c r="GFN19" s="589"/>
      <c r="GFO19" s="590"/>
      <c r="GFP19" s="590"/>
      <c r="GFQ19" s="590"/>
      <c r="GFR19" s="590"/>
      <c r="GFS19" s="590"/>
      <c r="GFT19" s="590"/>
      <c r="GFU19" s="590"/>
      <c r="GFV19" s="590"/>
      <c r="GFW19" s="590"/>
      <c r="GFX19" s="590"/>
      <c r="GFY19" s="590"/>
      <c r="GFZ19" s="590"/>
      <c r="GGA19" s="587"/>
      <c r="GGB19" s="588"/>
      <c r="GGC19" s="589"/>
      <c r="GGD19" s="589"/>
      <c r="GGE19" s="590"/>
      <c r="GGF19" s="589"/>
      <c r="GGG19" s="589"/>
      <c r="GGH19" s="589"/>
      <c r="GGI19" s="591"/>
      <c r="GGJ19" s="589"/>
      <c r="GGK19" s="590"/>
      <c r="GGL19" s="589"/>
      <c r="GGM19" s="589"/>
      <c r="GGN19" s="589"/>
      <c r="GGO19" s="590"/>
      <c r="GGP19" s="590"/>
      <c r="GGQ19" s="590"/>
      <c r="GGR19" s="590"/>
      <c r="GGS19" s="590"/>
      <c r="GGT19" s="590"/>
      <c r="GGU19" s="590"/>
      <c r="GGV19" s="590"/>
      <c r="GGW19" s="590"/>
      <c r="GGX19" s="590"/>
      <c r="GGY19" s="590"/>
      <c r="GGZ19" s="590"/>
      <c r="GHA19" s="587"/>
      <c r="GHB19" s="588"/>
      <c r="GHC19" s="589"/>
      <c r="GHD19" s="589"/>
      <c r="GHE19" s="590"/>
      <c r="GHF19" s="589"/>
      <c r="GHG19" s="589"/>
      <c r="GHH19" s="589"/>
      <c r="GHI19" s="591"/>
      <c r="GHJ19" s="589"/>
      <c r="GHK19" s="590"/>
      <c r="GHL19" s="589"/>
      <c r="GHM19" s="589"/>
      <c r="GHN19" s="589"/>
      <c r="GHO19" s="590"/>
      <c r="GHP19" s="590"/>
      <c r="GHQ19" s="590"/>
      <c r="GHR19" s="590"/>
      <c r="GHS19" s="590"/>
      <c r="GHT19" s="590"/>
      <c r="GHU19" s="590"/>
      <c r="GHV19" s="590"/>
      <c r="GHW19" s="590"/>
      <c r="GHX19" s="590"/>
      <c r="GHY19" s="590"/>
      <c r="GHZ19" s="590"/>
      <c r="GIA19" s="587"/>
      <c r="GIB19" s="588"/>
      <c r="GIC19" s="589"/>
      <c r="GID19" s="589"/>
      <c r="GIE19" s="590"/>
      <c r="GIF19" s="589"/>
      <c r="GIG19" s="589"/>
      <c r="GIH19" s="589"/>
      <c r="GII19" s="591"/>
      <c r="GIJ19" s="589"/>
      <c r="GIK19" s="590"/>
      <c r="GIL19" s="589"/>
      <c r="GIM19" s="589"/>
      <c r="GIN19" s="589"/>
      <c r="GIO19" s="590"/>
      <c r="GIP19" s="590"/>
      <c r="GIQ19" s="590"/>
      <c r="GIR19" s="590"/>
      <c r="GIS19" s="590"/>
      <c r="GIT19" s="590"/>
      <c r="GIU19" s="590"/>
      <c r="GIV19" s="590"/>
      <c r="GIW19" s="590"/>
      <c r="GIX19" s="590"/>
      <c r="GIY19" s="590"/>
      <c r="GIZ19" s="590"/>
      <c r="GJA19" s="587"/>
      <c r="GJB19" s="588"/>
      <c r="GJC19" s="589"/>
      <c r="GJD19" s="589"/>
      <c r="GJE19" s="590"/>
      <c r="GJF19" s="589"/>
      <c r="GJG19" s="589"/>
      <c r="GJH19" s="589"/>
      <c r="GJI19" s="591"/>
      <c r="GJJ19" s="589"/>
      <c r="GJK19" s="590"/>
      <c r="GJL19" s="589"/>
      <c r="GJM19" s="589"/>
      <c r="GJN19" s="589"/>
      <c r="GJO19" s="590"/>
      <c r="GJP19" s="590"/>
      <c r="GJQ19" s="590"/>
      <c r="GJR19" s="590"/>
      <c r="GJS19" s="590"/>
      <c r="GJT19" s="590"/>
      <c r="GJU19" s="590"/>
      <c r="GJV19" s="590"/>
      <c r="GJW19" s="590"/>
      <c r="GJX19" s="590"/>
      <c r="GJY19" s="590"/>
      <c r="GJZ19" s="590"/>
      <c r="GKA19" s="587"/>
      <c r="GKB19" s="588"/>
      <c r="GKC19" s="589"/>
      <c r="GKD19" s="589"/>
      <c r="GKE19" s="590"/>
      <c r="GKF19" s="589"/>
      <c r="GKG19" s="589"/>
      <c r="GKH19" s="589"/>
      <c r="GKI19" s="591"/>
      <c r="GKJ19" s="589"/>
      <c r="GKK19" s="590"/>
      <c r="GKL19" s="589"/>
      <c r="GKM19" s="589"/>
      <c r="GKN19" s="589"/>
      <c r="GKO19" s="590"/>
      <c r="GKP19" s="590"/>
      <c r="GKQ19" s="590"/>
      <c r="GKR19" s="590"/>
      <c r="GKS19" s="590"/>
      <c r="GKT19" s="590"/>
      <c r="GKU19" s="590"/>
      <c r="GKV19" s="590"/>
      <c r="GKW19" s="590"/>
      <c r="GKX19" s="590"/>
      <c r="GKY19" s="590"/>
      <c r="GKZ19" s="590"/>
      <c r="GLA19" s="587"/>
      <c r="GLB19" s="588"/>
      <c r="GLC19" s="589"/>
      <c r="GLD19" s="589"/>
      <c r="GLE19" s="590"/>
      <c r="GLF19" s="589"/>
      <c r="GLG19" s="589"/>
      <c r="GLH19" s="589"/>
      <c r="GLI19" s="591"/>
      <c r="GLJ19" s="589"/>
      <c r="GLK19" s="590"/>
      <c r="GLL19" s="589"/>
      <c r="GLM19" s="589"/>
      <c r="GLN19" s="589"/>
      <c r="GLO19" s="590"/>
      <c r="GLP19" s="590"/>
      <c r="GLQ19" s="590"/>
      <c r="GLR19" s="590"/>
      <c r="GLS19" s="590"/>
      <c r="GLT19" s="590"/>
      <c r="GLU19" s="590"/>
      <c r="GLV19" s="590"/>
      <c r="GLW19" s="590"/>
      <c r="GLX19" s="590"/>
      <c r="GLY19" s="590"/>
      <c r="GLZ19" s="590"/>
      <c r="GMA19" s="587"/>
      <c r="GMB19" s="588"/>
      <c r="GMC19" s="589"/>
      <c r="GMD19" s="589"/>
      <c r="GME19" s="590"/>
      <c r="GMF19" s="589"/>
      <c r="GMG19" s="589"/>
      <c r="GMH19" s="589"/>
      <c r="GMI19" s="591"/>
      <c r="GMJ19" s="589"/>
      <c r="GMK19" s="590"/>
      <c r="GML19" s="589"/>
      <c r="GMM19" s="589"/>
      <c r="GMN19" s="589"/>
      <c r="GMO19" s="590"/>
      <c r="GMP19" s="590"/>
      <c r="GMQ19" s="590"/>
      <c r="GMR19" s="590"/>
      <c r="GMS19" s="590"/>
      <c r="GMT19" s="590"/>
      <c r="GMU19" s="590"/>
      <c r="GMV19" s="590"/>
      <c r="GMW19" s="590"/>
      <c r="GMX19" s="590"/>
      <c r="GMY19" s="590"/>
      <c r="GMZ19" s="590"/>
      <c r="GNA19" s="587"/>
      <c r="GNB19" s="588"/>
      <c r="GNC19" s="589"/>
      <c r="GND19" s="589"/>
      <c r="GNE19" s="590"/>
      <c r="GNF19" s="589"/>
      <c r="GNG19" s="589"/>
      <c r="GNH19" s="589"/>
      <c r="GNI19" s="591"/>
      <c r="GNJ19" s="589"/>
      <c r="GNK19" s="590"/>
      <c r="GNL19" s="589"/>
      <c r="GNM19" s="589"/>
      <c r="GNN19" s="589"/>
      <c r="GNO19" s="590"/>
      <c r="GNP19" s="590"/>
      <c r="GNQ19" s="590"/>
      <c r="GNR19" s="590"/>
      <c r="GNS19" s="590"/>
      <c r="GNT19" s="590"/>
      <c r="GNU19" s="590"/>
      <c r="GNV19" s="590"/>
      <c r="GNW19" s="590"/>
      <c r="GNX19" s="590"/>
      <c r="GNY19" s="590"/>
      <c r="GNZ19" s="590"/>
      <c r="GOA19" s="587"/>
      <c r="GOB19" s="588"/>
      <c r="GOC19" s="589"/>
      <c r="GOD19" s="589"/>
      <c r="GOE19" s="590"/>
      <c r="GOF19" s="589"/>
      <c r="GOG19" s="589"/>
      <c r="GOH19" s="589"/>
      <c r="GOI19" s="591"/>
      <c r="GOJ19" s="589"/>
      <c r="GOK19" s="590"/>
      <c r="GOL19" s="589"/>
      <c r="GOM19" s="589"/>
      <c r="GON19" s="589"/>
      <c r="GOO19" s="590"/>
      <c r="GOP19" s="590"/>
      <c r="GOQ19" s="590"/>
      <c r="GOR19" s="590"/>
      <c r="GOS19" s="590"/>
      <c r="GOT19" s="590"/>
      <c r="GOU19" s="590"/>
      <c r="GOV19" s="590"/>
      <c r="GOW19" s="590"/>
      <c r="GOX19" s="590"/>
      <c r="GOY19" s="590"/>
      <c r="GOZ19" s="590"/>
      <c r="GPA19" s="587"/>
      <c r="GPB19" s="588"/>
      <c r="GPC19" s="589"/>
      <c r="GPD19" s="589"/>
      <c r="GPE19" s="590"/>
      <c r="GPF19" s="589"/>
      <c r="GPG19" s="589"/>
      <c r="GPH19" s="589"/>
      <c r="GPI19" s="591"/>
      <c r="GPJ19" s="589"/>
      <c r="GPK19" s="590"/>
      <c r="GPL19" s="589"/>
      <c r="GPM19" s="589"/>
      <c r="GPN19" s="589"/>
      <c r="GPO19" s="590"/>
      <c r="GPP19" s="590"/>
      <c r="GPQ19" s="590"/>
      <c r="GPR19" s="590"/>
      <c r="GPS19" s="590"/>
      <c r="GPT19" s="590"/>
      <c r="GPU19" s="590"/>
      <c r="GPV19" s="590"/>
      <c r="GPW19" s="590"/>
      <c r="GPX19" s="590"/>
      <c r="GPY19" s="590"/>
      <c r="GPZ19" s="590"/>
      <c r="GQA19" s="587"/>
      <c r="GQB19" s="588"/>
      <c r="GQC19" s="589"/>
      <c r="GQD19" s="589"/>
      <c r="GQE19" s="590"/>
      <c r="GQF19" s="589"/>
      <c r="GQG19" s="589"/>
      <c r="GQH19" s="589"/>
      <c r="GQI19" s="591"/>
      <c r="GQJ19" s="589"/>
      <c r="GQK19" s="590"/>
      <c r="GQL19" s="589"/>
      <c r="GQM19" s="589"/>
      <c r="GQN19" s="589"/>
      <c r="GQO19" s="590"/>
      <c r="GQP19" s="590"/>
      <c r="GQQ19" s="590"/>
      <c r="GQR19" s="590"/>
      <c r="GQS19" s="590"/>
      <c r="GQT19" s="590"/>
      <c r="GQU19" s="590"/>
      <c r="GQV19" s="590"/>
      <c r="GQW19" s="590"/>
      <c r="GQX19" s="590"/>
      <c r="GQY19" s="590"/>
      <c r="GQZ19" s="590"/>
      <c r="GRA19" s="587"/>
      <c r="GRB19" s="588"/>
      <c r="GRC19" s="589"/>
      <c r="GRD19" s="589"/>
      <c r="GRE19" s="590"/>
      <c r="GRF19" s="589"/>
      <c r="GRG19" s="589"/>
      <c r="GRH19" s="589"/>
      <c r="GRI19" s="591"/>
      <c r="GRJ19" s="589"/>
      <c r="GRK19" s="590"/>
      <c r="GRL19" s="589"/>
      <c r="GRM19" s="589"/>
      <c r="GRN19" s="589"/>
      <c r="GRO19" s="590"/>
      <c r="GRP19" s="590"/>
      <c r="GRQ19" s="590"/>
      <c r="GRR19" s="590"/>
      <c r="GRS19" s="590"/>
      <c r="GRT19" s="590"/>
      <c r="GRU19" s="590"/>
      <c r="GRV19" s="590"/>
      <c r="GRW19" s="590"/>
      <c r="GRX19" s="590"/>
      <c r="GRY19" s="590"/>
      <c r="GRZ19" s="590"/>
      <c r="GSA19" s="587"/>
      <c r="GSB19" s="588"/>
      <c r="GSC19" s="589"/>
      <c r="GSD19" s="589"/>
      <c r="GSE19" s="590"/>
      <c r="GSF19" s="589"/>
      <c r="GSG19" s="589"/>
      <c r="GSH19" s="589"/>
      <c r="GSI19" s="591"/>
      <c r="GSJ19" s="589"/>
      <c r="GSK19" s="590"/>
      <c r="GSL19" s="589"/>
      <c r="GSM19" s="589"/>
      <c r="GSN19" s="589"/>
      <c r="GSO19" s="590"/>
      <c r="GSP19" s="590"/>
      <c r="GSQ19" s="590"/>
      <c r="GSR19" s="590"/>
      <c r="GSS19" s="590"/>
      <c r="GST19" s="590"/>
      <c r="GSU19" s="590"/>
      <c r="GSV19" s="590"/>
      <c r="GSW19" s="590"/>
      <c r="GSX19" s="590"/>
      <c r="GSY19" s="590"/>
      <c r="GSZ19" s="590"/>
      <c r="GTA19" s="587"/>
      <c r="GTB19" s="588"/>
      <c r="GTC19" s="589"/>
      <c r="GTD19" s="589"/>
      <c r="GTE19" s="590"/>
      <c r="GTF19" s="589"/>
      <c r="GTG19" s="589"/>
      <c r="GTH19" s="589"/>
      <c r="GTI19" s="591"/>
      <c r="GTJ19" s="589"/>
      <c r="GTK19" s="590"/>
      <c r="GTL19" s="589"/>
      <c r="GTM19" s="589"/>
      <c r="GTN19" s="589"/>
      <c r="GTO19" s="590"/>
      <c r="GTP19" s="590"/>
      <c r="GTQ19" s="590"/>
      <c r="GTR19" s="590"/>
      <c r="GTS19" s="590"/>
      <c r="GTT19" s="590"/>
      <c r="GTU19" s="590"/>
      <c r="GTV19" s="590"/>
      <c r="GTW19" s="590"/>
      <c r="GTX19" s="590"/>
      <c r="GTY19" s="590"/>
      <c r="GTZ19" s="590"/>
      <c r="GUA19" s="587"/>
      <c r="GUB19" s="588"/>
      <c r="GUC19" s="589"/>
      <c r="GUD19" s="589"/>
      <c r="GUE19" s="590"/>
      <c r="GUF19" s="589"/>
      <c r="GUG19" s="589"/>
      <c r="GUH19" s="589"/>
      <c r="GUI19" s="591"/>
      <c r="GUJ19" s="589"/>
      <c r="GUK19" s="590"/>
      <c r="GUL19" s="589"/>
      <c r="GUM19" s="589"/>
      <c r="GUN19" s="589"/>
      <c r="GUO19" s="590"/>
      <c r="GUP19" s="590"/>
      <c r="GUQ19" s="590"/>
      <c r="GUR19" s="590"/>
      <c r="GUS19" s="590"/>
      <c r="GUT19" s="590"/>
      <c r="GUU19" s="590"/>
      <c r="GUV19" s="590"/>
      <c r="GUW19" s="590"/>
      <c r="GUX19" s="590"/>
      <c r="GUY19" s="590"/>
      <c r="GUZ19" s="590"/>
      <c r="GVA19" s="587"/>
      <c r="GVB19" s="588"/>
      <c r="GVC19" s="589"/>
      <c r="GVD19" s="589"/>
      <c r="GVE19" s="590"/>
      <c r="GVF19" s="589"/>
      <c r="GVG19" s="589"/>
      <c r="GVH19" s="589"/>
      <c r="GVI19" s="591"/>
      <c r="GVJ19" s="589"/>
      <c r="GVK19" s="590"/>
      <c r="GVL19" s="589"/>
      <c r="GVM19" s="589"/>
      <c r="GVN19" s="589"/>
      <c r="GVO19" s="590"/>
      <c r="GVP19" s="590"/>
      <c r="GVQ19" s="590"/>
      <c r="GVR19" s="590"/>
      <c r="GVS19" s="590"/>
      <c r="GVT19" s="590"/>
      <c r="GVU19" s="590"/>
      <c r="GVV19" s="590"/>
      <c r="GVW19" s="590"/>
      <c r="GVX19" s="590"/>
      <c r="GVY19" s="590"/>
      <c r="GVZ19" s="590"/>
      <c r="GWA19" s="587"/>
      <c r="GWB19" s="588"/>
      <c r="GWC19" s="589"/>
      <c r="GWD19" s="589"/>
      <c r="GWE19" s="590"/>
      <c r="GWF19" s="589"/>
      <c r="GWG19" s="589"/>
      <c r="GWH19" s="589"/>
      <c r="GWI19" s="591"/>
      <c r="GWJ19" s="589"/>
      <c r="GWK19" s="590"/>
      <c r="GWL19" s="589"/>
      <c r="GWM19" s="589"/>
      <c r="GWN19" s="589"/>
      <c r="GWO19" s="590"/>
      <c r="GWP19" s="590"/>
      <c r="GWQ19" s="590"/>
      <c r="GWR19" s="590"/>
      <c r="GWS19" s="590"/>
      <c r="GWT19" s="590"/>
      <c r="GWU19" s="590"/>
      <c r="GWV19" s="590"/>
      <c r="GWW19" s="590"/>
      <c r="GWX19" s="590"/>
      <c r="GWY19" s="590"/>
      <c r="GWZ19" s="590"/>
      <c r="GXA19" s="587"/>
      <c r="GXB19" s="588"/>
      <c r="GXC19" s="589"/>
      <c r="GXD19" s="589"/>
      <c r="GXE19" s="590"/>
      <c r="GXF19" s="589"/>
      <c r="GXG19" s="589"/>
      <c r="GXH19" s="589"/>
      <c r="GXI19" s="591"/>
      <c r="GXJ19" s="589"/>
      <c r="GXK19" s="590"/>
      <c r="GXL19" s="589"/>
      <c r="GXM19" s="589"/>
      <c r="GXN19" s="589"/>
      <c r="GXO19" s="590"/>
      <c r="GXP19" s="590"/>
      <c r="GXQ19" s="590"/>
      <c r="GXR19" s="590"/>
      <c r="GXS19" s="590"/>
      <c r="GXT19" s="590"/>
      <c r="GXU19" s="590"/>
      <c r="GXV19" s="590"/>
      <c r="GXW19" s="590"/>
      <c r="GXX19" s="590"/>
      <c r="GXY19" s="590"/>
      <c r="GXZ19" s="590"/>
      <c r="GYA19" s="587"/>
      <c r="GYB19" s="588"/>
      <c r="GYC19" s="589"/>
      <c r="GYD19" s="589"/>
      <c r="GYE19" s="590"/>
      <c r="GYF19" s="589"/>
      <c r="GYG19" s="589"/>
      <c r="GYH19" s="589"/>
      <c r="GYI19" s="591"/>
      <c r="GYJ19" s="589"/>
      <c r="GYK19" s="590"/>
      <c r="GYL19" s="589"/>
      <c r="GYM19" s="589"/>
      <c r="GYN19" s="589"/>
      <c r="GYO19" s="590"/>
      <c r="GYP19" s="590"/>
      <c r="GYQ19" s="590"/>
      <c r="GYR19" s="590"/>
      <c r="GYS19" s="590"/>
      <c r="GYT19" s="590"/>
      <c r="GYU19" s="590"/>
      <c r="GYV19" s="590"/>
      <c r="GYW19" s="590"/>
      <c r="GYX19" s="590"/>
      <c r="GYY19" s="590"/>
      <c r="GYZ19" s="590"/>
      <c r="GZA19" s="587"/>
      <c r="GZB19" s="588"/>
      <c r="GZC19" s="589"/>
      <c r="GZD19" s="589"/>
      <c r="GZE19" s="590"/>
      <c r="GZF19" s="589"/>
      <c r="GZG19" s="589"/>
      <c r="GZH19" s="589"/>
      <c r="GZI19" s="591"/>
      <c r="GZJ19" s="589"/>
      <c r="GZK19" s="590"/>
      <c r="GZL19" s="589"/>
      <c r="GZM19" s="589"/>
      <c r="GZN19" s="589"/>
      <c r="GZO19" s="590"/>
      <c r="GZP19" s="590"/>
      <c r="GZQ19" s="590"/>
      <c r="GZR19" s="590"/>
      <c r="GZS19" s="590"/>
      <c r="GZT19" s="590"/>
      <c r="GZU19" s="590"/>
      <c r="GZV19" s="590"/>
      <c r="GZW19" s="590"/>
      <c r="GZX19" s="590"/>
      <c r="GZY19" s="590"/>
      <c r="GZZ19" s="590"/>
      <c r="HAA19" s="587"/>
      <c r="HAB19" s="588"/>
      <c r="HAC19" s="589"/>
      <c r="HAD19" s="589"/>
      <c r="HAE19" s="590"/>
      <c r="HAF19" s="589"/>
      <c r="HAG19" s="589"/>
      <c r="HAH19" s="589"/>
      <c r="HAI19" s="591"/>
      <c r="HAJ19" s="589"/>
      <c r="HAK19" s="590"/>
      <c r="HAL19" s="589"/>
      <c r="HAM19" s="589"/>
      <c r="HAN19" s="589"/>
      <c r="HAO19" s="590"/>
      <c r="HAP19" s="590"/>
      <c r="HAQ19" s="590"/>
      <c r="HAR19" s="590"/>
      <c r="HAS19" s="590"/>
      <c r="HAT19" s="590"/>
      <c r="HAU19" s="590"/>
      <c r="HAV19" s="590"/>
      <c r="HAW19" s="590"/>
      <c r="HAX19" s="590"/>
      <c r="HAY19" s="590"/>
      <c r="HAZ19" s="590"/>
      <c r="HBA19" s="587"/>
      <c r="HBB19" s="588"/>
      <c r="HBC19" s="589"/>
      <c r="HBD19" s="589"/>
      <c r="HBE19" s="590"/>
      <c r="HBF19" s="589"/>
      <c r="HBG19" s="589"/>
      <c r="HBH19" s="589"/>
      <c r="HBI19" s="591"/>
      <c r="HBJ19" s="589"/>
      <c r="HBK19" s="590"/>
      <c r="HBL19" s="589"/>
      <c r="HBM19" s="589"/>
      <c r="HBN19" s="589"/>
      <c r="HBO19" s="590"/>
      <c r="HBP19" s="590"/>
      <c r="HBQ19" s="590"/>
      <c r="HBR19" s="590"/>
      <c r="HBS19" s="590"/>
      <c r="HBT19" s="590"/>
      <c r="HBU19" s="590"/>
      <c r="HBV19" s="590"/>
      <c r="HBW19" s="590"/>
      <c r="HBX19" s="590"/>
      <c r="HBY19" s="590"/>
      <c r="HBZ19" s="590"/>
      <c r="HCA19" s="587"/>
      <c r="HCB19" s="588"/>
      <c r="HCC19" s="589"/>
      <c r="HCD19" s="589"/>
      <c r="HCE19" s="590"/>
      <c r="HCF19" s="589"/>
      <c r="HCG19" s="589"/>
      <c r="HCH19" s="589"/>
      <c r="HCI19" s="591"/>
      <c r="HCJ19" s="589"/>
      <c r="HCK19" s="590"/>
      <c r="HCL19" s="589"/>
      <c r="HCM19" s="589"/>
      <c r="HCN19" s="589"/>
      <c r="HCO19" s="590"/>
      <c r="HCP19" s="590"/>
      <c r="HCQ19" s="590"/>
      <c r="HCR19" s="590"/>
      <c r="HCS19" s="590"/>
      <c r="HCT19" s="590"/>
      <c r="HCU19" s="590"/>
      <c r="HCV19" s="590"/>
      <c r="HCW19" s="590"/>
      <c r="HCX19" s="590"/>
      <c r="HCY19" s="590"/>
      <c r="HCZ19" s="590"/>
      <c r="HDA19" s="587"/>
      <c r="HDB19" s="588"/>
      <c r="HDC19" s="589"/>
      <c r="HDD19" s="589"/>
      <c r="HDE19" s="590"/>
      <c r="HDF19" s="589"/>
      <c r="HDG19" s="589"/>
      <c r="HDH19" s="589"/>
      <c r="HDI19" s="591"/>
      <c r="HDJ19" s="589"/>
      <c r="HDK19" s="590"/>
      <c r="HDL19" s="589"/>
      <c r="HDM19" s="589"/>
      <c r="HDN19" s="589"/>
      <c r="HDO19" s="590"/>
      <c r="HDP19" s="590"/>
      <c r="HDQ19" s="590"/>
      <c r="HDR19" s="590"/>
      <c r="HDS19" s="590"/>
      <c r="HDT19" s="590"/>
      <c r="HDU19" s="590"/>
      <c r="HDV19" s="590"/>
      <c r="HDW19" s="590"/>
      <c r="HDX19" s="590"/>
      <c r="HDY19" s="590"/>
      <c r="HDZ19" s="590"/>
      <c r="HEA19" s="587"/>
      <c r="HEB19" s="588"/>
      <c r="HEC19" s="589"/>
      <c r="HED19" s="589"/>
      <c r="HEE19" s="590"/>
      <c r="HEF19" s="589"/>
      <c r="HEG19" s="589"/>
      <c r="HEH19" s="589"/>
      <c r="HEI19" s="591"/>
      <c r="HEJ19" s="589"/>
      <c r="HEK19" s="590"/>
      <c r="HEL19" s="589"/>
      <c r="HEM19" s="589"/>
      <c r="HEN19" s="589"/>
      <c r="HEO19" s="590"/>
      <c r="HEP19" s="590"/>
      <c r="HEQ19" s="590"/>
      <c r="HER19" s="590"/>
      <c r="HES19" s="590"/>
      <c r="HET19" s="590"/>
      <c r="HEU19" s="590"/>
      <c r="HEV19" s="590"/>
      <c r="HEW19" s="590"/>
      <c r="HEX19" s="590"/>
      <c r="HEY19" s="590"/>
      <c r="HEZ19" s="590"/>
      <c r="HFA19" s="587"/>
      <c r="HFB19" s="588"/>
      <c r="HFC19" s="589"/>
      <c r="HFD19" s="589"/>
      <c r="HFE19" s="590"/>
      <c r="HFF19" s="589"/>
      <c r="HFG19" s="589"/>
      <c r="HFH19" s="589"/>
      <c r="HFI19" s="591"/>
      <c r="HFJ19" s="589"/>
      <c r="HFK19" s="590"/>
      <c r="HFL19" s="589"/>
      <c r="HFM19" s="589"/>
      <c r="HFN19" s="589"/>
      <c r="HFO19" s="590"/>
      <c r="HFP19" s="590"/>
      <c r="HFQ19" s="590"/>
      <c r="HFR19" s="590"/>
      <c r="HFS19" s="590"/>
      <c r="HFT19" s="590"/>
      <c r="HFU19" s="590"/>
      <c r="HFV19" s="590"/>
      <c r="HFW19" s="590"/>
      <c r="HFX19" s="590"/>
      <c r="HFY19" s="590"/>
      <c r="HFZ19" s="590"/>
      <c r="HGA19" s="587"/>
      <c r="HGB19" s="588"/>
      <c r="HGC19" s="589"/>
      <c r="HGD19" s="589"/>
      <c r="HGE19" s="590"/>
      <c r="HGF19" s="589"/>
      <c r="HGG19" s="589"/>
      <c r="HGH19" s="589"/>
      <c r="HGI19" s="591"/>
      <c r="HGJ19" s="589"/>
      <c r="HGK19" s="590"/>
      <c r="HGL19" s="589"/>
      <c r="HGM19" s="589"/>
      <c r="HGN19" s="589"/>
      <c r="HGO19" s="590"/>
      <c r="HGP19" s="590"/>
      <c r="HGQ19" s="590"/>
      <c r="HGR19" s="590"/>
      <c r="HGS19" s="590"/>
      <c r="HGT19" s="590"/>
      <c r="HGU19" s="590"/>
      <c r="HGV19" s="590"/>
      <c r="HGW19" s="590"/>
      <c r="HGX19" s="590"/>
      <c r="HGY19" s="590"/>
      <c r="HGZ19" s="590"/>
      <c r="HHA19" s="587"/>
      <c r="HHB19" s="588"/>
      <c r="HHC19" s="589"/>
      <c r="HHD19" s="589"/>
      <c r="HHE19" s="590"/>
      <c r="HHF19" s="589"/>
      <c r="HHG19" s="589"/>
      <c r="HHH19" s="589"/>
      <c r="HHI19" s="591"/>
      <c r="HHJ19" s="589"/>
      <c r="HHK19" s="590"/>
      <c r="HHL19" s="589"/>
      <c r="HHM19" s="589"/>
      <c r="HHN19" s="589"/>
      <c r="HHO19" s="590"/>
      <c r="HHP19" s="590"/>
      <c r="HHQ19" s="590"/>
      <c r="HHR19" s="590"/>
      <c r="HHS19" s="590"/>
      <c r="HHT19" s="590"/>
      <c r="HHU19" s="590"/>
      <c r="HHV19" s="590"/>
      <c r="HHW19" s="590"/>
      <c r="HHX19" s="590"/>
      <c r="HHY19" s="590"/>
      <c r="HHZ19" s="590"/>
      <c r="HIA19" s="587"/>
      <c r="HIB19" s="588"/>
      <c r="HIC19" s="589"/>
      <c r="HID19" s="589"/>
      <c r="HIE19" s="590"/>
      <c r="HIF19" s="589"/>
      <c r="HIG19" s="589"/>
      <c r="HIH19" s="589"/>
      <c r="HII19" s="591"/>
      <c r="HIJ19" s="589"/>
      <c r="HIK19" s="590"/>
      <c r="HIL19" s="589"/>
      <c r="HIM19" s="589"/>
      <c r="HIN19" s="589"/>
      <c r="HIO19" s="590"/>
      <c r="HIP19" s="590"/>
      <c r="HIQ19" s="590"/>
      <c r="HIR19" s="590"/>
      <c r="HIS19" s="590"/>
      <c r="HIT19" s="590"/>
      <c r="HIU19" s="590"/>
      <c r="HIV19" s="590"/>
      <c r="HIW19" s="590"/>
      <c r="HIX19" s="590"/>
      <c r="HIY19" s="590"/>
      <c r="HIZ19" s="590"/>
      <c r="HJA19" s="587"/>
      <c r="HJB19" s="588"/>
      <c r="HJC19" s="589"/>
      <c r="HJD19" s="589"/>
      <c r="HJE19" s="590"/>
      <c r="HJF19" s="589"/>
      <c r="HJG19" s="589"/>
      <c r="HJH19" s="589"/>
      <c r="HJI19" s="591"/>
      <c r="HJJ19" s="589"/>
      <c r="HJK19" s="590"/>
      <c r="HJL19" s="589"/>
      <c r="HJM19" s="589"/>
      <c r="HJN19" s="589"/>
      <c r="HJO19" s="590"/>
      <c r="HJP19" s="590"/>
      <c r="HJQ19" s="590"/>
      <c r="HJR19" s="590"/>
      <c r="HJS19" s="590"/>
      <c r="HJT19" s="590"/>
      <c r="HJU19" s="590"/>
      <c r="HJV19" s="590"/>
      <c r="HJW19" s="590"/>
      <c r="HJX19" s="590"/>
      <c r="HJY19" s="590"/>
      <c r="HJZ19" s="590"/>
      <c r="HKA19" s="587"/>
      <c r="HKB19" s="588"/>
      <c r="HKC19" s="589"/>
      <c r="HKD19" s="589"/>
      <c r="HKE19" s="590"/>
      <c r="HKF19" s="589"/>
      <c r="HKG19" s="589"/>
      <c r="HKH19" s="589"/>
      <c r="HKI19" s="591"/>
      <c r="HKJ19" s="589"/>
      <c r="HKK19" s="590"/>
      <c r="HKL19" s="589"/>
      <c r="HKM19" s="589"/>
      <c r="HKN19" s="589"/>
      <c r="HKO19" s="590"/>
      <c r="HKP19" s="590"/>
      <c r="HKQ19" s="590"/>
      <c r="HKR19" s="590"/>
      <c r="HKS19" s="590"/>
      <c r="HKT19" s="590"/>
      <c r="HKU19" s="590"/>
      <c r="HKV19" s="590"/>
      <c r="HKW19" s="590"/>
      <c r="HKX19" s="590"/>
      <c r="HKY19" s="590"/>
      <c r="HKZ19" s="590"/>
      <c r="HLA19" s="587"/>
      <c r="HLB19" s="588"/>
      <c r="HLC19" s="589"/>
      <c r="HLD19" s="589"/>
      <c r="HLE19" s="590"/>
      <c r="HLF19" s="589"/>
      <c r="HLG19" s="589"/>
      <c r="HLH19" s="589"/>
      <c r="HLI19" s="591"/>
      <c r="HLJ19" s="589"/>
      <c r="HLK19" s="590"/>
      <c r="HLL19" s="589"/>
      <c r="HLM19" s="589"/>
      <c r="HLN19" s="589"/>
      <c r="HLO19" s="590"/>
      <c r="HLP19" s="590"/>
      <c r="HLQ19" s="590"/>
      <c r="HLR19" s="590"/>
      <c r="HLS19" s="590"/>
      <c r="HLT19" s="590"/>
      <c r="HLU19" s="590"/>
      <c r="HLV19" s="590"/>
      <c r="HLW19" s="590"/>
      <c r="HLX19" s="590"/>
      <c r="HLY19" s="590"/>
      <c r="HLZ19" s="590"/>
      <c r="HMA19" s="587"/>
      <c r="HMB19" s="588"/>
      <c r="HMC19" s="589"/>
      <c r="HMD19" s="589"/>
      <c r="HME19" s="590"/>
      <c r="HMF19" s="589"/>
      <c r="HMG19" s="589"/>
      <c r="HMH19" s="589"/>
      <c r="HMI19" s="591"/>
      <c r="HMJ19" s="589"/>
      <c r="HMK19" s="590"/>
      <c r="HML19" s="589"/>
      <c r="HMM19" s="589"/>
      <c r="HMN19" s="589"/>
      <c r="HMO19" s="590"/>
      <c r="HMP19" s="590"/>
      <c r="HMQ19" s="590"/>
      <c r="HMR19" s="590"/>
      <c r="HMS19" s="590"/>
      <c r="HMT19" s="590"/>
      <c r="HMU19" s="590"/>
      <c r="HMV19" s="590"/>
      <c r="HMW19" s="590"/>
      <c r="HMX19" s="590"/>
      <c r="HMY19" s="590"/>
      <c r="HMZ19" s="590"/>
      <c r="HNA19" s="587"/>
      <c r="HNB19" s="588"/>
      <c r="HNC19" s="589"/>
      <c r="HND19" s="589"/>
      <c r="HNE19" s="590"/>
      <c r="HNF19" s="589"/>
      <c r="HNG19" s="589"/>
      <c r="HNH19" s="589"/>
      <c r="HNI19" s="591"/>
      <c r="HNJ19" s="589"/>
      <c r="HNK19" s="590"/>
      <c r="HNL19" s="589"/>
      <c r="HNM19" s="589"/>
      <c r="HNN19" s="589"/>
      <c r="HNO19" s="590"/>
      <c r="HNP19" s="590"/>
      <c r="HNQ19" s="590"/>
      <c r="HNR19" s="590"/>
      <c r="HNS19" s="590"/>
      <c r="HNT19" s="590"/>
      <c r="HNU19" s="590"/>
      <c r="HNV19" s="590"/>
      <c r="HNW19" s="590"/>
      <c r="HNX19" s="590"/>
      <c r="HNY19" s="590"/>
      <c r="HNZ19" s="590"/>
      <c r="HOA19" s="587"/>
      <c r="HOB19" s="588"/>
      <c r="HOC19" s="589"/>
      <c r="HOD19" s="589"/>
      <c r="HOE19" s="590"/>
      <c r="HOF19" s="589"/>
      <c r="HOG19" s="589"/>
      <c r="HOH19" s="589"/>
      <c r="HOI19" s="591"/>
      <c r="HOJ19" s="589"/>
      <c r="HOK19" s="590"/>
      <c r="HOL19" s="589"/>
      <c r="HOM19" s="589"/>
      <c r="HON19" s="589"/>
      <c r="HOO19" s="590"/>
      <c r="HOP19" s="590"/>
      <c r="HOQ19" s="590"/>
      <c r="HOR19" s="590"/>
      <c r="HOS19" s="590"/>
      <c r="HOT19" s="590"/>
      <c r="HOU19" s="590"/>
      <c r="HOV19" s="590"/>
      <c r="HOW19" s="590"/>
      <c r="HOX19" s="590"/>
      <c r="HOY19" s="590"/>
      <c r="HOZ19" s="590"/>
      <c r="HPA19" s="587"/>
      <c r="HPB19" s="588"/>
      <c r="HPC19" s="589"/>
      <c r="HPD19" s="589"/>
      <c r="HPE19" s="590"/>
      <c r="HPF19" s="589"/>
      <c r="HPG19" s="589"/>
      <c r="HPH19" s="589"/>
      <c r="HPI19" s="591"/>
      <c r="HPJ19" s="589"/>
      <c r="HPK19" s="590"/>
      <c r="HPL19" s="589"/>
      <c r="HPM19" s="589"/>
      <c r="HPN19" s="589"/>
      <c r="HPO19" s="590"/>
      <c r="HPP19" s="590"/>
      <c r="HPQ19" s="590"/>
      <c r="HPR19" s="590"/>
      <c r="HPS19" s="590"/>
      <c r="HPT19" s="590"/>
      <c r="HPU19" s="590"/>
      <c r="HPV19" s="590"/>
      <c r="HPW19" s="590"/>
      <c r="HPX19" s="590"/>
      <c r="HPY19" s="590"/>
      <c r="HPZ19" s="590"/>
      <c r="HQA19" s="587"/>
      <c r="HQB19" s="588"/>
      <c r="HQC19" s="589"/>
      <c r="HQD19" s="589"/>
      <c r="HQE19" s="590"/>
      <c r="HQF19" s="589"/>
      <c r="HQG19" s="589"/>
      <c r="HQH19" s="589"/>
      <c r="HQI19" s="591"/>
      <c r="HQJ19" s="589"/>
      <c r="HQK19" s="590"/>
      <c r="HQL19" s="589"/>
      <c r="HQM19" s="589"/>
      <c r="HQN19" s="589"/>
      <c r="HQO19" s="590"/>
      <c r="HQP19" s="590"/>
      <c r="HQQ19" s="590"/>
      <c r="HQR19" s="590"/>
      <c r="HQS19" s="590"/>
      <c r="HQT19" s="590"/>
      <c r="HQU19" s="590"/>
      <c r="HQV19" s="590"/>
      <c r="HQW19" s="590"/>
      <c r="HQX19" s="590"/>
      <c r="HQY19" s="590"/>
      <c r="HQZ19" s="590"/>
      <c r="HRA19" s="587"/>
      <c r="HRB19" s="588"/>
      <c r="HRC19" s="589"/>
      <c r="HRD19" s="589"/>
      <c r="HRE19" s="590"/>
      <c r="HRF19" s="589"/>
      <c r="HRG19" s="589"/>
      <c r="HRH19" s="589"/>
      <c r="HRI19" s="591"/>
      <c r="HRJ19" s="589"/>
      <c r="HRK19" s="590"/>
      <c r="HRL19" s="589"/>
      <c r="HRM19" s="589"/>
      <c r="HRN19" s="589"/>
      <c r="HRO19" s="590"/>
      <c r="HRP19" s="590"/>
      <c r="HRQ19" s="590"/>
      <c r="HRR19" s="590"/>
      <c r="HRS19" s="590"/>
      <c r="HRT19" s="590"/>
      <c r="HRU19" s="590"/>
      <c r="HRV19" s="590"/>
      <c r="HRW19" s="590"/>
      <c r="HRX19" s="590"/>
      <c r="HRY19" s="590"/>
      <c r="HRZ19" s="590"/>
      <c r="HSA19" s="587"/>
      <c r="HSB19" s="588"/>
      <c r="HSC19" s="589"/>
      <c r="HSD19" s="589"/>
      <c r="HSE19" s="590"/>
      <c r="HSF19" s="589"/>
      <c r="HSG19" s="589"/>
      <c r="HSH19" s="589"/>
      <c r="HSI19" s="591"/>
      <c r="HSJ19" s="589"/>
      <c r="HSK19" s="590"/>
      <c r="HSL19" s="589"/>
      <c r="HSM19" s="589"/>
      <c r="HSN19" s="589"/>
      <c r="HSO19" s="590"/>
      <c r="HSP19" s="590"/>
      <c r="HSQ19" s="590"/>
      <c r="HSR19" s="590"/>
      <c r="HSS19" s="590"/>
      <c r="HST19" s="590"/>
      <c r="HSU19" s="590"/>
      <c r="HSV19" s="590"/>
      <c r="HSW19" s="590"/>
      <c r="HSX19" s="590"/>
      <c r="HSY19" s="590"/>
      <c r="HSZ19" s="590"/>
      <c r="HTA19" s="587"/>
      <c r="HTB19" s="588"/>
      <c r="HTC19" s="589"/>
      <c r="HTD19" s="589"/>
      <c r="HTE19" s="590"/>
      <c r="HTF19" s="589"/>
      <c r="HTG19" s="589"/>
      <c r="HTH19" s="589"/>
      <c r="HTI19" s="591"/>
      <c r="HTJ19" s="589"/>
      <c r="HTK19" s="590"/>
      <c r="HTL19" s="589"/>
      <c r="HTM19" s="589"/>
      <c r="HTN19" s="589"/>
      <c r="HTO19" s="590"/>
      <c r="HTP19" s="590"/>
      <c r="HTQ19" s="590"/>
      <c r="HTR19" s="590"/>
      <c r="HTS19" s="590"/>
      <c r="HTT19" s="590"/>
      <c r="HTU19" s="590"/>
      <c r="HTV19" s="590"/>
      <c r="HTW19" s="590"/>
      <c r="HTX19" s="590"/>
      <c r="HTY19" s="590"/>
      <c r="HTZ19" s="590"/>
      <c r="HUA19" s="587"/>
      <c r="HUB19" s="588"/>
      <c r="HUC19" s="589"/>
      <c r="HUD19" s="589"/>
      <c r="HUE19" s="590"/>
      <c r="HUF19" s="589"/>
      <c r="HUG19" s="589"/>
      <c r="HUH19" s="589"/>
      <c r="HUI19" s="591"/>
      <c r="HUJ19" s="589"/>
      <c r="HUK19" s="590"/>
      <c r="HUL19" s="589"/>
      <c r="HUM19" s="589"/>
      <c r="HUN19" s="589"/>
      <c r="HUO19" s="590"/>
      <c r="HUP19" s="590"/>
      <c r="HUQ19" s="590"/>
      <c r="HUR19" s="590"/>
      <c r="HUS19" s="590"/>
      <c r="HUT19" s="590"/>
      <c r="HUU19" s="590"/>
      <c r="HUV19" s="590"/>
      <c r="HUW19" s="590"/>
      <c r="HUX19" s="590"/>
      <c r="HUY19" s="590"/>
      <c r="HUZ19" s="590"/>
      <c r="HVA19" s="587"/>
      <c r="HVB19" s="588"/>
      <c r="HVC19" s="589"/>
      <c r="HVD19" s="589"/>
      <c r="HVE19" s="590"/>
      <c r="HVF19" s="589"/>
      <c r="HVG19" s="589"/>
      <c r="HVH19" s="589"/>
      <c r="HVI19" s="591"/>
      <c r="HVJ19" s="589"/>
      <c r="HVK19" s="590"/>
      <c r="HVL19" s="589"/>
      <c r="HVM19" s="589"/>
      <c r="HVN19" s="589"/>
      <c r="HVO19" s="590"/>
      <c r="HVP19" s="590"/>
      <c r="HVQ19" s="590"/>
      <c r="HVR19" s="590"/>
      <c r="HVS19" s="590"/>
      <c r="HVT19" s="590"/>
      <c r="HVU19" s="590"/>
      <c r="HVV19" s="590"/>
      <c r="HVW19" s="590"/>
      <c r="HVX19" s="590"/>
      <c r="HVY19" s="590"/>
      <c r="HVZ19" s="590"/>
      <c r="HWA19" s="587"/>
      <c r="HWB19" s="588"/>
      <c r="HWC19" s="589"/>
      <c r="HWD19" s="589"/>
      <c r="HWE19" s="590"/>
      <c r="HWF19" s="589"/>
      <c r="HWG19" s="589"/>
      <c r="HWH19" s="589"/>
      <c r="HWI19" s="591"/>
      <c r="HWJ19" s="589"/>
      <c r="HWK19" s="590"/>
      <c r="HWL19" s="589"/>
      <c r="HWM19" s="589"/>
      <c r="HWN19" s="589"/>
      <c r="HWO19" s="590"/>
      <c r="HWP19" s="590"/>
      <c r="HWQ19" s="590"/>
      <c r="HWR19" s="590"/>
      <c r="HWS19" s="590"/>
      <c r="HWT19" s="590"/>
      <c r="HWU19" s="590"/>
      <c r="HWV19" s="590"/>
      <c r="HWW19" s="590"/>
      <c r="HWX19" s="590"/>
      <c r="HWY19" s="590"/>
      <c r="HWZ19" s="590"/>
      <c r="HXA19" s="587"/>
      <c r="HXB19" s="588"/>
      <c r="HXC19" s="589"/>
      <c r="HXD19" s="589"/>
      <c r="HXE19" s="590"/>
      <c r="HXF19" s="589"/>
      <c r="HXG19" s="589"/>
      <c r="HXH19" s="589"/>
      <c r="HXI19" s="591"/>
      <c r="HXJ19" s="589"/>
      <c r="HXK19" s="590"/>
      <c r="HXL19" s="589"/>
      <c r="HXM19" s="589"/>
      <c r="HXN19" s="589"/>
      <c r="HXO19" s="590"/>
      <c r="HXP19" s="590"/>
      <c r="HXQ19" s="590"/>
      <c r="HXR19" s="590"/>
      <c r="HXS19" s="590"/>
      <c r="HXT19" s="590"/>
      <c r="HXU19" s="590"/>
      <c r="HXV19" s="590"/>
      <c r="HXW19" s="590"/>
      <c r="HXX19" s="590"/>
      <c r="HXY19" s="590"/>
      <c r="HXZ19" s="590"/>
      <c r="HYA19" s="587"/>
      <c r="HYB19" s="588"/>
      <c r="HYC19" s="589"/>
      <c r="HYD19" s="589"/>
      <c r="HYE19" s="590"/>
      <c r="HYF19" s="589"/>
      <c r="HYG19" s="589"/>
      <c r="HYH19" s="589"/>
      <c r="HYI19" s="591"/>
      <c r="HYJ19" s="589"/>
      <c r="HYK19" s="590"/>
      <c r="HYL19" s="589"/>
      <c r="HYM19" s="589"/>
      <c r="HYN19" s="589"/>
      <c r="HYO19" s="590"/>
      <c r="HYP19" s="590"/>
      <c r="HYQ19" s="590"/>
      <c r="HYR19" s="590"/>
      <c r="HYS19" s="590"/>
      <c r="HYT19" s="590"/>
      <c r="HYU19" s="590"/>
      <c r="HYV19" s="590"/>
      <c r="HYW19" s="590"/>
      <c r="HYX19" s="590"/>
      <c r="HYY19" s="590"/>
      <c r="HYZ19" s="590"/>
      <c r="HZA19" s="587"/>
      <c r="HZB19" s="588"/>
      <c r="HZC19" s="589"/>
      <c r="HZD19" s="589"/>
      <c r="HZE19" s="590"/>
      <c r="HZF19" s="589"/>
      <c r="HZG19" s="589"/>
      <c r="HZH19" s="589"/>
      <c r="HZI19" s="591"/>
      <c r="HZJ19" s="589"/>
      <c r="HZK19" s="590"/>
      <c r="HZL19" s="589"/>
      <c r="HZM19" s="589"/>
      <c r="HZN19" s="589"/>
      <c r="HZO19" s="590"/>
      <c r="HZP19" s="590"/>
      <c r="HZQ19" s="590"/>
      <c r="HZR19" s="590"/>
      <c r="HZS19" s="590"/>
      <c r="HZT19" s="590"/>
      <c r="HZU19" s="590"/>
      <c r="HZV19" s="590"/>
      <c r="HZW19" s="590"/>
      <c r="HZX19" s="590"/>
      <c r="HZY19" s="590"/>
      <c r="HZZ19" s="590"/>
      <c r="IAA19" s="587"/>
      <c r="IAB19" s="588"/>
      <c r="IAC19" s="589"/>
      <c r="IAD19" s="589"/>
      <c r="IAE19" s="590"/>
      <c r="IAF19" s="589"/>
      <c r="IAG19" s="589"/>
      <c r="IAH19" s="589"/>
      <c r="IAI19" s="591"/>
      <c r="IAJ19" s="589"/>
      <c r="IAK19" s="590"/>
      <c r="IAL19" s="589"/>
      <c r="IAM19" s="589"/>
      <c r="IAN19" s="589"/>
      <c r="IAO19" s="590"/>
      <c r="IAP19" s="590"/>
      <c r="IAQ19" s="590"/>
      <c r="IAR19" s="590"/>
      <c r="IAS19" s="590"/>
      <c r="IAT19" s="590"/>
      <c r="IAU19" s="590"/>
      <c r="IAV19" s="590"/>
      <c r="IAW19" s="590"/>
      <c r="IAX19" s="590"/>
      <c r="IAY19" s="590"/>
      <c r="IAZ19" s="590"/>
      <c r="IBA19" s="587"/>
      <c r="IBB19" s="588"/>
      <c r="IBC19" s="589"/>
      <c r="IBD19" s="589"/>
      <c r="IBE19" s="590"/>
      <c r="IBF19" s="589"/>
      <c r="IBG19" s="589"/>
      <c r="IBH19" s="589"/>
      <c r="IBI19" s="591"/>
      <c r="IBJ19" s="589"/>
      <c r="IBK19" s="590"/>
      <c r="IBL19" s="589"/>
      <c r="IBM19" s="589"/>
      <c r="IBN19" s="589"/>
      <c r="IBO19" s="590"/>
      <c r="IBP19" s="590"/>
      <c r="IBQ19" s="590"/>
      <c r="IBR19" s="590"/>
      <c r="IBS19" s="590"/>
      <c r="IBT19" s="590"/>
      <c r="IBU19" s="590"/>
      <c r="IBV19" s="590"/>
      <c r="IBW19" s="590"/>
      <c r="IBX19" s="590"/>
      <c r="IBY19" s="590"/>
      <c r="IBZ19" s="590"/>
      <c r="ICA19" s="587"/>
      <c r="ICB19" s="588"/>
      <c r="ICC19" s="589"/>
      <c r="ICD19" s="589"/>
      <c r="ICE19" s="590"/>
      <c r="ICF19" s="589"/>
      <c r="ICG19" s="589"/>
      <c r="ICH19" s="589"/>
      <c r="ICI19" s="591"/>
      <c r="ICJ19" s="589"/>
      <c r="ICK19" s="590"/>
      <c r="ICL19" s="589"/>
      <c r="ICM19" s="589"/>
      <c r="ICN19" s="589"/>
      <c r="ICO19" s="590"/>
      <c r="ICP19" s="590"/>
      <c r="ICQ19" s="590"/>
      <c r="ICR19" s="590"/>
      <c r="ICS19" s="590"/>
      <c r="ICT19" s="590"/>
      <c r="ICU19" s="590"/>
      <c r="ICV19" s="590"/>
      <c r="ICW19" s="590"/>
      <c r="ICX19" s="590"/>
      <c r="ICY19" s="590"/>
      <c r="ICZ19" s="590"/>
      <c r="IDA19" s="587"/>
      <c r="IDB19" s="588"/>
      <c r="IDC19" s="589"/>
      <c r="IDD19" s="589"/>
      <c r="IDE19" s="590"/>
      <c r="IDF19" s="589"/>
      <c r="IDG19" s="589"/>
      <c r="IDH19" s="589"/>
      <c r="IDI19" s="591"/>
      <c r="IDJ19" s="589"/>
      <c r="IDK19" s="590"/>
      <c r="IDL19" s="589"/>
      <c r="IDM19" s="589"/>
      <c r="IDN19" s="589"/>
      <c r="IDO19" s="590"/>
      <c r="IDP19" s="590"/>
      <c r="IDQ19" s="590"/>
      <c r="IDR19" s="590"/>
      <c r="IDS19" s="590"/>
      <c r="IDT19" s="590"/>
      <c r="IDU19" s="590"/>
      <c r="IDV19" s="590"/>
      <c r="IDW19" s="590"/>
      <c r="IDX19" s="590"/>
      <c r="IDY19" s="590"/>
      <c r="IDZ19" s="590"/>
      <c r="IEA19" s="587"/>
      <c r="IEB19" s="588"/>
      <c r="IEC19" s="589"/>
      <c r="IED19" s="589"/>
      <c r="IEE19" s="590"/>
      <c r="IEF19" s="589"/>
      <c r="IEG19" s="589"/>
      <c r="IEH19" s="589"/>
      <c r="IEI19" s="591"/>
      <c r="IEJ19" s="589"/>
      <c r="IEK19" s="590"/>
      <c r="IEL19" s="589"/>
      <c r="IEM19" s="589"/>
      <c r="IEN19" s="589"/>
      <c r="IEO19" s="590"/>
      <c r="IEP19" s="590"/>
      <c r="IEQ19" s="590"/>
      <c r="IER19" s="590"/>
      <c r="IES19" s="590"/>
      <c r="IET19" s="590"/>
      <c r="IEU19" s="590"/>
      <c r="IEV19" s="590"/>
      <c r="IEW19" s="590"/>
      <c r="IEX19" s="590"/>
      <c r="IEY19" s="590"/>
      <c r="IEZ19" s="590"/>
      <c r="IFA19" s="587"/>
      <c r="IFB19" s="588"/>
      <c r="IFC19" s="589"/>
      <c r="IFD19" s="589"/>
      <c r="IFE19" s="590"/>
      <c r="IFF19" s="589"/>
      <c r="IFG19" s="589"/>
      <c r="IFH19" s="589"/>
      <c r="IFI19" s="591"/>
      <c r="IFJ19" s="589"/>
      <c r="IFK19" s="590"/>
      <c r="IFL19" s="589"/>
      <c r="IFM19" s="589"/>
      <c r="IFN19" s="589"/>
      <c r="IFO19" s="590"/>
      <c r="IFP19" s="590"/>
      <c r="IFQ19" s="590"/>
      <c r="IFR19" s="590"/>
      <c r="IFS19" s="590"/>
      <c r="IFT19" s="590"/>
      <c r="IFU19" s="590"/>
      <c r="IFV19" s="590"/>
      <c r="IFW19" s="590"/>
      <c r="IFX19" s="590"/>
      <c r="IFY19" s="590"/>
      <c r="IFZ19" s="590"/>
      <c r="IGA19" s="587"/>
      <c r="IGB19" s="588"/>
      <c r="IGC19" s="589"/>
      <c r="IGD19" s="589"/>
      <c r="IGE19" s="590"/>
      <c r="IGF19" s="589"/>
      <c r="IGG19" s="589"/>
      <c r="IGH19" s="589"/>
      <c r="IGI19" s="591"/>
      <c r="IGJ19" s="589"/>
      <c r="IGK19" s="590"/>
      <c r="IGL19" s="589"/>
      <c r="IGM19" s="589"/>
      <c r="IGN19" s="589"/>
      <c r="IGO19" s="590"/>
      <c r="IGP19" s="590"/>
      <c r="IGQ19" s="590"/>
      <c r="IGR19" s="590"/>
      <c r="IGS19" s="590"/>
      <c r="IGT19" s="590"/>
      <c r="IGU19" s="590"/>
      <c r="IGV19" s="590"/>
      <c r="IGW19" s="590"/>
      <c r="IGX19" s="590"/>
      <c r="IGY19" s="590"/>
      <c r="IGZ19" s="590"/>
      <c r="IHA19" s="587"/>
      <c r="IHB19" s="588"/>
      <c r="IHC19" s="589"/>
      <c r="IHD19" s="589"/>
      <c r="IHE19" s="590"/>
      <c r="IHF19" s="589"/>
      <c r="IHG19" s="589"/>
      <c r="IHH19" s="589"/>
      <c r="IHI19" s="591"/>
      <c r="IHJ19" s="589"/>
      <c r="IHK19" s="590"/>
      <c r="IHL19" s="589"/>
      <c r="IHM19" s="589"/>
      <c r="IHN19" s="589"/>
      <c r="IHO19" s="590"/>
      <c r="IHP19" s="590"/>
      <c r="IHQ19" s="590"/>
      <c r="IHR19" s="590"/>
      <c r="IHS19" s="590"/>
      <c r="IHT19" s="590"/>
      <c r="IHU19" s="590"/>
      <c r="IHV19" s="590"/>
      <c r="IHW19" s="590"/>
      <c r="IHX19" s="590"/>
      <c r="IHY19" s="590"/>
      <c r="IHZ19" s="590"/>
      <c r="IIA19" s="587"/>
      <c r="IIB19" s="588"/>
      <c r="IIC19" s="589"/>
      <c r="IID19" s="589"/>
      <c r="IIE19" s="590"/>
      <c r="IIF19" s="589"/>
      <c r="IIG19" s="589"/>
      <c r="IIH19" s="589"/>
      <c r="III19" s="591"/>
      <c r="IIJ19" s="589"/>
      <c r="IIK19" s="590"/>
      <c r="IIL19" s="589"/>
      <c r="IIM19" s="589"/>
      <c r="IIN19" s="589"/>
      <c r="IIO19" s="590"/>
      <c r="IIP19" s="590"/>
      <c r="IIQ19" s="590"/>
      <c r="IIR19" s="590"/>
      <c r="IIS19" s="590"/>
      <c r="IIT19" s="590"/>
      <c r="IIU19" s="590"/>
      <c r="IIV19" s="590"/>
      <c r="IIW19" s="590"/>
      <c r="IIX19" s="590"/>
      <c r="IIY19" s="590"/>
      <c r="IIZ19" s="590"/>
      <c r="IJA19" s="587"/>
      <c r="IJB19" s="588"/>
      <c r="IJC19" s="589"/>
      <c r="IJD19" s="589"/>
      <c r="IJE19" s="590"/>
      <c r="IJF19" s="589"/>
      <c r="IJG19" s="589"/>
      <c r="IJH19" s="589"/>
      <c r="IJI19" s="591"/>
      <c r="IJJ19" s="589"/>
      <c r="IJK19" s="590"/>
      <c r="IJL19" s="589"/>
      <c r="IJM19" s="589"/>
      <c r="IJN19" s="589"/>
      <c r="IJO19" s="590"/>
      <c r="IJP19" s="590"/>
      <c r="IJQ19" s="590"/>
      <c r="IJR19" s="590"/>
      <c r="IJS19" s="590"/>
      <c r="IJT19" s="590"/>
      <c r="IJU19" s="590"/>
      <c r="IJV19" s="590"/>
      <c r="IJW19" s="590"/>
      <c r="IJX19" s="590"/>
      <c r="IJY19" s="590"/>
      <c r="IJZ19" s="590"/>
      <c r="IKA19" s="587"/>
      <c r="IKB19" s="588"/>
      <c r="IKC19" s="589"/>
      <c r="IKD19" s="589"/>
      <c r="IKE19" s="590"/>
      <c r="IKF19" s="589"/>
      <c r="IKG19" s="589"/>
      <c r="IKH19" s="589"/>
      <c r="IKI19" s="591"/>
      <c r="IKJ19" s="589"/>
      <c r="IKK19" s="590"/>
      <c r="IKL19" s="589"/>
      <c r="IKM19" s="589"/>
      <c r="IKN19" s="589"/>
      <c r="IKO19" s="590"/>
      <c r="IKP19" s="590"/>
      <c r="IKQ19" s="590"/>
      <c r="IKR19" s="590"/>
      <c r="IKS19" s="590"/>
      <c r="IKT19" s="590"/>
      <c r="IKU19" s="590"/>
      <c r="IKV19" s="590"/>
      <c r="IKW19" s="590"/>
      <c r="IKX19" s="590"/>
      <c r="IKY19" s="590"/>
      <c r="IKZ19" s="590"/>
      <c r="ILA19" s="587"/>
      <c r="ILB19" s="588"/>
      <c r="ILC19" s="589"/>
      <c r="ILD19" s="589"/>
      <c r="ILE19" s="590"/>
      <c r="ILF19" s="589"/>
      <c r="ILG19" s="589"/>
      <c r="ILH19" s="589"/>
      <c r="ILI19" s="591"/>
      <c r="ILJ19" s="589"/>
      <c r="ILK19" s="590"/>
      <c r="ILL19" s="589"/>
      <c r="ILM19" s="589"/>
      <c r="ILN19" s="589"/>
      <c r="ILO19" s="590"/>
      <c r="ILP19" s="590"/>
      <c r="ILQ19" s="590"/>
      <c r="ILR19" s="590"/>
      <c r="ILS19" s="590"/>
      <c r="ILT19" s="590"/>
      <c r="ILU19" s="590"/>
      <c r="ILV19" s="590"/>
      <c r="ILW19" s="590"/>
      <c r="ILX19" s="590"/>
      <c r="ILY19" s="590"/>
      <c r="ILZ19" s="590"/>
      <c r="IMA19" s="587"/>
      <c r="IMB19" s="588"/>
      <c r="IMC19" s="589"/>
      <c r="IMD19" s="589"/>
      <c r="IME19" s="590"/>
      <c r="IMF19" s="589"/>
      <c r="IMG19" s="589"/>
      <c r="IMH19" s="589"/>
      <c r="IMI19" s="591"/>
      <c r="IMJ19" s="589"/>
      <c r="IMK19" s="590"/>
      <c r="IML19" s="589"/>
      <c r="IMM19" s="589"/>
      <c r="IMN19" s="589"/>
      <c r="IMO19" s="590"/>
      <c r="IMP19" s="590"/>
      <c r="IMQ19" s="590"/>
      <c r="IMR19" s="590"/>
      <c r="IMS19" s="590"/>
      <c r="IMT19" s="590"/>
      <c r="IMU19" s="590"/>
      <c r="IMV19" s="590"/>
      <c r="IMW19" s="590"/>
      <c r="IMX19" s="590"/>
      <c r="IMY19" s="590"/>
      <c r="IMZ19" s="590"/>
      <c r="INA19" s="587"/>
      <c r="INB19" s="588"/>
      <c r="INC19" s="589"/>
      <c r="IND19" s="589"/>
      <c r="INE19" s="590"/>
      <c r="INF19" s="589"/>
      <c r="ING19" s="589"/>
      <c r="INH19" s="589"/>
      <c r="INI19" s="591"/>
      <c r="INJ19" s="589"/>
      <c r="INK19" s="590"/>
      <c r="INL19" s="589"/>
      <c r="INM19" s="589"/>
      <c r="INN19" s="589"/>
      <c r="INO19" s="590"/>
      <c r="INP19" s="590"/>
      <c r="INQ19" s="590"/>
      <c r="INR19" s="590"/>
      <c r="INS19" s="590"/>
      <c r="INT19" s="590"/>
      <c r="INU19" s="590"/>
      <c r="INV19" s="590"/>
      <c r="INW19" s="590"/>
      <c r="INX19" s="590"/>
      <c r="INY19" s="590"/>
      <c r="INZ19" s="590"/>
      <c r="IOA19" s="587"/>
      <c r="IOB19" s="588"/>
      <c r="IOC19" s="589"/>
      <c r="IOD19" s="589"/>
      <c r="IOE19" s="590"/>
      <c r="IOF19" s="589"/>
      <c r="IOG19" s="589"/>
      <c r="IOH19" s="589"/>
      <c r="IOI19" s="591"/>
      <c r="IOJ19" s="589"/>
      <c r="IOK19" s="590"/>
      <c r="IOL19" s="589"/>
      <c r="IOM19" s="589"/>
      <c r="ION19" s="589"/>
      <c r="IOO19" s="590"/>
      <c r="IOP19" s="590"/>
      <c r="IOQ19" s="590"/>
      <c r="IOR19" s="590"/>
      <c r="IOS19" s="590"/>
      <c r="IOT19" s="590"/>
      <c r="IOU19" s="590"/>
      <c r="IOV19" s="590"/>
      <c r="IOW19" s="590"/>
      <c r="IOX19" s="590"/>
      <c r="IOY19" s="590"/>
      <c r="IOZ19" s="590"/>
      <c r="IPA19" s="587"/>
      <c r="IPB19" s="588"/>
      <c r="IPC19" s="589"/>
      <c r="IPD19" s="589"/>
      <c r="IPE19" s="590"/>
      <c r="IPF19" s="589"/>
      <c r="IPG19" s="589"/>
      <c r="IPH19" s="589"/>
      <c r="IPI19" s="591"/>
      <c r="IPJ19" s="589"/>
      <c r="IPK19" s="590"/>
      <c r="IPL19" s="589"/>
      <c r="IPM19" s="589"/>
      <c r="IPN19" s="589"/>
      <c r="IPO19" s="590"/>
      <c r="IPP19" s="590"/>
      <c r="IPQ19" s="590"/>
      <c r="IPR19" s="590"/>
      <c r="IPS19" s="590"/>
      <c r="IPT19" s="590"/>
      <c r="IPU19" s="590"/>
      <c r="IPV19" s="590"/>
      <c r="IPW19" s="590"/>
      <c r="IPX19" s="590"/>
      <c r="IPY19" s="590"/>
      <c r="IPZ19" s="590"/>
      <c r="IQA19" s="587"/>
      <c r="IQB19" s="588"/>
      <c r="IQC19" s="589"/>
      <c r="IQD19" s="589"/>
      <c r="IQE19" s="590"/>
      <c r="IQF19" s="589"/>
      <c r="IQG19" s="589"/>
      <c r="IQH19" s="589"/>
      <c r="IQI19" s="591"/>
      <c r="IQJ19" s="589"/>
      <c r="IQK19" s="590"/>
      <c r="IQL19" s="589"/>
      <c r="IQM19" s="589"/>
      <c r="IQN19" s="589"/>
      <c r="IQO19" s="590"/>
      <c r="IQP19" s="590"/>
      <c r="IQQ19" s="590"/>
      <c r="IQR19" s="590"/>
      <c r="IQS19" s="590"/>
      <c r="IQT19" s="590"/>
      <c r="IQU19" s="590"/>
      <c r="IQV19" s="590"/>
      <c r="IQW19" s="590"/>
      <c r="IQX19" s="590"/>
      <c r="IQY19" s="590"/>
      <c r="IQZ19" s="590"/>
      <c r="IRA19" s="587"/>
      <c r="IRB19" s="588"/>
      <c r="IRC19" s="589"/>
      <c r="IRD19" s="589"/>
      <c r="IRE19" s="590"/>
      <c r="IRF19" s="589"/>
      <c r="IRG19" s="589"/>
      <c r="IRH19" s="589"/>
      <c r="IRI19" s="591"/>
      <c r="IRJ19" s="589"/>
      <c r="IRK19" s="590"/>
      <c r="IRL19" s="589"/>
      <c r="IRM19" s="589"/>
      <c r="IRN19" s="589"/>
      <c r="IRO19" s="590"/>
      <c r="IRP19" s="590"/>
      <c r="IRQ19" s="590"/>
      <c r="IRR19" s="590"/>
      <c r="IRS19" s="590"/>
      <c r="IRT19" s="590"/>
      <c r="IRU19" s="590"/>
      <c r="IRV19" s="590"/>
      <c r="IRW19" s="590"/>
      <c r="IRX19" s="590"/>
      <c r="IRY19" s="590"/>
      <c r="IRZ19" s="590"/>
      <c r="ISA19" s="587"/>
      <c r="ISB19" s="588"/>
      <c r="ISC19" s="589"/>
      <c r="ISD19" s="589"/>
      <c r="ISE19" s="590"/>
      <c r="ISF19" s="589"/>
      <c r="ISG19" s="589"/>
      <c r="ISH19" s="589"/>
      <c r="ISI19" s="591"/>
      <c r="ISJ19" s="589"/>
      <c r="ISK19" s="590"/>
      <c r="ISL19" s="589"/>
      <c r="ISM19" s="589"/>
      <c r="ISN19" s="589"/>
      <c r="ISO19" s="590"/>
      <c r="ISP19" s="590"/>
      <c r="ISQ19" s="590"/>
      <c r="ISR19" s="590"/>
      <c r="ISS19" s="590"/>
      <c r="IST19" s="590"/>
      <c r="ISU19" s="590"/>
      <c r="ISV19" s="590"/>
      <c r="ISW19" s="590"/>
      <c r="ISX19" s="590"/>
      <c r="ISY19" s="590"/>
      <c r="ISZ19" s="590"/>
      <c r="ITA19" s="587"/>
      <c r="ITB19" s="588"/>
      <c r="ITC19" s="589"/>
      <c r="ITD19" s="589"/>
      <c r="ITE19" s="590"/>
      <c r="ITF19" s="589"/>
      <c r="ITG19" s="589"/>
      <c r="ITH19" s="589"/>
      <c r="ITI19" s="591"/>
      <c r="ITJ19" s="589"/>
      <c r="ITK19" s="590"/>
      <c r="ITL19" s="589"/>
      <c r="ITM19" s="589"/>
      <c r="ITN19" s="589"/>
      <c r="ITO19" s="590"/>
      <c r="ITP19" s="590"/>
      <c r="ITQ19" s="590"/>
      <c r="ITR19" s="590"/>
      <c r="ITS19" s="590"/>
      <c r="ITT19" s="590"/>
      <c r="ITU19" s="590"/>
      <c r="ITV19" s="590"/>
      <c r="ITW19" s="590"/>
      <c r="ITX19" s="590"/>
      <c r="ITY19" s="590"/>
      <c r="ITZ19" s="590"/>
      <c r="IUA19" s="587"/>
      <c r="IUB19" s="588"/>
      <c r="IUC19" s="589"/>
      <c r="IUD19" s="589"/>
      <c r="IUE19" s="590"/>
      <c r="IUF19" s="589"/>
      <c r="IUG19" s="589"/>
      <c r="IUH19" s="589"/>
      <c r="IUI19" s="591"/>
      <c r="IUJ19" s="589"/>
      <c r="IUK19" s="590"/>
      <c r="IUL19" s="589"/>
      <c r="IUM19" s="589"/>
      <c r="IUN19" s="589"/>
      <c r="IUO19" s="590"/>
      <c r="IUP19" s="590"/>
      <c r="IUQ19" s="590"/>
      <c r="IUR19" s="590"/>
      <c r="IUS19" s="590"/>
      <c r="IUT19" s="590"/>
      <c r="IUU19" s="590"/>
      <c r="IUV19" s="590"/>
      <c r="IUW19" s="590"/>
      <c r="IUX19" s="590"/>
      <c r="IUY19" s="590"/>
      <c r="IUZ19" s="590"/>
      <c r="IVA19" s="587"/>
      <c r="IVB19" s="588"/>
      <c r="IVC19" s="589"/>
      <c r="IVD19" s="589"/>
      <c r="IVE19" s="590"/>
      <c r="IVF19" s="589"/>
      <c r="IVG19" s="589"/>
      <c r="IVH19" s="589"/>
      <c r="IVI19" s="591"/>
      <c r="IVJ19" s="589"/>
      <c r="IVK19" s="590"/>
      <c r="IVL19" s="589"/>
      <c r="IVM19" s="589"/>
      <c r="IVN19" s="589"/>
      <c r="IVO19" s="590"/>
      <c r="IVP19" s="590"/>
      <c r="IVQ19" s="590"/>
      <c r="IVR19" s="590"/>
      <c r="IVS19" s="590"/>
      <c r="IVT19" s="590"/>
      <c r="IVU19" s="590"/>
      <c r="IVV19" s="590"/>
      <c r="IVW19" s="590"/>
      <c r="IVX19" s="590"/>
      <c r="IVY19" s="590"/>
      <c r="IVZ19" s="590"/>
      <c r="IWA19" s="587"/>
      <c r="IWB19" s="588"/>
      <c r="IWC19" s="589"/>
      <c r="IWD19" s="589"/>
      <c r="IWE19" s="590"/>
      <c r="IWF19" s="589"/>
      <c r="IWG19" s="589"/>
      <c r="IWH19" s="589"/>
      <c r="IWI19" s="591"/>
      <c r="IWJ19" s="589"/>
      <c r="IWK19" s="590"/>
      <c r="IWL19" s="589"/>
      <c r="IWM19" s="589"/>
      <c r="IWN19" s="589"/>
      <c r="IWO19" s="590"/>
      <c r="IWP19" s="590"/>
      <c r="IWQ19" s="590"/>
      <c r="IWR19" s="590"/>
      <c r="IWS19" s="590"/>
      <c r="IWT19" s="590"/>
      <c r="IWU19" s="590"/>
      <c r="IWV19" s="590"/>
      <c r="IWW19" s="590"/>
      <c r="IWX19" s="590"/>
      <c r="IWY19" s="590"/>
      <c r="IWZ19" s="590"/>
      <c r="IXA19" s="587"/>
      <c r="IXB19" s="588"/>
      <c r="IXC19" s="589"/>
      <c r="IXD19" s="589"/>
      <c r="IXE19" s="590"/>
      <c r="IXF19" s="589"/>
      <c r="IXG19" s="589"/>
      <c r="IXH19" s="589"/>
      <c r="IXI19" s="591"/>
      <c r="IXJ19" s="589"/>
      <c r="IXK19" s="590"/>
      <c r="IXL19" s="589"/>
      <c r="IXM19" s="589"/>
      <c r="IXN19" s="589"/>
      <c r="IXO19" s="590"/>
      <c r="IXP19" s="590"/>
      <c r="IXQ19" s="590"/>
      <c r="IXR19" s="590"/>
      <c r="IXS19" s="590"/>
      <c r="IXT19" s="590"/>
      <c r="IXU19" s="590"/>
      <c r="IXV19" s="590"/>
      <c r="IXW19" s="590"/>
      <c r="IXX19" s="590"/>
      <c r="IXY19" s="590"/>
      <c r="IXZ19" s="590"/>
      <c r="IYA19" s="587"/>
      <c r="IYB19" s="588"/>
      <c r="IYC19" s="589"/>
      <c r="IYD19" s="589"/>
      <c r="IYE19" s="590"/>
      <c r="IYF19" s="589"/>
      <c r="IYG19" s="589"/>
      <c r="IYH19" s="589"/>
      <c r="IYI19" s="591"/>
      <c r="IYJ19" s="589"/>
      <c r="IYK19" s="590"/>
      <c r="IYL19" s="589"/>
      <c r="IYM19" s="589"/>
      <c r="IYN19" s="589"/>
      <c r="IYO19" s="590"/>
      <c r="IYP19" s="590"/>
      <c r="IYQ19" s="590"/>
      <c r="IYR19" s="590"/>
      <c r="IYS19" s="590"/>
      <c r="IYT19" s="590"/>
      <c r="IYU19" s="590"/>
      <c r="IYV19" s="590"/>
      <c r="IYW19" s="590"/>
      <c r="IYX19" s="590"/>
      <c r="IYY19" s="590"/>
      <c r="IYZ19" s="590"/>
      <c r="IZA19" s="587"/>
      <c r="IZB19" s="588"/>
      <c r="IZC19" s="589"/>
      <c r="IZD19" s="589"/>
      <c r="IZE19" s="590"/>
      <c r="IZF19" s="589"/>
      <c r="IZG19" s="589"/>
      <c r="IZH19" s="589"/>
      <c r="IZI19" s="591"/>
      <c r="IZJ19" s="589"/>
      <c r="IZK19" s="590"/>
      <c r="IZL19" s="589"/>
      <c r="IZM19" s="589"/>
      <c r="IZN19" s="589"/>
      <c r="IZO19" s="590"/>
      <c r="IZP19" s="590"/>
      <c r="IZQ19" s="590"/>
      <c r="IZR19" s="590"/>
      <c r="IZS19" s="590"/>
      <c r="IZT19" s="590"/>
      <c r="IZU19" s="590"/>
      <c r="IZV19" s="590"/>
      <c r="IZW19" s="590"/>
      <c r="IZX19" s="590"/>
      <c r="IZY19" s="590"/>
      <c r="IZZ19" s="590"/>
      <c r="JAA19" s="587"/>
      <c r="JAB19" s="588"/>
      <c r="JAC19" s="589"/>
      <c r="JAD19" s="589"/>
      <c r="JAE19" s="590"/>
      <c r="JAF19" s="589"/>
      <c r="JAG19" s="589"/>
      <c r="JAH19" s="589"/>
      <c r="JAI19" s="591"/>
      <c r="JAJ19" s="589"/>
      <c r="JAK19" s="590"/>
      <c r="JAL19" s="589"/>
      <c r="JAM19" s="589"/>
      <c r="JAN19" s="589"/>
      <c r="JAO19" s="590"/>
      <c r="JAP19" s="590"/>
      <c r="JAQ19" s="590"/>
      <c r="JAR19" s="590"/>
      <c r="JAS19" s="590"/>
      <c r="JAT19" s="590"/>
      <c r="JAU19" s="590"/>
      <c r="JAV19" s="590"/>
      <c r="JAW19" s="590"/>
      <c r="JAX19" s="590"/>
      <c r="JAY19" s="590"/>
      <c r="JAZ19" s="590"/>
      <c r="JBA19" s="587"/>
      <c r="JBB19" s="588"/>
      <c r="JBC19" s="589"/>
      <c r="JBD19" s="589"/>
      <c r="JBE19" s="590"/>
      <c r="JBF19" s="589"/>
      <c r="JBG19" s="589"/>
      <c r="JBH19" s="589"/>
      <c r="JBI19" s="591"/>
      <c r="JBJ19" s="589"/>
      <c r="JBK19" s="590"/>
      <c r="JBL19" s="589"/>
      <c r="JBM19" s="589"/>
      <c r="JBN19" s="589"/>
      <c r="JBO19" s="590"/>
      <c r="JBP19" s="590"/>
      <c r="JBQ19" s="590"/>
      <c r="JBR19" s="590"/>
      <c r="JBS19" s="590"/>
      <c r="JBT19" s="590"/>
      <c r="JBU19" s="590"/>
      <c r="JBV19" s="590"/>
      <c r="JBW19" s="590"/>
      <c r="JBX19" s="590"/>
      <c r="JBY19" s="590"/>
      <c r="JBZ19" s="590"/>
      <c r="JCA19" s="587"/>
      <c r="JCB19" s="588"/>
      <c r="JCC19" s="589"/>
      <c r="JCD19" s="589"/>
      <c r="JCE19" s="590"/>
      <c r="JCF19" s="589"/>
      <c r="JCG19" s="589"/>
      <c r="JCH19" s="589"/>
      <c r="JCI19" s="591"/>
      <c r="JCJ19" s="589"/>
      <c r="JCK19" s="590"/>
      <c r="JCL19" s="589"/>
      <c r="JCM19" s="589"/>
      <c r="JCN19" s="589"/>
      <c r="JCO19" s="590"/>
      <c r="JCP19" s="590"/>
      <c r="JCQ19" s="590"/>
      <c r="JCR19" s="590"/>
      <c r="JCS19" s="590"/>
      <c r="JCT19" s="590"/>
      <c r="JCU19" s="590"/>
      <c r="JCV19" s="590"/>
      <c r="JCW19" s="590"/>
      <c r="JCX19" s="590"/>
      <c r="JCY19" s="590"/>
      <c r="JCZ19" s="590"/>
      <c r="JDA19" s="587"/>
      <c r="JDB19" s="588"/>
      <c r="JDC19" s="589"/>
      <c r="JDD19" s="589"/>
      <c r="JDE19" s="590"/>
      <c r="JDF19" s="589"/>
      <c r="JDG19" s="589"/>
      <c r="JDH19" s="589"/>
      <c r="JDI19" s="591"/>
      <c r="JDJ19" s="589"/>
      <c r="JDK19" s="590"/>
      <c r="JDL19" s="589"/>
      <c r="JDM19" s="589"/>
      <c r="JDN19" s="589"/>
      <c r="JDO19" s="590"/>
      <c r="JDP19" s="590"/>
      <c r="JDQ19" s="590"/>
      <c r="JDR19" s="590"/>
      <c r="JDS19" s="590"/>
      <c r="JDT19" s="590"/>
      <c r="JDU19" s="590"/>
      <c r="JDV19" s="590"/>
      <c r="JDW19" s="590"/>
      <c r="JDX19" s="590"/>
      <c r="JDY19" s="590"/>
      <c r="JDZ19" s="590"/>
      <c r="JEA19" s="587"/>
      <c r="JEB19" s="588"/>
      <c r="JEC19" s="589"/>
      <c r="JED19" s="589"/>
      <c r="JEE19" s="590"/>
      <c r="JEF19" s="589"/>
      <c r="JEG19" s="589"/>
      <c r="JEH19" s="589"/>
      <c r="JEI19" s="591"/>
      <c r="JEJ19" s="589"/>
      <c r="JEK19" s="590"/>
      <c r="JEL19" s="589"/>
      <c r="JEM19" s="589"/>
      <c r="JEN19" s="589"/>
      <c r="JEO19" s="590"/>
      <c r="JEP19" s="590"/>
      <c r="JEQ19" s="590"/>
      <c r="JER19" s="590"/>
      <c r="JES19" s="590"/>
      <c r="JET19" s="590"/>
      <c r="JEU19" s="590"/>
      <c r="JEV19" s="590"/>
      <c r="JEW19" s="590"/>
      <c r="JEX19" s="590"/>
      <c r="JEY19" s="590"/>
      <c r="JEZ19" s="590"/>
      <c r="JFA19" s="587"/>
      <c r="JFB19" s="588"/>
      <c r="JFC19" s="589"/>
      <c r="JFD19" s="589"/>
      <c r="JFE19" s="590"/>
      <c r="JFF19" s="589"/>
      <c r="JFG19" s="589"/>
      <c r="JFH19" s="589"/>
      <c r="JFI19" s="591"/>
      <c r="JFJ19" s="589"/>
      <c r="JFK19" s="590"/>
      <c r="JFL19" s="589"/>
      <c r="JFM19" s="589"/>
      <c r="JFN19" s="589"/>
      <c r="JFO19" s="590"/>
      <c r="JFP19" s="590"/>
      <c r="JFQ19" s="590"/>
      <c r="JFR19" s="590"/>
      <c r="JFS19" s="590"/>
      <c r="JFT19" s="590"/>
      <c r="JFU19" s="590"/>
      <c r="JFV19" s="590"/>
      <c r="JFW19" s="590"/>
      <c r="JFX19" s="590"/>
      <c r="JFY19" s="590"/>
      <c r="JFZ19" s="590"/>
      <c r="JGA19" s="587"/>
      <c r="JGB19" s="588"/>
      <c r="JGC19" s="589"/>
      <c r="JGD19" s="589"/>
      <c r="JGE19" s="590"/>
      <c r="JGF19" s="589"/>
      <c r="JGG19" s="589"/>
      <c r="JGH19" s="589"/>
      <c r="JGI19" s="591"/>
      <c r="JGJ19" s="589"/>
      <c r="JGK19" s="590"/>
      <c r="JGL19" s="589"/>
      <c r="JGM19" s="589"/>
      <c r="JGN19" s="589"/>
      <c r="JGO19" s="590"/>
      <c r="JGP19" s="590"/>
      <c r="JGQ19" s="590"/>
      <c r="JGR19" s="590"/>
      <c r="JGS19" s="590"/>
      <c r="JGT19" s="590"/>
      <c r="JGU19" s="590"/>
      <c r="JGV19" s="590"/>
      <c r="JGW19" s="590"/>
      <c r="JGX19" s="590"/>
      <c r="JGY19" s="590"/>
      <c r="JGZ19" s="590"/>
      <c r="JHA19" s="587"/>
      <c r="JHB19" s="588"/>
      <c r="JHC19" s="589"/>
      <c r="JHD19" s="589"/>
      <c r="JHE19" s="590"/>
      <c r="JHF19" s="589"/>
      <c r="JHG19" s="589"/>
      <c r="JHH19" s="589"/>
      <c r="JHI19" s="591"/>
      <c r="JHJ19" s="589"/>
      <c r="JHK19" s="590"/>
      <c r="JHL19" s="589"/>
      <c r="JHM19" s="589"/>
      <c r="JHN19" s="589"/>
      <c r="JHO19" s="590"/>
      <c r="JHP19" s="590"/>
      <c r="JHQ19" s="590"/>
      <c r="JHR19" s="590"/>
      <c r="JHS19" s="590"/>
      <c r="JHT19" s="590"/>
      <c r="JHU19" s="590"/>
      <c r="JHV19" s="590"/>
      <c r="JHW19" s="590"/>
      <c r="JHX19" s="590"/>
      <c r="JHY19" s="590"/>
      <c r="JHZ19" s="590"/>
      <c r="JIA19" s="587"/>
      <c r="JIB19" s="588"/>
      <c r="JIC19" s="589"/>
      <c r="JID19" s="589"/>
      <c r="JIE19" s="590"/>
      <c r="JIF19" s="589"/>
      <c r="JIG19" s="589"/>
      <c r="JIH19" s="589"/>
      <c r="JII19" s="591"/>
      <c r="JIJ19" s="589"/>
      <c r="JIK19" s="590"/>
      <c r="JIL19" s="589"/>
      <c r="JIM19" s="589"/>
      <c r="JIN19" s="589"/>
      <c r="JIO19" s="590"/>
      <c r="JIP19" s="590"/>
      <c r="JIQ19" s="590"/>
      <c r="JIR19" s="590"/>
      <c r="JIS19" s="590"/>
      <c r="JIT19" s="590"/>
      <c r="JIU19" s="590"/>
      <c r="JIV19" s="590"/>
      <c r="JIW19" s="590"/>
      <c r="JIX19" s="590"/>
      <c r="JIY19" s="590"/>
      <c r="JIZ19" s="590"/>
      <c r="JJA19" s="587"/>
      <c r="JJB19" s="588"/>
      <c r="JJC19" s="589"/>
      <c r="JJD19" s="589"/>
      <c r="JJE19" s="590"/>
      <c r="JJF19" s="589"/>
      <c r="JJG19" s="589"/>
      <c r="JJH19" s="589"/>
      <c r="JJI19" s="591"/>
      <c r="JJJ19" s="589"/>
      <c r="JJK19" s="590"/>
      <c r="JJL19" s="589"/>
      <c r="JJM19" s="589"/>
      <c r="JJN19" s="589"/>
      <c r="JJO19" s="590"/>
      <c r="JJP19" s="590"/>
      <c r="JJQ19" s="590"/>
      <c r="JJR19" s="590"/>
      <c r="JJS19" s="590"/>
      <c r="JJT19" s="590"/>
      <c r="JJU19" s="590"/>
      <c r="JJV19" s="590"/>
      <c r="JJW19" s="590"/>
      <c r="JJX19" s="590"/>
      <c r="JJY19" s="590"/>
      <c r="JJZ19" s="590"/>
      <c r="JKA19" s="587"/>
      <c r="JKB19" s="588"/>
      <c r="JKC19" s="589"/>
      <c r="JKD19" s="589"/>
      <c r="JKE19" s="590"/>
      <c r="JKF19" s="589"/>
      <c r="JKG19" s="589"/>
      <c r="JKH19" s="589"/>
      <c r="JKI19" s="591"/>
      <c r="JKJ19" s="589"/>
      <c r="JKK19" s="590"/>
      <c r="JKL19" s="589"/>
      <c r="JKM19" s="589"/>
      <c r="JKN19" s="589"/>
      <c r="JKO19" s="590"/>
      <c r="JKP19" s="590"/>
      <c r="JKQ19" s="590"/>
      <c r="JKR19" s="590"/>
      <c r="JKS19" s="590"/>
      <c r="JKT19" s="590"/>
      <c r="JKU19" s="590"/>
      <c r="JKV19" s="590"/>
      <c r="JKW19" s="590"/>
      <c r="JKX19" s="590"/>
      <c r="JKY19" s="590"/>
      <c r="JKZ19" s="590"/>
      <c r="JLA19" s="587"/>
      <c r="JLB19" s="588"/>
      <c r="JLC19" s="589"/>
      <c r="JLD19" s="589"/>
      <c r="JLE19" s="590"/>
      <c r="JLF19" s="589"/>
      <c r="JLG19" s="589"/>
      <c r="JLH19" s="589"/>
      <c r="JLI19" s="591"/>
      <c r="JLJ19" s="589"/>
      <c r="JLK19" s="590"/>
      <c r="JLL19" s="589"/>
      <c r="JLM19" s="589"/>
      <c r="JLN19" s="589"/>
      <c r="JLO19" s="590"/>
      <c r="JLP19" s="590"/>
      <c r="JLQ19" s="590"/>
      <c r="JLR19" s="590"/>
      <c r="JLS19" s="590"/>
      <c r="JLT19" s="590"/>
      <c r="JLU19" s="590"/>
      <c r="JLV19" s="590"/>
      <c r="JLW19" s="590"/>
      <c r="JLX19" s="590"/>
      <c r="JLY19" s="590"/>
      <c r="JLZ19" s="590"/>
      <c r="JMA19" s="587"/>
      <c r="JMB19" s="588"/>
      <c r="JMC19" s="589"/>
      <c r="JMD19" s="589"/>
      <c r="JME19" s="590"/>
      <c r="JMF19" s="589"/>
      <c r="JMG19" s="589"/>
      <c r="JMH19" s="589"/>
      <c r="JMI19" s="591"/>
      <c r="JMJ19" s="589"/>
      <c r="JMK19" s="590"/>
      <c r="JML19" s="589"/>
      <c r="JMM19" s="589"/>
      <c r="JMN19" s="589"/>
      <c r="JMO19" s="590"/>
      <c r="JMP19" s="590"/>
      <c r="JMQ19" s="590"/>
      <c r="JMR19" s="590"/>
      <c r="JMS19" s="590"/>
      <c r="JMT19" s="590"/>
      <c r="JMU19" s="590"/>
      <c r="JMV19" s="590"/>
      <c r="JMW19" s="590"/>
      <c r="JMX19" s="590"/>
      <c r="JMY19" s="590"/>
      <c r="JMZ19" s="590"/>
      <c r="JNA19" s="587"/>
      <c r="JNB19" s="588"/>
      <c r="JNC19" s="589"/>
      <c r="JND19" s="589"/>
      <c r="JNE19" s="590"/>
      <c r="JNF19" s="589"/>
      <c r="JNG19" s="589"/>
      <c r="JNH19" s="589"/>
      <c r="JNI19" s="591"/>
      <c r="JNJ19" s="589"/>
      <c r="JNK19" s="590"/>
      <c r="JNL19" s="589"/>
      <c r="JNM19" s="589"/>
      <c r="JNN19" s="589"/>
      <c r="JNO19" s="590"/>
      <c r="JNP19" s="590"/>
      <c r="JNQ19" s="590"/>
      <c r="JNR19" s="590"/>
      <c r="JNS19" s="590"/>
      <c r="JNT19" s="590"/>
      <c r="JNU19" s="590"/>
      <c r="JNV19" s="590"/>
      <c r="JNW19" s="590"/>
      <c r="JNX19" s="590"/>
      <c r="JNY19" s="590"/>
      <c r="JNZ19" s="590"/>
      <c r="JOA19" s="587"/>
      <c r="JOB19" s="588"/>
      <c r="JOC19" s="589"/>
      <c r="JOD19" s="589"/>
      <c r="JOE19" s="590"/>
      <c r="JOF19" s="589"/>
      <c r="JOG19" s="589"/>
      <c r="JOH19" s="589"/>
      <c r="JOI19" s="591"/>
      <c r="JOJ19" s="589"/>
      <c r="JOK19" s="590"/>
      <c r="JOL19" s="589"/>
      <c r="JOM19" s="589"/>
      <c r="JON19" s="589"/>
      <c r="JOO19" s="590"/>
      <c r="JOP19" s="590"/>
      <c r="JOQ19" s="590"/>
      <c r="JOR19" s="590"/>
      <c r="JOS19" s="590"/>
      <c r="JOT19" s="590"/>
      <c r="JOU19" s="590"/>
      <c r="JOV19" s="590"/>
      <c r="JOW19" s="590"/>
      <c r="JOX19" s="590"/>
      <c r="JOY19" s="590"/>
      <c r="JOZ19" s="590"/>
      <c r="JPA19" s="587"/>
      <c r="JPB19" s="588"/>
      <c r="JPC19" s="589"/>
      <c r="JPD19" s="589"/>
      <c r="JPE19" s="590"/>
      <c r="JPF19" s="589"/>
      <c r="JPG19" s="589"/>
      <c r="JPH19" s="589"/>
      <c r="JPI19" s="591"/>
      <c r="JPJ19" s="589"/>
      <c r="JPK19" s="590"/>
      <c r="JPL19" s="589"/>
      <c r="JPM19" s="589"/>
      <c r="JPN19" s="589"/>
      <c r="JPO19" s="590"/>
      <c r="JPP19" s="590"/>
      <c r="JPQ19" s="590"/>
      <c r="JPR19" s="590"/>
      <c r="JPS19" s="590"/>
      <c r="JPT19" s="590"/>
      <c r="JPU19" s="590"/>
      <c r="JPV19" s="590"/>
      <c r="JPW19" s="590"/>
      <c r="JPX19" s="590"/>
      <c r="JPY19" s="590"/>
      <c r="JPZ19" s="590"/>
      <c r="JQA19" s="587"/>
      <c r="JQB19" s="588"/>
      <c r="JQC19" s="589"/>
      <c r="JQD19" s="589"/>
      <c r="JQE19" s="590"/>
      <c r="JQF19" s="589"/>
      <c r="JQG19" s="589"/>
      <c r="JQH19" s="589"/>
      <c r="JQI19" s="591"/>
      <c r="JQJ19" s="589"/>
      <c r="JQK19" s="590"/>
      <c r="JQL19" s="589"/>
      <c r="JQM19" s="589"/>
      <c r="JQN19" s="589"/>
      <c r="JQO19" s="590"/>
      <c r="JQP19" s="590"/>
      <c r="JQQ19" s="590"/>
      <c r="JQR19" s="590"/>
      <c r="JQS19" s="590"/>
      <c r="JQT19" s="590"/>
      <c r="JQU19" s="590"/>
      <c r="JQV19" s="590"/>
      <c r="JQW19" s="590"/>
      <c r="JQX19" s="590"/>
      <c r="JQY19" s="590"/>
      <c r="JQZ19" s="590"/>
      <c r="JRA19" s="587"/>
      <c r="JRB19" s="588"/>
      <c r="JRC19" s="589"/>
      <c r="JRD19" s="589"/>
      <c r="JRE19" s="590"/>
      <c r="JRF19" s="589"/>
      <c r="JRG19" s="589"/>
      <c r="JRH19" s="589"/>
      <c r="JRI19" s="591"/>
      <c r="JRJ19" s="589"/>
      <c r="JRK19" s="590"/>
      <c r="JRL19" s="589"/>
      <c r="JRM19" s="589"/>
      <c r="JRN19" s="589"/>
      <c r="JRO19" s="590"/>
      <c r="JRP19" s="590"/>
      <c r="JRQ19" s="590"/>
      <c r="JRR19" s="590"/>
      <c r="JRS19" s="590"/>
      <c r="JRT19" s="590"/>
      <c r="JRU19" s="590"/>
      <c r="JRV19" s="590"/>
      <c r="JRW19" s="590"/>
      <c r="JRX19" s="590"/>
      <c r="JRY19" s="590"/>
      <c r="JRZ19" s="590"/>
      <c r="JSA19" s="587"/>
      <c r="JSB19" s="588"/>
      <c r="JSC19" s="589"/>
      <c r="JSD19" s="589"/>
      <c r="JSE19" s="590"/>
      <c r="JSF19" s="589"/>
      <c r="JSG19" s="589"/>
      <c r="JSH19" s="589"/>
      <c r="JSI19" s="591"/>
      <c r="JSJ19" s="589"/>
      <c r="JSK19" s="590"/>
      <c r="JSL19" s="589"/>
      <c r="JSM19" s="589"/>
      <c r="JSN19" s="589"/>
      <c r="JSO19" s="590"/>
      <c r="JSP19" s="590"/>
      <c r="JSQ19" s="590"/>
      <c r="JSR19" s="590"/>
      <c r="JSS19" s="590"/>
      <c r="JST19" s="590"/>
      <c r="JSU19" s="590"/>
      <c r="JSV19" s="590"/>
      <c r="JSW19" s="590"/>
      <c r="JSX19" s="590"/>
      <c r="JSY19" s="590"/>
      <c r="JSZ19" s="590"/>
      <c r="JTA19" s="587"/>
      <c r="JTB19" s="588"/>
      <c r="JTC19" s="589"/>
      <c r="JTD19" s="589"/>
      <c r="JTE19" s="590"/>
      <c r="JTF19" s="589"/>
      <c r="JTG19" s="589"/>
      <c r="JTH19" s="589"/>
      <c r="JTI19" s="591"/>
      <c r="JTJ19" s="589"/>
      <c r="JTK19" s="590"/>
      <c r="JTL19" s="589"/>
      <c r="JTM19" s="589"/>
      <c r="JTN19" s="589"/>
      <c r="JTO19" s="590"/>
      <c r="JTP19" s="590"/>
      <c r="JTQ19" s="590"/>
      <c r="JTR19" s="590"/>
      <c r="JTS19" s="590"/>
      <c r="JTT19" s="590"/>
      <c r="JTU19" s="590"/>
      <c r="JTV19" s="590"/>
      <c r="JTW19" s="590"/>
      <c r="JTX19" s="590"/>
      <c r="JTY19" s="590"/>
      <c r="JTZ19" s="590"/>
      <c r="JUA19" s="587"/>
      <c r="JUB19" s="588"/>
      <c r="JUC19" s="589"/>
      <c r="JUD19" s="589"/>
      <c r="JUE19" s="590"/>
      <c r="JUF19" s="589"/>
      <c r="JUG19" s="589"/>
      <c r="JUH19" s="589"/>
      <c r="JUI19" s="591"/>
      <c r="JUJ19" s="589"/>
      <c r="JUK19" s="590"/>
      <c r="JUL19" s="589"/>
      <c r="JUM19" s="589"/>
      <c r="JUN19" s="589"/>
      <c r="JUO19" s="590"/>
      <c r="JUP19" s="590"/>
      <c r="JUQ19" s="590"/>
      <c r="JUR19" s="590"/>
      <c r="JUS19" s="590"/>
      <c r="JUT19" s="590"/>
      <c r="JUU19" s="590"/>
      <c r="JUV19" s="590"/>
      <c r="JUW19" s="590"/>
      <c r="JUX19" s="590"/>
      <c r="JUY19" s="590"/>
      <c r="JUZ19" s="590"/>
      <c r="JVA19" s="587"/>
      <c r="JVB19" s="588"/>
      <c r="JVC19" s="589"/>
      <c r="JVD19" s="589"/>
      <c r="JVE19" s="590"/>
      <c r="JVF19" s="589"/>
      <c r="JVG19" s="589"/>
      <c r="JVH19" s="589"/>
      <c r="JVI19" s="591"/>
      <c r="JVJ19" s="589"/>
      <c r="JVK19" s="590"/>
      <c r="JVL19" s="589"/>
      <c r="JVM19" s="589"/>
      <c r="JVN19" s="589"/>
      <c r="JVO19" s="590"/>
      <c r="JVP19" s="590"/>
      <c r="JVQ19" s="590"/>
      <c r="JVR19" s="590"/>
      <c r="JVS19" s="590"/>
      <c r="JVT19" s="590"/>
      <c r="JVU19" s="590"/>
      <c r="JVV19" s="590"/>
      <c r="JVW19" s="590"/>
      <c r="JVX19" s="590"/>
      <c r="JVY19" s="590"/>
      <c r="JVZ19" s="590"/>
      <c r="JWA19" s="587"/>
      <c r="JWB19" s="588"/>
      <c r="JWC19" s="589"/>
      <c r="JWD19" s="589"/>
      <c r="JWE19" s="590"/>
      <c r="JWF19" s="589"/>
      <c r="JWG19" s="589"/>
      <c r="JWH19" s="589"/>
      <c r="JWI19" s="591"/>
      <c r="JWJ19" s="589"/>
      <c r="JWK19" s="590"/>
      <c r="JWL19" s="589"/>
      <c r="JWM19" s="589"/>
      <c r="JWN19" s="589"/>
      <c r="JWO19" s="590"/>
      <c r="JWP19" s="590"/>
      <c r="JWQ19" s="590"/>
      <c r="JWR19" s="590"/>
      <c r="JWS19" s="590"/>
      <c r="JWT19" s="590"/>
      <c r="JWU19" s="590"/>
      <c r="JWV19" s="590"/>
      <c r="JWW19" s="590"/>
      <c r="JWX19" s="590"/>
      <c r="JWY19" s="590"/>
      <c r="JWZ19" s="590"/>
      <c r="JXA19" s="587"/>
      <c r="JXB19" s="588"/>
      <c r="JXC19" s="589"/>
      <c r="JXD19" s="589"/>
      <c r="JXE19" s="590"/>
      <c r="JXF19" s="589"/>
      <c r="JXG19" s="589"/>
      <c r="JXH19" s="589"/>
      <c r="JXI19" s="591"/>
      <c r="JXJ19" s="589"/>
      <c r="JXK19" s="590"/>
      <c r="JXL19" s="589"/>
      <c r="JXM19" s="589"/>
      <c r="JXN19" s="589"/>
      <c r="JXO19" s="590"/>
      <c r="JXP19" s="590"/>
      <c r="JXQ19" s="590"/>
      <c r="JXR19" s="590"/>
      <c r="JXS19" s="590"/>
      <c r="JXT19" s="590"/>
      <c r="JXU19" s="590"/>
      <c r="JXV19" s="590"/>
      <c r="JXW19" s="590"/>
      <c r="JXX19" s="590"/>
      <c r="JXY19" s="590"/>
      <c r="JXZ19" s="590"/>
      <c r="JYA19" s="587"/>
      <c r="JYB19" s="588"/>
      <c r="JYC19" s="589"/>
      <c r="JYD19" s="589"/>
      <c r="JYE19" s="590"/>
      <c r="JYF19" s="589"/>
      <c r="JYG19" s="589"/>
      <c r="JYH19" s="589"/>
      <c r="JYI19" s="591"/>
      <c r="JYJ19" s="589"/>
      <c r="JYK19" s="590"/>
      <c r="JYL19" s="589"/>
      <c r="JYM19" s="589"/>
      <c r="JYN19" s="589"/>
      <c r="JYO19" s="590"/>
      <c r="JYP19" s="590"/>
      <c r="JYQ19" s="590"/>
      <c r="JYR19" s="590"/>
      <c r="JYS19" s="590"/>
      <c r="JYT19" s="590"/>
      <c r="JYU19" s="590"/>
      <c r="JYV19" s="590"/>
      <c r="JYW19" s="590"/>
      <c r="JYX19" s="590"/>
      <c r="JYY19" s="590"/>
      <c r="JYZ19" s="590"/>
      <c r="JZA19" s="587"/>
      <c r="JZB19" s="588"/>
      <c r="JZC19" s="589"/>
      <c r="JZD19" s="589"/>
      <c r="JZE19" s="590"/>
      <c r="JZF19" s="589"/>
      <c r="JZG19" s="589"/>
      <c r="JZH19" s="589"/>
      <c r="JZI19" s="591"/>
      <c r="JZJ19" s="589"/>
      <c r="JZK19" s="590"/>
      <c r="JZL19" s="589"/>
      <c r="JZM19" s="589"/>
      <c r="JZN19" s="589"/>
      <c r="JZO19" s="590"/>
      <c r="JZP19" s="590"/>
      <c r="JZQ19" s="590"/>
      <c r="JZR19" s="590"/>
      <c r="JZS19" s="590"/>
      <c r="JZT19" s="590"/>
      <c r="JZU19" s="590"/>
      <c r="JZV19" s="590"/>
      <c r="JZW19" s="590"/>
      <c r="JZX19" s="590"/>
      <c r="JZY19" s="590"/>
      <c r="JZZ19" s="590"/>
      <c r="KAA19" s="587"/>
      <c r="KAB19" s="588"/>
      <c r="KAC19" s="589"/>
      <c r="KAD19" s="589"/>
      <c r="KAE19" s="590"/>
      <c r="KAF19" s="589"/>
      <c r="KAG19" s="589"/>
      <c r="KAH19" s="589"/>
      <c r="KAI19" s="591"/>
      <c r="KAJ19" s="589"/>
      <c r="KAK19" s="590"/>
      <c r="KAL19" s="589"/>
      <c r="KAM19" s="589"/>
      <c r="KAN19" s="589"/>
      <c r="KAO19" s="590"/>
      <c r="KAP19" s="590"/>
      <c r="KAQ19" s="590"/>
      <c r="KAR19" s="590"/>
      <c r="KAS19" s="590"/>
      <c r="KAT19" s="590"/>
      <c r="KAU19" s="590"/>
      <c r="KAV19" s="590"/>
      <c r="KAW19" s="590"/>
      <c r="KAX19" s="590"/>
      <c r="KAY19" s="590"/>
      <c r="KAZ19" s="590"/>
      <c r="KBA19" s="587"/>
      <c r="KBB19" s="588"/>
      <c r="KBC19" s="589"/>
      <c r="KBD19" s="589"/>
      <c r="KBE19" s="590"/>
      <c r="KBF19" s="589"/>
      <c r="KBG19" s="589"/>
      <c r="KBH19" s="589"/>
      <c r="KBI19" s="591"/>
      <c r="KBJ19" s="589"/>
      <c r="KBK19" s="590"/>
      <c r="KBL19" s="589"/>
      <c r="KBM19" s="589"/>
      <c r="KBN19" s="589"/>
      <c r="KBO19" s="590"/>
      <c r="KBP19" s="590"/>
      <c r="KBQ19" s="590"/>
      <c r="KBR19" s="590"/>
      <c r="KBS19" s="590"/>
      <c r="KBT19" s="590"/>
      <c r="KBU19" s="590"/>
      <c r="KBV19" s="590"/>
      <c r="KBW19" s="590"/>
      <c r="KBX19" s="590"/>
      <c r="KBY19" s="590"/>
      <c r="KBZ19" s="590"/>
      <c r="KCA19" s="587"/>
      <c r="KCB19" s="588"/>
      <c r="KCC19" s="589"/>
      <c r="KCD19" s="589"/>
      <c r="KCE19" s="590"/>
      <c r="KCF19" s="589"/>
      <c r="KCG19" s="589"/>
      <c r="KCH19" s="589"/>
      <c r="KCI19" s="591"/>
      <c r="KCJ19" s="589"/>
      <c r="KCK19" s="590"/>
      <c r="KCL19" s="589"/>
      <c r="KCM19" s="589"/>
      <c r="KCN19" s="589"/>
      <c r="KCO19" s="590"/>
      <c r="KCP19" s="590"/>
      <c r="KCQ19" s="590"/>
      <c r="KCR19" s="590"/>
      <c r="KCS19" s="590"/>
      <c r="KCT19" s="590"/>
      <c r="KCU19" s="590"/>
      <c r="KCV19" s="590"/>
      <c r="KCW19" s="590"/>
      <c r="KCX19" s="590"/>
      <c r="KCY19" s="590"/>
      <c r="KCZ19" s="590"/>
      <c r="KDA19" s="587"/>
      <c r="KDB19" s="588"/>
      <c r="KDC19" s="589"/>
      <c r="KDD19" s="589"/>
      <c r="KDE19" s="590"/>
      <c r="KDF19" s="589"/>
      <c r="KDG19" s="589"/>
      <c r="KDH19" s="589"/>
      <c r="KDI19" s="591"/>
      <c r="KDJ19" s="589"/>
      <c r="KDK19" s="590"/>
      <c r="KDL19" s="589"/>
      <c r="KDM19" s="589"/>
      <c r="KDN19" s="589"/>
      <c r="KDO19" s="590"/>
      <c r="KDP19" s="590"/>
      <c r="KDQ19" s="590"/>
      <c r="KDR19" s="590"/>
      <c r="KDS19" s="590"/>
      <c r="KDT19" s="590"/>
      <c r="KDU19" s="590"/>
      <c r="KDV19" s="590"/>
      <c r="KDW19" s="590"/>
      <c r="KDX19" s="590"/>
      <c r="KDY19" s="590"/>
      <c r="KDZ19" s="590"/>
      <c r="KEA19" s="587"/>
      <c r="KEB19" s="588"/>
      <c r="KEC19" s="589"/>
      <c r="KED19" s="589"/>
      <c r="KEE19" s="590"/>
      <c r="KEF19" s="589"/>
      <c r="KEG19" s="589"/>
      <c r="KEH19" s="589"/>
      <c r="KEI19" s="591"/>
      <c r="KEJ19" s="589"/>
      <c r="KEK19" s="590"/>
      <c r="KEL19" s="589"/>
      <c r="KEM19" s="589"/>
      <c r="KEN19" s="589"/>
      <c r="KEO19" s="590"/>
      <c r="KEP19" s="590"/>
      <c r="KEQ19" s="590"/>
      <c r="KER19" s="590"/>
      <c r="KES19" s="590"/>
      <c r="KET19" s="590"/>
      <c r="KEU19" s="590"/>
      <c r="KEV19" s="590"/>
      <c r="KEW19" s="590"/>
      <c r="KEX19" s="590"/>
      <c r="KEY19" s="590"/>
      <c r="KEZ19" s="590"/>
      <c r="KFA19" s="587"/>
      <c r="KFB19" s="588"/>
      <c r="KFC19" s="589"/>
      <c r="KFD19" s="589"/>
      <c r="KFE19" s="590"/>
      <c r="KFF19" s="589"/>
      <c r="KFG19" s="589"/>
      <c r="KFH19" s="589"/>
      <c r="KFI19" s="591"/>
      <c r="KFJ19" s="589"/>
      <c r="KFK19" s="590"/>
      <c r="KFL19" s="589"/>
      <c r="KFM19" s="589"/>
      <c r="KFN19" s="589"/>
      <c r="KFO19" s="590"/>
      <c r="KFP19" s="590"/>
      <c r="KFQ19" s="590"/>
      <c r="KFR19" s="590"/>
      <c r="KFS19" s="590"/>
      <c r="KFT19" s="590"/>
      <c r="KFU19" s="590"/>
      <c r="KFV19" s="590"/>
      <c r="KFW19" s="590"/>
      <c r="KFX19" s="590"/>
      <c r="KFY19" s="590"/>
      <c r="KFZ19" s="590"/>
      <c r="KGA19" s="587"/>
      <c r="KGB19" s="588"/>
      <c r="KGC19" s="589"/>
      <c r="KGD19" s="589"/>
      <c r="KGE19" s="590"/>
      <c r="KGF19" s="589"/>
      <c r="KGG19" s="589"/>
      <c r="KGH19" s="589"/>
      <c r="KGI19" s="591"/>
      <c r="KGJ19" s="589"/>
      <c r="KGK19" s="590"/>
      <c r="KGL19" s="589"/>
      <c r="KGM19" s="589"/>
      <c r="KGN19" s="589"/>
      <c r="KGO19" s="590"/>
      <c r="KGP19" s="590"/>
      <c r="KGQ19" s="590"/>
      <c r="KGR19" s="590"/>
      <c r="KGS19" s="590"/>
      <c r="KGT19" s="590"/>
      <c r="KGU19" s="590"/>
      <c r="KGV19" s="590"/>
      <c r="KGW19" s="590"/>
      <c r="KGX19" s="590"/>
      <c r="KGY19" s="590"/>
      <c r="KGZ19" s="590"/>
      <c r="KHA19" s="587"/>
      <c r="KHB19" s="588"/>
      <c r="KHC19" s="589"/>
      <c r="KHD19" s="589"/>
      <c r="KHE19" s="590"/>
      <c r="KHF19" s="589"/>
      <c r="KHG19" s="589"/>
      <c r="KHH19" s="589"/>
      <c r="KHI19" s="591"/>
      <c r="KHJ19" s="589"/>
      <c r="KHK19" s="590"/>
      <c r="KHL19" s="589"/>
      <c r="KHM19" s="589"/>
      <c r="KHN19" s="589"/>
      <c r="KHO19" s="590"/>
      <c r="KHP19" s="590"/>
      <c r="KHQ19" s="590"/>
      <c r="KHR19" s="590"/>
      <c r="KHS19" s="590"/>
      <c r="KHT19" s="590"/>
      <c r="KHU19" s="590"/>
      <c r="KHV19" s="590"/>
      <c r="KHW19" s="590"/>
      <c r="KHX19" s="590"/>
      <c r="KHY19" s="590"/>
      <c r="KHZ19" s="590"/>
      <c r="KIA19" s="587"/>
      <c r="KIB19" s="588"/>
      <c r="KIC19" s="589"/>
      <c r="KID19" s="589"/>
      <c r="KIE19" s="590"/>
      <c r="KIF19" s="589"/>
      <c r="KIG19" s="589"/>
      <c r="KIH19" s="589"/>
      <c r="KII19" s="591"/>
      <c r="KIJ19" s="589"/>
      <c r="KIK19" s="590"/>
      <c r="KIL19" s="589"/>
      <c r="KIM19" s="589"/>
      <c r="KIN19" s="589"/>
      <c r="KIO19" s="590"/>
      <c r="KIP19" s="590"/>
      <c r="KIQ19" s="590"/>
      <c r="KIR19" s="590"/>
      <c r="KIS19" s="590"/>
      <c r="KIT19" s="590"/>
      <c r="KIU19" s="590"/>
      <c r="KIV19" s="590"/>
      <c r="KIW19" s="590"/>
      <c r="KIX19" s="590"/>
      <c r="KIY19" s="590"/>
      <c r="KIZ19" s="590"/>
      <c r="KJA19" s="587"/>
      <c r="KJB19" s="588"/>
      <c r="KJC19" s="589"/>
      <c r="KJD19" s="589"/>
      <c r="KJE19" s="590"/>
      <c r="KJF19" s="589"/>
      <c r="KJG19" s="589"/>
      <c r="KJH19" s="589"/>
      <c r="KJI19" s="591"/>
      <c r="KJJ19" s="589"/>
      <c r="KJK19" s="590"/>
      <c r="KJL19" s="589"/>
      <c r="KJM19" s="589"/>
      <c r="KJN19" s="589"/>
      <c r="KJO19" s="590"/>
      <c r="KJP19" s="590"/>
      <c r="KJQ19" s="590"/>
      <c r="KJR19" s="590"/>
      <c r="KJS19" s="590"/>
      <c r="KJT19" s="590"/>
      <c r="KJU19" s="590"/>
      <c r="KJV19" s="590"/>
      <c r="KJW19" s="590"/>
      <c r="KJX19" s="590"/>
      <c r="KJY19" s="590"/>
      <c r="KJZ19" s="590"/>
      <c r="KKA19" s="587"/>
      <c r="KKB19" s="588"/>
      <c r="KKC19" s="589"/>
      <c r="KKD19" s="589"/>
      <c r="KKE19" s="590"/>
      <c r="KKF19" s="589"/>
      <c r="KKG19" s="589"/>
      <c r="KKH19" s="589"/>
      <c r="KKI19" s="591"/>
      <c r="KKJ19" s="589"/>
      <c r="KKK19" s="590"/>
      <c r="KKL19" s="589"/>
      <c r="KKM19" s="589"/>
      <c r="KKN19" s="589"/>
      <c r="KKO19" s="590"/>
      <c r="KKP19" s="590"/>
      <c r="KKQ19" s="590"/>
      <c r="KKR19" s="590"/>
      <c r="KKS19" s="590"/>
      <c r="KKT19" s="590"/>
      <c r="KKU19" s="590"/>
      <c r="KKV19" s="590"/>
      <c r="KKW19" s="590"/>
      <c r="KKX19" s="590"/>
      <c r="KKY19" s="590"/>
      <c r="KKZ19" s="590"/>
      <c r="KLA19" s="587"/>
      <c r="KLB19" s="588"/>
      <c r="KLC19" s="589"/>
      <c r="KLD19" s="589"/>
      <c r="KLE19" s="590"/>
      <c r="KLF19" s="589"/>
      <c r="KLG19" s="589"/>
      <c r="KLH19" s="589"/>
      <c r="KLI19" s="591"/>
      <c r="KLJ19" s="589"/>
      <c r="KLK19" s="590"/>
      <c r="KLL19" s="589"/>
      <c r="KLM19" s="589"/>
      <c r="KLN19" s="589"/>
      <c r="KLO19" s="590"/>
      <c r="KLP19" s="590"/>
      <c r="KLQ19" s="590"/>
      <c r="KLR19" s="590"/>
      <c r="KLS19" s="590"/>
      <c r="KLT19" s="590"/>
      <c r="KLU19" s="590"/>
      <c r="KLV19" s="590"/>
      <c r="KLW19" s="590"/>
      <c r="KLX19" s="590"/>
      <c r="KLY19" s="590"/>
      <c r="KLZ19" s="590"/>
      <c r="KMA19" s="587"/>
      <c r="KMB19" s="588"/>
      <c r="KMC19" s="589"/>
      <c r="KMD19" s="589"/>
      <c r="KME19" s="590"/>
      <c r="KMF19" s="589"/>
      <c r="KMG19" s="589"/>
      <c r="KMH19" s="589"/>
      <c r="KMI19" s="591"/>
      <c r="KMJ19" s="589"/>
      <c r="KMK19" s="590"/>
      <c r="KML19" s="589"/>
      <c r="KMM19" s="589"/>
      <c r="KMN19" s="589"/>
      <c r="KMO19" s="590"/>
      <c r="KMP19" s="590"/>
      <c r="KMQ19" s="590"/>
      <c r="KMR19" s="590"/>
      <c r="KMS19" s="590"/>
      <c r="KMT19" s="590"/>
      <c r="KMU19" s="590"/>
      <c r="KMV19" s="590"/>
      <c r="KMW19" s="590"/>
      <c r="KMX19" s="590"/>
      <c r="KMY19" s="590"/>
      <c r="KMZ19" s="590"/>
      <c r="KNA19" s="587"/>
      <c r="KNB19" s="588"/>
      <c r="KNC19" s="589"/>
      <c r="KND19" s="589"/>
      <c r="KNE19" s="590"/>
      <c r="KNF19" s="589"/>
      <c r="KNG19" s="589"/>
      <c r="KNH19" s="589"/>
      <c r="KNI19" s="591"/>
      <c r="KNJ19" s="589"/>
      <c r="KNK19" s="590"/>
      <c r="KNL19" s="589"/>
      <c r="KNM19" s="589"/>
      <c r="KNN19" s="589"/>
      <c r="KNO19" s="590"/>
      <c r="KNP19" s="590"/>
      <c r="KNQ19" s="590"/>
      <c r="KNR19" s="590"/>
      <c r="KNS19" s="590"/>
      <c r="KNT19" s="590"/>
      <c r="KNU19" s="590"/>
      <c r="KNV19" s="590"/>
      <c r="KNW19" s="590"/>
      <c r="KNX19" s="590"/>
      <c r="KNY19" s="590"/>
      <c r="KNZ19" s="590"/>
      <c r="KOA19" s="587"/>
      <c r="KOB19" s="588"/>
      <c r="KOC19" s="589"/>
      <c r="KOD19" s="589"/>
      <c r="KOE19" s="590"/>
      <c r="KOF19" s="589"/>
      <c r="KOG19" s="589"/>
      <c r="KOH19" s="589"/>
      <c r="KOI19" s="591"/>
      <c r="KOJ19" s="589"/>
      <c r="KOK19" s="590"/>
      <c r="KOL19" s="589"/>
      <c r="KOM19" s="589"/>
      <c r="KON19" s="589"/>
      <c r="KOO19" s="590"/>
      <c r="KOP19" s="590"/>
      <c r="KOQ19" s="590"/>
      <c r="KOR19" s="590"/>
      <c r="KOS19" s="590"/>
      <c r="KOT19" s="590"/>
      <c r="KOU19" s="590"/>
      <c r="KOV19" s="590"/>
      <c r="KOW19" s="590"/>
      <c r="KOX19" s="590"/>
      <c r="KOY19" s="590"/>
      <c r="KOZ19" s="590"/>
      <c r="KPA19" s="587"/>
      <c r="KPB19" s="588"/>
      <c r="KPC19" s="589"/>
      <c r="KPD19" s="589"/>
      <c r="KPE19" s="590"/>
      <c r="KPF19" s="589"/>
      <c r="KPG19" s="589"/>
      <c r="KPH19" s="589"/>
      <c r="KPI19" s="591"/>
      <c r="KPJ19" s="589"/>
      <c r="KPK19" s="590"/>
      <c r="KPL19" s="589"/>
      <c r="KPM19" s="589"/>
      <c r="KPN19" s="589"/>
      <c r="KPO19" s="590"/>
      <c r="KPP19" s="590"/>
      <c r="KPQ19" s="590"/>
      <c r="KPR19" s="590"/>
      <c r="KPS19" s="590"/>
      <c r="KPT19" s="590"/>
      <c r="KPU19" s="590"/>
      <c r="KPV19" s="590"/>
      <c r="KPW19" s="590"/>
      <c r="KPX19" s="590"/>
      <c r="KPY19" s="590"/>
      <c r="KPZ19" s="590"/>
      <c r="KQA19" s="587"/>
      <c r="KQB19" s="588"/>
      <c r="KQC19" s="589"/>
      <c r="KQD19" s="589"/>
      <c r="KQE19" s="590"/>
      <c r="KQF19" s="589"/>
      <c r="KQG19" s="589"/>
      <c r="KQH19" s="589"/>
      <c r="KQI19" s="591"/>
      <c r="KQJ19" s="589"/>
      <c r="KQK19" s="590"/>
      <c r="KQL19" s="589"/>
      <c r="KQM19" s="589"/>
      <c r="KQN19" s="589"/>
      <c r="KQO19" s="590"/>
      <c r="KQP19" s="590"/>
      <c r="KQQ19" s="590"/>
      <c r="KQR19" s="590"/>
      <c r="KQS19" s="590"/>
      <c r="KQT19" s="590"/>
      <c r="KQU19" s="590"/>
      <c r="KQV19" s="590"/>
      <c r="KQW19" s="590"/>
      <c r="KQX19" s="590"/>
      <c r="KQY19" s="590"/>
      <c r="KQZ19" s="590"/>
      <c r="KRA19" s="587"/>
      <c r="KRB19" s="588"/>
      <c r="KRC19" s="589"/>
      <c r="KRD19" s="589"/>
      <c r="KRE19" s="590"/>
      <c r="KRF19" s="589"/>
      <c r="KRG19" s="589"/>
      <c r="KRH19" s="589"/>
      <c r="KRI19" s="591"/>
      <c r="KRJ19" s="589"/>
      <c r="KRK19" s="590"/>
      <c r="KRL19" s="589"/>
      <c r="KRM19" s="589"/>
      <c r="KRN19" s="589"/>
      <c r="KRO19" s="590"/>
      <c r="KRP19" s="590"/>
      <c r="KRQ19" s="590"/>
      <c r="KRR19" s="590"/>
      <c r="KRS19" s="590"/>
      <c r="KRT19" s="590"/>
      <c r="KRU19" s="590"/>
      <c r="KRV19" s="590"/>
      <c r="KRW19" s="590"/>
      <c r="KRX19" s="590"/>
      <c r="KRY19" s="590"/>
      <c r="KRZ19" s="590"/>
      <c r="KSA19" s="587"/>
      <c r="KSB19" s="588"/>
      <c r="KSC19" s="589"/>
      <c r="KSD19" s="589"/>
      <c r="KSE19" s="590"/>
      <c r="KSF19" s="589"/>
      <c r="KSG19" s="589"/>
      <c r="KSH19" s="589"/>
      <c r="KSI19" s="591"/>
      <c r="KSJ19" s="589"/>
      <c r="KSK19" s="590"/>
      <c r="KSL19" s="589"/>
      <c r="KSM19" s="589"/>
      <c r="KSN19" s="589"/>
      <c r="KSO19" s="590"/>
      <c r="KSP19" s="590"/>
      <c r="KSQ19" s="590"/>
      <c r="KSR19" s="590"/>
      <c r="KSS19" s="590"/>
      <c r="KST19" s="590"/>
      <c r="KSU19" s="590"/>
      <c r="KSV19" s="590"/>
      <c r="KSW19" s="590"/>
      <c r="KSX19" s="590"/>
      <c r="KSY19" s="590"/>
      <c r="KSZ19" s="590"/>
      <c r="KTA19" s="587"/>
      <c r="KTB19" s="588"/>
      <c r="KTC19" s="589"/>
      <c r="KTD19" s="589"/>
      <c r="KTE19" s="590"/>
      <c r="KTF19" s="589"/>
      <c r="KTG19" s="589"/>
      <c r="KTH19" s="589"/>
      <c r="KTI19" s="591"/>
      <c r="KTJ19" s="589"/>
      <c r="KTK19" s="590"/>
      <c r="KTL19" s="589"/>
      <c r="KTM19" s="589"/>
      <c r="KTN19" s="589"/>
      <c r="KTO19" s="590"/>
      <c r="KTP19" s="590"/>
      <c r="KTQ19" s="590"/>
      <c r="KTR19" s="590"/>
      <c r="KTS19" s="590"/>
      <c r="KTT19" s="590"/>
      <c r="KTU19" s="590"/>
      <c r="KTV19" s="590"/>
      <c r="KTW19" s="590"/>
      <c r="KTX19" s="590"/>
      <c r="KTY19" s="590"/>
      <c r="KTZ19" s="590"/>
      <c r="KUA19" s="587"/>
      <c r="KUB19" s="588"/>
      <c r="KUC19" s="589"/>
      <c r="KUD19" s="589"/>
      <c r="KUE19" s="590"/>
      <c r="KUF19" s="589"/>
      <c r="KUG19" s="589"/>
      <c r="KUH19" s="589"/>
      <c r="KUI19" s="591"/>
      <c r="KUJ19" s="589"/>
      <c r="KUK19" s="590"/>
      <c r="KUL19" s="589"/>
      <c r="KUM19" s="589"/>
      <c r="KUN19" s="589"/>
      <c r="KUO19" s="590"/>
      <c r="KUP19" s="590"/>
      <c r="KUQ19" s="590"/>
      <c r="KUR19" s="590"/>
      <c r="KUS19" s="590"/>
      <c r="KUT19" s="590"/>
      <c r="KUU19" s="590"/>
      <c r="KUV19" s="590"/>
      <c r="KUW19" s="590"/>
      <c r="KUX19" s="590"/>
      <c r="KUY19" s="590"/>
      <c r="KUZ19" s="590"/>
      <c r="KVA19" s="587"/>
      <c r="KVB19" s="588"/>
      <c r="KVC19" s="589"/>
      <c r="KVD19" s="589"/>
      <c r="KVE19" s="590"/>
      <c r="KVF19" s="589"/>
      <c r="KVG19" s="589"/>
      <c r="KVH19" s="589"/>
      <c r="KVI19" s="591"/>
      <c r="KVJ19" s="589"/>
      <c r="KVK19" s="590"/>
      <c r="KVL19" s="589"/>
      <c r="KVM19" s="589"/>
      <c r="KVN19" s="589"/>
      <c r="KVO19" s="590"/>
      <c r="KVP19" s="590"/>
      <c r="KVQ19" s="590"/>
      <c r="KVR19" s="590"/>
      <c r="KVS19" s="590"/>
      <c r="KVT19" s="590"/>
      <c r="KVU19" s="590"/>
      <c r="KVV19" s="590"/>
      <c r="KVW19" s="590"/>
      <c r="KVX19" s="590"/>
      <c r="KVY19" s="590"/>
      <c r="KVZ19" s="590"/>
      <c r="KWA19" s="587"/>
      <c r="KWB19" s="588"/>
      <c r="KWC19" s="589"/>
      <c r="KWD19" s="589"/>
      <c r="KWE19" s="590"/>
      <c r="KWF19" s="589"/>
      <c r="KWG19" s="589"/>
      <c r="KWH19" s="589"/>
      <c r="KWI19" s="591"/>
      <c r="KWJ19" s="589"/>
      <c r="KWK19" s="590"/>
      <c r="KWL19" s="589"/>
      <c r="KWM19" s="589"/>
      <c r="KWN19" s="589"/>
      <c r="KWO19" s="590"/>
      <c r="KWP19" s="590"/>
      <c r="KWQ19" s="590"/>
      <c r="KWR19" s="590"/>
      <c r="KWS19" s="590"/>
      <c r="KWT19" s="590"/>
      <c r="KWU19" s="590"/>
      <c r="KWV19" s="590"/>
      <c r="KWW19" s="590"/>
      <c r="KWX19" s="590"/>
      <c r="KWY19" s="590"/>
      <c r="KWZ19" s="590"/>
      <c r="KXA19" s="587"/>
      <c r="KXB19" s="588"/>
      <c r="KXC19" s="589"/>
      <c r="KXD19" s="589"/>
      <c r="KXE19" s="590"/>
      <c r="KXF19" s="589"/>
      <c r="KXG19" s="589"/>
      <c r="KXH19" s="589"/>
      <c r="KXI19" s="591"/>
      <c r="KXJ19" s="589"/>
      <c r="KXK19" s="590"/>
      <c r="KXL19" s="589"/>
      <c r="KXM19" s="589"/>
      <c r="KXN19" s="589"/>
      <c r="KXO19" s="590"/>
      <c r="KXP19" s="590"/>
      <c r="KXQ19" s="590"/>
      <c r="KXR19" s="590"/>
      <c r="KXS19" s="590"/>
      <c r="KXT19" s="590"/>
      <c r="KXU19" s="590"/>
      <c r="KXV19" s="590"/>
      <c r="KXW19" s="590"/>
      <c r="KXX19" s="590"/>
      <c r="KXY19" s="590"/>
      <c r="KXZ19" s="590"/>
      <c r="KYA19" s="587"/>
      <c r="KYB19" s="588"/>
      <c r="KYC19" s="589"/>
      <c r="KYD19" s="589"/>
      <c r="KYE19" s="590"/>
      <c r="KYF19" s="589"/>
      <c r="KYG19" s="589"/>
      <c r="KYH19" s="589"/>
      <c r="KYI19" s="591"/>
      <c r="KYJ19" s="589"/>
      <c r="KYK19" s="590"/>
      <c r="KYL19" s="589"/>
      <c r="KYM19" s="589"/>
      <c r="KYN19" s="589"/>
      <c r="KYO19" s="590"/>
      <c r="KYP19" s="590"/>
      <c r="KYQ19" s="590"/>
      <c r="KYR19" s="590"/>
      <c r="KYS19" s="590"/>
      <c r="KYT19" s="590"/>
      <c r="KYU19" s="590"/>
      <c r="KYV19" s="590"/>
      <c r="KYW19" s="590"/>
      <c r="KYX19" s="590"/>
      <c r="KYY19" s="590"/>
      <c r="KYZ19" s="590"/>
      <c r="KZA19" s="587"/>
      <c r="KZB19" s="588"/>
      <c r="KZC19" s="589"/>
      <c r="KZD19" s="589"/>
      <c r="KZE19" s="590"/>
      <c r="KZF19" s="589"/>
      <c r="KZG19" s="589"/>
      <c r="KZH19" s="589"/>
      <c r="KZI19" s="591"/>
      <c r="KZJ19" s="589"/>
      <c r="KZK19" s="590"/>
      <c r="KZL19" s="589"/>
      <c r="KZM19" s="589"/>
      <c r="KZN19" s="589"/>
      <c r="KZO19" s="590"/>
      <c r="KZP19" s="590"/>
      <c r="KZQ19" s="590"/>
      <c r="KZR19" s="590"/>
      <c r="KZS19" s="590"/>
      <c r="KZT19" s="590"/>
      <c r="KZU19" s="590"/>
      <c r="KZV19" s="590"/>
      <c r="KZW19" s="590"/>
      <c r="KZX19" s="590"/>
      <c r="KZY19" s="590"/>
      <c r="KZZ19" s="590"/>
      <c r="LAA19" s="587"/>
      <c r="LAB19" s="588"/>
      <c r="LAC19" s="589"/>
      <c r="LAD19" s="589"/>
      <c r="LAE19" s="590"/>
      <c r="LAF19" s="589"/>
      <c r="LAG19" s="589"/>
      <c r="LAH19" s="589"/>
      <c r="LAI19" s="591"/>
      <c r="LAJ19" s="589"/>
      <c r="LAK19" s="590"/>
      <c r="LAL19" s="589"/>
      <c r="LAM19" s="589"/>
      <c r="LAN19" s="589"/>
      <c r="LAO19" s="590"/>
      <c r="LAP19" s="590"/>
      <c r="LAQ19" s="590"/>
      <c r="LAR19" s="590"/>
      <c r="LAS19" s="590"/>
      <c r="LAT19" s="590"/>
      <c r="LAU19" s="590"/>
      <c r="LAV19" s="590"/>
      <c r="LAW19" s="590"/>
      <c r="LAX19" s="590"/>
      <c r="LAY19" s="590"/>
      <c r="LAZ19" s="590"/>
      <c r="LBA19" s="587"/>
      <c r="LBB19" s="588"/>
      <c r="LBC19" s="589"/>
      <c r="LBD19" s="589"/>
      <c r="LBE19" s="590"/>
      <c r="LBF19" s="589"/>
      <c r="LBG19" s="589"/>
      <c r="LBH19" s="589"/>
      <c r="LBI19" s="591"/>
      <c r="LBJ19" s="589"/>
      <c r="LBK19" s="590"/>
      <c r="LBL19" s="589"/>
      <c r="LBM19" s="589"/>
      <c r="LBN19" s="589"/>
      <c r="LBO19" s="590"/>
      <c r="LBP19" s="590"/>
      <c r="LBQ19" s="590"/>
      <c r="LBR19" s="590"/>
      <c r="LBS19" s="590"/>
      <c r="LBT19" s="590"/>
      <c r="LBU19" s="590"/>
      <c r="LBV19" s="590"/>
      <c r="LBW19" s="590"/>
      <c r="LBX19" s="590"/>
      <c r="LBY19" s="590"/>
      <c r="LBZ19" s="590"/>
      <c r="LCA19" s="587"/>
      <c r="LCB19" s="588"/>
      <c r="LCC19" s="589"/>
      <c r="LCD19" s="589"/>
      <c r="LCE19" s="590"/>
      <c r="LCF19" s="589"/>
      <c r="LCG19" s="589"/>
      <c r="LCH19" s="589"/>
      <c r="LCI19" s="591"/>
      <c r="LCJ19" s="589"/>
      <c r="LCK19" s="590"/>
      <c r="LCL19" s="589"/>
      <c r="LCM19" s="589"/>
      <c r="LCN19" s="589"/>
      <c r="LCO19" s="590"/>
      <c r="LCP19" s="590"/>
      <c r="LCQ19" s="590"/>
      <c r="LCR19" s="590"/>
      <c r="LCS19" s="590"/>
      <c r="LCT19" s="590"/>
      <c r="LCU19" s="590"/>
      <c r="LCV19" s="590"/>
      <c r="LCW19" s="590"/>
      <c r="LCX19" s="590"/>
      <c r="LCY19" s="590"/>
      <c r="LCZ19" s="590"/>
      <c r="LDA19" s="587"/>
      <c r="LDB19" s="588"/>
      <c r="LDC19" s="589"/>
      <c r="LDD19" s="589"/>
      <c r="LDE19" s="590"/>
      <c r="LDF19" s="589"/>
      <c r="LDG19" s="589"/>
      <c r="LDH19" s="589"/>
      <c r="LDI19" s="591"/>
      <c r="LDJ19" s="589"/>
      <c r="LDK19" s="590"/>
      <c r="LDL19" s="589"/>
      <c r="LDM19" s="589"/>
      <c r="LDN19" s="589"/>
      <c r="LDO19" s="590"/>
      <c r="LDP19" s="590"/>
      <c r="LDQ19" s="590"/>
      <c r="LDR19" s="590"/>
      <c r="LDS19" s="590"/>
      <c r="LDT19" s="590"/>
      <c r="LDU19" s="590"/>
      <c r="LDV19" s="590"/>
      <c r="LDW19" s="590"/>
      <c r="LDX19" s="590"/>
      <c r="LDY19" s="590"/>
      <c r="LDZ19" s="590"/>
      <c r="LEA19" s="587"/>
      <c r="LEB19" s="588"/>
      <c r="LEC19" s="589"/>
      <c r="LED19" s="589"/>
      <c r="LEE19" s="590"/>
      <c r="LEF19" s="589"/>
      <c r="LEG19" s="589"/>
      <c r="LEH19" s="589"/>
      <c r="LEI19" s="591"/>
      <c r="LEJ19" s="589"/>
      <c r="LEK19" s="590"/>
      <c r="LEL19" s="589"/>
      <c r="LEM19" s="589"/>
      <c r="LEN19" s="589"/>
      <c r="LEO19" s="590"/>
      <c r="LEP19" s="590"/>
      <c r="LEQ19" s="590"/>
      <c r="LER19" s="590"/>
      <c r="LES19" s="590"/>
      <c r="LET19" s="590"/>
      <c r="LEU19" s="590"/>
      <c r="LEV19" s="590"/>
      <c r="LEW19" s="590"/>
      <c r="LEX19" s="590"/>
      <c r="LEY19" s="590"/>
      <c r="LEZ19" s="590"/>
      <c r="LFA19" s="587"/>
      <c r="LFB19" s="588"/>
      <c r="LFC19" s="589"/>
      <c r="LFD19" s="589"/>
      <c r="LFE19" s="590"/>
      <c r="LFF19" s="589"/>
      <c r="LFG19" s="589"/>
      <c r="LFH19" s="589"/>
      <c r="LFI19" s="591"/>
      <c r="LFJ19" s="589"/>
      <c r="LFK19" s="590"/>
      <c r="LFL19" s="589"/>
      <c r="LFM19" s="589"/>
      <c r="LFN19" s="589"/>
      <c r="LFO19" s="590"/>
      <c r="LFP19" s="590"/>
      <c r="LFQ19" s="590"/>
      <c r="LFR19" s="590"/>
      <c r="LFS19" s="590"/>
      <c r="LFT19" s="590"/>
      <c r="LFU19" s="590"/>
      <c r="LFV19" s="590"/>
      <c r="LFW19" s="590"/>
      <c r="LFX19" s="590"/>
      <c r="LFY19" s="590"/>
      <c r="LFZ19" s="590"/>
      <c r="LGA19" s="587"/>
      <c r="LGB19" s="588"/>
      <c r="LGC19" s="589"/>
      <c r="LGD19" s="589"/>
      <c r="LGE19" s="590"/>
      <c r="LGF19" s="589"/>
      <c r="LGG19" s="589"/>
      <c r="LGH19" s="589"/>
      <c r="LGI19" s="591"/>
      <c r="LGJ19" s="589"/>
      <c r="LGK19" s="590"/>
      <c r="LGL19" s="589"/>
      <c r="LGM19" s="589"/>
      <c r="LGN19" s="589"/>
      <c r="LGO19" s="590"/>
      <c r="LGP19" s="590"/>
      <c r="LGQ19" s="590"/>
      <c r="LGR19" s="590"/>
      <c r="LGS19" s="590"/>
      <c r="LGT19" s="590"/>
      <c r="LGU19" s="590"/>
      <c r="LGV19" s="590"/>
      <c r="LGW19" s="590"/>
      <c r="LGX19" s="590"/>
      <c r="LGY19" s="590"/>
      <c r="LGZ19" s="590"/>
      <c r="LHA19" s="587"/>
      <c r="LHB19" s="588"/>
      <c r="LHC19" s="589"/>
      <c r="LHD19" s="589"/>
      <c r="LHE19" s="590"/>
      <c r="LHF19" s="589"/>
      <c r="LHG19" s="589"/>
      <c r="LHH19" s="589"/>
      <c r="LHI19" s="591"/>
      <c r="LHJ19" s="589"/>
      <c r="LHK19" s="590"/>
      <c r="LHL19" s="589"/>
      <c r="LHM19" s="589"/>
      <c r="LHN19" s="589"/>
      <c r="LHO19" s="590"/>
      <c r="LHP19" s="590"/>
      <c r="LHQ19" s="590"/>
      <c r="LHR19" s="590"/>
      <c r="LHS19" s="590"/>
      <c r="LHT19" s="590"/>
      <c r="LHU19" s="590"/>
      <c r="LHV19" s="590"/>
      <c r="LHW19" s="590"/>
      <c r="LHX19" s="590"/>
      <c r="LHY19" s="590"/>
      <c r="LHZ19" s="590"/>
      <c r="LIA19" s="587"/>
      <c r="LIB19" s="588"/>
      <c r="LIC19" s="589"/>
      <c r="LID19" s="589"/>
      <c r="LIE19" s="590"/>
      <c r="LIF19" s="589"/>
      <c r="LIG19" s="589"/>
      <c r="LIH19" s="589"/>
      <c r="LII19" s="591"/>
      <c r="LIJ19" s="589"/>
      <c r="LIK19" s="590"/>
      <c r="LIL19" s="589"/>
      <c r="LIM19" s="589"/>
      <c r="LIN19" s="589"/>
      <c r="LIO19" s="590"/>
      <c r="LIP19" s="590"/>
      <c r="LIQ19" s="590"/>
      <c r="LIR19" s="590"/>
      <c r="LIS19" s="590"/>
      <c r="LIT19" s="590"/>
      <c r="LIU19" s="590"/>
      <c r="LIV19" s="590"/>
      <c r="LIW19" s="590"/>
      <c r="LIX19" s="590"/>
      <c r="LIY19" s="590"/>
      <c r="LIZ19" s="590"/>
      <c r="LJA19" s="587"/>
      <c r="LJB19" s="588"/>
      <c r="LJC19" s="589"/>
      <c r="LJD19" s="589"/>
      <c r="LJE19" s="590"/>
      <c r="LJF19" s="589"/>
      <c r="LJG19" s="589"/>
      <c r="LJH19" s="589"/>
      <c r="LJI19" s="591"/>
      <c r="LJJ19" s="589"/>
      <c r="LJK19" s="590"/>
      <c r="LJL19" s="589"/>
      <c r="LJM19" s="589"/>
      <c r="LJN19" s="589"/>
      <c r="LJO19" s="590"/>
      <c r="LJP19" s="590"/>
      <c r="LJQ19" s="590"/>
      <c r="LJR19" s="590"/>
      <c r="LJS19" s="590"/>
      <c r="LJT19" s="590"/>
      <c r="LJU19" s="590"/>
      <c r="LJV19" s="590"/>
      <c r="LJW19" s="590"/>
      <c r="LJX19" s="590"/>
      <c r="LJY19" s="590"/>
      <c r="LJZ19" s="590"/>
      <c r="LKA19" s="587"/>
      <c r="LKB19" s="588"/>
      <c r="LKC19" s="589"/>
      <c r="LKD19" s="589"/>
      <c r="LKE19" s="590"/>
      <c r="LKF19" s="589"/>
      <c r="LKG19" s="589"/>
      <c r="LKH19" s="589"/>
      <c r="LKI19" s="591"/>
      <c r="LKJ19" s="589"/>
      <c r="LKK19" s="590"/>
      <c r="LKL19" s="589"/>
      <c r="LKM19" s="589"/>
      <c r="LKN19" s="589"/>
      <c r="LKO19" s="590"/>
      <c r="LKP19" s="590"/>
      <c r="LKQ19" s="590"/>
      <c r="LKR19" s="590"/>
      <c r="LKS19" s="590"/>
      <c r="LKT19" s="590"/>
      <c r="LKU19" s="590"/>
      <c r="LKV19" s="590"/>
      <c r="LKW19" s="590"/>
      <c r="LKX19" s="590"/>
      <c r="LKY19" s="590"/>
      <c r="LKZ19" s="590"/>
      <c r="LLA19" s="587"/>
      <c r="LLB19" s="588"/>
      <c r="LLC19" s="589"/>
      <c r="LLD19" s="589"/>
      <c r="LLE19" s="590"/>
      <c r="LLF19" s="589"/>
      <c r="LLG19" s="589"/>
      <c r="LLH19" s="589"/>
      <c r="LLI19" s="591"/>
      <c r="LLJ19" s="589"/>
      <c r="LLK19" s="590"/>
      <c r="LLL19" s="589"/>
      <c r="LLM19" s="589"/>
      <c r="LLN19" s="589"/>
      <c r="LLO19" s="590"/>
      <c r="LLP19" s="590"/>
      <c r="LLQ19" s="590"/>
      <c r="LLR19" s="590"/>
      <c r="LLS19" s="590"/>
      <c r="LLT19" s="590"/>
      <c r="LLU19" s="590"/>
      <c r="LLV19" s="590"/>
      <c r="LLW19" s="590"/>
      <c r="LLX19" s="590"/>
      <c r="LLY19" s="590"/>
      <c r="LLZ19" s="590"/>
      <c r="LMA19" s="587"/>
      <c r="LMB19" s="588"/>
      <c r="LMC19" s="589"/>
      <c r="LMD19" s="589"/>
      <c r="LME19" s="590"/>
      <c r="LMF19" s="589"/>
      <c r="LMG19" s="589"/>
      <c r="LMH19" s="589"/>
      <c r="LMI19" s="591"/>
      <c r="LMJ19" s="589"/>
      <c r="LMK19" s="590"/>
      <c r="LML19" s="589"/>
      <c r="LMM19" s="589"/>
      <c r="LMN19" s="589"/>
      <c r="LMO19" s="590"/>
      <c r="LMP19" s="590"/>
      <c r="LMQ19" s="590"/>
      <c r="LMR19" s="590"/>
      <c r="LMS19" s="590"/>
      <c r="LMT19" s="590"/>
      <c r="LMU19" s="590"/>
      <c r="LMV19" s="590"/>
      <c r="LMW19" s="590"/>
      <c r="LMX19" s="590"/>
      <c r="LMY19" s="590"/>
      <c r="LMZ19" s="590"/>
      <c r="LNA19" s="587"/>
      <c r="LNB19" s="588"/>
      <c r="LNC19" s="589"/>
      <c r="LND19" s="589"/>
      <c r="LNE19" s="590"/>
      <c r="LNF19" s="589"/>
      <c r="LNG19" s="589"/>
      <c r="LNH19" s="589"/>
      <c r="LNI19" s="591"/>
      <c r="LNJ19" s="589"/>
      <c r="LNK19" s="590"/>
      <c r="LNL19" s="589"/>
      <c r="LNM19" s="589"/>
      <c r="LNN19" s="589"/>
      <c r="LNO19" s="590"/>
      <c r="LNP19" s="590"/>
      <c r="LNQ19" s="590"/>
      <c r="LNR19" s="590"/>
      <c r="LNS19" s="590"/>
      <c r="LNT19" s="590"/>
      <c r="LNU19" s="590"/>
      <c r="LNV19" s="590"/>
      <c r="LNW19" s="590"/>
      <c r="LNX19" s="590"/>
      <c r="LNY19" s="590"/>
      <c r="LNZ19" s="590"/>
      <c r="LOA19" s="587"/>
      <c r="LOB19" s="588"/>
      <c r="LOC19" s="589"/>
      <c r="LOD19" s="589"/>
      <c r="LOE19" s="590"/>
      <c r="LOF19" s="589"/>
      <c r="LOG19" s="589"/>
      <c r="LOH19" s="589"/>
      <c r="LOI19" s="591"/>
      <c r="LOJ19" s="589"/>
      <c r="LOK19" s="590"/>
      <c r="LOL19" s="589"/>
      <c r="LOM19" s="589"/>
      <c r="LON19" s="589"/>
      <c r="LOO19" s="590"/>
      <c r="LOP19" s="590"/>
      <c r="LOQ19" s="590"/>
      <c r="LOR19" s="590"/>
      <c r="LOS19" s="590"/>
      <c r="LOT19" s="590"/>
      <c r="LOU19" s="590"/>
      <c r="LOV19" s="590"/>
      <c r="LOW19" s="590"/>
      <c r="LOX19" s="590"/>
      <c r="LOY19" s="590"/>
      <c r="LOZ19" s="590"/>
      <c r="LPA19" s="587"/>
      <c r="LPB19" s="588"/>
      <c r="LPC19" s="589"/>
      <c r="LPD19" s="589"/>
      <c r="LPE19" s="590"/>
      <c r="LPF19" s="589"/>
      <c r="LPG19" s="589"/>
      <c r="LPH19" s="589"/>
      <c r="LPI19" s="591"/>
      <c r="LPJ19" s="589"/>
      <c r="LPK19" s="590"/>
      <c r="LPL19" s="589"/>
      <c r="LPM19" s="589"/>
      <c r="LPN19" s="589"/>
      <c r="LPO19" s="590"/>
      <c r="LPP19" s="590"/>
      <c r="LPQ19" s="590"/>
      <c r="LPR19" s="590"/>
      <c r="LPS19" s="590"/>
      <c r="LPT19" s="590"/>
      <c r="LPU19" s="590"/>
      <c r="LPV19" s="590"/>
      <c r="LPW19" s="590"/>
      <c r="LPX19" s="590"/>
      <c r="LPY19" s="590"/>
      <c r="LPZ19" s="590"/>
      <c r="LQA19" s="587"/>
      <c r="LQB19" s="588"/>
      <c r="LQC19" s="589"/>
      <c r="LQD19" s="589"/>
      <c r="LQE19" s="590"/>
      <c r="LQF19" s="589"/>
      <c r="LQG19" s="589"/>
      <c r="LQH19" s="589"/>
      <c r="LQI19" s="591"/>
      <c r="LQJ19" s="589"/>
      <c r="LQK19" s="590"/>
      <c r="LQL19" s="589"/>
      <c r="LQM19" s="589"/>
      <c r="LQN19" s="589"/>
      <c r="LQO19" s="590"/>
      <c r="LQP19" s="590"/>
      <c r="LQQ19" s="590"/>
      <c r="LQR19" s="590"/>
      <c r="LQS19" s="590"/>
      <c r="LQT19" s="590"/>
      <c r="LQU19" s="590"/>
      <c r="LQV19" s="590"/>
      <c r="LQW19" s="590"/>
      <c r="LQX19" s="590"/>
      <c r="LQY19" s="590"/>
      <c r="LQZ19" s="590"/>
      <c r="LRA19" s="587"/>
      <c r="LRB19" s="588"/>
      <c r="LRC19" s="589"/>
      <c r="LRD19" s="589"/>
      <c r="LRE19" s="590"/>
      <c r="LRF19" s="589"/>
      <c r="LRG19" s="589"/>
      <c r="LRH19" s="589"/>
      <c r="LRI19" s="591"/>
      <c r="LRJ19" s="589"/>
      <c r="LRK19" s="590"/>
      <c r="LRL19" s="589"/>
      <c r="LRM19" s="589"/>
      <c r="LRN19" s="589"/>
      <c r="LRO19" s="590"/>
      <c r="LRP19" s="590"/>
      <c r="LRQ19" s="590"/>
      <c r="LRR19" s="590"/>
      <c r="LRS19" s="590"/>
      <c r="LRT19" s="590"/>
      <c r="LRU19" s="590"/>
      <c r="LRV19" s="590"/>
      <c r="LRW19" s="590"/>
      <c r="LRX19" s="590"/>
      <c r="LRY19" s="590"/>
      <c r="LRZ19" s="590"/>
      <c r="LSA19" s="587"/>
      <c r="LSB19" s="588"/>
      <c r="LSC19" s="589"/>
      <c r="LSD19" s="589"/>
      <c r="LSE19" s="590"/>
      <c r="LSF19" s="589"/>
      <c r="LSG19" s="589"/>
      <c r="LSH19" s="589"/>
      <c r="LSI19" s="591"/>
      <c r="LSJ19" s="589"/>
      <c r="LSK19" s="590"/>
      <c r="LSL19" s="589"/>
      <c r="LSM19" s="589"/>
      <c r="LSN19" s="589"/>
      <c r="LSO19" s="590"/>
      <c r="LSP19" s="590"/>
      <c r="LSQ19" s="590"/>
      <c r="LSR19" s="590"/>
      <c r="LSS19" s="590"/>
      <c r="LST19" s="590"/>
      <c r="LSU19" s="590"/>
      <c r="LSV19" s="590"/>
      <c r="LSW19" s="590"/>
      <c r="LSX19" s="590"/>
      <c r="LSY19" s="590"/>
      <c r="LSZ19" s="590"/>
      <c r="LTA19" s="587"/>
      <c r="LTB19" s="588"/>
      <c r="LTC19" s="589"/>
      <c r="LTD19" s="589"/>
      <c r="LTE19" s="590"/>
      <c r="LTF19" s="589"/>
      <c r="LTG19" s="589"/>
      <c r="LTH19" s="589"/>
      <c r="LTI19" s="591"/>
      <c r="LTJ19" s="589"/>
      <c r="LTK19" s="590"/>
      <c r="LTL19" s="589"/>
      <c r="LTM19" s="589"/>
      <c r="LTN19" s="589"/>
      <c r="LTO19" s="590"/>
      <c r="LTP19" s="590"/>
      <c r="LTQ19" s="590"/>
      <c r="LTR19" s="590"/>
      <c r="LTS19" s="590"/>
      <c r="LTT19" s="590"/>
      <c r="LTU19" s="590"/>
      <c r="LTV19" s="590"/>
      <c r="LTW19" s="590"/>
      <c r="LTX19" s="590"/>
      <c r="LTY19" s="590"/>
      <c r="LTZ19" s="590"/>
      <c r="LUA19" s="587"/>
      <c r="LUB19" s="588"/>
      <c r="LUC19" s="589"/>
      <c r="LUD19" s="589"/>
      <c r="LUE19" s="590"/>
      <c r="LUF19" s="589"/>
      <c r="LUG19" s="589"/>
      <c r="LUH19" s="589"/>
      <c r="LUI19" s="591"/>
      <c r="LUJ19" s="589"/>
      <c r="LUK19" s="590"/>
      <c r="LUL19" s="589"/>
      <c r="LUM19" s="589"/>
      <c r="LUN19" s="589"/>
      <c r="LUO19" s="590"/>
      <c r="LUP19" s="590"/>
      <c r="LUQ19" s="590"/>
      <c r="LUR19" s="590"/>
      <c r="LUS19" s="590"/>
      <c r="LUT19" s="590"/>
      <c r="LUU19" s="590"/>
      <c r="LUV19" s="590"/>
      <c r="LUW19" s="590"/>
      <c r="LUX19" s="590"/>
      <c r="LUY19" s="590"/>
      <c r="LUZ19" s="590"/>
      <c r="LVA19" s="587"/>
      <c r="LVB19" s="588"/>
      <c r="LVC19" s="589"/>
      <c r="LVD19" s="589"/>
      <c r="LVE19" s="590"/>
      <c r="LVF19" s="589"/>
      <c r="LVG19" s="589"/>
      <c r="LVH19" s="589"/>
      <c r="LVI19" s="591"/>
      <c r="LVJ19" s="589"/>
      <c r="LVK19" s="590"/>
      <c r="LVL19" s="589"/>
      <c r="LVM19" s="589"/>
      <c r="LVN19" s="589"/>
      <c r="LVO19" s="590"/>
      <c r="LVP19" s="590"/>
      <c r="LVQ19" s="590"/>
      <c r="LVR19" s="590"/>
      <c r="LVS19" s="590"/>
      <c r="LVT19" s="590"/>
      <c r="LVU19" s="590"/>
      <c r="LVV19" s="590"/>
      <c r="LVW19" s="590"/>
      <c r="LVX19" s="590"/>
      <c r="LVY19" s="590"/>
      <c r="LVZ19" s="590"/>
      <c r="LWA19" s="587"/>
      <c r="LWB19" s="588"/>
      <c r="LWC19" s="589"/>
      <c r="LWD19" s="589"/>
      <c r="LWE19" s="590"/>
      <c r="LWF19" s="589"/>
      <c r="LWG19" s="589"/>
      <c r="LWH19" s="589"/>
      <c r="LWI19" s="591"/>
      <c r="LWJ19" s="589"/>
      <c r="LWK19" s="590"/>
      <c r="LWL19" s="589"/>
      <c r="LWM19" s="589"/>
      <c r="LWN19" s="589"/>
      <c r="LWO19" s="590"/>
      <c r="LWP19" s="590"/>
      <c r="LWQ19" s="590"/>
      <c r="LWR19" s="590"/>
      <c r="LWS19" s="590"/>
      <c r="LWT19" s="590"/>
      <c r="LWU19" s="590"/>
      <c r="LWV19" s="590"/>
      <c r="LWW19" s="590"/>
      <c r="LWX19" s="590"/>
      <c r="LWY19" s="590"/>
      <c r="LWZ19" s="590"/>
      <c r="LXA19" s="587"/>
      <c r="LXB19" s="588"/>
      <c r="LXC19" s="589"/>
      <c r="LXD19" s="589"/>
      <c r="LXE19" s="590"/>
      <c r="LXF19" s="589"/>
      <c r="LXG19" s="589"/>
      <c r="LXH19" s="589"/>
      <c r="LXI19" s="591"/>
      <c r="LXJ19" s="589"/>
      <c r="LXK19" s="590"/>
      <c r="LXL19" s="589"/>
      <c r="LXM19" s="589"/>
      <c r="LXN19" s="589"/>
      <c r="LXO19" s="590"/>
      <c r="LXP19" s="590"/>
      <c r="LXQ19" s="590"/>
      <c r="LXR19" s="590"/>
      <c r="LXS19" s="590"/>
      <c r="LXT19" s="590"/>
      <c r="LXU19" s="590"/>
      <c r="LXV19" s="590"/>
      <c r="LXW19" s="590"/>
      <c r="LXX19" s="590"/>
      <c r="LXY19" s="590"/>
      <c r="LXZ19" s="590"/>
      <c r="LYA19" s="587"/>
      <c r="LYB19" s="588"/>
      <c r="LYC19" s="589"/>
      <c r="LYD19" s="589"/>
      <c r="LYE19" s="590"/>
      <c r="LYF19" s="589"/>
      <c r="LYG19" s="589"/>
      <c r="LYH19" s="589"/>
      <c r="LYI19" s="591"/>
      <c r="LYJ19" s="589"/>
      <c r="LYK19" s="590"/>
      <c r="LYL19" s="589"/>
      <c r="LYM19" s="589"/>
      <c r="LYN19" s="589"/>
      <c r="LYO19" s="590"/>
      <c r="LYP19" s="590"/>
      <c r="LYQ19" s="590"/>
      <c r="LYR19" s="590"/>
      <c r="LYS19" s="590"/>
      <c r="LYT19" s="590"/>
      <c r="LYU19" s="590"/>
      <c r="LYV19" s="590"/>
      <c r="LYW19" s="590"/>
      <c r="LYX19" s="590"/>
      <c r="LYY19" s="590"/>
      <c r="LYZ19" s="590"/>
      <c r="LZA19" s="587"/>
      <c r="LZB19" s="588"/>
      <c r="LZC19" s="589"/>
      <c r="LZD19" s="589"/>
      <c r="LZE19" s="590"/>
      <c r="LZF19" s="589"/>
      <c r="LZG19" s="589"/>
      <c r="LZH19" s="589"/>
      <c r="LZI19" s="591"/>
      <c r="LZJ19" s="589"/>
      <c r="LZK19" s="590"/>
      <c r="LZL19" s="589"/>
      <c r="LZM19" s="589"/>
      <c r="LZN19" s="589"/>
      <c r="LZO19" s="590"/>
      <c r="LZP19" s="590"/>
      <c r="LZQ19" s="590"/>
      <c r="LZR19" s="590"/>
      <c r="LZS19" s="590"/>
      <c r="LZT19" s="590"/>
      <c r="LZU19" s="590"/>
      <c r="LZV19" s="590"/>
      <c r="LZW19" s="590"/>
      <c r="LZX19" s="590"/>
      <c r="LZY19" s="590"/>
      <c r="LZZ19" s="590"/>
      <c r="MAA19" s="587"/>
      <c r="MAB19" s="588"/>
      <c r="MAC19" s="589"/>
      <c r="MAD19" s="589"/>
      <c r="MAE19" s="590"/>
      <c r="MAF19" s="589"/>
      <c r="MAG19" s="589"/>
      <c r="MAH19" s="589"/>
      <c r="MAI19" s="591"/>
      <c r="MAJ19" s="589"/>
      <c r="MAK19" s="590"/>
      <c r="MAL19" s="589"/>
      <c r="MAM19" s="589"/>
      <c r="MAN19" s="589"/>
      <c r="MAO19" s="590"/>
      <c r="MAP19" s="590"/>
      <c r="MAQ19" s="590"/>
      <c r="MAR19" s="590"/>
      <c r="MAS19" s="590"/>
      <c r="MAT19" s="590"/>
      <c r="MAU19" s="590"/>
      <c r="MAV19" s="590"/>
      <c r="MAW19" s="590"/>
      <c r="MAX19" s="590"/>
      <c r="MAY19" s="590"/>
      <c r="MAZ19" s="590"/>
      <c r="MBA19" s="587"/>
      <c r="MBB19" s="588"/>
      <c r="MBC19" s="589"/>
      <c r="MBD19" s="589"/>
      <c r="MBE19" s="590"/>
      <c r="MBF19" s="589"/>
      <c r="MBG19" s="589"/>
      <c r="MBH19" s="589"/>
      <c r="MBI19" s="591"/>
      <c r="MBJ19" s="589"/>
      <c r="MBK19" s="590"/>
      <c r="MBL19" s="589"/>
      <c r="MBM19" s="589"/>
      <c r="MBN19" s="589"/>
      <c r="MBO19" s="590"/>
      <c r="MBP19" s="590"/>
      <c r="MBQ19" s="590"/>
      <c r="MBR19" s="590"/>
      <c r="MBS19" s="590"/>
      <c r="MBT19" s="590"/>
      <c r="MBU19" s="590"/>
      <c r="MBV19" s="590"/>
      <c r="MBW19" s="590"/>
      <c r="MBX19" s="590"/>
      <c r="MBY19" s="590"/>
      <c r="MBZ19" s="590"/>
      <c r="MCA19" s="587"/>
      <c r="MCB19" s="588"/>
      <c r="MCC19" s="589"/>
      <c r="MCD19" s="589"/>
      <c r="MCE19" s="590"/>
      <c r="MCF19" s="589"/>
      <c r="MCG19" s="589"/>
      <c r="MCH19" s="589"/>
      <c r="MCI19" s="591"/>
      <c r="MCJ19" s="589"/>
      <c r="MCK19" s="590"/>
      <c r="MCL19" s="589"/>
      <c r="MCM19" s="589"/>
      <c r="MCN19" s="589"/>
      <c r="MCO19" s="590"/>
      <c r="MCP19" s="590"/>
      <c r="MCQ19" s="590"/>
      <c r="MCR19" s="590"/>
      <c r="MCS19" s="590"/>
      <c r="MCT19" s="590"/>
      <c r="MCU19" s="590"/>
      <c r="MCV19" s="590"/>
      <c r="MCW19" s="590"/>
      <c r="MCX19" s="590"/>
      <c r="MCY19" s="590"/>
      <c r="MCZ19" s="590"/>
      <c r="MDA19" s="587"/>
      <c r="MDB19" s="588"/>
      <c r="MDC19" s="589"/>
      <c r="MDD19" s="589"/>
      <c r="MDE19" s="590"/>
      <c r="MDF19" s="589"/>
      <c r="MDG19" s="589"/>
      <c r="MDH19" s="589"/>
      <c r="MDI19" s="591"/>
      <c r="MDJ19" s="589"/>
      <c r="MDK19" s="590"/>
      <c r="MDL19" s="589"/>
      <c r="MDM19" s="589"/>
      <c r="MDN19" s="589"/>
      <c r="MDO19" s="590"/>
      <c r="MDP19" s="590"/>
      <c r="MDQ19" s="590"/>
      <c r="MDR19" s="590"/>
      <c r="MDS19" s="590"/>
      <c r="MDT19" s="590"/>
      <c r="MDU19" s="590"/>
      <c r="MDV19" s="590"/>
      <c r="MDW19" s="590"/>
      <c r="MDX19" s="590"/>
      <c r="MDY19" s="590"/>
      <c r="MDZ19" s="590"/>
      <c r="MEA19" s="587"/>
      <c r="MEB19" s="588"/>
      <c r="MEC19" s="589"/>
      <c r="MED19" s="589"/>
      <c r="MEE19" s="590"/>
      <c r="MEF19" s="589"/>
      <c r="MEG19" s="589"/>
      <c r="MEH19" s="589"/>
      <c r="MEI19" s="591"/>
      <c r="MEJ19" s="589"/>
      <c r="MEK19" s="590"/>
      <c r="MEL19" s="589"/>
      <c r="MEM19" s="589"/>
      <c r="MEN19" s="589"/>
      <c r="MEO19" s="590"/>
      <c r="MEP19" s="590"/>
      <c r="MEQ19" s="590"/>
      <c r="MER19" s="590"/>
      <c r="MES19" s="590"/>
      <c r="MET19" s="590"/>
      <c r="MEU19" s="590"/>
      <c r="MEV19" s="590"/>
      <c r="MEW19" s="590"/>
      <c r="MEX19" s="590"/>
      <c r="MEY19" s="590"/>
      <c r="MEZ19" s="590"/>
      <c r="MFA19" s="587"/>
      <c r="MFB19" s="588"/>
      <c r="MFC19" s="589"/>
      <c r="MFD19" s="589"/>
      <c r="MFE19" s="590"/>
      <c r="MFF19" s="589"/>
      <c r="MFG19" s="589"/>
      <c r="MFH19" s="589"/>
      <c r="MFI19" s="591"/>
      <c r="MFJ19" s="589"/>
      <c r="MFK19" s="590"/>
      <c r="MFL19" s="589"/>
      <c r="MFM19" s="589"/>
      <c r="MFN19" s="589"/>
      <c r="MFO19" s="590"/>
      <c r="MFP19" s="590"/>
      <c r="MFQ19" s="590"/>
      <c r="MFR19" s="590"/>
      <c r="MFS19" s="590"/>
      <c r="MFT19" s="590"/>
      <c r="MFU19" s="590"/>
      <c r="MFV19" s="590"/>
      <c r="MFW19" s="590"/>
      <c r="MFX19" s="590"/>
      <c r="MFY19" s="590"/>
      <c r="MFZ19" s="590"/>
      <c r="MGA19" s="587"/>
      <c r="MGB19" s="588"/>
      <c r="MGC19" s="589"/>
      <c r="MGD19" s="589"/>
      <c r="MGE19" s="590"/>
      <c r="MGF19" s="589"/>
      <c r="MGG19" s="589"/>
      <c r="MGH19" s="589"/>
      <c r="MGI19" s="591"/>
      <c r="MGJ19" s="589"/>
      <c r="MGK19" s="590"/>
      <c r="MGL19" s="589"/>
      <c r="MGM19" s="589"/>
      <c r="MGN19" s="589"/>
      <c r="MGO19" s="590"/>
      <c r="MGP19" s="590"/>
      <c r="MGQ19" s="590"/>
      <c r="MGR19" s="590"/>
      <c r="MGS19" s="590"/>
      <c r="MGT19" s="590"/>
      <c r="MGU19" s="590"/>
      <c r="MGV19" s="590"/>
      <c r="MGW19" s="590"/>
      <c r="MGX19" s="590"/>
      <c r="MGY19" s="590"/>
      <c r="MGZ19" s="590"/>
      <c r="MHA19" s="587"/>
      <c r="MHB19" s="588"/>
      <c r="MHC19" s="589"/>
      <c r="MHD19" s="589"/>
      <c r="MHE19" s="590"/>
      <c r="MHF19" s="589"/>
      <c r="MHG19" s="589"/>
      <c r="MHH19" s="589"/>
      <c r="MHI19" s="591"/>
      <c r="MHJ19" s="589"/>
      <c r="MHK19" s="590"/>
      <c r="MHL19" s="589"/>
      <c r="MHM19" s="589"/>
      <c r="MHN19" s="589"/>
      <c r="MHO19" s="590"/>
      <c r="MHP19" s="590"/>
      <c r="MHQ19" s="590"/>
      <c r="MHR19" s="590"/>
      <c r="MHS19" s="590"/>
      <c r="MHT19" s="590"/>
      <c r="MHU19" s="590"/>
      <c r="MHV19" s="590"/>
      <c r="MHW19" s="590"/>
      <c r="MHX19" s="590"/>
      <c r="MHY19" s="590"/>
      <c r="MHZ19" s="590"/>
      <c r="MIA19" s="587"/>
      <c r="MIB19" s="588"/>
      <c r="MIC19" s="589"/>
      <c r="MID19" s="589"/>
      <c r="MIE19" s="590"/>
      <c r="MIF19" s="589"/>
      <c r="MIG19" s="589"/>
      <c r="MIH19" s="589"/>
      <c r="MII19" s="591"/>
      <c r="MIJ19" s="589"/>
      <c r="MIK19" s="590"/>
      <c r="MIL19" s="589"/>
      <c r="MIM19" s="589"/>
      <c r="MIN19" s="589"/>
      <c r="MIO19" s="590"/>
      <c r="MIP19" s="590"/>
      <c r="MIQ19" s="590"/>
      <c r="MIR19" s="590"/>
      <c r="MIS19" s="590"/>
      <c r="MIT19" s="590"/>
      <c r="MIU19" s="590"/>
      <c r="MIV19" s="590"/>
      <c r="MIW19" s="590"/>
      <c r="MIX19" s="590"/>
      <c r="MIY19" s="590"/>
      <c r="MIZ19" s="590"/>
      <c r="MJA19" s="587"/>
      <c r="MJB19" s="588"/>
      <c r="MJC19" s="589"/>
      <c r="MJD19" s="589"/>
      <c r="MJE19" s="590"/>
      <c r="MJF19" s="589"/>
      <c r="MJG19" s="589"/>
      <c r="MJH19" s="589"/>
      <c r="MJI19" s="591"/>
      <c r="MJJ19" s="589"/>
      <c r="MJK19" s="590"/>
      <c r="MJL19" s="589"/>
      <c r="MJM19" s="589"/>
      <c r="MJN19" s="589"/>
      <c r="MJO19" s="590"/>
      <c r="MJP19" s="590"/>
      <c r="MJQ19" s="590"/>
      <c r="MJR19" s="590"/>
      <c r="MJS19" s="590"/>
      <c r="MJT19" s="590"/>
      <c r="MJU19" s="590"/>
      <c r="MJV19" s="590"/>
      <c r="MJW19" s="590"/>
      <c r="MJX19" s="590"/>
      <c r="MJY19" s="590"/>
      <c r="MJZ19" s="590"/>
      <c r="MKA19" s="587"/>
      <c r="MKB19" s="588"/>
      <c r="MKC19" s="589"/>
      <c r="MKD19" s="589"/>
      <c r="MKE19" s="590"/>
      <c r="MKF19" s="589"/>
      <c r="MKG19" s="589"/>
      <c r="MKH19" s="589"/>
      <c r="MKI19" s="591"/>
      <c r="MKJ19" s="589"/>
      <c r="MKK19" s="590"/>
      <c r="MKL19" s="589"/>
      <c r="MKM19" s="589"/>
      <c r="MKN19" s="589"/>
      <c r="MKO19" s="590"/>
      <c r="MKP19" s="590"/>
      <c r="MKQ19" s="590"/>
      <c r="MKR19" s="590"/>
      <c r="MKS19" s="590"/>
      <c r="MKT19" s="590"/>
      <c r="MKU19" s="590"/>
      <c r="MKV19" s="590"/>
      <c r="MKW19" s="590"/>
      <c r="MKX19" s="590"/>
      <c r="MKY19" s="590"/>
      <c r="MKZ19" s="590"/>
      <c r="MLA19" s="587"/>
      <c r="MLB19" s="588"/>
      <c r="MLC19" s="589"/>
      <c r="MLD19" s="589"/>
      <c r="MLE19" s="590"/>
      <c r="MLF19" s="589"/>
      <c r="MLG19" s="589"/>
      <c r="MLH19" s="589"/>
      <c r="MLI19" s="591"/>
      <c r="MLJ19" s="589"/>
      <c r="MLK19" s="590"/>
      <c r="MLL19" s="589"/>
      <c r="MLM19" s="589"/>
      <c r="MLN19" s="589"/>
      <c r="MLO19" s="590"/>
      <c r="MLP19" s="590"/>
      <c r="MLQ19" s="590"/>
      <c r="MLR19" s="590"/>
      <c r="MLS19" s="590"/>
      <c r="MLT19" s="590"/>
      <c r="MLU19" s="590"/>
      <c r="MLV19" s="590"/>
      <c r="MLW19" s="590"/>
      <c r="MLX19" s="590"/>
      <c r="MLY19" s="590"/>
      <c r="MLZ19" s="590"/>
      <c r="MMA19" s="587"/>
      <c r="MMB19" s="588"/>
      <c r="MMC19" s="589"/>
      <c r="MMD19" s="589"/>
      <c r="MME19" s="590"/>
      <c r="MMF19" s="589"/>
      <c r="MMG19" s="589"/>
      <c r="MMH19" s="589"/>
      <c r="MMI19" s="591"/>
      <c r="MMJ19" s="589"/>
      <c r="MMK19" s="590"/>
      <c r="MML19" s="589"/>
      <c r="MMM19" s="589"/>
      <c r="MMN19" s="589"/>
      <c r="MMO19" s="590"/>
      <c r="MMP19" s="590"/>
      <c r="MMQ19" s="590"/>
      <c r="MMR19" s="590"/>
      <c r="MMS19" s="590"/>
      <c r="MMT19" s="590"/>
      <c r="MMU19" s="590"/>
      <c r="MMV19" s="590"/>
      <c r="MMW19" s="590"/>
      <c r="MMX19" s="590"/>
      <c r="MMY19" s="590"/>
      <c r="MMZ19" s="590"/>
      <c r="MNA19" s="587"/>
      <c r="MNB19" s="588"/>
      <c r="MNC19" s="589"/>
      <c r="MND19" s="589"/>
      <c r="MNE19" s="590"/>
      <c r="MNF19" s="589"/>
      <c r="MNG19" s="589"/>
      <c r="MNH19" s="589"/>
      <c r="MNI19" s="591"/>
      <c r="MNJ19" s="589"/>
      <c r="MNK19" s="590"/>
      <c r="MNL19" s="589"/>
      <c r="MNM19" s="589"/>
      <c r="MNN19" s="589"/>
      <c r="MNO19" s="590"/>
      <c r="MNP19" s="590"/>
      <c r="MNQ19" s="590"/>
      <c r="MNR19" s="590"/>
      <c r="MNS19" s="590"/>
      <c r="MNT19" s="590"/>
      <c r="MNU19" s="590"/>
      <c r="MNV19" s="590"/>
      <c r="MNW19" s="590"/>
      <c r="MNX19" s="590"/>
      <c r="MNY19" s="590"/>
      <c r="MNZ19" s="590"/>
      <c r="MOA19" s="587"/>
      <c r="MOB19" s="588"/>
      <c r="MOC19" s="589"/>
      <c r="MOD19" s="589"/>
      <c r="MOE19" s="590"/>
      <c r="MOF19" s="589"/>
      <c r="MOG19" s="589"/>
      <c r="MOH19" s="589"/>
      <c r="MOI19" s="591"/>
      <c r="MOJ19" s="589"/>
      <c r="MOK19" s="590"/>
      <c r="MOL19" s="589"/>
      <c r="MOM19" s="589"/>
      <c r="MON19" s="589"/>
      <c r="MOO19" s="590"/>
      <c r="MOP19" s="590"/>
      <c r="MOQ19" s="590"/>
      <c r="MOR19" s="590"/>
      <c r="MOS19" s="590"/>
      <c r="MOT19" s="590"/>
      <c r="MOU19" s="590"/>
      <c r="MOV19" s="590"/>
      <c r="MOW19" s="590"/>
      <c r="MOX19" s="590"/>
      <c r="MOY19" s="590"/>
      <c r="MOZ19" s="590"/>
      <c r="MPA19" s="587"/>
      <c r="MPB19" s="588"/>
      <c r="MPC19" s="589"/>
      <c r="MPD19" s="589"/>
      <c r="MPE19" s="590"/>
      <c r="MPF19" s="589"/>
      <c r="MPG19" s="589"/>
      <c r="MPH19" s="589"/>
      <c r="MPI19" s="591"/>
      <c r="MPJ19" s="589"/>
      <c r="MPK19" s="590"/>
      <c r="MPL19" s="589"/>
      <c r="MPM19" s="589"/>
      <c r="MPN19" s="589"/>
      <c r="MPO19" s="590"/>
      <c r="MPP19" s="590"/>
      <c r="MPQ19" s="590"/>
      <c r="MPR19" s="590"/>
      <c r="MPS19" s="590"/>
      <c r="MPT19" s="590"/>
      <c r="MPU19" s="590"/>
      <c r="MPV19" s="590"/>
      <c r="MPW19" s="590"/>
      <c r="MPX19" s="590"/>
      <c r="MPY19" s="590"/>
      <c r="MPZ19" s="590"/>
      <c r="MQA19" s="587"/>
      <c r="MQB19" s="588"/>
      <c r="MQC19" s="589"/>
      <c r="MQD19" s="589"/>
      <c r="MQE19" s="590"/>
      <c r="MQF19" s="589"/>
      <c r="MQG19" s="589"/>
      <c r="MQH19" s="589"/>
      <c r="MQI19" s="591"/>
      <c r="MQJ19" s="589"/>
      <c r="MQK19" s="590"/>
      <c r="MQL19" s="589"/>
      <c r="MQM19" s="589"/>
      <c r="MQN19" s="589"/>
      <c r="MQO19" s="590"/>
      <c r="MQP19" s="590"/>
      <c r="MQQ19" s="590"/>
      <c r="MQR19" s="590"/>
      <c r="MQS19" s="590"/>
      <c r="MQT19" s="590"/>
      <c r="MQU19" s="590"/>
      <c r="MQV19" s="590"/>
      <c r="MQW19" s="590"/>
      <c r="MQX19" s="590"/>
      <c r="MQY19" s="590"/>
      <c r="MQZ19" s="590"/>
      <c r="MRA19" s="587"/>
      <c r="MRB19" s="588"/>
      <c r="MRC19" s="589"/>
      <c r="MRD19" s="589"/>
      <c r="MRE19" s="590"/>
      <c r="MRF19" s="589"/>
      <c r="MRG19" s="589"/>
      <c r="MRH19" s="589"/>
      <c r="MRI19" s="591"/>
      <c r="MRJ19" s="589"/>
      <c r="MRK19" s="590"/>
      <c r="MRL19" s="589"/>
      <c r="MRM19" s="589"/>
      <c r="MRN19" s="589"/>
      <c r="MRO19" s="590"/>
      <c r="MRP19" s="590"/>
      <c r="MRQ19" s="590"/>
      <c r="MRR19" s="590"/>
      <c r="MRS19" s="590"/>
      <c r="MRT19" s="590"/>
      <c r="MRU19" s="590"/>
      <c r="MRV19" s="590"/>
      <c r="MRW19" s="590"/>
      <c r="MRX19" s="590"/>
      <c r="MRY19" s="590"/>
      <c r="MRZ19" s="590"/>
      <c r="MSA19" s="587"/>
      <c r="MSB19" s="588"/>
      <c r="MSC19" s="589"/>
      <c r="MSD19" s="589"/>
      <c r="MSE19" s="590"/>
      <c r="MSF19" s="589"/>
      <c r="MSG19" s="589"/>
      <c r="MSH19" s="589"/>
      <c r="MSI19" s="591"/>
      <c r="MSJ19" s="589"/>
      <c r="MSK19" s="590"/>
      <c r="MSL19" s="589"/>
      <c r="MSM19" s="589"/>
      <c r="MSN19" s="589"/>
      <c r="MSO19" s="590"/>
      <c r="MSP19" s="590"/>
      <c r="MSQ19" s="590"/>
      <c r="MSR19" s="590"/>
      <c r="MSS19" s="590"/>
      <c r="MST19" s="590"/>
      <c r="MSU19" s="590"/>
      <c r="MSV19" s="590"/>
      <c r="MSW19" s="590"/>
      <c r="MSX19" s="590"/>
      <c r="MSY19" s="590"/>
      <c r="MSZ19" s="590"/>
      <c r="MTA19" s="587"/>
      <c r="MTB19" s="588"/>
      <c r="MTC19" s="589"/>
      <c r="MTD19" s="589"/>
      <c r="MTE19" s="590"/>
      <c r="MTF19" s="589"/>
      <c r="MTG19" s="589"/>
      <c r="MTH19" s="589"/>
      <c r="MTI19" s="591"/>
      <c r="MTJ19" s="589"/>
      <c r="MTK19" s="590"/>
      <c r="MTL19" s="589"/>
      <c r="MTM19" s="589"/>
      <c r="MTN19" s="589"/>
      <c r="MTO19" s="590"/>
      <c r="MTP19" s="590"/>
      <c r="MTQ19" s="590"/>
      <c r="MTR19" s="590"/>
      <c r="MTS19" s="590"/>
      <c r="MTT19" s="590"/>
      <c r="MTU19" s="590"/>
      <c r="MTV19" s="590"/>
      <c r="MTW19" s="590"/>
      <c r="MTX19" s="590"/>
      <c r="MTY19" s="590"/>
      <c r="MTZ19" s="590"/>
      <c r="MUA19" s="587"/>
      <c r="MUB19" s="588"/>
      <c r="MUC19" s="589"/>
      <c r="MUD19" s="589"/>
      <c r="MUE19" s="590"/>
      <c r="MUF19" s="589"/>
      <c r="MUG19" s="589"/>
      <c r="MUH19" s="589"/>
      <c r="MUI19" s="591"/>
      <c r="MUJ19" s="589"/>
      <c r="MUK19" s="590"/>
      <c r="MUL19" s="589"/>
      <c r="MUM19" s="589"/>
      <c r="MUN19" s="589"/>
      <c r="MUO19" s="590"/>
      <c r="MUP19" s="590"/>
      <c r="MUQ19" s="590"/>
      <c r="MUR19" s="590"/>
      <c r="MUS19" s="590"/>
      <c r="MUT19" s="590"/>
      <c r="MUU19" s="590"/>
      <c r="MUV19" s="590"/>
      <c r="MUW19" s="590"/>
      <c r="MUX19" s="590"/>
      <c r="MUY19" s="590"/>
      <c r="MUZ19" s="590"/>
      <c r="MVA19" s="587"/>
      <c r="MVB19" s="588"/>
      <c r="MVC19" s="589"/>
      <c r="MVD19" s="589"/>
      <c r="MVE19" s="590"/>
      <c r="MVF19" s="589"/>
      <c r="MVG19" s="589"/>
      <c r="MVH19" s="589"/>
      <c r="MVI19" s="591"/>
      <c r="MVJ19" s="589"/>
      <c r="MVK19" s="590"/>
      <c r="MVL19" s="589"/>
      <c r="MVM19" s="589"/>
      <c r="MVN19" s="589"/>
      <c r="MVO19" s="590"/>
      <c r="MVP19" s="590"/>
      <c r="MVQ19" s="590"/>
      <c r="MVR19" s="590"/>
      <c r="MVS19" s="590"/>
      <c r="MVT19" s="590"/>
      <c r="MVU19" s="590"/>
      <c r="MVV19" s="590"/>
      <c r="MVW19" s="590"/>
      <c r="MVX19" s="590"/>
      <c r="MVY19" s="590"/>
      <c r="MVZ19" s="590"/>
      <c r="MWA19" s="587"/>
      <c r="MWB19" s="588"/>
      <c r="MWC19" s="589"/>
      <c r="MWD19" s="589"/>
      <c r="MWE19" s="590"/>
      <c r="MWF19" s="589"/>
      <c r="MWG19" s="589"/>
      <c r="MWH19" s="589"/>
      <c r="MWI19" s="591"/>
      <c r="MWJ19" s="589"/>
      <c r="MWK19" s="590"/>
      <c r="MWL19" s="589"/>
      <c r="MWM19" s="589"/>
      <c r="MWN19" s="589"/>
      <c r="MWO19" s="590"/>
      <c r="MWP19" s="590"/>
      <c r="MWQ19" s="590"/>
      <c r="MWR19" s="590"/>
      <c r="MWS19" s="590"/>
      <c r="MWT19" s="590"/>
      <c r="MWU19" s="590"/>
      <c r="MWV19" s="590"/>
      <c r="MWW19" s="590"/>
      <c r="MWX19" s="590"/>
      <c r="MWY19" s="590"/>
      <c r="MWZ19" s="590"/>
      <c r="MXA19" s="587"/>
      <c r="MXB19" s="588"/>
      <c r="MXC19" s="589"/>
      <c r="MXD19" s="589"/>
      <c r="MXE19" s="590"/>
      <c r="MXF19" s="589"/>
      <c r="MXG19" s="589"/>
      <c r="MXH19" s="589"/>
      <c r="MXI19" s="591"/>
      <c r="MXJ19" s="589"/>
      <c r="MXK19" s="590"/>
      <c r="MXL19" s="589"/>
      <c r="MXM19" s="589"/>
      <c r="MXN19" s="589"/>
      <c r="MXO19" s="590"/>
      <c r="MXP19" s="590"/>
      <c r="MXQ19" s="590"/>
      <c r="MXR19" s="590"/>
      <c r="MXS19" s="590"/>
      <c r="MXT19" s="590"/>
      <c r="MXU19" s="590"/>
      <c r="MXV19" s="590"/>
      <c r="MXW19" s="590"/>
      <c r="MXX19" s="590"/>
      <c r="MXY19" s="590"/>
      <c r="MXZ19" s="590"/>
      <c r="MYA19" s="587"/>
      <c r="MYB19" s="588"/>
      <c r="MYC19" s="589"/>
      <c r="MYD19" s="589"/>
      <c r="MYE19" s="590"/>
      <c r="MYF19" s="589"/>
      <c r="MYG19" s="589"/>
      <c r="MYH19" s="589"/>
      <c r="MYI19" s="591"/>
      <c r="MYJ19" s="589"/>
      <c r="MYK19" s="590"/>
      <c r="MYL19" s="589"/>
      <c r="MYM19" s="589"/>
      <c r="MYN19" s="589"/>
      <c r="MYO19" s="590"/>
      <c r="MYP19" s="590"/>
      <c r="MYQ19" s="590"/>
      <c r="MYR19" s="590"/>
      <c r="MYS19" s="590"/>
      <c r="MYT19" s="590"/>
      <c r="MYU19" s="590"/>
      <c r="MYV19" s="590"/>
      <c r="MYW19" s="590"/>
      <c r="MYX19" s="590"/>
      <c r="MYY19" s="590"/>
      <c r="MYZ19" s="590"/>
      <c r="MZA19" s="587"/>
      <c r="MZB19" s="588"/>
      <c r="MZC19" s="589"/>
      <c r="MZD19" s="589"/>
      <c r="MZE19" s="590"/>
      <c r="MZF19" s="589"/>
      <c r="MZG19" s="589"/>
      <c r="MZH19" s="589"/>
      <c r="MZI19" s="591"/>
      <c r="MZJ19" s="589"/>
      <c r="MZK19" s="590"/>
      <c r="MZL19" s="589"/>
      <c r="MZM19" s="589"/>
      <c r="MZN19" s="589"/>
      <c r="MZO19" s="590"/>
      <c r="MZP19" s="590"/>
      <c r="MZQ19" s="590"/>
      <c r="MZR19" s="590"/>
      <c r="MZS19" s="590"/>
      <c r="MZT19" s="590"/>
      <c r="MZU19" s="590"/>
      <c r="MZV19" s="590"/>
      <c r="MZW19" s="590"/>
      <c r="MZX19" s="590"/>
      <c r="MZY19" s="590"/>
      <c r="MZZ19" s="590"/>
      <c r="NAA19" s="587"/>
      <c r="NAB19" s="588"/>
      <c r="NAC19" s="589"/>
      <c r="NAD19" s="589"/>
      <c r="NAE19" s="590"/>
      <c r="NAF19" s="589"/>
      <c r="NAG19" s="589"/>
      <c r="NAH19" s="589"/>
      <c r="NAI19" s="591"/>
      <c r="NAJ19" s="589"/>
      <c r="NAK19" s="590"/>
      <c r="NAL19" s="589"/>
      <c r="NAM19" s="589"/>
      <c r="NAN19" s="589"/>
      <c r="NAO19" s="590"/>
      <c r="NAP19" s="590"/>
      <c r="NAQ19" s="590"/>
      <c r="NAR19" s="590"/>
      <c r="NAS19" s="590"/>
      <c r="NAT19" s="590"/>
      <c r="NAU19" s="590"/>
      <c r="NAV19" s="590"/>
      <c r="NAW19" s="590"/>
      <c r="NAX19" s="590"/>
      <c r="NAY19" s="590"/>
      <c r="NAZ19" s="590"/>
      <c r="NBA19" s="587"/>
      <c r="NBB19" s="588"/>
      <c r="NBC19" s="589"/>
      <c r="NBD19" s="589"/>
      <c r="NBE19" s="590"/>
      <c r="NBF19" s="589"/>
      <c r="NBG19" s="589"/>
      <c r="NBH19" s="589"/>
      <c r="NBI19" s="591"/>
      <c r="NBJ19" s="589"/>
      <c r="NBK19" s="590"/>
      <c r="NBL19" s="589"/>
      <c r="NBM19" s="589"/>
      <c r="NBN19" s="589"/>
      <c r="NBO19" s="590"/>
      <c r="NBP19" s="590"/>
      <c r="NBQ19" s="590"/>
      <c r="NBR19" s="590"/>
      <c r="NBS19" s="590"/>
      <c r="NBT19" s="590"/>
      <c r="NBU19" s="590"/>
      <c r="NBV19" s="590"/>
      <c r="NBW19" s="590"/>
      <c r="NBX19" s="590"/>
      <c r="NBY19" s="590"/>
      <c r="NBZ19" s="590"/>
      <c r="NCA19" s="587"/>
      <c r="NCB19" s="588"/>
      <c r="NCC19" s="589"/>
      <c r="NCD19" s="589"/>
      <c r="NCE19" s="590"/>
      <c r="NCF19" s="589"/>
      <c r="NCG19" s="589"/>
      <c r="NCH19" s="589"/>
      <c r="NCI19" s="591"/>
      <c r="NCJ19" s="589"/>
      <c r="NCK19" s="590"/>
      <c r="NCL19" s="589"/>
      <c r="NCM19" s="589"/>
      <c r="NCN19" s="589"/>
      <c r="NCO19" s="590"/>
      <c r="NCP19" s="590"/>
      <c r="NCQ19" s="590"/>
      <c r="NCR19" s="590"/>
      <c r="NCS19" s="590"/>
      <c r="NCT19" s="590"/>
      <c r="NCU19" s="590"/>
      <c r="NCV19" s="590"/>
      <c r="NCW19" s="590"/>
      <c r="NCX19" s="590"/>
      <c r="NCY19" s="590"/>
      <c r="NCZ19" s="590"/>
      <c r="NDA19" s="587"/>
      <c r="NDB19" s="588"/>
      <c r="NDC19" s="589"/>
      <c r="NDD19" s="589"/>
      <c r="NDE19" s="590"/>
      <c r="NDF19" s="589"/>
      <c r="NDG19" s="589"/>
      <c r="NDH19" s="589"/>
      <c r="NDI19" s="591"/>
      <c r="NDJ19" s="589"/>
      <c r="NDK19" s="590"/>
      <c r="NDL19" s="589"/>
      <c r="NDM19" s="589"/>
      <c r="NDN19" s="589"/>
      <c r="NDO19" s="590"/>
      <c r="NDP19" s="590"/>
      <c r="NDQ19" s="590"/>
      <c r="NDR19" s="590"/>
      <c r="NDS19" s="590"/>
      <c r="NDT19" s="590"/>
      <c r="NDU19" s="590"/>
      <c r="NDV19" s="590"/>
      <c r="NDW19" s="590"/>
      <c r="NDX19" s="590"/>
      <c r="NDY19" s="590"/>
      <c r="NDZ19" s="590"/>
      <c r="NEA19" s="587"/>
      <c r="NEB19" s="588"/>
      <c r="NEC19" s="589"/>
      <c r="NED19" s="589"/>
      <c r="NEE19" s="590"/>
      <c r="NEF19" s="589"/>
      <c r="NEG19" s="589"/>
      <c r="NEH19" s="589"/>
      <c r="NEI19" s="591"/>
      <c r="NEJ19" s="589"/>
      <c r="NEK19" s="590"/>
      <c r="NEL19" s="589"/>
      <c r="NEM19" s="589"/>
      <c r="NEN19" s="589"/>
      <c r="NEO19" s="590"/>
      <c r="NEP19" s="590"/>
      <c r="NEQ19" s="590"/>
      <c r="NER19" s="590"/>
      <c r="NES19" s="590"/>
      <c r="NET19" s="590"/>
      <c r="NEU19" s="590"/>
      <c r="NEV19" s="590"/>
      <c r="NEW19" s="590"/>
      <c r="NEX19" s="590"/>
      <c r="NEY19" s="590"/>
      <c r="NEZ19" s="590"/>
      <c r="NFA19" s="587"/>
      <c r="NFB19" s="588"/>
      <c r="NFC19" s="589"/>
      <c r="NFD19" s="589"/>
      <c r="NFE19" s="590"/>
      <c r="NFF19" s="589"/>
      <c r="NFG19" s="589"/>
      <c r="NFH19" s="589"/>
      <c r="NFI19" s="591"/>
      <c r="NFJ19" s="589"/>
      <c r="NFK19" s="590"/>
      <c r="NFL19" s="589"/>
      <c r="NFM19" s="589"/>
      <c r="NFN19" s="589"/>
      <c r="NFO19" s="590"/>
      <c r="NFP19" s="590"/>
      <c r="NFQ19" s="590"/>
      <c r="NFR19" s="590"/>
      <c r="NFS19" s="590"/>
      <c r="NFT19" s="590"/>
      <c r="NFU19" s="590"/>
      <c r="NFV19" s="590"/>
      <c r="NFW19" s="590"/>
      <c r="NFX19" s="590"/>
      <c r="NFY19" s="590"/>
      <c r="NFZ19" s="590"/>
      <c r="NGA19" s="587"/>
      <c r="NGB19" s="588"/>
      <c r="NGC19" s="589"/>
      <c r="NGD19" s="589"/>
      <c r="NGE19" s="590"/>
      <c r="NGF19" s="589"/>
      <c r="NGG19" s="589"/>
      <c r="NGH19" s="589"/>
      <c r="NGI19" s="591"/>
      <c r="NGJ19" s="589"/>
      <c r="NGK19" s="590"/>
      <c r="NGL19" s="589"/>
      <c r="NGM19" s="589"/>
      <c r="NGN19" s="589"/>
      <c r="NGO19" s="590"/>
      <c r="NGP19" s="590"/>
      <c r="NGQ19" s="590"/>
      <c r="NGR19" s="590"/>
      <c r="NGS19" s="590"/>
      <c r="NGT19" s="590"/>
      <c r="NGU19" s="590"/>
      <c r="NGV19" s="590"/>
      <c r="NGW19" s="590"/>
      <c r="NGX19" s="590"/>
      <c r="NGY19" s="590"/>
      <c r="NGZ19" s="590"/>
      <c r="NHA19" s="587"/>
      <c r="NHB19" s="588"/>
      <c r="NHC19" s="589"/>
      <c r="NHD19" s="589"/>
      <c r="NHE19" s="590"/>
      <c r="NHF19" s="589"/>
      <c r="NHG19" s="589"/>
      <c r="NHH19" s="589"/>
      <c r="NHI19" s="591"/>
      <c r="NHJ19" s="589"/>
      <c r="NHK19" s="590"/>
      <c r="NHL19" s="589"/>
      <c r="NHM19" s="589"/>
      <c r="NHN19" s="589"/>
      <c r="NHO19" s="590"/>
      <c r="NHP19" s="590"/>
      <c r="NHQ19" s="590"/>
      <c r="NHR19" s="590"/>
      <c r="NHS19" s="590"/>
      <c r="NHT19" s="590"/>
      <c r="NHU19" s="590"/>
      <c r="NHV19" s="590"/>
      <c r="NHW19" s="590"/>
      <c r="NHX19" s="590"/>
      <c r="NHY19" s="590"/>
      <c r="NHZ19" s="590"/>
      <c r="NIA19" s="587"/>
      <c r="NIB19" s="588"/>
      <c r="NIC19" s="589"/>
      <c r="NID19" s="589"/>
      <c r="NIE19" s="590"/>
      <c r="NIF19" s="589"/>
      <c r="NIG19" s="589"/>
      <c r="NIH19" s="589"/>
      <c r="NII19" s="591"/>
      <c r="NIJ19" s="589"/>
      <c r="NIK19" s="590"/>
      <c r="NIL19" s="589"/>
      <c r="NIM19" s="589"/>
      <c r="NIN19" s="589"/>
      <c r="NIO19" s="590"/>
      <c r="NIP19" s="590"/>
      <c r="NIQ19" s="590"/>
      <c r="NIR19" s="590"/>
      <c r="NIS19" s="590"/>
      <c r="NIT19" s="590"/>
      <c r="NIU19" s="590"/>
      <c r="NIV19" s="590"/>
      <c r="NIW19" s="590"/>
      <c r="NIX19" s="590"/>
      <c r="NIY19" s="590"/>
      <c r="NIZ19" s="590"/>
      <c r="NJA19" s="587"/>
      <c r="NJB19" s="588"/>
      <c r="NJC19" s="589"/>
      <c r="NJD19" s="589"/>
      <c r="NJE19" s="590"/>
      <c r="NJF19" s="589"/>
      <c r="NJG19" s="589"/>
      <c r="NJH19" s="589"/>
      <c r="NJI19" s="591"/>
      <c r="NJJ19" s="589"/>
      <c r="NJK19" s="590"/>
      <c r="NJL19" s="589"/>
      <c r="NJM19" s="589"/>
      <c r="NJN19" s="589"/>
      <c r="NJO19" s="590"/>
      <c r="NJP19" s="590"/>
      <c r="NJQ19" s="590"/>
      <c r="NJR19" s="590"/>
      <c r="NJS19" s="590"/>
      <c r="NJT19" s="590"/>
      <c r="NJU19" s="590"/>
      <c r="NJV19" s="590"/>
      <c r="NJW19" s="590"/>
      <c r="NJX19" s="590"/>
      <c r="NJY19" s="590"/>
      <c r="NJZ19" s="590"/>
      <c r="NKA19" s="587"/>
      <c r="NKB19" s="588"/>
      <c r="NKC19" s="589"/>
      <c r="NKD19" s="589"/>
      <c r="NKE19" s="590"/>
      <c r="NKF19" s="589"/>
      <c r="NKG19" s="589"/>
      <c r="NKH19" s="589"/>
      <c r="NKI19" s="591"/>
      <c r="NKJ19" s="589"/>
      <c r="NKK19" s="590"/>
      <c r="NKL19" s="589"/>
      <c r="NKM19" s="589"/>
      <c r="NKN19" s="589"/>
      <c r="NKO19" s="590"/>
      <c r="NKP19" s="590"/>
      <c r="NKQ19" s="590"/>
      <c r="NKR19" s="590"/>
      <c r="NKS19" s="590"/>
      <c r="NKT19" s="590"/>
      <c r="NKU19" s="590"/>
      <c r="NKV19" s="590"/>
      <c r="NKW19" s="590"/>
      <c r="NKX19" s="590"/>
      <c r="NKY19" s="590"/>
      <c r="NKZ19" s="590"/>
      <c r="NLA19" s="587"/>
      <c r="NLB19" s="588"/>
      <c r="NLC19" s="589"/>
      <c r="NLD19" s="589"/>
      <c r="NLE19" s="590"/>
      <c r="NLF19" s="589"/>
      <c r="NLG19" s="589"/>
      <c r="NLH19" s="589"/>
      <c r="NLI19" s="591"/>
      <c r="NLJ19" s="589"/>
      <c r="NLK19" s="590"/>
      <c r="NLL19" s="589"/>
      <c r="NLM19" s="589"/>
      <c r="NLN19" s="589"/>
      <c r="NLO19" s="590"/>
      <c r="NLP19" s="590"/>
      <c r="NLQ19" s="590"/>
      <c r="NLR19" s="590"/>
      <c r="NLS19" s="590"/>
      <c r="NLT19" s="590"/>
      <c r="NLU19" s="590"/>
      <c r="NLV19" s="590"/>
      <c r="NLW19" s="590"/>
      <c r="NLX19" s="590"/>
      <c r="NLY19" s="590"/>
      <c r="NLZ19" s="590"/>
      <c r="NMA19" s="587"/>
      <c r="NMB19" s="588"/>
      <c r="NMC19" s="589"/>
      <c r="NMD19" s="589"/>
      <c r="NME19" s="590"/>
      <c r="NMF19" s="589"/>
      <c r="NMG19" s="589"/>
      <c r="NMH19" s="589"/>
      <c r="NMI19" s="591"/>
      <c r="NMJ19" s="589"/>
      <c r="NMK19" s="590"/>
      <c r="NML19" s="589"/>
      <c r="NMM19" s="589"/>
      <c r="NMN19" s="589"/>
      <c r="NMO19" s="590"/>
      <c r="NMP19" s="590"/>
      <c r="NMQ19" s="590"/>
      <c r="NMR19" s="590"/>
      <c r="NMS19" s="590"/>
      <c r="NMT19" s="590"/>
      <c r="NMU19" s="590"/>
      <c r="NMV19" s="590"/>
      <c r="NMW19" s="590"/>
      <c r="NMX19" s="590"/>
      <c r="NMY19" s="590"/>
      <c r="NMZ19" s="590"/>
      <c r="NNA19" s="587"/>
      <c r="NNB19" s="588"/>
      <c r="NNC19" s="589"/>
      <c r="NND19" s="589"/>
      <c r="NNE19" s="590"/>
      <c r="NNF19" s="589"/>
      <c r="NNG19" s="589"/>
      <c r="NNH19" s="589"/>
      <c r="NNI19" s="591"/>
      <c r="NNJ19" s="589"/>
      <c r="NNK19" s="590"/>
      <c r="NNL19" s="589"/>
      <c r="NNM19" s="589"/>
      <c r="NNN19" s="589"/>
      <c r="NNO19" s="590"/>
      <c r="NNP19" s="590"/>
      <c r="NNQ19" s="590"/>
      <c r="NNR19" s="590"/>
      <c r="NNS19" s="590"/>
      <c r="NNT19" s="590"/>
      <c r="NNU19" s="590"/>
      <c r="NNV19" s="590"/>
      <c r="NNW19" s="590"/>
      <c r="NNX19" s="590"/>
      <c r="NNY19" s="590"/>
      <c r="NNZ19" s="590"/>
      <c r="NOA19" s="587"/>
      <c r="NOB19" s="588"/>
      <c r="NOC19" s="589"/>
      <c r="NOD19" s="589"/>
      <c r="NOE19" s="590"/>
      <c r="NOF19" s="589"/>
      <c r="NOG19" s="589"/>
      <c r="NOH19" s="589"/>
      <c r="NOI19" s="591"/>
      <c r="NOJ19" s="589"/>
      <c r="NOK19" s="590"/>
      <c r="NOL19" s="589"/>
      <c r="NOM19" s="589"/>
      <c r="NON19" s="589"/>
      <c r="NOO19" s="590"/>
      <c r="NOP19" s="590"/>
      <c r="NOQ19" s="590"/>
      <c r="NOR19" s="590"/>
      <c r="NOS19" s="590"/>
      <c r="NOT19" s="590"/>
      <c r="NOU19" s="590"/>
      <c r="NOV19" s="590"/>
      <c r="NOW19" s="590"/>
      <c r="NOX19" s="590"/>
      <c r="NOY19" s="590"/>
      <c r="NOZ19" s="590"/>
      <c r="NPA19" s="587"/>
      <c r="NPB19" s="588"/>
      <c r="NPC19" s="589"/>
      <c r="NPD19" s="589"/>
      <c r="NPE19" s="590"/>
      <c r="NPF19" s="589"/>
      <c r="NPG19" s="589"/>
      <c r="NPH19" s="589"/>
      <c r="NPI19" s="591"/>
      <c r="NPJ19" s="589"/>
      <c r="NPK19" s="590"/>
      <c r="NPL19" s="589"/>
      <c r="NPM19" s="589"/>
      <c r="NPN19" s="589"/>
      <c r="NPO19" s="590"/>
      <c r="NPP19" s="590"/>
      <c r="NPQ19" s="590"/>
      <c r="NPR19" s="590"/>
      <c r="NPS19" s="590"/>
      <c r="NPT19" s="590"/>
      <c r="NPU19" s="590"/>
      <c r="NPV19" s="590"/>
      <c r="NPW19" s="590"/>
      <c r="NPX19" s="590"/>
      <c r="NPY19" s="590"/>
      <c r="NPZ19" s="590"/>
      <c r="NQA19" s="587"/>
      <c r="NQB19" s="588"/>
      <c r="NQC19" s="589"/>
      <c r="NQD19" s="589"/>
      <c r="NQE19" s="590"/>
      <c r="NQF19" s="589"/>
      <c r="NQG19" s="589"/>
      <c r="NQH19" s="589"/>
      <c r="NQI19" s="591"/>
      <c r="NQJ19" s="589"/>
      <c r="NQK19" s="590"/>
      <c r="NQL19" s="589"/>
      <c r="NQM19" s="589"/>
      <c r="NQN19" s="589"/>
      <c r="NQO19" s="590"/>
      <c r="NQP19" s="590"/>
      <c r="NQQ19" s="590"/>
      <c r="NQR19" s="590"/>
      <c r="NQS19" s="590"/>
      <c r="NQT19" s="590"/>
      <c r="NQU19" s="590"/>
      <c r="NQV19" s="590"/>
      <c r="NQW19" s="590"/>
      <c r="NQX19" s="590"/>
      <c r="NQY19" s="590"/>
      <c r="NQZ19" s="590"/>
      <c r="NRA19" s="587"/>
      <c r="NRB19" s="588"/>
      <c r="NRC19" s="589"/>
      <c r="NRD19" s="589"/>
      <c r="NRE19" s="590"/>
      <c r="NRF19" s="589"/>
      <c r="NRG19" s="589"/>
      <c r="NRH19" s="589"/>
      <c r="NRI19" s="591"/>
      <c r="NRJ19" s="589"/>
      <c r="NRK19" s="590"/>
      <c r="NRL19" s="589"/>
      <c r="NRM19" s="589"/>
      <c r="NRN19" s="589"/>
      <c r="NRO19" s="590"/>
      <c r="NRP19" s="590"/>
      <c r="NRQ19" s="590"/>
      <c r="NRR19" s="590"/>
      <c r="NRS19" s="590"/>
      <c r="NRT19" s="590"/>
      <c r="NRU19" s="590"/>
      <c r="NRV19" s="590"/>
      <c r="NRW19" s="590"/>
      <c r="NRX19" s="590"/>
      <c r="NRY19" s="590"/>
      <c r="NRZ19" s="590"/>
      <c r="NSA19" s="587"/>
      <c r="NSB19" s="588"/>
      <c r="NSC19" s="589"/>
      <c r="NSD19" s="589"/>
      <c r="NSE19" s="590"/>
      <c r="NSF19" s="589"/>
      <c r="NSG19" s="589"/>
      <c r="NSH19" s="589"/>
      <c r="NSI19" s="591"/>
      <c r="NSJ19" s="589"/>
      <c r="NSK19" s="590"/>
      <c r="NSL19" s="589"/>
      <c r="NSM19" s="589"/>
      <c r="NSN19" s="589"/>
      <c r="NSO19" s="590"/>
      <c r="NSP19" s="590"/>
      <c r="NSQ19" s="590"/>
      <c r="NSR19" s="590"/>
      <c r="NSS19" s="590"/>
      <c r="NST19" s="590"/>
      <c r="NSU19" s="590"/>
      <c r="NSV19" s="590"/>
      <c r="NSW19" s="590"/>
      <c r="NSX19" s="590"/>
      <c r="NSY19" s="590"/>
      <c r="NSZ19" s="590"/>
      <c r="NTA19" s="587"/>
      <c r="NTB19" s="588"/>
      <c r="NTC19" s="589"/>
      <c r="NTD19" s="589"/>
      <c r="NTE19" s="590"/>
      <c r="NTF19" s="589"/>
      <c r="NTG19" s="589"/>
      <c r="NTH19" s="589"/>
      <c r="NTI19" s="591"/>
      <c r="NTJ19" s="589"/>
      <c r="NTK19" s="590"/>
      <c r="NTL19" s="589"/>
      <c r="NTM19" s="589"/>
      <c r="NTN19" s="589"/>
      <c r="NTO19" s="590"/>
      <c r="NTP19" s="590"/>
      <c r="NTQ19" s="590"/>
      <c r="NTR19" s="590"/>
      <c r="NTS19" s="590"/>
      <c r="NTT19" s="590"/>
      <c r="NTU19" s="590"/>
      <c r="NTV19" s="590"/>
      <c r="NTW19" s="590"/>
      <c r="NTX19" s="590"/>
      <c r="NTY19" s="590"/>
      <c r="NTZ19" s="590"/>
      <c r="NUA19" s="587"/>
      <c r="NUB19" s="588"/>
      <c r="NUC19" s="589"/>
      <c r="NUD19" s="589"/>
      <c r="NUE19" s="590"/>
      <c r="NUF19" s="589"/>
      <c r="NUG19" s="589"/>
      <c r="NUH19" s="589"/>
      <c r="NUI19" s="591"/>
      <c r="NUJ19" s="589"/>
      <c r="NUK19" s="590"/>
      <c r="NUL19" s="589"/>
      <c r="NUM19" s="589"/>
      <c r="NUN19" s="589"/>
      <c r="NUO19" s="590"/>
      <c r="NUP19" s="590"/>
      <c r="NUQ19" s="590"/>
      <c r="NUR19" s="590"/>
      <c r="NUS19" s="590"/>
      <c r="NUT19" s="590"/>
      <c r="NUU19" s="590"/>
      <c r="NUV19" s="590"/>
      <c r="NUW19" s="590"/>
      <c r="NUX19" s="590"/>
      <c r="NUY19" s="590"/>
      <c r="NUZ19" s="590"/>
      <c r="NVA19" s="587"/>
      <c r="NVB19" s="588"/>
      <c r="NVC19" s="589"/>
      <c r="NVD19" s="589"/>
      <c r="NVE19" s="590"/>
      <c r="NVF19" s="589"/>
      <c r="NVG19" s="589"/>
      <c r="NVH19" s="589"/>
      <c r="NVI19" s="591"/>
      <c r="NVJ19" s="589"/>
      <c r="NVK19" s="590"/>
      <c r="NVL19" s="589"/>
      <c r="NVM19" s="589"/>
      <c r="NVN19" s="589"/>
      <c r="NVO19" s="590"/>
      <c r="NVP19" s="590"/>
      <c r="NVQ19" s="590"/>
      <c r="NVR19" s="590"/>
      <c r="NVS19" s="590"/>
      <c r="NVT19" s="590"/>
      <c r="NVU19" s="590"/>
      <c r="NVV19" s="590"/>
      <c r="NVW19" s="590"/>
      <c r="NVX19" s="590"/>
      <c r="NVY19" s="590"/>
      <c r="NVZ19" s="590"/>
      <c r="NWA19" s="587"/>
      <c r="NWB19" s="588"/>
      <c r="NWC19" s="589"/>
      <c r="NWD19" s="589"/>
      <c r="NWE19" s="590"/>
      <c r="NWF19" s="589"/>
      <c r="NWG19" s="589"/>
      <c r="NWH19" s="589"/>
      <c r="NWI19" s="591"/>
      <c r="NWJ19" s="589"/>
      <c r="NWK19" s="590"/>
      <c r="NWL19" s="589"/>
      <c r="NWM19" s="589"/>
      <c r="NWN19" s="589"/>
      <c r="NWO19" s="590"/>
      <c r="NWP19" s="590"/>
      <c r="NWQ19" s="590"/>
      <c r="NWR19" s="590"/>
      <c r="NWS19" s="590"/>
      <c r="NWT19" s="590"/>
      <c r="NWU19" s="590"/>
      <c r="NWV19" s="590"/>
      <c r="NWW19" s="590"/>
      <c r="NWX19" s="590"/>
      <c r="NWY19" s="590"/>
      <c r="NWZ19" s="590"/>
      <c r="NXA19" s="587"/>
      <c r="NXB19" s="588"/>
      <c r="NXC19" s="589"/>
      <c r="NXD19" s="589"/>
      <c r="NXE19" s="590"/>
      <c r="NXF19" s="589"/>
      <c r="NXG19" s="589"/>
      <c r="NXH19" s="589"/>
      <c r="NXI19" s="591"/>
      <c r="NXJ19" s="589"/>
      <c r="NXK19" s="590"/>
      <c r="NXL19" s="589"/>
      <c r="NXM19" s="589"/>
      <c r="NXN19" s="589"/>
      <c r="NXO19" s="590"/>
      <c r="NXP19" s="590"/>
      <c r="NXQ19" s="590"/>
      <c r="NXR19" s="590"/>
      <c r="NXS19" s="590"/>
      <c r="NXT19" s="590"/>
      <c r="NXU19" s="590"/>
      <c r="NXV19" s="590"/>
      <c r="NXW19" s="590"/>
      <c r="NXX19" s="590"/>
      <c r="NXY19" s="590"/>
      <c r="NXZ19" s="590"/>
      <c r="NYA19" s="587"/>
      <c r="NYB19" s="588"/>
      <c r="NYC19" s="589"/>
      <c r="NYD19" s="589"/>
      <c r="NYE19" s="590"/>
      <c r="NYF19" s="589"/>
      <c r="NYG19" s="589"/>
      <c r="NYH19" s="589"/>
      <c r="NYI19" s="591"/>
      <c r="NYJ19" s="589"/>
      <c r="NYK19" s="590"/>
      <c r="NYL19" s="589"/>
      <c r="NYM19" s="589"/>
      <c r="NYN19" s="589"/>
      <c r="NYO19" s="590"/>
      <c r="NYP19" s="590"/>
      <c r="NYQ19" s="590"/>
      <c r="NYR19" s="590"/>
      <c r="NYS19" s="590"/>
      <c r="NYT19" s="590"/>
      <c r="NYU19" s="590"/>
      <c r="NYV19" s="590"/>
      <c r="NYW19" s="590"/>
      <c r="NYX19" s="590"/>
      <c r="NYY19" s="590"/>
      <c r="NYZ19" s="590"/>
      <c r="NZA19" s="587"/>
      <c r="NZB19" s="588"/>
      <c r="NZC19" s="589"/>
      <c r="NZD19" s="589"/>
      <c r="NZE19" s="590"/>
      <c r="NZF19" s="589"/>
      <c r="NZG19" s="589"/>
      <c r="NZH19" s="589"/>
      <c r="NZI19" s="591"/>
      <c r="NZJ19" s="589"/>
      <c r="NZK19" s="590"/>
      <c r="NZL19" s="589"/>
      <c r="NZM19" s="589"/>
      <c r="NZN19" s="589"/>
      <c r="NZO19" s="590"/>
      <c r="NZP19" s="590"/>
      <c r="NZQ19" s="590"/>
      <c r="NZR19" s="590"/>
      <c r="NZS19" s="590"/>
      <c r="NZT19" s="590"/>
      <c r="NZU19" s="590"/>
      <c r="NZV19" s="590"/>
      <c r="NZW19" s="590"/>
      <c r="NZX19" s="590"/>
      <c r="NZY19" s="590"/>
      <c r="NZZ19" s="590"/>
      <c r="OAA19" s="587"/>
      <c r="OAB19" s="588"/>
      <c r="OAC19" s="589"/>
      <c r="OAD19" s="589"/>
      <c r="OAE19" s="590"/>
      <c r="OAF19" s="589"/>
      <c r="OAG19" s="589"/>
      <c r="OAH19" s="589"/>
      <c r="OAI19" s="591"/>
      <c r="OAJ19" s="589"/>
      <c r="OAK19" s="590"/>
      <c r="OAL19" s="589"/>
      <c r="OAM19" s="589"/>
      <c r="OAN19" s="589"/>
      <c r="OAO19" s="590"/>
      <c r="OAP19" s="590"/>
      <c r="OAQ19" s="590"/>
      <c r="OAR19" s="590"/>
      <c r="OAS19" s="590"/>
      <c r="OAT19" s="590"/>
      <c r="OAU19" s="590"/>
      <c r="OAV19" s="590"/>
      <c r="OAW19" s="590"/>
      <c r="OAX19" s="590"/>
      <c r="OAY19" s="590"/>
      <c r="OAZ19" s="590"/>
      <c r="OBA19" s="587"/>
      <c r="OBB19" s="588"/>
      <c r="OBC19" s="589"/>
      <c r="OBD19" s="589"/>
      <c r="OBE19" s="590"/>
      <c r="OBF19" s="589"/>
      <c r="OBG19" s="589"/>
      <c r="OBH19" s="589"/>
      <c r="OBI19" s="591"/>
      <c r="OBJ19" s="589"/>
      <c r="OBK19" s="590"/>
      <c r="OBL19" s="589"/>
      <c r="OBM19" s="589"/>
      <c r="OBN19" s="589"/>
      <c r="OBO19" s="590"/>
      <c r="OBP19" s="590"/>
      <c r="OBQ19" s="590"/>
      <c r="OBR19" s="590"/>
      <c r="OBS19" s="590"/>
      <c r="OBT19" s="590"/>
      <c r="OBU19" s="590"/>
      <c r="OBV19" s="590"/>
      <c r="OBW19" s="590"/>
      <c r="OBX19" s="590"/>
      <c r="OBY19" s="590"/>
      <c r="OBZ19" s="590"/>
      <c r="OCA19" s="587"/>
      <c r="OCB19" s="588"/>
      <c r="OCC19" s="589"/>
      <c r="OCD19" s="589"/>
      <c r="OCE19" s="590"/>
      <c r="OCF19" s="589"/>
      <c r="OCG19" s="589"/>
      <c r="OCH19" s="589"/>
      <c r="OCI19" s="591"/>
      <c r="OCJ19" s="589"/>
      <c r="OCK19" s="590"/>
      <c r="OCL19" s="589"/>
      <c r="OCM19" s="589"/>
      <c r="OCN19" s="589"/>
      <c r="OCO19" s="590"/>
      <c r="OCP19" s="590"/>
      <c r="OCQ19" s="590"/>
      <c r="OCR19" s="590"/>
      <c r="OCS19" s="590"/>
      <c r="OCT19" s="590"/>
      <c r="OCU19" s="590"/>
      <c r="OCV19" s="590"/>
      <c r="OCW19" s="590"/>
      <c r="OCX19" s="590"/>
      <c r="OCY19" s="590"/>
      <c r="OCZ19" s="590"/>
      <c r="ODA19" s="587"/>
      <c r="ODB19" s="588"/>
      <c r="ODC19" s="589"/>
      <c r="ODD19" s="589"/>
      <c r="ODE19" s="590"/>
      <c r="ODF19" s="589"/>
      <c r="ODG19" s="589"/>
      <c r="ODH19" s="589"/>
      <c r="ODI19" s="591"/>
      <c r="ODJ19" s="589"/>
      <c r="ODK19" s="590"/>
      <c r="ODL19" s="589"/>
      <c r="ODM19" s="589"/>
      <c r="ODN19" s="589"/>
      <c r="ODO19" s="590"/>
      <c r="ODP19" s="590"/>
      <c r="ODQ19" s="590"/>
      <c r="ODR19" s="590"/>
      <c r="ODS19" s="590"/>
      <c r="ODT19" s="590"/>
      <c r="ODU19" s="590"/>
      <c r="ODV19" s="590"/>
      <c r="ODW19" s="590"/>
      <c r="ODX19" s="590"/>
      <c r="ODY19" s="590"/>
      <c r="ODZ19" s="590"/>
      <c r="OEA19" s="587"/>
      <c r="OEB19" s="588"/>
      <c r="OEC19" s="589"/>
      <c r="OED19" s="589"/>
      <c r="OEE19" s="590"/>
      <c r="OEF19" s="589"/>
      <c r="OEG19" s="589"/>
      <c r="OEH19" s="589"/>
      <c r="OEI19" s="591"/>
      <c r="OEJ19" s="589"/>
      <c r="OEK19" s="590"/>
      <c r="OEL19" s="589"/>
      <c r="OEM19" s="589"/>
      <c r="OEN19" s="589"/>
      <c r="OEO19" s="590"/>
      <c r="OEP19" s="590"/>
      <c r="OEQ19" s="590"/>
      <c r="OER19" s="590"/>
      <c r="OES19" s="590"/>
      <c r="OET19" s="590"/>
      <c r="OEU19" s="590"/>
      <c r="OEV19" s="590"/>
      <c r="OEW19" s="590"/>
      <c r="OEX19" s="590"/>
      <c r="OEY19" s="590"/>
      <c r="OEZ19" s="590"/>
      <c r="OFA19" s="587"/>
      <c r="OFB19" s="588"/>
      <c r="OFC19" s="589"/>
      <c r="OFD19" s="589"/>
      <c r="OFE19" s="590"/>
      <c r="OFF19" s="589"/>
      <c r="OFG19" s="589"/>
      <c r="OFH19" s="589"/>
      <c r="OFI19" s="591"/>
      <c r="OFJ19" s="589"/>
      <c r="OFK19" s="590"/>
      <c r="OFL19" s="589"/>
      <c r="OFM19" s="589"/>
      <c r="OFN19" s="589"/>
      <c r="OFO19" s="590"/>
      <c r="OFP19" s="590"/>
      <c r="OFQ19" s="590"/>
      <c r="OFR19" s="590"/>
      <c r="OFS19" s="590"/>
      <c r="OFT19" s="590"/>
      <c r="OFU19" s="590"/>
      <c r="OFV19" s="590"/>
      <c r="OFW19" s="590"/>
      <c r="OFX19" s="590"/>
      <c r="OFY19" s="590"/>
      <c r="OFZ19" s="590"/>
      <c r="OGA19" s="587"/>
      <c r="OGB19" s="588"/>
      <c r="OGC19" s="589"/>
      <c r="OGD19" s="589"/>
      <c r="OGE19" s="590"/>
      <c r="OGF19" s="589"/>
      <c r="OGG19" s="589"/>
      <c r="OGH19" s="589"/>
      <c r="OGI19" s="591"/>
      <c r="OGJ19" s="589"/>
      <c r="OGK19" s="590"/>
      <c r="OGL19" s="589"/>
      <c r="OGM19" s="589"/>
      <c r="OGN19" s="589"/>
      <c r="OGO19" s="590"/>
      <c r="OGP19" s="590"/>
      <c r="OGQ19" s="590"/>
      <c r="OGR19" s="590"/>
      <c r="OGS19" s="590"/>
      <c r="OGT19" s="590"/>
      <c r="OGU19" s="590"/>
      <c r="OGV19" s="590"/>
      <c r="OGW19" s="590"/>
      <c r="OGX19" s="590"/>
      <c r="OGY19" s="590"/>
      <c r="OGZ19" s="590"/>
      <c r="OHA19" s="587"/>
      <c r="OHB19" s="588"/>
      <c r="OHC19" s="589"/>
      <c r="OHD19" s="589"/>
      <c r="OHE19" s="590"/>
      <c r="OHF19" s="589"/>
      <c r="OHG19" s="589"/>
      <c r="OHH19" s="589"/>
      <c r="OHI19" s="591"/>
      <c r="OHJ19" s="589"/>
      <c r="OHK19" s="590"/>
      <c r="OHL19" s="589"/>
      <c r="OHM19" s="589"/>
      <c r="OHN19" s="589"/>
      <c r="OHO19" s="590"/>
      <c r="OHP19" s="590"/>
      <c r="OHQ19" s="590"/>
      <c r="OHR19" s="590"/>
      <c r="OHS19" s="590"/>
      <c r="OHT19" s="590"/>
      <c r="OHU19" s="590"/>
      <c r="OHV19" s="590"/>
      <c r="OHW19" s="590"/>
      <c r="OHX19" s="590"/>
      <c r="OHY19" s="590"/>
      <c r="OHZ19" s="590"/>
      <c r="OIA19" s="587"/>
      <c r="OIB19" s="588"/>
      <c r="OIC19" s="589"/>
      <c r="OID19" s="589"/>
      <c r="OIE19" s="590"/>
      <c r="OIF19" s="589"/>
      <c r="OIG19" s="589"/>
      <c r="OIH19" s="589"/>
      <c r="OII19" s="591"/>
      <c r="OIJ19" s="589"/>
      <c r="OIK19" s="590"/>
      <c r="OIL19" s="589"/>
      <c r="OIM19" s="589"/>
      <c r="OIN19" s="589"/>
      <c r="OIO19" s="590"/>
      <c r="OIP19" s="590"/>
      <c r="OIQ19" s="590"/>
      <c r="OIR19" s="590"/>
      <c r="OIS19" s="590"/>
      <c r="OIT19" s="590"/>
      <c r="OIU19" s="590"/>
      <c r="OIV19" s="590"/>
      <c r="OIW19" s="590"/>
      <c r="OIX19" s="590"/>
      <c r="OIY19" s="590"/>
      <c r="OIZ19" s="590"/>
      <c r="OJA19" s="587"/>
      <c r="OJB19" s="588"/>
      <c r="OJC19" s="589"/>
      <c r="OJD19" s="589"/>
      <c r="OJE19" s="590"/>
      <c r="OJF19" s="589"/>
      <c r="OJG19" s="589"/>
      <c r="OJH19" s="589"/>
      <c r="OJI19" s="591"/>
      <c r="OJJ19" s="589"/>
      <c r="OJK19" s="590"/>
      <c r="OJL19" s="589"/>
      <c r="OJM19" s="589"/>
      <c r="OJN19" s="589"/>
      <c r="OJO19" s="590"/>
      <c r="OJP19" s="590"/>
      <c r="OJQ19" s="590"/>
      <c r="OJR19" s="590"/>
      <c r="OJS19" s="590"/>
      <c r="OJT19" s="590"/>
      <c r="OJU19" s="590"/>
      <c r="OJV19" s="590"/>
      <c r="OJW19" s="590"/>
      <c r="OJX19" s="590"/>
      <c r="OJY19" s="590"/>
      <c r="OJZ19" s="590"/>
      <c r="OKA19" s="587"/>
      <c r="OKB19" s="588"/>
      <c r="OKC19" s="589"/>
      <c r="OKD19" s="589"/>
      <c r="OKE19" s="590"/>
      <c r="OKF19" s="589"/>
      <c r="OKG19" s="589"/>
      <c r="OKH19" s="589"/>
      <c r="OKI19" s="591"/>
      <c r="OKJ19" s="589"/>
      <c r="OKK19" s="590"/>
      <c r="OKL19" s="589"/>
      <c r="OKM19" s="589"/>
      <c r="OKN19" s="589"/>
      <c r="OKO19" s="590"/>
      <c r="OKP19" s="590"/>
      <c r="OKQ19" s="590"/>
      <c r="OKR19" s="590"/>
      <c r="OKS19" s="590"/>
      <c r="OKT19" s="590"/>
      <c r="OKU19" s="590"/>
      <c r="OKV19" s="590"/>
      <c r="OKW19" s="590"/>
      <c r="OKX19" s="590"/>
      <c r="OKY19" s="590"/>
      <c r="OKZ19" s="590"/>
      <c r="OLA19" s="587"/>
      <c r="OLB19" s="588"/>
      <c r="OLC19" s="589"/>
      <c r="OLD19" s="589"/>
      <c r="OLE19" s="590"/>
      <c r="OLF19" s="589"/>
      <c r="OLG19" s="589"/>
      <c r="OLH19" s="589"/>
      <c r="OLI19" s="591"/>
      <c r="OLJ19" s="589"/>
      <c r="OLK19" s="590"/>
      <c r="OLL19" s="589"/>
      <c r="OLM19" s="589"/>
      <c r="OLN19" s="589"/>
      <c r="OLO19" s="590"/>
      <c r="OLP19" s="590"/>
      <c r="OLQ19" s="590"/>
      <c r="OLR19" s="590"/>
      <c r="OLS19" s="590"/>
      <c r="OLT19" s="590"/>
      <c r="OLU19" s="590"/>
      <c r="OLV19" s="590"/>
      <c r="OLW19" s="590"/>
      <c r="OLX19" s="590"/>
      <c r="OLY19" s="590"/>
      <c r="OLZ19" s="590"/>
      <c r="OMA19" s="587"/>
      <c r="OMB19" s="588"/>
      <c r="OMC19" s="589"/>
      <c r="OMD19" s="589"/>
      <c r="OME19" s="590"/>
      <c r="OMF19" s="589"/>
      <c r="OMG19" s="589"/>
      <c r="OMH19" s="589"/>
      <c r="OMI19" s="591"/>
      <c r="OMJ19" s="589"/>
      <c r="OMK19" s="590"/>
      <c r="OML19" s="589"/>
      <c r="OMM19" s="589"/>
      <c r="OMN19" s="589"/>
      <c r="OMO19" s="590"/>
      <c r="OMP19" s="590"/>
      <c r="OMQ19" s="590"/>
      <c r="OMR19" s="590"/>
      <c r="OMS19" s="590"/>
      <c r="OMT19" s="590"/>
      <c r="OMU19" s="590"/>
      <c r="OMV19" s="590"/>
      <c r="OMW19" s="590"/>
      <c r="OMX19" s="590"/>
      <c r="OMY19" s="590"/>
      <c r="OMZ19" s="590"/>
      <c r="ONA19" s="587"/>
      <c r="ONB19" s="588"/>
      <c r="ONC19" s="589"/>
      <c r="OND19" s="589"/>
      <c r="ONE19" s="590"/>
      <c r="ONF19" s="589"/>
      <c r="ONG19" s="589"/>
      <c r="ONH19" s="589"/>
      <c r="ONI19" s="591"/>
      <c r="ONJ19" s="589"/>
      <c r="ONK19" s="590"/>
      <c r="ONL19" s="589"/>
      <c r="ONM19" s="589"/>
      <c r="ONN19" s="589"/>
      <c r="ONO19" s="590"/>
      <c r="ONP19" s="590"/>
      <c r="ONQ19" s="590"/>
      <c r="ONR19" s="590"/>
      <c r="ONS19" s="590"/>
      <c r="ONT19" s="590"/>
      <c r="ONU19" s="590"/>
      <c r="ONV19" s="590"/>
      <c r="ONW19" s="590"/>
      <c r="ONX19" s="590"/>
      <c r="ONY19" s="590"/>
      <c r="ONZ19" s="590"/>
      <c r="OOA19" s="587"/>
      <c r="OOB19" s="588"/>
      <c r="OOC19" s="589"/>
      <c r="OOD19" s="589"/>
      <c r="OOE19" s="590"/>
      <c r="OOF19" s="589"/>
      <c r="OOG19" s="589"/>
      <c r="OOH19" s="589"/>
      <c r="OOI19" s="591"/>
      <c r="OOJ19" s="589"/>
      <c r="OOK19" s="590"/>
      <c r="OOL19" s="589"/>
      <c r="OOM19" s="589"/>
      <c r="OON19" s="589"/>
      <c r="OOO19" s="590"/>
      <c r="OOP19" s="590"/>
      <c r="OOQ19" s="590"/>
      <c r="OOR19" s="590"/>
      <c r="OOS19" s="590"/>
      <c r="OOT19" s="590"/>
      <c r="OOU19" s="590"/>
      <c r="OOV19" s="590"/>
      <c r="OOW19" s="590"/>
      <c r="OOX19" s="590"/>
      <c r="OOY19" s="590"/>
      <c r="OOZ19" s="590"/>
      <c r="OPA19" s="587"/>
      <c r="OPB19" s="588"/>
      <c r="OPC19" s="589"/>
      <c r="OPD19" s="589"/>
      <c r="OPE19" s="590"/>
      <c r="OPF19" s="589"/>
      <c r="OPG19" s="589"/>
      <c r="OPH19" s="589"/>
      <c r="OPI19" s="591"/>
      <c r="OPJ19" s="589"/>
      <c r="OPK19" s="590"/>
      <c r="OPL19" s="589"/>
      <c r="OPM19" s="589"/>
      <c r="OPN19" s="589"/>
      <c r="OPO19" s="590"/>
      <c r="OPP19" s="590"/>
      <c r="OPQ19" s="590"/>
      <c r="OPR19" s="590"/>
      <c r="OPS19" s="590"/>
      <c r="OPT19" s="590"/>
      <c r="OPU19" s="590"/>
      <c r="OPV19" s="590"/>
      <c r="OPW19" s="590"/>
      <c r="OPX19" s="590"/>
      <c r="OPY19" s="590"/>
      <c r="OPZ19" s="590"/>
      <c r="OQA19" s="587"/>
      <c r="OQB19" s="588"/>
      <c r="OQC19" s="589"/>
      <c r="OQD19" s="589"/>
      <c r="OQE19" s="590"/>
      <c r="OQF19" s="589"/>
      <c r="OQG19" s="589"/>
      <c r="OQH19" s="589"/>
      <c r="OQI19" s="591"/>
      <c r="OQJ19" s="589"/>
      <c r="OQK19" s="590"/>
      <c r="OQL19" s="589"/>
      <c r="OQM19" s="589"/>
      <c r="OQN19" s="589"/>
      <c r="OQO19" s="590"/>
      <c r="OQP19" s="590"/>
      <c r="OQQ19" s="590"/>
      <c r="OQR19" s="590"/>
      <c r="OQS19" s="590"/>
      <c r="OQT19" s="590"/>
      <c r="OQU19" s="590"/>
      <c r="OQV19" s="590"/>
      <c r="OQW19" s="590"/>
      <c r="OQX19" s="590"/>
      <c r="OQY19" s="590"/>
      <c r="OQZ19" s="590"/>
      <c r="ORA19" s="587"/>
      <c r="ORB19" s="588"/>
      <c r="ORC19" s="589"/>
      <c r="ORD19" s="589"/>
      <c r="ORE19" s="590"/>
      <c r="ORF19" s="589"/>
      <c r="ORG19" s="589"/>
      <c r="ORH19" s="589"/>
      <c r="ORI19" s="591"/>
      <c r="ORJ19" s="589"/>
      <c r="ORK19" s="590"/>
      <c r="ORL19" s="589"/>
      <c r="ORM19" s="589"/>
      <c r="ORN19" s="589"/>
      <c r="ORO19" s="590"/>
      <c r="ORP19" s="590"/>
      <c r="ORQ19" s="590"/>
      <c r="ORR19" s="590"/>
      <c r="ORS19" s="590"/>
      <c r="ORT19" s="590"/>
      <c r="ORU19" s="590"/>
      <c r="ORV19" s="590"/>
      <c r="ORW19" s="590"/>
      <c r="ORX19" s="590"/>
      <c r="ORY19" s="590"/>
      <c r="ORZ19" s="590"/>
      <c r="OSA19" s="587"/>
      <c r="OSB19" s="588"/>
      <c r="OSC19" s="589"/>
      <c r="OSD19" s="589"/>
      <c r="OSE19" s="590"/>
      <c r="OSF19" s="589"/>
      <c r="OSG19" s="589"/>
      <c r="OSH19" s="589"/>
      <c r="OSI19" s="591"/>
      <c r="OSJ19" s="589"/>
      <c r="OSK19" s="590"/>
      <c r="OSL19" s="589"/>
      <c r="OSM19" s="589"/>
      <c r="OSN19" s="589"/>
      <c r="OSO19" s="590"/>
      <c r="OSP19" s="590"/>
      <c r="OSQ19" s="590"/>
      <c r="OSR19" s="590"/>
      <c r="OSS19" s="590"/>
      <c r="OST19" s="590"/>
      <c r="OSU19" s="590"/>
      <c r="OSV19" s="590"/>
      <c r="OSW19" s="590"/>
      <c r="OSX19" s="590"/>
      <c r="OSY19" s="590"/>
      <c r="OSZ19" s="590"/>
      <c r="OTA19" s="587"/>
      <c r="OTB19" s="588"/>
      <c r="OTC19" s="589"/>
      <c r="OTD19" s="589"/>
      <c r="OTE19" s="590"/>
      <c r="OTF19" s="589"/>
      <c r="OTG19" s="589"/>
      <c r="OTH19" s="589"/>
      <c r="OTI19" s="591"/>
      <c r="OTJ19" s="589"/>
      <c r="OTK19" s="590"/>
      <c r="OTL19" s="589"/>
      <c r="OTM19" s="589"/>
      <c r="OTN19" s="589"/>
      <c r="OTO19" s="590"/>
      <c r="OTP19" s="590"/>
      <c r="OTQ19" s="590"/>
      <c r="OTR19" s="590"/>
      <c r="OTS19" s="590"/>
      <c r="OTT19" s="590"/>
      <c r="OTU19" s="590"/>
      <c r="OTV19" s="590"/>
      <c r="OTW19" s="590"/>
      <c r="OTX19" s="590"/>
      <c r="OTY19" s="590"/>
      <c r="OTZ19" s="590"/>
      <c r="OUA19" s="587"/>
      <c r="OUB19" s="588"/>
      <c r="OUC19" s="589"/>
      <c r="OUD19" s="589"/>
      <c r="OUE19" s="590"/>
      <c r="OUF19" s="589"/>
      <c r="OUG19" s="589"/>
      <c r="OUH19" s="589"/>
      <c r="OUI19" s="591"/>
      <c r="OUJ19" s="589"/>
      <c r="OUK19" s="590"/>
      <c r="OUL19" s="589"/>
      <c r="OUM19" s="589"/>
      <c r="OUN19" s="589"/>
      <c r="OUO19" s="590"/>
      <c r="OUP19" s="590"/>
      <c r="OUQ19" s="590"/>
      <c r="OUR19" s="590"/>
      <c r="OUS19" s="590"/>
      <c r="OUT19" s="590"/>
      <c r="OUU19" s="590"/>
      <c r="OUV19" s="590"/>
      <c r="OUW19" s="590"/>
      <c r="OUX19" s="590"/>
      <c r="OUY19" s="590"/>
      <c r="OUZ19" s="590"/>
      <c r="OVA19" s="587"/>
      <c r="OVB19" s="588"/>
      <c r="OVC19" s="589"/>
      <c r="OVD19" s="589"/>
      <c r="OVE19" s="590"/>
      <c r="OVF19" s="589"/>
      <c r="OVG19" s="589"/>
      <c r="OVH19" s="589"/>
      <c r="OVI19" s="591"/>
      <c r="OVJ19" s="589"/>
      <c r="OVK19" s="590"/>
      <c r="OVL19" s="589"/>
      <c r="OVM19" s="589"/>
      <c r="OVN19" s="589"/>
      <c r="OVO19" s="590"/>
      <c r="OVP19" s="590"/>
      <c r="OVQ19" s="590"/>
      <c r="OVR19" s="590"/>
      <c r="OVS19" s="590"/>
      <c r="OVT19" s="590"/>
      <c r="OVU19" s="590"/>
      <c r="OVV19" s="590"/>
      <c r="OVW19" s="590"/>
      <c r="OVX19" s="590"/>
      <c r="OVY19" s="590"/>
      <c r="OVZ19" s="590"/>
      <c r="OWA19" s="587"/>
      <c r="OWB19" s="588"/>
      <c r="OWC19" s="589"/>
      <c r="OWD19" s="589"/>
      <c r="OWE19" s="590"/>
      <c r="OWF19" s="589"/>
      <c r="OWG19" s="589"/>
      <c r="OWH19" s="589"/>
      <c r="OWI19" s="591"/>
      <c r="OWJ19" s="589"/>
      <c r="OWK19" s="590"/>
      <c r="OWL19" s="589"/>
      <c r="OWM19" s="589"/>
      <c r="OWN19" s="589"/>
      <c r="OWO19" s="590"/>
      <c r="OWP19" s="590"/>
      <c r="OWQ19" s="590"/>
      <c r="OWR19" s="590"/>
      <c r="OWS19" s="590"/>
      <c r="OWT19" s="590"/>
      <c r="OWU19" s="590"/>
      <c r="OWV19" s="590"/>
      <c r="OWW19" s="590"/>
      <c r="OWX19" s="590"/>
      <c r="OWY19" s="590"/>
      <c r="OWZ19" s="590"/>
      <c r="OXA19" s="587"/>
      <c r="OXB19" s="588"/>
      <c r="OXC19" s="589"/>
      <c r="OXD19" s="589"/>
      <c r="OXE19" s="590"/>
      <c r="OXF19" s="589"/>
      <c r="OXG19" s="589"/>
      <c r="OXH19" s="589"/>
      <c r="OXI19" s="591"/>
      <c r="OXJ19" s="589"/>
      <c r="OXK19" s="590"/>
      <c r="OXL19" s="589"/>
      <c r="OXM19" s="589"/>
      <c r="OXN19" s="589"/>
      <c r="OXO19" s="590"/>
      <c r="OXP19" s="590"/>
      <c r="OXQ19" s="590"/>
      <c r="OXR19" s="590"/>
      <c r="OXS19" s="590"/>
      <c r="OXT19" s="590"/>
      <c r="OXU19" s="590"/>
      <c r="OXV19" s="590"/>
      <c r="OXW19" s="590"/>
      <c r="OXX19" s="590"/>
      <c r="OXY19" s="590"/>
      <c r="OXZ19" s="590"/>
      <c r="OYA19" s="587"/>
      <c r="OYB19" s="588"/>
      <c r="OYC19" s="589"/>
      <c r="OYD19" s="589"/>
      <c r="OYE19" s="590"/>
      <c r="OYF19" s="589"/>
      <c r="OYG19" s="589"/>
      <c r="OYH19" s="589"/>
      <c r="OYI19" s="591"/>
      <c r="OYJ19" s="589"/>
      <c r="OYK19" s="590"/>
      <c r="OYL19" s="589"/>
      <c r="OYM19" s="589"/>
      <c r="OYN19" s="589"/>
      <c r="OYO19" s="590"/>
      <c r="OYP19" s="590"/>
      <c r="OYQ19" s="590"/>
      <c r="OYR19" s="590"/>
      <c r="OYS19" s="590"/>
      <c r="OYT19" s="590"/>
      <c r="OYU19" s="590"/>
      <c r="OYV19" s="590"/>
      <c r="OYW19" s="590"/>
      <c r="OYX19" s="590"/>
      <c r="OYY19" s="590"/>
      <c r="OYZ19" s="590"/>
      <c r="OZA19" s="587"/>
      <c r="OZB19" s="588"/>
      <c r="OZC19" s="589"/>
      <c r="OZD19" s="589"/>
      <c r="OZE19" s="590"/>
      <c r="OZF19" s="589"/>
      <c r="OZG19" s="589"/>
      <c r="OZH19" s="589"/>
      <c r="OZI19" s="591"/>
      <c r="OZJ19" s="589"/>
      <c r="OZK19" s="590"/>
      <c r="OZL19" s="589"/>
      <c r="OZM19" s="589"/>
      <c r="OZN19" s="589"/>
      <c r="OZO19" s="590"/>
      <c r="OZP19" s="590"/>
      <c r="OZQ19" s="590"/>
      <c r="OZR19" s="590"/>
      <c r="OZS19" s="590"/>
      <c r="OZT19" s="590"/>
      <c r="OZU19" s="590"/>
      <c r="OZV19" s="590"/>
      <c r="OZW19" s="590"/>
      <c r="OZX19" s="590"/>
      <c r="OZY19" s="590"/>
      <c r="OZZ19" s="590"/>
      <c r="PAA19" s="587"/>
      <c r="PAB19" s="588"/>
      <c r="PAC19" s="589"/>
      <c r="PAD19" s="589"/>
      <c r="PAE19" s="590"/>
      <c r="PAF19" s="589"/>
      <c r="PAG19" s="589"/>
      <c r="PAH19" s="589"/>
      <c r="PAI19" s="591"/>
      <c r="PAJ19" s="589"/>
      <c r="PAK19" s="590"/>
      <c r="PAL19" s="589"/>
      <c r="PAM19" s="589"/>
      <c r="PAN19" s="589"/>
      <c r="PAO19" s="590"/>
      <c r="PAP19" s="590"/>
      <c r="PAQ19" s="590"/>
      <c r="PAR19" s="590"/>
      <c r="PAS19" s="590"/>
      <c r="PAT19" s="590"/>
      <c r="PAU19" s="590"/>
      <c r="PAV19" s="590"/>
      <c r="PAW19" s="590"/>
      <c r="PAX19" s="590"/>
      <c r="PAY19" s="590"/>
      <c r="PAZ19" s="590"/>
      <c r="PBA19" s="587"/>
      <c r="PBB19" s="588"/>
      <c r="PBC19" s="589"/>
      <c r="PBD19" s="589"/>
      <c r="PBE19" s="590"/>
      <c r="PBF19" s="589"/>
      <c r="PBG19" s="589"/>
      <c r="PBH19" s="589"/>
      <c r="PBI19" s="591"/>
      <c r="PBJ19" s="589"/>
      <c r="PBK19" s="590"/>
      <c r="PBL19" s="589"/>
      <c r="PBM19" s="589"/>
      <c r="PBN19" s="589"/>
      <c r="PBO19" s="590"/>
      <c r="PBP19" s="590"/>
      <c r="PBQ19" s="590"/>
      <c r="PBR19" s="590"/>
      <c r="PBS19" s="590"/>
      <c r="PBT19" s="590"/>
      <c r="PBU19" s="590"/>
      <c r="PBV19" s="590"/>
      <c r="PBW19" s="590"/>
      <c r="PBX19" s="590"/>
      <c r="PBY19" s="590"/>
      <c r="PBZ19" s="590"/>
      <c r="PCA19" s="587"/>
      <c r="PCB19" s="588"/>
      <c r="PCC19" s="589"/>
      <c r="PCD19" s="589"/>
      <c r="PCE19" s="590"/>
      <c r="PCF19" s="589"/>
      <c r="PCG19" s="589"/>
      <c r="PCH19" s="589"/>
      <c r="PCI19" s="591"/>
      <c r="PCJ19" s="589"/>
      <c r="PCK19" s="590"/>
      <c r="PCL19" s="589"/>
      <c r="PCM19" s="589"/>
      <c r="PCN19" s="589"/>
      <c r="PCO19" s="590"/>
      <c r="PCP19" s="590"/>
      <c r="PCQ19" s="590"/>
      <c r="PCR19" s="590"/>
      <c r="PCS19" s="590"/>
      <c r="PCT19" s="590"/>
      <c r="PCU19" s="590"/>
      <c r="PCV19" s="590"/>
      <c r="PCW19" s="590"/>
      <c r="PCX19" s="590"/>
      <c r="PCY19" s="590"/>
      <c r="PCZ19" s="590"/>
      <c r="PDA19" s="587"/>
      <c r="PDB19" s="588"/>
      <c r="PDC19" s="589"/>
      <c r="PDD19" s="589"/>
      <c r="PDE19" s="590"/>
      <c r="PDF19" s="589"/>
      <c r="PDG19" s="589"/>
      <c r="PDH19" s="589"/>
      <c r="PDI19" s="591"/>
      <c r="PDJ19" s="589"/>
      <c r="PDK19" s="590"/>
      <c r="PDL19" s="589"/>
      <c r="PDM19" s="589"/>
      <c r="PDN19" s="589"/>
      <c r="PDO19" s="590"/>
      <c r="PDP19" s="590"/>
      <c r="PDQ19" s="590"/>
      <c r="PDR19" s="590"/>
      <c r="PDS19" s="590"/>
      <c r="PDT19" s="590"/>
      <c r="PDU19" s="590"/>
      <c r="PDV19" s="590"/>
      <c r="PDW19" s="590"/>
      <c r="PDX19" s="590"/>
      <c r="PDY19" s="590"/>
      <c r="PDZ19" s="590"/>
      <c r="PEA19" s="587"/>
      <c r="PEB19" s="588"/>
      <c r="PEC19" s="589"/>
      <c r="PED19" s="589"/>
      <c r="PEE19" s="590"/>
      <c r="PEF19" s="589"/>
      <c r="PEG19" s="589"/>
      <c r="PEH19" s="589"/>
      <c r="PEI19" s="591"/>
      <c r="PEJ19" s="589"/>
      <c r="PEK19" s="590"/>
      <c r="PEL19" s="589"/>
      <c r="PEM19" s="589"/>
      <c r="PEN19" s="589"/>
      <c r="PEO19" s="590"/>
      <c r="PEP19" s="590"/>
      <c r="PEQ19" s="590"/>
      <c r="PER19" s="590"/>
      <c r="PES19" s="590"/>
      <c r="PET19" s="590"/>
      <c r="PEU19" s="590"/>
      <c r="PEV19" s="590"/>
      <c r="PEW19" s="590"/>
      <c r="PEX19" s="590"/>
      <c r="PEY19" s="590"/>
      <c r="PEZ19" s="590"/>
      <c r="PFA19" s="587"/>
      <c r="PFB19" s="588"/>
      <c r="PFC19" s="589"/>
      <c r="PFD19" s="589"/>
      <c r="PFE19" s="590"/>
      <c r="PFF19" s="589"/>
      <c r="PFG19" s="589"/>
      <c r="PFH19" s="589"/>
      <c r="PFI19" s="591"/>
      <c r="PFJ19" s="589"/>
      <c r="PFK19" s="590"/>
      <c r="PFL19" s="589"/>
      <c r="PFM19" s="589"/>
      <c r="PFN19" s="589"/>
      <c r="PFO19" s="590"/>
      <c r="PFP19" s="590"/>
      <c r="PFQ19" s="590"/>
      <c r="PFR19" s="590"/>
      <c r="PFS19" s="590"/>
      <c r="PFT19" s="590"/>
      <c r="PFU19" s="590"/>
      <c r="PFV19" s="590"/>
      <c r="PFW19" s="590"/>
      <c r="PFX19" s="590"/>
      <c r="PFY19" s="590"/>
      <c r="PFZ19" s="590"/>
      <c r="PGA19" s="587"/>
      <c r="PGB19" s="588"/>
      <c r="PGC19" s="589"/>
      <c r="PGD19" s="589"/>
      <c r="PGE19" s="590"/>
      <c r="PGF19" s="589"/>
      <c r="PGG19" s="589"/>
      <c r="PGH19" s="589"/>
      <c r="PGI19" s="591"/>
      <c r="PGJ19" s="589"/>
      <c r="PGK19" s="590"/>
      <c r="PGL19" s="589"/>
      <c r="PGM19" s="589"/>
      <c r="PGN19" s="589"/>
      <c r="PGO19" s="590"/>
      <c r="PGP19" s="590"/>
      <c r="PGQ19" s="590"/>
      <c r="PGR19" s="590"/>
      <c r="PGS19" s="590"/>
      <c r="PGT19" s="590"/>
      <c r="PGU19" s="590"/>
      <c r="PGV19" s="590"/>
      <c r="PGW19" s="590"/>
      <c r="PGX19" s="590"/>
      <c r="PGY19" s="590"/>
      <c r="PGZ19" s="590"/>
      <c r="PHA19" s="587"/>
      <c r="PHB19" s="588"/>
      <c r="PHC19" s="589"/>
      <c r="PHD19" s="589"/>
      <c r="PHE19" s="590"/>
      <c r="PHF19" s="589"/>
      <c r="PHG19" s="589"/>
      <c r="PHH19" s="589"/>
      <c r="PHI19" s="591"/>
      <c r="PHJ19" s="589"/>
      <c r="PHK19" s="590"/>
      <c r="PHL19" s="589"/>
      <c r="PHM19" s="589"/>
      <c r="PHN19" s="589"/>
      <c r="PHO19" s="590"/>
      <c r="PHP19" s="590"/>
      <c r="PHQ19" s="590"/>
      <c r="PHR19" s="590"/>
      <c r="PHS19" s="590"/>
      <c r="PHT19" s="590"/>
      <c r="PHU19" s="590"/>
      <c r="PHV19" s="590"/>
      <c r="PHW19" s="590"/>
      <c r="PHX19" s="590"/>
      <c r="PHY19" s="590"/>
      <c r="PHZ19" s="590"/>
      <c r="PIA19" s="587"/>
      <c r="PIB19" s="588"/>
      <c r="PIC19" s="589"/>
      <c r="PID19" s="589"/>
      <c r="PIE19" s="590"/>
      <c r="PIF19" s="589"/>
      <c r="PIG19" s="589"/>
      <c r="PIH19" s="589"/>
      <c r="PII19" s="591"/>
      <c r="PIJ19" s="589"/>
      <c r="PIK19" s="590"/>
      <c r="PIL19" s="589"/>
      <c r="PIM19" s="589"/>
      <c r="PIN19" s="589"/>
      <c r="PIO19" s="590"/>
      <c r="PIP19" s="590"/>
      <c r="PIQ19" s="590"/>
      <c r="PIR19" s="590"/>
      <c r="PIS19" s="590"/>
      <c r="PIT19" s="590"/>
      <c r="PIU19" s="590"/>
      <c r="PIV19" s="590"/>
      <c r="PIW19" s="590"/>
      <c r="PIX19" s="590"/>
      <c r="PIY19" s="590"/>
      <c r="PIZ19" s="590"/>
      <c r="PJA19" s="587"/>
      <c r="PJB19" s="588"/>
      <c r="PJC19" s="589"/>
      <c r="PJD19" s="589"/>
      <c r="PJE19" s="590"/>
      <c r="PJF19" s="589"/>
      <c r="PJG19" s="589"/>
      <c r="PJH19" s="589"/>
      <c r="PJI19" s="591"/>
      <c r="PJJ19" s="589"/>
      <c r="PJK19" s="590"/>
      <c r="PJL19" s="589"/>
      <c r="PJM19" s="589"/>
      <c r="PJN19" s="589"/>
      <c r="PJO19" s="590"/>
      <c r="PJP19" s="590"/>
      <c r="PJQ19" s="590"/>
      <c r="PJR19" s="590"/>
      <c r="PJS19" s="590"/>
      <c r="PJT19" s="590"/>
      <c r="PJU19" s="590"/>
      <c r="PJV19" s="590"/>
      <c r="PJW19" s="590"/>
      <c r="PJX19" s="590"/>
      <c r="PJY19" s="590"/>
      <c r="PJZ19" s="590"/>
      <c r="PKA19" s="587"/>
      <c r="PKB19" s="588"/>
      <c r="PKC19" s="589"/>
      <c r="PKD19" s="589"/>
      <c r="PKE19" s="590"/>
      <c r="PKF19" s="589"/>
      <c r="PKG19" s="589"/>
      <c r="PKH19" s="589"/>
      <c r="PKI19" s="591"/>
      <c r="PKJ19" s="589"/>
      <c r="PKK19" s="590"/>
      <c r="PKL19" s="589"/>
      <c r="PKM19" s="589"/>
      <c r="PKN19" s="589"/>
      <c r="PKO19" s="590"/>
      <c r="PKP19" s="590"/>
      <c r="PKQ19" s="590"/>
      <c r="PKR19" s="590"/>
      <c r="PKS19" s="590"/>
      <c r="PKT19" s="590"/>
      <c r="PKU19" s="590"/>
      <c r="PKV19" s="590"/>
      <c r="PKW19" s="590"/>
      <c r="PKX19" s="590"/>
      <c r="PKY19" s="590"/>
      <c r="PKZ19" s="590"/>
      <c r="PLA19" s="587"/>
      <c r="PLB19" s="588"/>
      <c r="PLC19" s="589"/>
      <c r="PLD19" s="589"/>
      <c r="PLE19" s="590"/>
      <c r="PLF19" s="589"/>
      <c r="PLG19" s="589"/>
      <c r="PLH19" s="589"/>
      <c r="PLI19" s="591"/>
      <c r="PLJ19" s="589"/>
      <c r="PLK19" s="590"/>
      <c r="PLL19" s="589"/>
      <c r="PLM19" s="589"/>
      <c r="PLN19" s="589"/>
      <c r="PLO19" s="590"/>
      <c r="PLP19" s="590"/>
      <c r="PLQ19" s="590"/>
      <c r="PLR19" s="590"/>
      <c r="PLS19" s="590"/>
      <c r="PLT19" s="590"/>
      <c r="PLU19" s="590"/>
      <c r="PLV19" s="590"/>
      <c r="PLW19" s="590"/>
      <c r="PLX19" s="590"/>
      <c r="PLY19" s="590"/>
      <c r="PLZ19" s="590"/>
      <c r="PMA19" s="587"/>
      <c r="PMB19" s="588"/>
      <c r="PMC19" s="589"/>
      <c r="PMD19" s="589"/>
      <c r="PME19" s="590"/>
      <c r="PMF19" s="589"/>
      <c r="PMG19" s="589"/>
      <c r="PMH19" s="589"/>
      <c r="PMI19" s="591"/>
      <c r="PMJ19" s="589"/>
      <c r="PMK19" s="590"/>
      <c r="PML19" s="589"/>
      <c r="PMM19" s="589"/>
      <c r="PMN19" s="589"/>
      <c r="PMO19" s="590"/>
      <c r="PMP19" s="590"/>
      <c r="PMQ19" s="590"/>
      <c r="PMR19" s="590"/>
      <c r="PMS19" s="590"/>
      <c r="PMT19" s="590"/>
      <c r="PMU19" s="590"/>
      <c r="PMV19" s="590"/>
      <c r="PMW19" s="590"/>
      <c r="PMX19" s="590"/>
      <c r="PMY19" s="590"/>
      <c r="PMZ19" s="590"/>
      <c r="PNA19" s="587"/>
      <c r="PNB19" s="588"/>
      <c r="PNC19" s="589"/>
      <c r="PND19" s="589"/>
      <c r="PNE19" s="590"/>
      <c r="PNF19" s="589"/>
      <c r="PNG19" s="589"/>
      <c r="PNH19" s="589"/>
      <c r="PNI19" s="591"/>
      <c r="PNJ19" s="589"/>
      <c r="PNK19" s="590"/>
      <c r="PNL19" s="589"/>
      <c r="PNM19" s="589"/>
      <c r="PNN19" s="589"/>
      <c r="PNO19" s="590"/>
      <c r="PNP19" s="590"/>
      <c r="PNQ19" s="590"/>
      <c r="PNR19" s="590"/>
      <c r="PNS19" s="590"/>
      <c r="PNT19" s="590"/>
      <c r="PNU19" s="590"/>
      <c r="PNV19" s="590"/>
      <c r="PNW19" s="590"/>
      <c r="PNX19" s="590"/>
      <c r="PNY19" s="590"/>
      <c r="PNZ19" s="590"/>
      <c r="POA19" s="587"/>
      <c r="POB19" s="588"/>
      <c r="POC19" s="589"/>
      <c r="POD19" s="589"/>
      <c r="POE19" s="590"/>
      <c r="POF19" s="589"/>
      <c r="POG19" s="589"/>
      <c r="POH19" s="589"/>
      <c r="POI19" s="591"/>
      <c r="POJ19" s="589"/>
      <c r="POK19" s="590"/>
      <c r="POL19" s="589"/>
      <c r="POM19" s="589"/>
      <c r="PON19" s="589"/>
      <c r="POO19" s="590"/>
      <c r="POP19" s="590"/>
      <c r="POQ19" s="590"/>
      <c r="POR19" s="590"/>
      <c r="POS19" s="590"/>
      <c r="POT19" s="590"/>
      <c r="POU19" s="590"/>
      <c r="POV19" s="590"/>
      <c r="POW19" s="590"/>
      <c r="POX19" s="590"/>
      <c r="POY19" s="590"/>
      <c r="POZ19" s="590"/>
      <c r="PPA19" s="587"/>
      <c r="PPB19" s="588"/>
      <c r="PPC19" s="589"/>
      <c r="PPD19" s="589"/>
      <c r="PPE19" s="590"/>
      <c r="PPF19" s="589"/>
      <c r="PPG19" s="589"/>
      <c r="PPH19" s="589"/>
      <c r="PPI19" s="591"/>
      <c r="PPJ19" s="589"/>
      <c r="PPK19" s="590"/>
      <c r="PPL19" s="589"/>
      <c r="PPM19" s="589"/>
      <c r="PPN19" s="589"/>
      <c r="PPO19" s="590"/>
      <c r="PPP19" s="590"/>
      <c r="PPQ19" s="590"/>
      <c r="PPR19" s="590"/>
      <c r="PPS19" s="590"/>
      <c r="PPT19" s="590"/>
      <c r="PPU19" s="590"/>
      <c r="PPV19" s="590"/>
      <c r="PPW19" s="590"/>
      <c r="PPX19" s="590"/>
      <c r="PPY19" s="590"/>
      <c r="PPZ19" s="590"/>
      <c r="PQA19" s="587"/>
      <c r="PQB19" s="588"/>
      <c r="PQC19" s="589"/>
      <c r="PQD19" s="589"/>
      <c r="PQE19" s="590"/>
      <c r="PQF19" s="589"/>
      <c r="PQG19" s="589"/>
      <c r="PQH19" s="589"/>
      <c r="PQI19" s="591"/>
      <c r="PQJ19" s="589"/>
      <c r="PQK19" s="590"/>
      <c r="PQL19" s="589"/>
      <c r="PQM19" s="589"/>
      <c r="PQN19" s="589"/>
      <c r="PQO19" s="590"/>
      <c r="PQP19" s="590"/>
      <c r="PQQ19" s="590"/>
      <c r="PQR19" s="590"/>
      <c r="PQS19" s="590"/>
      <c r="PQT19" s="590"/>
      <c r="PQU19" s="590"/>
      <c r="PQV19" s="590"/>
      <c r="PQW19" s="590"/>
      <c r="PQX19" s="590"/>
      <c r="PQY19" s="590"/>
      <c r="PQZ19" s="590"/>
      <c r="PRA19" s="587"/>
      <c r="PRB19" s="588"/>
      <c r="PRC19" s="589"/>
      <c r="PRD19" s="589"/>
      <c r="PRE19" s="590"/>
      <c r="PRF19" s="589"/>
      <c r="PRG19" s="589"/>
      <c r="PRH19" s="589"/>
      <c r="PRI19" s="591"/>
      <c r="PRJ19" s="589"/>
      <c r="PRK19" s="590"/>
      <c r="PRL19" s="589"/>
      <c r="PRM19" s="589"/>
      <c r="PRN19" s="589"/>
      <c r="PRO19" s="590"/>
      <c r="PRP19" s="590"/>
      <c r="PRQ19" s="590"/>
      <c r="PRR19" s="590"/>
      <c r="PRS19" s="590"/>
      <c r="PRT19" s="590"/>
      <c r="PRU19" s="590"/>
      <c r="PRV19" s="590"/>
      <c r="PRW19" s="590"/>
      <c r="PRX19" s="590"/>
      <c r="PRY19" s="590"/>
      <c r="PRZ19" s="590"/>
      <c r="PSA19" s="587"/>
      <c r="PSB19" s="588"/>
      <c r="PSC19" s="589"/>
      <c r="PSD19" s="589"/>
      <c r="PSE19" s="590"/>
      <c r="PSF19" s="589"/>
      <c r="PSG19" s="589"/>
      <c r="PSH19" s="589"/>
      <c r="PSI19" s="591"/>
      <c r="PSJ19" s="589"/>
      <c r="PSK19" s="590"/>
      <c r="PSL19" s="589"/>
      <c r="PSM19" s="589"/>
      <c r="PSN19" s="589"/>
      <c r="PSO19" s="590"/>
      <c r="PSP19" s="590"/>
      <c r="PSQ19" s="590"/>
      <c r="PSR19" s="590"/>
      <c r="PSS19" s="590"/>
      <c r="PST19" s="590"/>
      <c r="PSU19" s="590"/>
      <c r="PSV19" s="590"/>
      <c r="PSW19" s="590"/>
      <c r="PSX19" s="590"/>
      <c r="PSY19" s="590"/>
      <c r="PSZ19" s="590"/>
      <c r="PTA19" s="587"/>
      <c r="PTB19" s="588"/>
      <c r="PTC19" s="589"/>
      <c r="PTD19" s="589"/>
      <c r="PTE19" s="590"/>
      <c r="PTF19" s="589"/>
      <c r="PTG19" s="589"/>
      <c r="PTH19" s="589"/>
      <c r="PTI19" s="591"/>
      <c r="PTJ19" s="589"/>
      <c r="PTK19" s="590"/>
      <c r="PTL19" s="589"/>
      <c r="PTM19" s="589"/>
      <c r="PTN19" s="589"/>
      <c r="PTO19" s="590"/>
      <c r="PTP19" s="590"/>
      <c r="PTQ19" s="590"/>
      <c r="PTR19" s="590"/>
      <c r="PTS19" s="590"/>
      <c r="PTT19" s="590"/>
      <c r="PTU19" s="590"/>
      <c r="PTV19" s="590"/>
      <c r="PTW19" s="590"/>
      <c r="PTX19" s="590"/>
      <c r="PTY19" s="590"/>
      <c r="PTZ19" s="590"/>
      <c r="PUA19" s="587"/>
      <c r="PUB19" s="588"/>
      <c r="PUC19" s="589"/>
      <c r="PUD19" s="589"/>
      <c r="PUE19" s="590"/>
      <c r="PUF19" s="589"/>
      <c r="PUG19" s="589"/>
      <c r="PUH19" s="589"/>
      <c r="PUI19" s="591"/>
      <c r="PUJ19" s="589"/>
      <c r="PUK19" s="590"/>
      <c r="PUL19" s="589"/>
      <c r="PUM19" s="589"/>
      <c r="PUN19" s="589"/>
      <c r="PUO19" s="590"/>
      <c r="PUP19" s="590"/>
      <c r="PUQ19" s="590"/>
      <c r="PUR19" s="590"/>
      <c r="PUS19" s="590"/>
      <c r="PUT19" s="590"/>
      <c r="PUU19" s="590"/>
      <c r="PUV19" s="590"/>
      <c r="PUW19" s="590"/>
      <c r="PUX19" s="590"/>
      <c r="PUY19" s="590"/>
      <c r="PUZ19" s="590"/>
      <c r="PVA19" s="587"/>
      <c r="PVB19" s="588"/>
      <c r="PVC19" s="589"/>
      <c r="PVD19" s="589"/>
      <c r="PVE19" s="590"/>
      <c r="PVF19" s="589"/>
      <c r="PVG19" s="589"/>
      <c r="PVH19" s="589"/>
      <c r="PVI19" s="591"/>
      <c r="PVJ19" s="589"/>
      <c r="PVK19" s="590"/>
      <c r="PVL19" s="589"/>
      <c r="PVM19" s="589"/>
      <c r="PVN19" s="589"/>
      <c r="PVO19" s="590"/>
      <c r="PVP19" s="590"/>
      <c r="PVQ19" s="590"/>
      <c r="PVR19" s="590"/>
      <c r="PVS19" s="590"/>
      <c r="PVT19" s="590"/>
      <c r="PVU19" s="590"/>
      <c r="PVV19" s="590"/>
      <c r="PVW19" s="590"/>
      <c r="PVX19" s="590"/>
      <c r="PVY19" s="590"/>
      <c r="PVZ19" s="590"/>
      <c r="PWA19" s="587"/>
      <c r="PWB19" s="588"/>
      <c r="PWC19" s="589"/>
      <c r="PWD19" s="589"/>
      <c r="PWE19" s="590"/>
      <c r="PWF19" s="589"/>
      <c r="PWG19" s="589"/>
      <c r="PWH19" s="589"/>
      <c r="PWI19" s="591"/>
      <c r="PWJ19" s="589"/>
      <c r="PWK19" s="590"/>
      <c r="PWL19" s="589"/>
      <c r="PWM19" s="589"/>
      <c r="PWN19" s="589"/>
      <c r="PWO19" s="590"/>
      <c r="PWP19" s="590"/>
      <c r="PWQ19" s="590"/>
      <c r="PWR19" s="590"/>
      <c r="PWS19" s="590"/>
      <c r="PWT19" s="590"/>
      <c r="PWU19" s="590"/>
      <c r="PWV19" s="590"/>
      <c r="PWW19" s="590"/>
      <c r="PWX19" s="590"/>
      <c r="PWY19" s="590"/>
      <c r="PWZ19" s="590"/>
      <c r="PXA19" s="587"/>
      <c r="PXB19" s="588"/>
      <c r="PXC19" s="589"/>
      <c r="PXD19" s="589"/>
      <c r="PXE19" s="590"/>
      <c r="PXF19" s="589"/>
      <c r="PXG19" s="589"/>
      <c r="PXH19" s="589"/>
      <c r="PXI19" s="591"/>
      <c r="PXJ19" s="589"/>
      <c r="PXK19" s="590"/>
      <c r="PXL19" s="589"/>
      <c r="PXM19" s="589"/>
      <c r="PXN19" s="589"/>
      <c r="PXO19" s="590"/>
      <c r="PXP19" s="590"/>
      <c r="PXQ19" s="590"/>
      <c r="PXR19" s="590"/>
      <c r="PXS19" s="590"/>
      <c r="PXT19" s="590"/>
      <c r="PXU19" s="590"/>
      <c r="PXV19" s="590"/>
      <c r="PXW19" s="590"/>
      <c r="PXX19" s="590"/>
      <c r="PXY19" s="590"/>
      <c r="PXZ19" s="590"/>
      <c r="PYA19" s="587"/>
      <c r="PYB19" s="588"/>
      <c r="PYC19" s="589"/>
      <c r="PYD19" s="589"/>
      <c r="PYE19" s="590"/>
      <c r="PYF19" s="589"/>
      <c r="PYG19" s="589"/>
      <c r="PYH19" s="589"/>
      <c r="PYI19" s="591"/>
      <c r="PYJ19" s="589"/>
      <c r="PYK19" s="590"/>
      <c r="PYL19" s="589"/>
      <c r="PYM19" s="589"/>
      <c r="PYN19" s="589"/>
      <c r="PYO19" s="590"/>
      <c r="PYP19" s="590"/>
      <c r="PYQ19" s="590"/>
      <c r="PYR19" s="590"/>
      <c r="PYS19" s="590"/>
      <c r="PYT19" s="590"/>
      <c r="PYU19" s="590"/>
      <c r="PYV19" s="590"/>
      <c r="PYW19" s="590"/>
      <c r="PYX19" s="590"/>
      <c r="PYY19" s="590"/>
      <c r="PYZ19" s="590"/>
      <c r="PZA19" s="587"/>
      <c r="PZB19" s="588"/>
      <c r="PZC19" s="589"/>
      <c r="PZD19" s="589"/>
      <c r="PZE19" s="590"/>
      <c r="PZF19" s="589"/>
      <c r="PZG19" s="589"/>
      <c r="PZH19" s="589"/>
      <c r="PZI19" s="591"/>
      <c r="PZJ19" s="589"/>
      <c r="PZK19" s="590"/>
      <c r="PZL19" s="589"/>
      <c r="PZM19" s="589"/>
      <c r="PZN19" s="589"/>
      <c r="PZO19" s="590"/>
      <c r="PZP19" s="590"/>
      <c r="PZQ19" s="590"/>
      <c r="PZR19" s="590"/>
      <c r="PZS19" s="590"/>
      <c r="PZT19" s="590"/>
      <c r="PZU19" s="590"/>
      <c r="PZV19" s="590"/>
      <c r="PZW19" s="590"/>
      <c r="PZX19" s="590"/>
      <c r="PZY19" s="590"/>
      <c r="PZZ19" s="590"/>
      <c r="QAA19" s="587"/>
      <c r="QAB19" s="588"/>
      <c r="QAC19" s="589"/>
      <c r="QAD19" s="589"/>
      <c r="QAE19" s="590"/>
      <c r="QAF19" s="589"/>
      <c r="QAG19" s="589"/>
      <c r="QAH19" s="589"/>
      <c r="QAI19" s="591"/>
      <c r="QAJ19" s="589"/>
      <c r="QAK19" s="590"/>
      <c r="QAL19" s="589"/>
      <c r="QAM19" s="589"/>
      <c r="QAN19" s="589"/>
      <c r="QAO19" s="590"/>
      <c r="QAP19" s="590"/>
      <c r="QAQ19" s="590"/>
      <c r="QAR19" s="590"/>
      <c r="QAS19" s="590"/>
      <c r="QAT19" s="590"/>
      <c r="QAU19" s="590"/>
      <c r="QAV19" s="590"/>
      <c r="QAW19" s="590"/>
      <c r="QAX19" s="590"/>
      <c r="QAY19" s="590"/>
      <c r="QAZ19" s="590"/>
      <c r="QBA19" s="587"/>
      <c r="QBB19" s="588"/>
      <c r="QBC19" s="589"/>
      <c r="QBD19" s="589"/>
      <c r="QBE19" s="590"/>
      <c r="QBF19" s="589"/>
      <c r="QBG19" s="589"/>
      <c r="QBH19" s="589"/>
      <c r="QBI19" s="591"/>
      <c r="QBJ19" s="589"/>
      <c r="QBK19" s="590"/>
      <c r="QBL19" s="589"/>
      <c r="QBM19" s="589"/>
      <c r="QBN19" s="589"/>
      <c r="QBO19" s="590"/>
      <c r="QBP19" s="590"/>
      <c r="QBQ19" s="590"/>
      <c r="QBR19" s="590"/>
      <c r="QBS19" s="590"/>
      <c r="QBT19" s="590"/>
      <c r="QBU19" s="590"/>
      <c r="QBV19" s="590"/>
      <c r="QBW19" s="590"/>
      <c r="QBX19" s="590"/>
      <c r="QBY19" s="590"/>
      <c r="QBZ19" s="590"/>
      <c r="QCA19" s="587"/>
      <c r="QCB19" s="588"/>
      <c r="QCC19" s="589"/>
      <c r="QCD19" s="589"/>
      <c r="QCE19" s="590"/>
      <c r="QCF19" s="589"/>
      <c r="QCG19" s="589"/>
      <c r="QCH19" s="589"/>
      <c r="QCI19" s="591"/>
      <c r="QCJ19" s="589"/>
      <c r="QCK19" s="590"/>
      <c r="QCL19" s="589"/>
      <c r="QCM19" s="589"/>
      <c r="QCN19" s="589"/>
      <c r="QCO19" s="590"/>
      <c r="QCP19" s="590"/>
      <c r="QCQ19" s="590"/>
      <c r="QCR19" s="590"/>
      <c r="QCS19" s="590"/>
      <c r="QCT19" s="590"/>
      <c r="QCU19" s="590"/>
      <c r="QCV19" s="590"/>
      <c r="QCW19" s="590"/>
      <c r="QCX19" s="590"/>
      <c r="QCY19" s="590"/>
      <c r="QCZ19" s="590"/>
      <c r="QDA19" s="587"/>
      <c r="QDB19" s="588"/>
      <c r="QDC19" s="589"/>
      <c r="QDD19" s="589"/>
      <c r="QDE19" s="590"/>
      <c r="QDF19" s="589"/>
      <c r="QDG19" s="589"/>
      <c r="QDH19" s="589"/>
      <c r="QDI19" s="591"/>
      <c r="QDJ19" s="589"/>
      <c r="QDK19" s="590"/>
      <c r="QDL19" s="589"/>
      <c r="QDM19" s="589"/>
      <c r="QDN19" s="589"/>
      <c r="QDO19" s="590"/>
      <c r="QDP19" s="590"/>
      <c r="QDQ19" s="590"/>
      <c r="QDR19" s="590"/>
      <c r="QDS19" s="590"/>
      <c r="QDT19" s="590"/>
      <c r="QDU19" s="590"/>
      <c r="QDV19" s="590"/>
      <c r="QDW19" s="590"/>
      <c r="QDX19" s="590"/>
      <c r="QDY19" s="590"/>
      <c r="QDZ19" s="590"/>
      <c r="QEA19" s="587"/>
      <c r="QEB19" s="588"/>
      <c r="QEC19" s="589"/>
      <c r="QED19" s="589"/>
      <c r="QEE19" s="590"/>
      <c r="QEF19" s="589"/>
      <c r="QEG19" s="589"/>
      <c r="QEH19" s="589"/>
      <c r="QEI19" s="591"/>
      <c r="QEJ19" s="589"/>
      <c r="QEK19" s="590"/>
      <c r="QEL19" s="589"/>
      <c r="QEM19" s="589"/>
      <c r="QEN19" s="589"/>
      <c r="QEO19" s="590"/>
      <c r="QEP19" s="590"/>
      <c r="QEQ19" s="590"/>
      <c r="QER19" s="590"/>
      <c r="QES19" s="590"/>
      <c r="QET19" s="590"/>
      <c r="QEU19" s="590"/>
      <c r="QEV19" s="590"/>
      <c r="QEW19" s="590"/>
      <c r="QEX19" s="590"/>
      <c r="QEY19" s="590"/>
      <c r="QEZ19" s="590"/>
      <c r="QFA19" s="587"/>
      <c r="QFB19" s="588"/>
      <c r="QFC19" s="589"/>
      <c r="QFD19" s="589"/>
      <c r="QFE19" s="590"/>
      <c r="QFF19" s="589"/>
      <c r="QFG19" s="589"/>
      <c r="QFH19" s="589"/>
      <c r="QFI19" s="591"/>
      <c r="QFJ19" s="589"/>
      <c r="QFK19" s="590"/>
      <c r="QFL19" s="589"/>
      <c r="QFM19" s="589"/>
      <c r="QFN19" s="589"/>
      <c r="QFO19" s="590"/>
      <c r="QFP19" s="590"/>
      <c r="QFQ19" s="590"/>
      <c r="QFR19" s="590"/>
      <c r="QFS19" s="590"/>
      <c r="QFT19" s="590"/>
      <c r="QFU19" s="590"/>
      <c r="QFV19" s="590"/>
      <c r="QFW19" s="590"/>
      <c r="QFX19" s="590"/>
      <c r="QFY19" s="590"/>
      <c r="QFZ19" s="590"/>
      <c r="QGA19" s="587"/>
      <c r="QGB19" s="588"/>
      <c r="QGC19" s="589"/>
      <c r="QGD19" s="589"/>
      <c r="QGE19" s="590"/>
      <c r="QGF19" s="589"/>
      <c r="QGG19" s="589"/>
      <c r="QGH19" s="589"/>
      <c r="QGI19" s="591"/>
      <c r="QGJ19" s="589"/>
      <c r="QGK19" s="590"/>
      <c r="QGL19" s="589"/>
      <c r="QGM19" s="589"/>
      <c r="QGN19" s="589"/>
      <c r="QGO19" s="590"/>
      <c r="QGP19" s="590"/>
      <c r="QGQ19" s="590"/>
      <c r="QGR19" s="590"/>
      <c r="QGS19" s="590"/>
      <c r="QGT19" s="590"/>
      <c r="QGU19" s="590"/>
      <c r="QGV19" s="590"/>
      <c r="QGW19" s="590"/>
      <c r="QGX19" s="590"/>
      <c r="QGY19" s="590"/>
      <c r="QGZ19" s="590"/>
      <c r="QHA19" s="587"/>
      <c r="QHB19" s="588"/>
      <c r="QHC19" s="589"/>
      <c r="QHD19" s="589"/>
      <c r="QHE19" s="590"/>
      <c r="QHF19" s="589"/>
      <c r="QHG19" s="589"/>
      <c r="QHH19" s="589"/>
      <c r="QHI19" s="591"/>
      <c r="QHJ19" s="589"/>
      <c r="QHK19" s="590"/>
      <c r="QHL19" s="589"/>
      <c r="QHM19" s="589"/>
      <c r="QHN19" s="589"/>
      <c r="QHO19" s="590"/>
      <c r="QHP19" s="590"/>
      <c r="QHQ19" s="590"/>
      <c r="QHR19" s="590"/>
      <c r="QHS19" s="590"/>
      <c r="QHT19" s="590"/>
      <c r="QHU19" s="590"/>
      <c r="QHV19" s="590"/>
      <c r="QHW19" s="590"/>
      <c r="QHX19" s="590"/>
      <c r="QHY19" s="590"/>
      <c r="QHZ19" s="590"/>
      <c r="QIA19" s="587"/>
      <c r="QIB19" s="588"/>
      <c r="QIC19" s="589"/>
      <c r="QID19" s="589"/>
      <c r="QIE19" s="590"/>
      <c r="QIF19" s="589"/>
      <c r="QIG19" s="589"/>
      <c r="QIH19" s="589"/>
      <c r="QII19" s="591"/>
      <c r="QIJ19" s="589"/>
      <c r="QIK19" s="590"/>
      <c r="QIL19" s="589"/>
      <c r="QIM19" s="589"/>
      <c r="QIN19" s="589"/>
      <c r="QIO19" s="590"/>
      <c r="QIP19" s="590"/>
      <c r="QIQ19" s="590"/>
      <c r="QIR19" s="590"/>
      <c r="QIS19" s="590"/>
      <c r="QIT19" s="590"/>
      <c r="QIU19" s="590"/>
      <c r="QIV19" s="590"/>
      <c r="QIW19" s="590"/>
      <c r="QIX19" s="590"/>
      <c r="QIY19" s="590"/>
      <c r="QIZ19" s="590"/>
      <c r="QJA19" s="587"/>
      <c r="QJB19" s="588"/>
      <c r="QJC19" s="589"/>
      <c r="QJD19" s="589"/>
      <c r="QJE19" s="590"/>
      <c r="QJF19" s="589"/>
      <c r="QJG19" s="589"/>
      <c r="QJH19" s="589"/>
      <c r="QJI19" s="591"/>
      <c r="QJJ19" s="589"/>
      <c r="QJK19" s="590"/>
      <c r="QJL19" s="589"/>
      <c r="QJM19" s="589"/>
      <c r="QJN19" s="589"/>
      <c r="QJO19" s="590"/>
      <c r="QJP19" s="590"/>
      <c r="QJQ19" s="590"/>
      <c r="QJR19" s="590"/>
      <c r="QJS19" s="590"/>
      <c r="QJT19" s="590"/>
      <c r="QJU19" s="590"/>
      <c r="QJV19" s="590"/>
      <c r="QJW19" s="590"/>
      <c r="QJX19" s="590"/>
      <c r="QJY19" s="590"/>
      <c r="QJZ19" s="590"/>
      <c r="QKA19" s="587"/>
      <c r="QKB19" s="588"/>
      <c r="QKC19" s="589"/>
      <c r="QKD19" s="589"/>
      <c r="QKE19" s="590"/>
      <c r="QKF19" s="589"/>
      <c r="QKG19" s="589"/>
      <c r="QKH19" s="589"/>
      <c r="QKI19" s="591"/>
      <c r="QKJ19" s="589"/>
      <c r="QKK19" s="590"/>
      <c r="QKL19" s="589"/>
      <c r="QKM19" s="589"/>
      <c r="QKN19" s="589"/>
      <c r="QKO19" s="590"/>
      <c r="QKP19" s="590"/>
      <c r="QKQ19" s="590"/>
      <c r="QKR19" s="590"/>
      <c r="QKS19" s="590"/>
      <c r="QKT19" s="590"/>
      <c r="QKU19" s="590"/>
      <c r="QKV19" s="590"/>
      <c r="QKW19" s="590"/>
      <c r="QKX19" s="590"/>
      <c r="QKY19" s="590"/>
      <c r="QKZ19" s="590"/>
      <c r="QLA19" s="587"/>
      <c r="QLB19" s="588"/>
      <c r="QLC19" s="589"/>
      <c r="QLD19" s="589"/>
      <c r="QLE19" s="590"/>
      <c r="QLF19" s="589"/>
      <c r="QLG19" s="589"/>
      <c r="QLH19" s="589"/>
      <c r="QLI19" s="591"/>
      <c r="QLJ19" s="589"/>
      <c r="QLK19" s="590"/>
      <c r="QLL19" s="589"/>
      <c r="QLM19" s="589"/>
      <c r="QLN19" s="589"/>
      <c r="QLO19" s="590"/>
      <c r="QLP19" s="590"/>
      <c r="QLQ19" s="590"/>
      <c r="QLR19" s="590"/>
      <c r="QLS19" s="590"/>
      <c r="QLT19" s="590"/>
      <c r="QLU19" s="590"/>
      <c r="QLV19" s="590"/>
      <c r="QLW19" s="590"/>
      <c r="QLX19" s="590"/>
      <c r="QLY19" s="590"/>
      <c r="QLZ19" s="590"/>
      <c r="QMA19" s="587"/>
      <c r="QMB19" s="588"/>
      <c r="QMC19" s="589"/>
      <c r="QMD19" s="589"/>
      <c r="QME19" s="590"/>
      <c r="QMF19" s="589"/>
      <c r="QMG19" s="589"/>
      <c r="QMH19" s="589"/>
      <c r="QMI19" s="591"/>
      <c r="QMJ19" s="589"/>
      <c r="QMK19" s="590"/>
      <c r="QML19" s="589"/>
      <c r="QMM19" s="589"/>
      <c r="QMN19" s="589"/>
      <c r="QMO19" s="590"/>
      <c r="QMP19" s="590"/>
      <c r="QMQ19" s="590"/>
      <c r="QMR19" s="590"/>
      <c r="QMS19" s="590"/>
      <c r="QMT19" s="590"/>
      <c r="QMU19" s="590"/>
      <c r="QMV19" s="590"/>
      <c r="QMW19" s="590"/>
      <c r="QMX19" s="590"/>
      <c r="QMY19" s="590"/>
      <c r="QMZ19" s="590"/>
      <c r="QNA19" s="587"/>
      <c r="QNB19" s="588"/>
      <c r="QNC19" s="589"/>
      <c r="QND19" s="589"/>
      <c r="QNE19" s="590"/>
      <c r="QNF19" s="589"/>
      <c r="QNG19" s="589"/>
      <c r="QNH19" s="589"/>
      <c r="QNI19" s="591"/>
      <c r="QNJ19" s="589"/>
      <c r="QNK19" s="590"/>
      <c r="QNL19" s="589"/>
      <c r="QNM19" s="589"/>
      <c r="QNN19" s="589"/>
      <c r="QNO19" s="590"/>
      <c r="QNP19" s="590"/>
      <c r="QNQ19" s="590"/>
      <c r="QNR19" s="590"/>
      <c r="QNS19" s="590"/>
      <c r="QNT19" s="590"/>
      <c r="QNU19" s="590"/>
      <c r="QNV19" s="590"/>
      <c r="QNW19" s="590"/>
      <c r="QNX19" s="590"/>
      <c r="QNY19" s="590"/>
      <c r="QNZ19" s="590"/>
      <c r="QOA19" s="587"/>
      <c r="QOB19" s="588"/>
      <c r="QOC19" s="589"/>
      <c r="QOD19" s="589"/>
      <c r="QOE19" s="590"/>
      <c r="QOF19" s="589"/>
      <c r="QOG19" s="589"/>
      <c r="QOH19" s="589"/>
      <c r="QOI19" s="591"/>
      <c r="QOJ19" s="589"/>
      <c r="QOK19" s="590"/>
      <c r="QOL19" s="589"/>
      <c r="QOM19" s="589"/>
      <c r="QON19" s="589"/>
      <c r="QOO19" s="590"/>
      <c r="QOP19" s="590"/>
      <c r="QOQ19" s="590"/>
      <c r="QOR19" s="590"/>
      <c r="QOS19" s="590"/>
      <c r="QOT19" s="590"/>
      <c r="QOU19" s="590"/>
      <c r="QOV19" s="590"/>
      <c r="QOW19" s="590"/>
      <c r="QOX19" s="590"/>
      <c r="QOY19" s="590"/>
      <c r="QOZ19" s="590"/>
      <c r="QPA19" s="587"/>
      <c r="QPB19" s="588"/>
      <c r="QPC19" s="589"/>
      <c r="QPD19" s="589"/>
      <c r="QPE19" s="590"/>
      <c r="QPF19" s="589"/>
      <c r="QPG19" s="589"/>
      <c r="QPH19" s="589"/>
      <c r="QPI19" s="591"/>
      <c r="QPJ19" s="589"/>
      <c r="QPK19" s="590"/>
      <c r="QPL19" s="589"/>
      <c r="QPM19" s="589"/>
      <c r="QPN19" s="589"/>
      <c r="QPO19" s="590"/>
      <c r="QPP19" s="590"/>
      <c r="QPQ19" s="590"/>
      <c r="QPR19" s="590"/>
      <c r="QPS19" s="590"/>
      <c r="QPT19" s="590"/>
      <c r="QPU19" s="590"/>
      <c r="QPV19" s="590"/>
      <c r="QPW19" s="590"/>
      <c r="QPX19" s="590"/>
      <c r="QPY19" s="590"/>
      <c r="QPZ19" s="590"/>
      <c r="QQA19" s="587"/>
      <c r="QQB19" s="588"/>
      <c r="QQC19" s="589"/>
      <c r="QQD19" s="589"/>
      <c r="QQE19" s="590"/>
      <c r="QQF19" s="589"/>
      <c r="QQG19" s="589"/>
      <c r="QQH19" s="589"/>
      <c r="QQI19" s="591"/>
      <c r="QQJ19" s="589"/>
      <c r="QQK19" s="590"/>
      <c r="QQL19" s="589"/>
      <c r="QQM19" s="589"/>
      <c r="QQN19" s="589"/>
      <c r="QQO19" s="590"/>
      <c r="QQP19" s="590"/>
      <c r="QQQ19" s="590"/>
      <c r="QQR19" s="590"/>
      <c r="QQS19" s="590"/>
      <c r="QQT19" s="590"/>
      <c r="QQU19" s="590"/>
      <c r="QQV19" s="590"/>
      <c r="QQW19" s="590"/>
      <c r="QQX19" s="590"/>
      <c r="QQY19" s="590"/>
      <c r="QQZ19" s="590"/>
      <c r="QRA19" s="587"/>
      <c r="QRB19" s="588"/>
      <c r="QRC19" s="589"/>
      <c r="QRD19" s="589"/>
      <c r="QRE19" s="590"/>
      <c r="QRF19" s="589"/>
      <c r="QRG19" s="589"/>
      <c r="QRH19" s="589"/>
      <c r="QRI19" s="591"/>
      <c r="QRJ19" s="589"/>
      <c r="QRK19" s="590"/>
      <c r="QRL19" s="589"/>
      <c r="QRM19" s="589"/>
      <c r="QRN19" s="589"/>
      <c r="QRO19" s="590"/>
      <c r="QRP19" s="590"/>
      <c r="QRQ19" s="590"/>
      <c r="QRR19" s="590"/>
      <c r="QRS19" s="590"/>
      <c r="QRT19" s="590"/>
      <c r="QRU19" s="590"/>
      <c r="QRV19" s="590"/>
      <c r="QRW19" s="590"/>
      <c r="QRX19" s="590"/>
      <c r="QRY19" s="590"/>
      <c r="QRZ19" s="590"/>
      <c r="QSA19" s="587"/>
      <c r="QSB19" s="588"/>
      <c r="QSC19" s="589"/>
      <c r="QSD19" s="589"/>
      <c r="QSE19" s="590"/>
      <c r="QSF19" s="589"/>
      <c r="QSG19" s="589"/>
      <c r="QSH19" s="589"/>
      <c r="QSI19" s="591"/>
      <c r="QSJ19" s="589"/>
      <c r="QSK19" s="590"/>
      <c r="QSL19" s="589"/>
      <c r="QSM19" s="589"/>
      <c r="QSN19" s="589"/>
      <c r="QSO19" s="590"/>
      <c r="QSP19" s="590"/>
      <c r="QSQ19" s="590"/>
      <c r="QSR19" s="590"/>
      <c r="QSS19" s="590"/>
      <c r="QST19" s="590"/>
      <c r="QSU19" s="590"/>
      <c r="QSV19" s="590"/>
      <c r="QSW19" s="590"/>
      <c r="QSX19" s="590"/>
      <c r="QSY19" s="590"/>
      <c r="QSZ19" s="590"/>
      <c r="QTA19" s="587"/>
      <c r="QTB19" s="588"/>
      <c r="QTC19" s="589"/>
      <c r="QTD19" s="589"/>
      <c r="QTE19" s="590"/>
      <c r="QTF19" s="589"/>
      <c r="QTG19" s="589"/>
      <c r="QTH19" s="589"/>
      <c r="QTI19" s="591"/>
      <c r="QTJ19" s="589"/>
      <c r="QTK19" s="590"/>
      <c r="QTL19" s="589"/>
      <c r="QTM19" s="589"/>
      <c r="QTN19" s="589"/>
      <c r="QTO19" s="590"/>
      <c r="QTP19" s="590"/>
      <c r="QTQ19" s="590"/>
      <c r="QTR19" s="590"/>
      <c r="QTS19" s="590"/>
      <c r="QTT19" s="590"/>
      <c r="QTU19" s="590"/>
      <c r="QTV19" s="590"/>
      <c r="QTW19" s="590"/>
      <c r="QTX19" s="590"/>
      <c r="QTY19" s="590"/>
      <c r="QTZ19" s="590"/>
      <c r="QUA19" s="587"/>
      <c r="QUB19" s="588"/>
      <c r="QUC19" s="589"/>
      <c r="QUD19" s="589"/>
      <c r="QUE19" s="590"/>
      <c r="QUF19" s="589"/>
      <c r="QUG19" s="589"/>
      <c r="QUH19" s="589"/>
      <c r="QUI19" s="591"/>
      <c r="QUJ19" s="589"/>
      <c r="QUK19" s="590"/>
      <c r="QUL19" s="589"/>
      <c r="QUM19" s="589"/>
      <c r="QUN19" s="589"/>
      <c r="QUO19" s="590"/>
      <c r="QUP19" s="590"/>
      <c r="QUQ19" s="590"/>
      <c r="QUR19" s="590"/>
      <c r="QUS19" s="590"/>
      <c r="QUT19" s="590"/>
      <c r="QUU19" s="590"/>
      <c r="QUV19" s="590"/>
      <c r="QUW19" s="590"/>
      <c r="QUX19" s="590"/>
      <c r="QUY19" s="590"/>
      <c r="QUZ19" s="590"/>
      <c r="QVA19" s="587"/>
      <c r="QVB19" s="588"/>
      <c r="QVC19" s="589"/>
      <c r="QVD19" s="589"/>
      <c r="QVE19" s="590"/>
      <c r="QVF19" s="589"/>
      <c r="QVG19" s="589"/>
      <c r="QVH19" s="589"/>
      <c r="QVI19" s="591"/>
      <c r="QVJ19" s="589"/>
      <c r="QVK19" s="590"/>
      <c r="QVL19" s="589"/>
      <c r="QVM19" s="589"/>
      <c r="QVN19" s="589"/>
      <c r="QVO19" s="590"/>
      <c r="QVP19" s="590"/>
      <c r="QVQ19" s="590"/>
      <c r="QVR19" s="590"/>
      <c r="QVS19" s="590"/>
      <c r="QVT19" s="590"/>
      <c r="QVU19" s="590"/>
      <c r="QVV19" s="590"/>
      <c r="QVW19" s="590"/>
      <c r="QVX19" s="590"/>
      <c r="QVY19" s="590"/>
      <c r="QVZ19" s="590"/>
      <c r="QWA19" s="587"/>
      <c r="QWB19" s="588"/>
      <c r="QWC19" s="589"/>
      <c r="QWD19" s="589"/>
      <c r="QWE19" s="590"/>
      <c r="QWF19" s="589"/>
      <c r="QWG19" s="589"/>
      <c r="QWH19" s="589"/>
      <c r="QWI19" s="591"/>
      <c r="QWJ19" s="589"/>
      <c r="QWK19" s="590"/>
      <c r="QWL19" s="589"/>
      <c r="QWM19" s="589"/>
      <c r="QWN19" s="589"/>
      <c r="QWO19" s="590"/>
      <c r="QWP19" s="590"/>
      <c r="QWQ19" s="590"/>
      <c r="QWR19" s="590"/>
      <c r="QWS19" s="590"/>
      <c r="QWT19" s="590"/>
      <c r="QWU19" s="590"/>
      <c r="QWV19" s="590"/>
      <c r="QWW19" s="590"/>
      <c r="QWX19" s="590"/>
      <c r="QWY19" s="590"/>
      <c r="QWZ19" s="590"/>
      <c r="QXA19" s="587"/>
      <c r="QXB19" s="588"/>
      <c r="QXC19" s="589"/>
      <c r="QXD19" s="589"/>
      <c r="QXE19" s="590"/>
      <c r="QXF19" s="589"/>
      <c r="QXG19" s="589"/>
      <c r="QXH19" s="589"/>
      <c r="QXI19" s="591"/>
      <c r="QXJ19" s="589"/>
      <c r="QXK19" s="590"/>
      <c r="QXL19" s="589"/>
      <c r="QXM19" s="589"/>
      <c r="QXN19" s="589"/>
      <c r="QXO19" s="590"/>
      <c r="QXP19" s="590"/>
      <c r="QXQ19" s="590"/>
      <c r="QXR19" s="590"/>
      <c r="QXS19" s="590"/>
      <c r="QXT19" s="590"/>
      <c r="QXU19" s="590"/>
      <c r="QXV19" s="590"/>
      <c r="QXW19" s="590"/>
      <c r="QXX19" s="590"/>
      <c r="QXY19" s="590"/>
      <c r="QXZ19" s="590"/>
      <c r="QYA19" s="587"/>
      <c r="QYB19" s="588"/>
      <c r="QYC19" s="589"/>
      <c r="QYD19" s="589"/>
      <c r="QYE19" s="590"/>
      <c r="QYF19" s="589"/>
      <c r="QYG19" s="589"/>
      <c r="QYH19" s="589"/>
      <c r="QYI19" s="591"/>
      <c r="QYJ19" s="589"/>
      <c r="QYK19" s="590"/>
      <c r="QYL19" s="589"/>
      <c r="QYM19" s="589"/>
      <c r="QYN19" s="589"/>
      <c r="QYO19" s="590"/>
      <c r="QYP19" s="590"/>
      <c r="QYQ19" s="590"/>
      <c r="QYR19" s="590"/>
      <c r="QYS19" s="590"/>
      <c r="QYT19" s="590"/>
      <c r="QYU19" s="590"/>
      <c r="QYV19" s="590"/>
      <c r="QYW19" s="590"/>
      <c r="QYX19" s="590"/>
      <c r="QYY19" s="590"/>
      <c r="QYZ19" s="590"/>
      <c r="QZA19" s="587"/>
      <c r="QZB19" s="588"/>
      <c r="QZC19" s="589"/>
      <c r="QZD19" s="589"/>
      <c r="QZE19" s="590"/>
      <c r="QZF19" s="589"/>
      <c r="QZG19" s="589"/>
      <c r="QZH19" s="589"/>
      <c r="QZI19" s="591"/>
      <c r="QZJ19" s="589"/>
      <c r="QZK19" s="590"/>
      <c r="QZL19" s="589"/>
      <c r="QZM19" s="589"/>
      <c r="QZN19" s="589"/>
      <c r="QZO19" s="590"/>
      <c r="QZP19" s="590"/>
      <c r="QZQ19" s="590"/>
      <c r="QZR19" s="590"/>
      <c r="QZS19" s="590"/>
      <c r="QZT19" s="590"/>
      <c r="QZU19" s="590"/>
      <c r="QZV19" s="590"/>
      <c r="QZW19" s="590"/>
      <c r="QZX19" s="590"/>
      <c r="QZY19" s="590"/>
      <c r="QZZ19" s="590"/>
      <c r="RAA19" s="587"/>
      <c r="RAB19" s="588"/>
      <c r="RAC19" s="589"/>
      <c r="RAD19" s="589"/>
      <c r="RAE19" s="590"/>
      <c r="RAF19" s="589"/>
      <c r="RAG19" s="589"/>
      <c r="RAH19" s="589"/>
      <c r="RAI19" s="591"/>
      <c r="RAJ19" s="589"/>
      <c r="RAK19" s="590"/>
      <c r="RAL19" s="589"/>
      <c r="RAM19" s="589"/>
      <c r="RAN19" s="589"/>
      <c r="RAO19" s="590"/>
      <c r="RAP19" s="590"/>
      <c r="RAQ19" s="590"/>
      <c r="RAR19" s="590"/>
      <c r="RAS19" s="590"/>
      <c r="RAT19" s="590"/>
      <c r="RAU19" s="590"/>
      <c r="RAV19" s="590"/>
      <c r="RAW19" s="590"/>
      <c r="RAX19" s="590"/>
      <c r="RAY19" s="590"/>
      <c r="RAZ19" s="590"/>
      <c r="RBA19" s="587"/>
      <c r="RBB19" s="588"/>
      <c r="RBC19" s="589"/>
      <c r="RBD19" s="589"/>
      <c r="RBE19" s="590"/>
      <c r="RBF19" s="589"/>
      <c r="RBG19" s="589"/>
      <c r="RBH19" s="589"/>
      <c r="RBI19" s="591"/>
      <c r="RBJ19" s="589"/>
      <c r="RBK19" s="590"/>
      <c r="RBL19" s="589"/>
      <c r="RBM19" s="589"/>
      <c r="RBN19" s="589"/>
      <c r="RBO19" s="590"/>
      <c r="RBP19" s="590"/>
      <c r="RBQ19" s="590"/>
      <c r="RBR19" s="590"/>
      <c r="RBS19" s="590"/>
      <c r="RBT19" s="590"/>
      <c r="RBU19" s="590"/>
      <c r="RBV19" s="590"/>
      <c r="RBW19" s="590"/>
      <c r="RBX19" s="590"/>
      <c r="RBY19" s="590"/>
      <c r="RBZ19" s="590"/>
      <c r="RCA19" s="587"/>
      <c r="RCB19" s="588"/>
      <c r="RCC19" s="589"/>
      <c r="RCD19" s="589"/>
      <c r="RCE19" s="590"/>
      <c r="RCF19" s="589"/>
      <c r="RCG19" s="589"/>
      <c r="RCH19" s="589"/>
      <c r="RCI19" s="591"/>
      <c r="RCJ19" s="589"/>
      <c r="RCK19" s="590"/>
      <c r="RCL19" s="589"/>
      <c r="RCM19" s="589"/>
      <c r="RCN19" s="589"/>
      <c r="RCO19" s="590"/>
      <c r="RCP19" s="590"/>
      <c r="RCQ19" s="590"/>
      <c r="RCR19" s="590"/>
      <c r="RCS19" s="590"/>
      <c r="RCT19" s="590"/>
      <c r="RCU19" s="590"/>
      <c r="RCV19" s="590"/>
      <c r="RCW19" s="590"/>
      <c r="RCX19" s="590"/>
      <c r="RCY19" s="590"/>
      <c r="RCZ19" s="590"/>
      <c r="RDA19" s="587"/>
      <c r="RDB19" s="588"/>
      <c r="RDC19" s="589"/>
      <c r="RDD19" s="589"/>
      <c r="RDE19" s="590"/>
      <c r="RDF19" s="589"/>
      <c r="RDG19" s="589"/>
      <c r="RDH19" s="589"/>
      <c r="RDI19" s="591"/>
      <c r="RDJ19" s="589"/>
      <c r="RDK19" s="590"/>
      <c r="RDL19" s="589"/>
      <c r="RDM19" s="589"/>
      <c r="RDN19" s="589"/>
      <c r="RDO19" s="590"/>
      <c r="RDP19" s="590"/>
      <c r="RDQ19" s="590"/>
      <c r="RDR19" s="590"/>
      <c r="RDS19" s="590"/>
      <c r="RDT19" s="590"/>
      <c r="RDU19" s="590"/>
      <c r="RDV19" s="590"/>
      <c r="RDW19" s="590"/>
      <c r="RDX19" s="590"/>
      <c r="RDY19" s="590"/>
      <c r="RDZ19" s="590"/>
      <c r="REA19" s="587"/>
      <c r="REB19" s="588"/>
      <c r="REC19" s="589"/>
      <c r="RED19" s="589"/>
      <c r="REE19" s="590"/>
      <c r="REF19" s="589"/>
      <c r="REG19" s="589"/>
      <c r="REH19" s="589"/>
      <c r="REI19" s="591"/>
      <c r="REJ19" s="589"/>
      <c r="REK19" s="590"/>
      <c r="REL19" s="589"/>
      <c r="REM19" s="589"/>
      <c r="REN19" s="589"/>
      <c r="REO19" s="590"/>
      <c r="REP19" s="590"/>
      <c r="REQ19" s="590"/>
      <c r="RER19" s="590"/>
      <c r="RES19" s="590"/>
      <c r="RET19" s="590"/>
      <c r="REU19" s="590"/>
      <c r="REV19" s="590"/>
      <c r="REW19" s="590"/>
      <c r="REX19" s="590"/>
      <c r="REY19" s="590"/>
      <c r="REZ19" s="590"/>
      <c r="RFA19" s="587"/>
      <c r="RFB19" s="588"/>
      <c r="RFC19" s="589"/>
      <c r="RFD19" s="589"/>
      <c r="RFE19" s="590"/>
      <c r="RFF19" s="589"/>
      <c r="RFG19" s="589"/>
      <c r="RFH19" s="589"/>
      <c r="RFI19" s="591"/>
      <c r="RFJ19" s="589"/>
      <c r="RFK19" s="590"/>
      <c r="RFL19" s="589"/>
      <c r="RFM19" s="589"/>
      <c r="RFN19" s="589"/>
      <c r="RFO19" s="590"/>
      <c r="RFP19" s="590"/>
      <c r="RFQ19" s="590"/>
      <c r="RFR19" s="590"/>
      <c r="RFS19" s="590"/>
      <c r="RFT19" s="590"/>
      <c r="RFU19" s="590"/>
      <c r="RFV19" s="590"/>
      <c r="RFW19" s="590"/>
      <c r="RFX19" s="590"/>
      <c r="RFY19" s="590"/>
      <c r="RFZ19" s="590"/>
      <c r="RGA19" s="587"/>
      <c r="RGB19" s="588"/>
      <c r="RGC19" s="589"/>
      <c r="RGD19" s="589"/>
      <c r="RGE19" s="590"/>
      <c r="RGF19" s="589"/>
      <c r="RGG19" s="589"/>
      <c r="RGH19" s="589"/>
      <c r="RGI19" s="591"/>
      <c r="RGJ19" s="589"/>
      <c r="RGK19" s="590"/>
      <c r="RGL19" s="589"/>
      <c r="RGM19" s="589"/>
      <c r="RGN19" s="589"/>
      <c r="RGO19" s="590"/>
      <c r="RGP19" s="590"/>
      <c r="RGQ19" s="590"/>
      <c r="RGR19" s="590"/>
      <c r="RGS19" s="590"/>
      <c r="RGT19" s="590"/>
      <c r="RGU19" s="590"/>
      <c r="RGV19" s="590"/>
      <c r="RGW19" s="590"/>
      <c r="RGX19" s="590"/>
      <c r="RGY19" s="590"/>
      <c r="RGZ19" s="590"/>
      <c r="RHA19" s="587"/>
      <c r="RHB19" s="588"/>
      <c r="RHC19" s="589"/>
      <c r="RHD19" s="589"/>
      <c r="RHE19" s="590"/>
      <c r="RHF19" s="589"/>
      <c r="RHG19" s="589"/>
      <c r="RHH19" s="589"/>
      <c r="RHI19" s="591"/>
      <c r="RHJ19" s="589"/>
      <c r="RHK19" s="590"/>
      <c r="RHL19" s="589"/>
      <c r="RHM19" s="589"/>
      <c r="RHN19" s="589"/>
      <c r="RHO19" s="590"/>
      <c r="RHP19" s="590"/>
      <c r="RHQ19" s="590"/>
      <c r="RHR19" s="590"/>
      <c r="RHS19" s="590"/>
      <c r="RHT19" s="590"/>
      <c r="RHU19" s="590"/>
      <c r="RHV19" s="590"/>
      <c r="RHW19" s="590"/>
      <c r="RHX19" s="590"/>
      <c r="RHY19" s="590"/>
      <c r="RHZ19" s="590"/>
      <c r="RIA19" s="587"/>
      <c r="RIB19" s="588"/>
      <c r="RIC19" s="589"/>
      <c r="RID19" s="589"/>
      <c r="RIE19" s="590"/>
      <c r="RIF19" s="589"/>
      <c r="RIG19" s="589"/>
      <c r="RIH19" s="589"/>
      <c r="RII19" s="591"/>
      <c r="RIJ19" s="589"/>
      <c r="RIK19" s="590"/>
      <c r="RIL19" s="589"/>
      <c r="RIM19" s="589"/>
      <c r="RIN19" s="589"/>
      <c r="RIO19" s="590"/>
      <c r="RIP19" s="590"/>
      <c r="RIQ19" s="590"/>
      <c r="RIR19" s="590"/>
      <c r="RIS19" s="590"/>
      <c r="RIT19" s="590"/>
      <c r="RIU19" s="590"/>
      <c r="RIV19" s="590"/>
      <c r="RIW19" s="590"/>
      <c r="RIX19" s="590"/>
      <c r="RIY19" s="590"/>
      <c r="RIZ19" s="590"/>
      <c r="RJA19" s="587"/>
      <c r="RJB19" s="588"/>
      <c r="RJC19" s="589"/>
      <c r="RJD19" s="589"/>
      <c r="RJE19" s="590"/>
      <c r="RJF19" s="589"/>
      <c r="RJG19" s="589"/>
      <c r="RJH19" s="589"/>
      <c r="RJI19" s="591"/>
      <c r="RJJ19" s="589"/>
      <c r="RJK19" s="590"/>
      <c r="RJL19" s="589"/>
      <c r="RJM19" s="589"/>
      <c r="RJN19" s="589"/>
      <c r="RJO19" s="590"/>
      <c r="RJP19" s="590"/>
      <c r="RJQ19" s="590"/>
      <c r="RJR19" s="590"/>
      <c r="RJS19" s="590"/>
      <c r="RJT19" s="590"/>
      <c r="RJU19" s="590"/>
      <c r="RJV19" s="590"/>
      <c r="RJW19" s="590"/>
      <c r="RJX19" s="590"/>
      <c r="RJY19" s="590"/>
      <c r="RJZ19" s="590"/>
      <c r="RKA19" s="587"/>
      <c r="RKB19" s="588"/>
      <c r="RKC19" s="589"/>
      <c r="RKD19" s="589"/>
      <c r="RKE19" s="590"/>
      <c r="RKF19" s="589"/>
      <c r="RKG19" s="589"/>
      <c r="RKH19" s="589"/>
      <c r="RKI19" s="591"/>
      <c r="RKJ19" s="589"/>
      <c r="RKK19" s="590"/>
      <c r="RKL19" s="589"/>
      <c r="RKM19" s="589"/>
      <c r="RKN19" s="589"/>
      <c r="RKO19" s="590"/>
      <c r="RKP19" s="590"/>
      <c r="RKQ19" s="590"/>
      <c r="RKR19" s="590"/>
      <c r="RKS19" s="590"/>
      <c r="RKT19" s="590"/>
      <c r="RKU19" s="590"/>
      <c r="RKV19" s="590"/>
      <c r="RKW19" s="590"/>
      <c r="RKX19" s="590"/>
      <c r="RKY19" s="590"/>
      <c r="RKZ19" s="590"/>
      <c r="RLA19" s="587"/>
      <c r="RLB19" s="588"/>
      <c r="RLC19" s="589"/>
      <c r="RLD19" s="589"/>
      <c r="RLE19" s="590"/>
      <c r="RLF19" s="589"/>
      <c r="RLG19" s="589"/>
      <c r="RLH19" s="589"/>
      <c r="RLI19" s="591"/>
      <c r="RLJ19" s="589"/>
      <c r="RLK19" s="590"/>
      <c r="RLL19" s="589"/>
      <c r="RLM19" s="589"/>
      <c r="RLN19" s="589"/>
      <c r="RLO19" s="590"/>
      <c r="RLP19" s="590"/>
      <c r="RLQ19" s="590"/>
      <c r="RLR19" s="590"/>
      <c r="RLS19" s="590"/>
      <c r="RLT19" s="590"/>
      <c r="RLU19" s="590"/>
      <c r="RLV19" s="590"/>
      <c r="RLW19" s="590"/>
      <c r="RLX19" s="590"/>
      <c r="RLY19" s="590"/>
      <c r="RLZ19" s="590"/>
      <c r="RMA19" s="587"/>
      <c r="RMB19" s="588"/>
      <c r="RMC19" s="589"/>
      <c r="RMD19" s="589"/>
      <c r="RME19" s="590"/>
      <c r="RMF19" s="589"/>
      <c r="RMG19" s="589"/>
      <c r="RMH19" s="589"/>
      <c r="RMI19" s="591"/>
      <c r="RMJ19" s="589"/>
      <c r="RMK19" s="590"/>
      <c r="RML19" s="589"/>
      <c r="RMM19" s="589"/>
      <c r="RMN19" s="589"/>
      <c r="RMO19" s="590"/>
      <c r="RMP19" s="590"/>
      <c r="RMQ19" s="590"/>
      <c r="RMR19" s="590"/>
      <c r="RMS19" s="590"/>
      <c r="RMT19" s="590"/>
      <c r="RMU19" s="590"/>
      <c r="RMV19" s="590"/>
      <c r="RMW19" s="590"/>
      <c r="RMX19" s="590"/>
      <c r="RMY19" s="590"/>
      <c r="RMZ19" s="590"/>
      <c r="RNA19" s="587"/>
      <c r="RNB19" s="588"/>
      <c r="RNC19" s="589"/>
      <c r="RND19" s="589"/>
      <c r="RNE19" s="590"/>
      <c r="RNF19" s="589"/>
      <c r="RNG19" s="589"/>
      <c r="RNH19" s="589"/>
      <c r="RNI19" s="591"/>
      <c r="RNJ19" s="589"/>
      <c r="RNK19" s="590"/>
      <c r="RNL19" s="589"/>
      <c r="RNM19" s="589"/>
      <c r="RNN19" s="589"/>
      <c r="RNO19" s="590"/>
      <c r="RNP19" s="590"/>
      <c r="RNQ19" s="590"/>
      <c r="RNR19" s="590"/>
      <c r="RNS19" s="590"/>
      <c r="RNT19" s="590"/>
      <c r="RNU19" s="590"/>
      <c r="RNV19" s="590"/>
      <c r="RNW19" s="590"/>
      <c r="RNX19" s="590"/>
      <c r="RNY19" s="590"/>
      <c r="RNZ19" s="590"/>
      <c r="ROA19" s="587"/>
      <c r="ROB19" s="588"/>
      <c r="ROC19" s="589"/>
      <c r="ROD19" s="589"/>
      <c r="ROE19" s="590"/>
      <c r="ROF19" s="589"/>
      <c r="ROG19" s="589"/>
      <c r="ROH19" s="589"/>
      <c r="ROI19" s="591"/>
      <c r="ROJ19" s="589"/>
      <c r="ROK19" s="590"/>
      <c r="ROL19" s="589"/>
      <c r="ROM19" s="589"/>
      <c r="RON19" s="589"/>
      <c r="ROO19" s="590"/>
      <c r="ROP19" s="590"/>
      <c r="ROQ19" s="590"/>
      <c r="ROR19" s="590"/>
      <c r="ROS19" s="590"/>
      <c r="ROT19" s="590"/>
      <c r="ROU19" s="590"/>
      <c r="ROV19" s="590"/>
      <c r="ROW19" s="590"/>
      <c r="ROX19" s="590"/>
      <c r="ROY19" s="590"/>
      <c r="ROZ19" s="590"/>
      <c r="RPA19" s="587"/>
      <c r="RPB19" s="588"/>
      <c r="RPC19" s="589"/>
      <c r="RPD19" s="589"/>
      <c r="RPE19" s="590"/>
      <c r="RPF19" s="589"/>
      <c r="RPG19" s="589"/>
      <c r="RPH19" s="589"/>
      <c r="RPI19" s="591"/>
      <c r="RPJ19" s="589"/>
      <c r="RPK19" s="590"/>
      <c r="RPL19" s="589"/>
      <c r="RPM19" s="589"/>
      <c r="RPN19" s="589"/>
      <c r="RPO19" s="590"/>
      <c r="RPP19" s="590"/>
      <c r="RPQ19" s="590"/>
      <c r="RPR19" s="590"/>
      <c r="RPS19" s="590"/>
      <c r="RPT19" s="590"/>
      <c r="RPU19" s="590"/>
      <c r="RPV19" s="590"/>
      <c r="RPW19" s="590"/>
      <c r="RPX19" s="590"/>
      <c r="RPY19" s="590"/>
      <c r="RPZ19" s="590"/>
      <c r="RQA19" s="587"/>
      <c r="RQB19" s="588"/>
      <c r="RQC19" s="589"/>
      <c r="RQD19" s="589"/>
      <c r="RQE19" s="590"/>
      <c r="RQF19" s="589"/>
      <c r="RQG19" s="589"/>
      <c r="RQH19" s="589"/>
      <c r="RQI19" s="591"/>
      <c r="RQJ19" s="589"/>
      <c r="RQK19" s="590"/>
      <c r="RQL19" s="589"/>
      <c r="RQM19" s="589"/>
      <c r="RQN19" s="589"/>
      <c r="RQO19" s="590"/>
      <c r="RQP19" s="590"/>
      <c r="RQQ19" s="590"/>
      <c r="RQR19" s="590"/>
      <c r="RQS19" s="590"/>
      <c r="RQT19" s="590"/>
      <c r="RQU19" s="590"/>
      <c r="RQV19" s="590"/>
      <c r="RQW19" s="590"/>
      <c r="RQX19" s="590"/>
      <c r="RQY19" s="590"/>
      <c r="RQZ19" s="590"/>
      <c r="RRA19" s="587"/>
      <c r="RRB19" s="588"/>
      <c r="RRC19" s="589"/>
      <c r="RRD19" s="589"/>
      <c r="RRE19" s="590"/>
      <c r="RRF19" s="589"/>
      <c r="RRG19" s="589"/>
      <c r="RRH19" s="589"/>
      <c r="RRI19" s="591"/>
      <c r="RRJ19" s="589"/>
      <c r="RRK19" s="590"/>
      <c r="RRL19" s="589"/>
      <c r="RRM19" s="589"/>
      <c r="RRN19" s="589"/>
      <c r="RRO19" s="590"/>
      <c r="RRP19" s="590"/>
      <c r="RRQ19" s="590"/>
      <c r="RRR19" s="590"/>
      <c r="RRS19" s="590"/>
      <c r="RRT19" s="590"/>
      <c r="RRU19" s="590"/>
      <c r="RRV19" s="590"/>
      <c r="RRW19" s="590"/>
      <c r="RRX19" s="590"/>
      <c r="RRY19" s="590"/>
      <c r="RRZ19" s="590"/>
      <c r="RSA19" s="587"/>
      <c r="RSB19" s="588"/>
      <c r="RSC19" s="589"/>
      <c r="RSD19" s="589"/>
      <c r="RSE19" s="590"/>
      <c r="RSF19" s="589"/>
      <c r="RSG19" s="589"/>
      <c r="RSH19" s="589"/>
      <c r="RSI19" s="591"/>
      <c r="RSJ19" s="589"/>
      <c r="RSK19" s="590"/>
      <c r="RSL19" s="589"/>
      <c r="RSM19" s="589"/>
      <c r="RSN19" s="589"/>
      <c r="RSO19" s="590"/>
      <c r="RSP19" s="590"/>
      <c r="RSQ19" s="590"/>
      <c r="RSR19" s="590"/>
      <c r="RSS19" s="590"/>
      <c r="RST19" s="590"/>
      <c r="RSU19" s="590"/>
      <c r="RSV19" s="590"/>
      <c r="RSW19" s="590"/>
      <c r="RSX19" s="590"/>
      <c r="RSY19" s="590"/>
      <c r="RSZ19" s="590"/>
      <c r="RTA19" s="587"/>
      <c r="RTB19" s="588"/>
      <c r="RTC19" s="589"/>
      <c r="RTD19" s="589"/>
      <c r="RTE19" s="590"/>
      <c r="RTF19" s="589"/>
      <c r="RTG19" s="589"/>
      <c r="RTH19" s="589"/>
      <c r="RTI19" s="591"/>
      <c r="RTJ19" s="589"/>
      <c r="RTK19" s="590"/>
      <c r="RTL19" s="589"/>
      <c r="RTM19" s="589"/>
      <c r="RTN19" s="589"/>
      <c r="RTO19" s="590"/>
      <c r="RTP19" s="590"/>
      <c r="RTQ19" s="590"/>
      <c r="RTR19" s="590"/>
      <c r="RTS19" s="590"/>
      <c r="RTT19" s="590"/>
      <c r="RTU19" s="590"/>
      <c r="RTV19" s="590"/>
      <c r="RTW19" s="590"/>
      <c r="RTX19" s="590"/>
      <c r="RTY19" s="590"/>
      <c r="RTZ19" s="590"/>
      <c r="RUA19" s="587"/>
      <c r="RUB19" s="588"/>
      <c r="RUC19" s="589"/>
      <c r="RUD19" s="589"/>
      <c r="RUE19" s="590"/>
      <c r="RUF19" s="589"/>
      <c r="RUG19" s="589"/>
      <c r="RUH19" s="589"/>
      <c r="RUI19" s="591"/>
      <c r="RUJ19" s="589"/>
      <c r="RUK19" s="590"/>
      <c r="RUL19" s="589"/>
      <c r="RUM19" s="589"/>
      <c r="RUN19" s="589"/>
      <c r="RUO19" s="590"/>
      <c r="RUP19" s="590"/>
      <c r="RUQ19" s="590"/>
      <c r="RUR19" s="590"/>
      <c r="RUS19" s="590"/>
      <c r="RUT19" s="590"/>
      <c r="RUU19" s="590"/>
      <c r="RUV19" s="590"/>
      <c r="RUW19" s="590"/>
      <c r="RUX19" s="590"/>
      <c r="RUY19" s="590"/>
      <c r="RUZ19" s="590"/>
      <c r="RVA19" s="587"/>
      <c r="RVB19" s="588"/>
      <c r="RVC19" s="589"/>
      <c r="RVD19" s="589"/>
      <c r="RVE19" s="590"/>
      <c r="RVF19" s="589"/>
      <c r="RVG19" s="589"/>
      <c r="RVH19" s="589"/>
      <c r="RVI19" s="591"/>
      <c r="RVJ19" s="589"/>
      <c r="RVK19" s="590"/>
      <c r="RVL19" s="589"/>
      <c r="RVM19" s="589"/>
      <c r="RVN19" s="589"/>
      <c r="RVO19" s="590"/>
      <c r="RVP19" s="590"/>
      <c r="RVQ19" s="590"/>
      <c r="RVR19" s="590"/>
      <c r="RVS19" s="590"/>
      <c r="RVT19" s="590"/>
      <c r="RVU19" s="590"/>
      <c r="RVV19" s="590"/>
      <c r="RVW19" s="590"/>
      <c r="RVX19" s="590"/>
      <c r="RVY19" s="590"/>
      <c r="RVZ19" s="590"/>
      <c r="RWA19" s="587"/>
      <c r="RWB19" s="588"/>
      <c r="RWC19" s="589"/>
      <c r="RWD19" s="589"/>
      <c r="RWE19" s="590"/>
      <c r="RWF19" s="589"/>
      <c r="RWG19" s="589"/>
      <c r="RWH19" s="589"/>
      <c r="RWI19" s="591"/>
      <c r="RWJ19" s="589"/>
      <c r="RWK19" s="590"/>
      <c r="RWL19" s="589"/>
      <c r="RWM19" s="589"/>
      <c r="RWN19" s="589"/>
      <c r="RWO19" s="590"/>
      <c r="RWP19" s="590"/>
      <c r="RWQ19" s="590"/>
      <c r="RWR19" s="590"/>
      <c r="RWS19" s="590"/>
      <c r="RWT19" s="590"/>
      <c r="RWU19" s="590"/>
      <c r="RWV19" s="590"/>
      <c r="RWW19" s="590"/>
      <c r="RWX19" s="590"/>
      <c r="RWY19" s="590"/>
      <c r="RWZ19" s="590"/>
      <c r="RXA19" s="587"/>
      <c r="RXB19" s="588"/>
      <c r="RXC19" s="589"/>
      <c r="RXD19" s="589"/>
      <c r="RXE19" s="590"/>
      <c r="RXF19" s="589"/>
      <c r="RXG19" s="589"/>
      <c r="RXH19" s="589"/>
      <c r="RXI19" s="591"/>
      <c r="RXJ19" s="589"/>
      <c r="RXK19" s="590"/>
      <c r="RXL19" s="589"/>
      <c r="RXM19" s="589"/>
      <c r="RXN19" s="589"/>
      <c r="RXO19" s="590"/>
      <c r="RXP19" s="590"/>
      <c r="RXQ19" s="590"/>
      <c r="RXR19" s="590"/>
      <c r="RXS19" s="590"/>
      <c r="RXT19" s="590"/>
      <c r="RXU19" s="590"/>
      <c r="RXV19" s="590"/>
      <c r="RXW19" s="590"/>
      <c r="RXX19" s="590"/>
      <c r="RXY19" s="590"/>
      <c r="RXZ19" s="590"/>
      <c r="RYA19" s="587"/>
      <c r="RYB19" s="588"/>
      <c r="RYC19" s="589"/>
      <c r="RYD19" s="589"/>
      <c r="RYE19" s="590"/>
      <c r="RYF19" s="589"/>
      <c r="RYG19" s="589"/>
      <c r="RYH19" s="589"/>
      <c r="RYI19" s="591"/>
      <c r="RYJ19" s="589"/>
      <c r="RYK19" s="590"/>
      <c r="RYL19" s="589"/>
      <c r="RYM19" s="589"/>
      <c r="RYN19" s="589"/>
      <c r="RYO19" s="590"/>
      <c r="RYP19" s="590"/>
      <c r="RYQ19" s="590"/>
      <c r="RYR19" s="590"/>
      <c r="RYS19" s="590"/>
      <c r="RYT19" s="590"/>
      <c r="RYU19" s="590"/>
      <c r="RYV19" s="590"/>
      <c r="RYW19" s="590"/>
      <c r="RYX19" s="590"/>
      <c r="RYY19" s="590"/>
      <c r="RYZ19" s="590"/>
      <c r="RZA19" s="587"/>
      <c r="RZB19" s="588"/>
      <c r="RZC19" s="589"/>
      <c r="RZD19" s="589"/>
      <c r="RZE19" s="590"/>
      <c r="RZF19" s="589"/>
      <c r="RZG19" s="589"/>
      <c r="RZH19" s="589"/>
      <c r="RZI19" s="591"/>
      <c r="RZJ19" s="589"/>
      <c r="RZK19" s="590"/>
      <c r="RZL19" s="589"/>
      <c r="RZM19" s="589"/>
      <c r="RZN19" s="589"/>
      <c r="RZO19" s="590"/>
      <c r="RZP19" s="590"/>
      <c r="RZQ19" s="590"/>
      <c r="RZR19" s="590"/>
      <c r="RZS19" s="590"/>
      <c r="RZT19" s="590"/>
      <c r="RZU19" s="590"/>
      <c r="RZV19" s="590"/>
      <c r="RZW19" s="590"/>
      <c r="RZX19" s="590"/>
      <c r="RZY19" s="590"/>
      <c r="RZZ19" s="590"/>
      <c r="SAA19" s="587"/>
      <c r="SAB19" s="588"/>
      <c r="SAC19" s="589"/>
      <c r="SAD19" s="589"/>
      <c r="SAE19" s="590"/>
      <c r="SAF19" s="589"/>
      <c r="SAG19" s="589"/>
      <c r="SAH19" s="589"/>
      <c r="SAI19" s="591"/>
      <c r="SAJ19" s="589"/>
      <c r="SAK19" s="590"/>
      <c r="SAL19" s="589"/>
      <c r="SAM19" s="589"/>
      <c r="SAN19" s="589"/>
      <c r="SAO19" s="590"/>
      <c r="SAP19" s="590"/>
      <c r="SAQ19" s="590"/>
      <c r="SAR19" s="590"/>
      <c r="SAS19" s="590"/>
      <c r="SAT19" s="590"/>
      <c r="SAU19" s="590"/>
      <c r="SAV19" s="590"/>
      <c r="SAW19" s="590"/>
      <c r="SAX19" s="590"/>
      <c r="SAY19" s="590"/>
      <c r="SAZ19" s="590"/>
      <c r="SBA19" s="587"/>
      <c r="SBB19" s="588"/>
      <c r="SBC19" s="589"/>
      <c r="SBD19" s="589"/>
      <c r="SBE19" s="590"/>
      <c r="SBF19" s="589"/>
      <c r="SBG19" s="589"/>
      <c r="SBH19" s="589"/>
      <c r="SBI19" s="591"/>
      <c r="SBJ19" s="589"/>
      <c r="SBK19" s="590"/>
      <c r="SBL19" s="589"/>
      <c r="SBM19" s="589"/>
      <c r="SBN19" s="589"/>
      <c r="SBO19" s="590"/>
      <c r="SBP19" s="590"/>
      <c r="SBQ19" s="590"/>
      <c r="SBR19" s="590"/>
      <c r="SBS19" s="590"/>
      <c r="SBT19" s="590"/>
      <c r="SBU19" s="590"/>
      <c r="SBV19" s="590"/>
      <c r="SBW19" s="590"/>
      <c r="SBX19" s="590"/>
      <c r="SBY19" s="590"/>
      <c r="SBZ19" s="590"/>
      <c r="SCA19" s="587"/>
      <c r="SCB19" s="588"/>
      <c r="SCC19" s="589"/>
      <c r="SCD19" s="589"/>
      <c r="SCE19" s="590"/>
      <c r="SCF19" s="589"/>
      <c r="SCG19" s="589"/>
      <c r="SCH19" s="589"/>
      <c r="SCI19" s="591"/>
      <c r="SCJ19" s="589"/>
      <c r="SCK19" s="590"/>
      <c r="SCL19" s="589"/>
      <c r="SCM19" s="589"/>
      <c r="SCN19" s="589"/>
      <c r="SCO19" s="590"/>
      <c r="SCP19" s="590"/>
      <c r="SCQ19" s="590"/>
      <c r="SCR19" s="590"/>
      <c r="SCS19" s="590"/>
      <c r="SCT19" s="590"/>
      <c r="SCU19" s="590"/>
      <c r="SCV19" s="590"/>
      <c r="SCW19" s="590"/>
      <c r="SCX19" s="590"/>
      <c r="SCY19" s="590"/>
      <c r="SCZ19" s="590"/>
      <c r="SDA19" s="587"/>
      <c r="SDB19" s="588"/>
      <c r="SDC19" s="589"/>
      <c r="SDD19" s="589"/>
      <c r="SDE19" s="590"/>
      <c r="SDF19" s="589"/>
      <c r="SDG19" s="589"/>
      <c r="SDH19" s="589"/>
      <c r="SDI19" s="591"/>
      <c r="SDJ19" s="589"/>
      <c r="SDK19" s="590"/>
      <c r="SDL19" s="589"/>
      <c r="SDM19" s="589"/>
      <c r="SDN19" s="589"/>
      <c r="SDO19" s="590"/>
      <c r="SDP19" s="590"/>
      <c r="SDQ19" s="590"/>
      <c r="SDR19" s="590"/>
      <c r="SDS19" s="590"/>
      <c r="SDT19" s="590"/>
      <c r="SDU19" s="590"/>
      <c r="SDV19" s="590"/>
      <c r="SDW19" s="590"/>
      <c r="SDX19" s="590"/>
      <c r="SDY19" s="590"/>
      <c r="SDZ19" s="590"/>
      <c r="SEA19" s="587"/>
      <c r="SEB19" s="588"/>
      <c r="SEC19" s="589"/>
      <c r="SED19" s="589"/>
      <c r="SEE19" s="590"/>
      <c r="SEF19" s="589"/>
      <c r="SEG19" s="589"/>
      <c r="SEH19" s="589"/>
      <c r="SEI19" s="591"/>
      <c r="SEJ19" s="589"/>
      <c r="SEK19" s="590"/>
      <c r="SEL19" s="589"/>
      <c r="SEM19" s="589"/>
      <c r="SEN19" s="589"/>
      <c r="SEO19" s="590"/>
      <c r="SEP19" s="590"/>
      <c r="SEQ19" s="590"/>
      <c r="SER19" s="590"/>
      <c r="SES19" s="590"/>
      <c r="SET19" s="590"/>
      <c r="SEU19" s="590"/>
      <c r="SEV19" s="590"/>
      <c r="SEW19" s="590"/>
      <c r="SEX19" s="590"/>
      <c r="SEY19" s="590"/>
      <c r="SEZ19" s="590"/>
      <c r="SFA19" s="587"/>
      <c r="SFB19" s="588"/>
      <c r="SFC19" s="589"/>
      <c r="SFD19" s="589"/>
      <c r="SFE19" s="590"/>
      <c r="SFF19" s="589"/>
      <c r="SFG19" s="589"/>
      <c r="SFH19" s="589"/>
      <c r="SFI19" s="591"/>
      <c r="SFJ19" s="589"/>
      <c r="SFK19" s="590"/>
      <c r="SFL19" s="589"/>
      <c r="SFM19" s="589"/>
      <c r="SFN19" s="589"/>
      <c r="SFO19" s="590"/>
      <c r="SFP19" s="590"/>
      <c r="SFQ19" s="590"/>
      <c r="SFR19" s="590"/>
      <c r="SFS19" s="590"/>
      <c r="SFT19" s="590"/>
      <c r="SFU19" s="590"/>
      <c r="SFV19" s="590"/>
      <c r="SFW19" s="590"/>
      <c r="SFX19" s="590"/>
      <c r="SFY19" s="590"/>
      <c r="SFZ19" s="590"/>
      <c r="SGA19" s="587"/>
      <c r="SGB19" s="588"/>
      <c r="SGC19" s="589"/>
      <c r="SGD19" s="589"/>
      <c r="SGE19" s="590"/>
      <c r="SGF19" s="589"/>
      <c r="SGG19" s="589"/>
      <c r="SGH19" s="589"/>
      <c r="SGI19" s="591"/>
      <c r="SGJ19" s="589"/>
      <c r="SGK19" s="590"/>
      <c r="SGL19" s="589"/>
      <c r="SGM19" s="589"/>
      <c r="SGN19" s="589"/>
      <c r="SGO19" s="590"/>
      <c r="SGP19" s="590"/>
      <c r="SGQ19" s="590"/>
      <c r="SGR19" s="590"/>
      <c r="SGS19" s="590"/>
      <c r="SGT19" s="590"/>
      <c r="SGU19" s="590"/>
      <c r="SGV19" s="590"/>
      <c r="SGW19" s="590"/>
      <c r="SGX19" s="590"/>
      <c r="SGY19" s="590"/>
      <c r="SGZ19" s="590"/>
      <c r="SHA19" s="587"/>
      <c r="SHB19" s="588"/>
      <c r="SHC19" s="589"/>
      <c r="SHD19" s="589"/>
      <c r="SHE19" s="590"/>
      <c r="SHF19" s="589"/>
      <c r="SHG19" s="589"/>
      <c r="SHH19" s="589"/>
      <c r="SHI19" s="591"/>
      <c r="SHJ19" s="589"/>
      <c r="SHK19" s="590"/>
      <c r="SHL19" s="589"/>
      <c r="SHM19" s="589"/>
      <c r="SHN19" s="589"/>
      <c r="SHO19" s="590"/>
      <c r="SHP19" s="590"/>
      <c r="SHQ19" s="590"/>
      <c r="SHR19" s="590"/>
      <c r="SHS19" s="590"/>
      <c r="SHT19" s="590"/>
      <c r="SHU19" s="590"/>
      <c r="SHV19" s="590"/>
      <c r="SHW19" s="590"/>
      <c r="SHX19" s="590"/>
      <c r="SHY19" s="590"/>
      <c r="SHZ19" s="590"/>
      <c r="SIA19" s="587"/>
      <c r="SIB19" s="588"/>
      <c r="SIC19" s="589"/>
      <c r="SID19" s="589"/>
      <c r="SIE19" s="590"/>
      <c r="SIF19" s="589"/>
      <c r="SIG19" s="589"/>
      <c r="SIH19" s="589"/>
      <c r="SII19" s="591"/>
      <c r="SIJ19" s="589"/>
      <c r="SIK19" s="590"/>
      <c r="SIL19" s="589"/>
      <c r="SIM19" s="589"/>
      <c r="SIN19" s="589"/>
      <c r="SIO19" s="590"/>
      <c r="SIP19" s="590"/>
      <c r="SIQ19" s="590"/>
      <c r="SIR19" s="590"/>
      <c r="SIS19" s="590"/>
      <c r="SIT19" s="590"/>
      <c r="SIU19" s="590"/>
      <c r="SIV19" s="590"/>
      <c r="SIW19" s="590"/>
      <c r="SIX19" s="590"/>
      <c r="SIY19" s="590"/>
      <c r="SIZ19" s="590"/>
      <c r="SJA19" s="587"/>
      <c r="SJB19" s="588"/>
      <c r="SJC19" s="589"/>
      <c r="SJD19" s="589"/>
      <c r="SJE19" s="590"/>
      <c r="SJF19" s="589"/>
      <c r="SJG19" s="589"/>
      <c r="SJH19" s="589"/>
      <c r="SJI19" s="591"/>
      <c r="SJJ19" s="589"/>
      <c r="SJK19" s="590"/>
      <c r="SJL19" s="589"/>
      <c r="SJM19" s="589"/>
      <c r="SJN19" s="589"/>
      <c r="SJO19" s="590"/>
      <c r="SJP19" s="590"/>
      <c r="SJQ19" s="590"/>
      <c r="SJR19" s="590"/>
      <c r="SJS19" s="590"/>
      <c r="SJT19" s="590"/>
      <c r="SJU19" s="590"/>
      <c r="SJV19" s="590"/>
      <c r="SJW19" s="590"/>
      <c r="SJX19" s="590"/>
      <c r="SJY19" s="590"/>
      <c r="SJZ19" s="590"/>
      <c r="SKA19" s="587"/>
      <c r="SKB19" s="588"/>
      <c r="SKC19" s="589"/>
      <c r="SKD19" s="589"/>
      <c r="SKE19" s="590"/>
      <c r="SKF19" s="589"/>
      <c r="SKG19" s="589"/>
      <c r="SKH19" s="589"/>
      <c r="SKI19" s="591"/>
      <c r="SKJ19" s="589"/>
      <c r="SKK19" s="590"/>
      <c r="SKL19" s="589"/>
      <c r="SKM19" s="589"/>
      <c r="SKN19" s="589"/>
      <c r="SKO19" s="590"/>
      <c r="SKP19" s="590"/>
      <c r="SKQ19" s="590"/>
      <c r="SKR19" s="590"/>
      <c r="SKS19" s="590"/>
      <c r="SKT19" s="590"/>
      <c r="SKU19" s="590"/>
      <c r="SKV19" s="590"/>
      <c r="SKW19" s="590"/>
      <c r="SKX19" s="590"/>
      <c r="SKY19" s="590"/>
      <c r="SKZ19" s="590"/>
      <c r="SLA19" s="587"/>
      <c r="SLB19" s="588"/>
      <c r="SLC19" s="589"/>
      <c r="SLD19" s="589"/>
      <c r="SLE19" s="590"/>
      <c r="SLF19" s="589"/>
      <c r="SLG19" s="589"/>
      <c r="SLH19" s="589"/>
      <c r="SLI19" s="591"/>
      <c r="SLJ19" s="589"/>
      <c r="SLK19" s="590"/>
      <c r="SLL19" s="589"/>
      <c r="SLM19" s="589"/>
      <c r="SLN19" s="589"/>
      <c r="SLO19" s="590"/>
      <c r="SLP19" s="590"/>
      <c r="SLQ19" s="590"/>
      <c r="SLR19" s="590"/>
      <c r="SLS19" s="590"/>
      <c r="SLT19" s="590"/>
      <c r="SLU19" s="590"/>
      <c r="SLV19" s="590"/>
      <c r="SLW19" s="590"/>
      <c r="SLX19" s="590"/>
      <c r="SLY19" s="590"/>
      <c r="SLZ19" s="590"/>
      <c r="SMA19" s="587"/>
      <c r="SMB19" s="588"/>
      <c r="SMC19" s="589"/>
      <c r="SMD19" s="589"/>
      <c r="SME19" s="590"/>
      <c r="SMF19" s="589"/>
      <c r="SMG19" s="589"/>
      <c r="SMH19" s="589"/>
      <c r="SMI19" s="591"/>
      <c r="SMJ19" s="589"/>
      <c r="SMK19" s="590"/>
      <c r="SML19" s="589"/>
      <c r="SMM19" s="589"/>
      <c r="SMN19" s="589"/>
      <c r="SMO19" s="590"/>
      <c r="SMP19" s="590"/>
      <c r="SMQ19" s="590"/>
      <c r="SMR19" s="590"/>
      <c r="SMS19" s="590"/>
      <c r="SMT19" s="590"/>
      <c r="SMU19" s="590"/>
      <c r="SMV19" s="590"/>
      <c r="SMW19" s="590"/>
      <c r="SMX19" s="590"/>
      <c r="SMY19" s="590"/>
      <c r="SMZ19" s="590"/>
      <c r="SNA19" s="587"/>
      <c r="SNB19" s="588"/>
      <c r="SNC19" s="589"/>
      <c r="SND19" s="589"/>
      <c r="SNE19" s="590"/>
      <c r="SNF19" s="589"/>
      <c r="SNG19" s="589"/>
      <c r="SNH19" s="589"/>
      <c r="SNI19" s="591"/>
      <c r="SNJ19" s="589"/>
      <c r="SNK19" s="590"/>
      <c r="SNL19" s="589"/>
      <c r="SNM19" s="589"/>
      <c r="SNN19" s="589"/>
      <c r="SNO19" s="590"/>
      <c r="SNP19" s="590"/>
      <c r="SNQ19" s="590"/>
      <c r="SNR19" s="590"/>
      <c r="SNS19" s="590"/>
      <c r="SNT19" s="590"/>
      <c r="SNU19" s="590"/>
      <c r="SNV19" s="590"/>
      <c r="SNW19" s="590"/>
      <c r="SNX19" s="590"/>
      <c r="SNY19" s="590"/>
      <c r="SNZ19" s="590"/>
      <c r="SOA19" s="587"/>
      <c r="SOB19" s="588"/>
      <c r="SOC19" s="589"/>
      <c r="SOD19" s="589"/>
      <c r="SOE19" s="590"/>
      <c r="SOF19" s="589"/>
      <c r="SOG19" s="589"/>
      <c r="SOH19" s="589"/>
      <c r="SOI19" s="591"/>
      <c r="SOJ19" s="589"/>
      <c r="SOK19" s="590"/>
      <c r="SOL19" s="589"/>
      <c r="SOM19" s="589"/>
      <c r="SON19" s="589"/>
      <c r="SOO19" s="590"/>
      <c r="SOP19" s="590"/>
      <c r="SOQ19" s="590"/>
      <c r="SOR19" s="590"/>
      <c r="SOS19" s="590"/>
      <c r="SOT19" s="590"/>
      <c r="SOU19" s="590"/>
      <c r="SOV19" s="590"/>
      <c r="SOW19" s="590"/>
      <c r="SOX19" s="590"/>
      <c r="SOY19" s="590"/>
      <c r="SOZ19" s="590"/>
      <c r="SPA19" s="587"/>
      <c r="SPB19" s="588"/>
      <c r="SPC19" s="589"/>
      <c r="SPD19" s="589"/>
      <c r="SPE19" s="590"/>
      <c r="SPF19" s="589"/>
      <c r="SPG19" s="589"/>
      <c r="SPH19" s="589"/>
      <c r="SPI19" s="591"/>
      <c r="SPJ19" s="589"/>
      <c r="SPK19" s="590"/>
      <c r="SPL19" s="589"/>
      <c r="SPM19" s="589"/>
      <c r="SPN19" s="589"/>
      <c r="SPO19" s="590"/>
      <c r="SPP19" s="590"/>
      <c r="SPQ19" s="590"/>
      <c r="SPR19" s="590"/>
      <c r="SPS19" s="590"/>
      <c r="SPT19" s="590"/>
      <c r="SPU19" s="590"/>
      <c r="SPV19" s="590"/>
      <c r="SPW19" s="590"/>
      <c r="SPX19" s="590"/>
      <c r="SPY19" s="590"/>
      <c r="SPZ19" s="590"/>
      <c r="SQA19" s="587"/>
      <c r="SQB19" s="588"/>
      <c r="SQC19" s="589"/>
      <c r="SQD19" s="589"/>
      <c r="SQE19" s="590"/>
      <c r="SQF19" s="589"/>
      <c r="SQG19" s="589"/>
      <c r="SQH19" s="589"/>
      <c r="SQI19" s="591"/>
      <c r="SQJ19" s="589"/>
      <c r="SQK19" s="590"/>
      <c r="SQL19" s="589"/>
      <c r="SQM19" s="589"/>
      <c r="SQN19" s="589"/>
      <c r="SQO19" s="590"/>
      <c r="SQP19" s="590"/>
      <c r="SQQ19" s="590"/>
      <c r="SQR19" s="590"/>
      <c r="SQS19" s="590"/>
      <c r="SQT19" s="590"/>
      <c r="SQU19" s="590"/>
      <c r="SQV19" s="590"/>
      <c r="SQW19" s="590"/>
      <c r="SQX19" s="590"/>
      <c r="SQY19" s="590"/>
      <c r="SQZ19" s="590"/>
      <c r="SRA19" s="587"/>
      <c r="SRB19" s="588"/>
      <c r="SRC19" s="589"/>
      <c r="SRD19" s="589"/>
      <c r="SRE19" s="590"/>
      <c r="SRF19" s="589"/>
      <c r="SRG19" s="589"/>
      <c r="SRH19" s="589"/>
      <c r="SRI19" s="591"/>
      <c r="SRJ19" s="589"/>
      <c r="SRK19" s="590"/>
      <c r="SRL19" s="589"/>
      <c r="SRM19" s="589"/>
      <c r="SRN19" s="589"/>
      <c r="SRO19" s="590"/>
      <c r="SRP19" s="590"/>
      <c r="SRQ19" s="590"/>
      <c r="SRR19" s="590"/>
      <c r="SRS19" s="590"/>
      <c r="SRT19" s="590"/>
      <c r="SRU19" s="590"/>
      <c r="SRV19" s="590"/>
      <c r="SRW19" s="590"/>
      <c r="SRX19" s="590"/>
      <c r="SRY19" s="590"/>
      <c r="SRZ19" s="590"/>
      <c r="SSA19" s="587"/>
      <c r="SSB19" s="588"/>
      <c r="SSC19" s="589"/>
      <c r="SSD19" s="589"/>
      <c r="SSE19" s="590"/>
      <c r="SSF19" s="589"/>
      <c r="SSG19" s="589"/>
      <c r="SSH19" s="589"/>
      <c r="SSI19" s="591"/>
      <c r="SSJ19" s="589"/>
      <c r="SSK19" s="590"/>
      <c r="SSL19" s="589"/>
      <c r="SSM19" s="589"/>
      <c r="SSN19" s="589"/>
      <c r="SSO19" s="590"/>
      <c r="SSP19" s="590"/>
      <c r="SSQ19" s="590"/>
      <c r="SSR19" s="590"/>
      <c r="SSS19" s="590"/>
      <c r="SST19" s="590"/>
      <c r="SSU19" s="590"/>
      <c r="SSV19" s="590"/>
      <c r="SSW19" s="590"/>
      <c r="SSX19" s="590"/>
      <c r="SSY19" s="590"/>
      <c r="SSZ19" s="590"/>
      <c r="STA19" s="587"/>
      <c r="STB19" s="588"/>
      <c r="STC19" s="589"/>
      <c r="STD19" s="589"/>
      <c r="STE19" s="590"/>
      <c r="STF19" s="589"/>
      <c r="STG19" s="589"/>
      <c r="STH19" s="589"/>
      <c r="STI19" s="591"/>
      <c r="STJ19" s="589"/>
      <c r="STK19" s="590"/>
      <c r="STL19" s="589"/>
      <c r="STM19" s="589"/>
      <c r="STN19" s="589"/>
      <c r="STO19" s="590"/>
      <c r="STP19" s="590"/>
      <c r="STQ19" s="590"/>
      <c r="STR19" s="590"/>
      <c r="STS19" s="590"/>
      <c r="STT19" s="590"/>
      <c r="STU19" s="590"/>
      <c r="STV19" s="590"/>
      <c r="STW19" s="590"/>
      <c r="STX19" s="590"/>
      <c r="STY19" s="590"/>
      <c r="STZ19" s="590"/>
      <c r="SUA19" s="587"/>
      <c r="SUB19" s="588"/>
      <c r="SUC19" s="589"/>
      <c r="SUD19" s="589"/>
      <c r="SUE19" s="590"/>
      <c r="SUF19" s="589"/>
      <c r="SUG19" s="589"/>
      <c r="SUH19" s="589"/>
      <c r="SUI19" s="591"/>
      <c r="SUJ19" s="589"/>
      <c r="SUK19" s="590"/>
      <c r="SUL19" s="589"/>
      <c r="SUM19" s="589"/>
      <c r="SUN19" s="589"/>
      <c r="SUO19" s="590"/>
      <c r="SUP19" s="590"/>
      <c r="SUQ19" s="590"/>
      <c r="SUR19" s="590"/>
      <c r="SUS19" s="590"/>
      <c r="SUT19" s="590"/>
      <c r="SUU19" s="590"/>
      <c r="SUV19" s="590"/>
      <c r="SUW19" s="590"/>
      <c r="SUX19" s="590"/>
      <c r="SUY19" s="590"/>
      <c r="SUZ19" s="590"/>
      <c r="SVA19" s="587"/>
      <c r="SVB19" s="588"/>
      <c r="SVC19" s="589"/>
      <c r="SVD19" s="589"/>
      <c r="SVE19" s="590"/>
      <c r="SVF19" s="589"/>
      <c r="SVG19" s="589"/>
      <c r="SVH19" s="589"/>
      <c r="SVI19" s="591"/>
      <c r="SVJ19" s="589"/>
      <c r="SVK19" s="590"/>
      <c r="SVL19" s="589"/>
      <c r="SVM19" s="589"/>
      <c r="SVN19" s="589"/>
      <c r="SVO19" s="590"/>
      <c r="SVP19" s="590"/>
      <c r="SVQ19" s="590"/>
      <c r="SVR19" s="590"/>
      <c r="SVS19" s="590"/>
      <c r="SVT19" s="590"/>
      <c r="SVU19" s="590"/>
      <c r="SVV19" s="590"/>
      <c r="SVW19" s="590"/>
      <c r="SVX19" s="590"/>
      <c r="SVY19" s="590"/>
      <c r="SVZ19" s="590"/>
      <c r="SWA19" s="587"/>
      <c r="SWB19" s="588"/>
      <c r="SWC19" s="589"/>
      <c r="SWD19" s="589"/>
      <c r="SWE19" s="590"/>
      <c r="SWF19" s="589"/>
      <c r="SWG19" s="589"/>
      <c r="SWH19" s="589"/>
      <c r="SWI19" s="591"/>
      <c r="SWJ19" s="589"/>
      <c r="SWK19" s="590"/>
      <c r="SWL19" s="589"/>
      <c r="SWM19" s="589"/>
      <c r="SWN19" s="589"/>
      <c r="SWO19" s="590"/>
      <c r="SWP19" s="590"/>
      <c r="SWQ19" s="590"/>
      <c r="SWR19" s="590"/>
      <c r="SWS19" s="590"/>
      <c r="SWT19" s="590"/>
      <c r="SWU19" s="590"/>
      <c r="SWV19" s="590"/>
      <c r="SWW19" s="590"/>
      <c r="SWX19" s="590"/>
      <c r="SWY19" s="590"/>
      <c r="SWZ19" s="590"/>
      <c r="SXA19" s="587"/>
      <c r="SXB19" s="588"/>
      <c r="SXC19" s="589"/>
      <c r="SXD19" s="589"/>
      <c r="SXE19" s="590"/>
      <c r="SXF19" s="589"/>
      <c r="SXG19" s="589"/>
      <c r="SXH19" s="589"/>
      <c r="SXI19" s="591"/>
      <c r="SXJ19" s="589"/>
      <c r="SXK19" s="590"/>
      <c r="SXL19" s="589"/>
      <c r="SXM19" s="589"/>
      <c r="SXN19" s="589"/>
      <c r="SXO19" s="590"/>
      <c r="SXP19" s="590"/>
      <c r="SXQ19" s="590"/>
      <c r="SXR19" s="590"/>
      <c r="SXS19" s="590"/>
      <c r="SXT19" s="590"/>
      <c r="SXU19" s="590"/>
      <c r="SXV19" s="590"/>
      <c r="SXW19" s="590"/>
      <c r="SXX19" s="590"/>
      <c r="SXY19" s="590"/>
      <c r="SXZ19" s="590"/>
      <c r="SYA19" s="587"/>
      <c r="SYB19" s="588"/>
      <c r="SYC19" s="589"/>
      <c r="SYD19" s="589"/>
      <c r="SYE19" s="590"/>
      <c r="SYF19" s="589"/>
      <c r="SYG19" s="589"/>
      <c r="SYH19" s="589"/>
      <c r="SYI19" s="591"/>
      <c r="SYJ19" s="589"/>
      <c r="SYK19" s="590"/>
      <c r="SYL19" s="589"/>
      <c r="SYM19" s="589"/>
      <c r="SYN19" s="589"/>
      <c r="SYO19" s="590"/>
      <c r="SYP19" s="590"/>
      <c r="SYQ19" s="590"/>
      <c r="SYR19" s="590"/>
      <c r="SYS19" s="590"/>
      <c r="SYT19" s="590"/>
      <c r="SYU19" s="590"/>
      <c r="SYV19" s="590"/>
      <c r="SYW19" s="590"/>
      <c r="SYX19" s="590"/>
      <c r="SYY19" s="590"/>
      <c r="SYZ19" s="590"/>
      <c r="SZA19" s="587"/>
      <c r="SZB19" s="588"/>
      <c r="SZC19" s="589"/>
      <c r="SZD19" s="589"/>
      <c r="SZE19" s="590"/>
      <c r="SZF19" s="589"/>
      <c r="SZG19" s="589"/>
      <c r="SZH19" s="589"/>
      <c r="SZI19" s="591"/>
      <c r="SZJ19" s="589"/>
      <c r="SZK19" s="590"/>
      <c r="SZL19" s="589"/>
      <c r="SZM19" s="589"/>
      <c r="SZN19" s="589"/>
      <c r="SZO19" s="590"/>
      <c r="SZP19" s="590"/>
      <c r="SZQ19" s="590"/>
      <c r="SZR19" s="590"/>
      <c r="SZS19" s="590"/>
      <c r="SZT19" s="590"/>
      <c r="SZU19" s="590"/>
      <c r="SZV19" s="590"/>
      <c r="SZW19" s="590"/>
      <c r="SZX19" s="590"/>
      <c r="SZY19" s="590"/>
      <c r="SZZ19" s="590"/>
      <c r="TAA19" s="587"/>
      <c r="TAB19" s="588"/>
      <c r="TAC19" s="589"/>
      <c r="TAD19" s="589"/>
      <c r="TAE19" s="590"/>
      <c r="TAF19" s="589"/>
      <c r="TAG19" s="589"/>
      <c r="TAH19" s="589"/>
      <c r="TAI19" s="591"/>
      <c r="TAJ19" s="589"/>
      <c r="TAK19" s="590"/>
      <c r="TAL19" s="589"/>
      <c r="TAM19" s="589"/>
      <c r="TAN19" s="589"/>
      <c r="TAO19" s="590"/>
      <c r="TAP19" s="590"/>
      <c r="TAQ19" s="590"/>
      <c r="TAR19" s="590"/>
      <c r="TAS19" s="590"/>
      <c r="TAT19" s="590"/>
      <c r="TAU19" s="590"/>
      <c r="TAV19" s="590"/>
      <c r="TAW19" s="590"/>
      <c r="TAX19" s="590"/>
      <c r="TAY19" s="590"/>
      <c r="TAZ19" s="590"/>
      <c r="TBA19" s="587"/>
      <c r="TBB19" s="588"/>
      <c r="TBC19" s="589"/>
      <c r="TBD19" s="589"/>
      <c r="TBE19" s="590"/>
      <c r="TBF19" s="589"/>
      <c r="TBG19" s="589"/>
      <c r="TBH19" s="589"/>
      <c r="TBI19" s="591"/>
      <c r="TBJ19" s="589"/>
      <c r="TBK19" s="590"/>
      <c r="TBL19" s="589"/>
      <c r="TBM19" s="589"/>
      <c r="TBN19" s="589"/>
      <c r="TBO19" s="590"/>
      <c r="TBP19" s="590"/>
      <c r="TBQ19" s="590"/>
      <c r="TBR19" s="590"/>
      <c r="TBS19" s="590"/>
      <c r="TBT19" s="590"/>
      <c r="TBU19" s="590"/>
      <c r="TBV19" s="590"/>
      <c r="TBW19" s="590"/>
      <c r="TBX19" s="590"/>
      <c r="TBY19" s="590"/>
      <c r="TBZ19" s="590"/>
      <c r="TCA19" s="587"/>
      <c r="TCB19" s="588"/>
      <c r="TCC19" s="589"/>
      <c r="TCD19" s="589"/>
      <c r="TCE19" s="590"/>
      <c r="TCF19" s="589"/>
      <c r="TCG19" s="589"/>
      <c r="TCH19" s="589"/>
      <c r="TCI19" s="591"/>
      <c r="TCJ19" s="589"/>
      <c r="TCK19" s="590"/>
      <c r="TCL19" s="589"/>
      <c r="TCM19" s="589"/>
      <c r="TCN19" s="589"/>
      <c r="TCO19" s="590"/>
      <c r="TCP19" s="590"/>
      <c r="TCQ19" s="590"/>
      <c r="TCR19" s="590"/>
      <c r="TCS19" s="590"/>
      <c r="TCT19" s="590"/>
      <c r="TCU19" s="590"/>
      <c r="TCV19" s="590"/>
      <c r="TCW19" s="590"/>
      <c r="TCX19" s="590"/>
      <c r="TCY19" s="590"/>
      <c r="TCZ19" s="590"/>
      <c r="TDA19" s="587"/>
      <c r="TDB19" s="588"/>
      <c r="TDC19" s="589"/>
      <c r="TDD19" s="589"/>
      <c r="TDE19" s="590"/>
      <c r="TDF19" s="589"/>
      <c r="TDG19" s="589"/>
      <c r="TDH19" s="589"/>
      <c r="TDI19" s="591"/>
      <c r="TDJ19" s="589"/>
      <c r="TDK19" s="590"/>
      <c r="TDL19" s="589"/>
      <c r="TDM19" s="589"/>
      <c r="TDN19" s="589"/>
      <c r="TDO19" s="590"/>
      <c r="TDP19" s="590"/>
      <c r="TDQ19" s="590"/>
      <c r="TDR19" s="590"/>
      <c r="TDS19" s="590"/>
      <c r="TDT19" s="590"/>
      <c r="TDU19" s="590"/>
      <c r="TDV19" s="590"/>
      <c r="TDW19" s="590"/>
      <c r="TDX19" s="590"/>
      <c r="TDY19" s="590"/>
      <c r="TDZ19" s="590"/>
      <c r="TEA19" s="587"/>
      <c r="TEB19" s="588"/>
      <c r="TEC19" s="589"/>
      <c r="TED19" s="589"/>
      <c r="TEE19" s="590"/>
      <c r="TEF19" s="589"/>
      <c r="TEG19" s="589"/>
      <c r="TEH19" s="589"/>
      <c r="TEI19" s="591"/>
      <c r="TEJ19" s="589"/>
      <c r="TEK19" s="590"/>
      <c r="TEL19" s="589"/>
      <c r="TEM19" s="589"/>
      <c r="TEN19" s="589"/>
      <c r="TEO19" s="590"/>
      <c r="TEP19" s="590"/>
      <c r="TEQ19" s="590"/>
      <c r="TER19" s="590"/>
      <c r="TES19" s="590"/>
      <c r="TET19" s="590"/>
      <c r="TEU19" s="590"/>
      <c r="TEV19" s="590"/>
      <c r="TEW19" s="590"/>
      <c r="TEX19" s="590"/>
      <c r="TEY19" s="590"/>
      <c r="TEZ19" s="590"/>
      <c r="TFA19" s="587"/>
      <c r="TFB19" s="588"/>
      <c r="TFC19" s="589"/>
      <c r="TFD19" s="589"/>
      <c r="TFE19" s="590"/>
      <c r="TFF19" s="589"/>
      <c r="TFG19" s="589"/>
      <c r="TFH19" s="589"/>
      <c r="TFI19" s="591"/>
      <c r="TFJ19" s="589"/>
      <c r="TFK19" s="590"/>
      <c r="TFL19" s="589"/>
      <c r="TFM19" s="589"/>
      <c r="TFN19" s="589"/>
      <c r="TFO19" s="590"/>
      <c r="TFP19" s="590"/>
      <c r="TFQ19" s="590"/>
      <c r="TFR19" s="590"/>
      <c r="TFS19" s="590"/>
      <c r="TFT19" s="590"/>
      <c r="TFU19" s="590"/>
      <c r="TFV19" s="590"/>
      <c r="TFW19" s="590"/>
      <c r="TFX19" s="590"/>
      <c r="TFY19" s="590"/>
      <c r="TFZ19" s="590"/>
      <c r="TGA19" s="587"/>
      <c r="TGB19" s="588"/>
      <c r="TGC19" s="589"/>
      <c r="TGD19" s="589"/>
      <c r="TGE19" s="590"/>
      <c r="TGF19" s="589"/>
      <c r="TGG19" s="589"/>
      <c r="TGH19" s="589"/>
      <c r="TGI19" s="591"/>
      <c r="TGJ19" s="589"/>
      <c r="TGK19" s="590"/>
      <c r="TGL19" s="589"/>
      <c r="TGM19" s="589"/>
      <c r="TGN19" s="589"/>
      <c r="TGO19" s="590"/>
      <c r="TGP19" s="590"/>
      <c r="TGQ19" s="590"/>
      <c r="TGR19" s="590"/>
      <c r="TGS19" s="590"/>
      <c r="TGT19" s="590"/>
      <c r="TGU19" s="590"/>
      <c r="TGV19" s="590"/>
      <c r="TGW19" s="590"/>
      <c r="TGX19" s="590"/>
      <c r="TGY19" s="590"/>
      <c r="TGZ19" s="590"/>
      <c r="THA19" s="587"/>
      <c r="THB19" s="588"/>
      <c r="THC19" s="589"/>
      <c r="THD19" s="589"/>
      <c r="THE19" s="590"/>
      <c r="THF19" s="589"/>
      <c r="THG19" s="589"/>
      <c r="THH19" s="589"/>
      <c r="THI19" s="591"/>
      <c r="THJ19" s="589"/>
      <c r="THK19" s="590"/>
      <c r="THL19" s="589"/>
      <c r="THM19" s="589"/>
      <c r="THN19" s="589"/>
      <c r="THO19" s="590"/>
      <c r="THP19" s="590"/>
      <c r="THQ19" s="590"/>
      <c r="THR19" s="590"/>
      <c r="THS19" s="590"/>
      <c r="THT19" s="590"/>
      <c r="THU19" s="590"/>
      <c r="THV19" s="590"/>
      <c r="THW19" s="590"/>
      <c r="THX19" s="590"/>
      <c r="THY19" s="590"/>
      <c r="THZ19" s="590"/>
      <c r="TIA19" s="587"/>
      <c r="TIB19" s="588"/>
      <c r="TIC19" s="589"/>
      <c r="TID19" s="589"/>
      <c r="TIE19" s="590"/>
      <c r="TIF19" s="589"/>
      <c r="TIG19" s="589"/>
      <c r="TIH19" s="589"/>
      <c r="TII19" s="591"/>
      <c r="TIJ19" s="589"/>
      <c r="TIK19" s="590"/>
      <c r="TIL19" s="589"/>
      <c r="TIM19" s="589"/>
      <c r="TIN19" s="589"/>
      <c r="TIO19" s="590"/>
      <c r="TIP19" s="590"/>
      <c r="TIQ19" s="590"/>
      <c r="TIR19" s="590"/>
      <c r="TIS19" s="590"/>
      <c r="TIT19" s="590"/>
      <c r="TIU19" s="590"/>
      <c r="TIV19" s="590"/>
      <c r="TIW19" s="590"/>
      <c r="TIX19" s="590"/>
      <c r="TIY19" s="590"/>
      <c r="TIZ19" s="590"/>
      <c r="TJA19" s="587"/>
      <c r="TJB19" s="588"/>
      <c r="TJC19" s="589"/>
      <c r="TJD19" s="589"/>
      <c r="TJE19" s="590"/>
      <c r="TJF19" s="589"/>
      <c r="TJG19" s="589"/>
      <c r="TJH19" s="589"/>
      <c r="TJI19" s="591"/>
      <c r="TJJ19" s="589"/>
      <c r="TJK19" s="590"/>
      <c r="TJL19" s="589"/>
      <c r="TJM19" s="589"/>
      <c r="TJN19" s="589"/>
      <c r="TJO19" s="590"/>
      <c r="TJP19" s="590"/>
      <c r="TJQ19" s="590"/>
      <c r="TJR19" s="590"/>
      <c r="TJS19" s="590"/>
      <c r="TJT19" s="590"/>
      <c r="TJU19" s="590"/>
      <c r="TJV19" s="590"/>
      <c r="TJW19" s="590"/>
      <c r="TJX19" s="590"/>
      <c r="TJY19" s="590"/>
      <c r="TJZ19" s="590"/>
      <c r="TKA19" s="587"/>
      <c r="TKB19" s="588"/>
      <c r="TKC19" s="589"/>
      <c r="TKD19" s="589"/>
      <c r="TKE19" s="590"/>
      <c r="TKF19" s="589"/>
      <c r="TKG19" s="589"/>
      <c r="TKH19" s="589"/>
      <c r="TKI19" s="591"/>
      <c r="TKJ19" s="589"/>
      <c r="TKK19" s="590"/>
      <c r="TKL19" s="589"/>
      <c r="TKM19" s="589"/>
      <c r="TKN19" s="589"/>
      <c r="TKO19" s="590"/>
      <c r="TKP19" s="590"/>
      <c r="TKQ19" s="590"/>
      <c r="TKR19" s="590"/>
      <c r="TKS19" s="590"/>
      <c r="TKT19" s="590"/>
      <c r="TKU19" s="590"/>
      <c r="TKV19" s="590"/>
      <c r="TKW19" s="590"/>
      <c r="TKX19" s="590"/>
      <c r="TKY19" s="590"/>
      <c r="TKZ19" s="590"/>
      <c r="TLA19" s="587"/>
      <c r="TLB19" s="588"/>
      <c r="TLC19" s="589"/>
      <c r="TLD19" s="589"/>
      <c r="TLE19" s="590"/>
      <c r="TLF19" s="589"/>
      <c r="TLG19" s="589"/>
      <c r="TLH19" s="589"/>
      <c r="TLI19" s="591"/>
      <c r="TLJ19" s="589"/>
      <c r="TLK19" s="590"/>
      <c r="TLL19" s="589"/>
      <c r="TLM19" s="589"/>
      <c r="TLN19" s="589"/>
      <c r="TLO19" s="590"/>
      <c r="TLP19" s="590"/>
      <c r="TLQ19" s="590"/>
      <c r="TLR19" s="590"/>
      <c r="TLS19" s="590"/>
      <c r="TLT19" s="590"/>
      <c r="TLU19" s="590"/>
      <c r="TLV19" s="590"/>
      <c r="TLW19" s="590"/>
      <c r="TLX19" s="590"/>
      <c r="TLY19" s="590"/>
      <c r="TLZ19" s="590"/>
      <c r="TMA19" s="587"/>
      <c r="TMB19" s="588"/>
      <c r="TMC19" s="589"/>
      <c r="TMD19" s="589"/>
      <c r="TME19" s="590"/>
      <c r="TMF19" s="589"/>
      <c r="TMG19" s="589"/>
      <c r="TMH19" s="589"/>
      <c r="TMI19" s="591"/>
      <c r="TMJ19" s="589"/>
      <c r="TMK19" s="590"/>
      <c r="TML19" s="589"/>
      <c r="TMM19" s="589"/>
      <c r="TMN19" s="589"/>
      <c r="TMO19" s="590"/>
      <c r="TMP19" s="590"/>
      <c r="TMQ19" s="590"/>
      <c r="TMR19" s="590"/>
      <c r="TMS19" s="590"/>
      <c r="TMT19" s="590"/>
      <c r="TMU19" s="590"/>
      <c r="TMV19" s="590"/>
      <c r="TMW19" s="590"/>
      <c r="TMX19" s="590"/>
      <c r="TMY19" s="590"/>
      <c r="TMZ19" s="590"/>
      <c r="TNA19" s="587"/>
      <c r="TNB19" s="588"/>
      <c r="TNC19" s="589"/>
      <c r="TND19" s="589"/>
      <c r="TNE19" s="590"/>
      <c r="TNF19" s="589"/>
      <c r="TNG19" s="589"/>
      <c r="TNH19" s="589"/>
      <c r="TNI19" s="591"/>
      <c r="TNJ19" s="589"/>
      <c r="TNK19" s="590"/>
      <c r="TNL19" s="589"/>
      <c r="TNM19" s="589"/>
      <c r="TNN19" s="589"/>
      <c r="TNO19" s="590"/>
      <c r="TNP19" s="590"/>
      <c r="TNQ19" s="590"/>
      <c r="TNR19" s="590"/>
      <c r="TNS19" s="590"/>
      <c r="TNT19" s="590"/>
      <c r="TNU19" s="590"/>
      <c r="TNV19" s="590"/>
      <c r="TNW19" s="590"/>
      <c r="TNX19" s="590"/>
      <c r="TNY19" s="590"/>
      <c r="TNZ19" s="590"/>
      <c r="TOA19" s="587"/>
      <c r="TOB19" s="588"/>
      <c r="TOC19" s="589"/>
      <c r="TOD19" s="589"/>
      <c r="TOE19" s="590"/>
      <c r="TOF19" s="589"/>
      <c r="TOG19" s="589"/>
      <c r="TOH19" s="589"/>
      <c r="TOI19" s="591"/>
      <c r="TOJ19" s="589"/>
      <c r="TOK19" s="590"/>
      <c r="TOL19" s="589"/>
      <c r="TOM19" s="589"/>
      <c r="TON19" s="589"/>
      <c r="TOO19" s="590"/>
      <c r="TOP19" s="590"/>
      <c r="TOQ19" s="590"/>
      <c r="TOR19" s="590"/>
      <c r="TOS19" s="590"/>
      <c r="TOT19" s="590"/>
      <c r="TOU19" s="590"/>
      <c r="TOV19" s="590"/>
      <c r="TOW19" s="590"/>
      <c r="TOX19" s="590"/>
      <c r="TOY19" s="590"/>
      <c r="TOZ19" s="590"/>
      <c r="TPA19" s="587"/>
      <c r="TPB19" s="588"/>
      <c r="TPC19" s="589"/>
      <c r="TPD19" s="589"/>
      <c r="TPE19" s="590"/>
      <c r="TPF19" s="589"/>
      <c r="TPG19" s="589"/>
      <c r="TPH19" s="589"/>
      <c r="TPI19" s="591"/>
      <c r="TPJ19" s="589"/>
      <c r="TPK19" s="590"/>
      <c r="TPL19" s="589"/>
      <c r="TPM19" s="589"/>
      <c r="TPN19" s="589"/>
      <c r="TPO19" s="590"/>
      <c r="TPP19" s="590"/>
      <c r="TPQ19" s="590"/>
      <c r="TPR19" s="590"/>
      <c r="TPS19" s="590"/>
      <c r="TPT19" s="590"/>
      <c r="TPU19" s="590"/>
      <c r="TPV19" s="590"/>
      <c r="TPW19" s="590"/>
      <c r="TPX19" s="590"/>
      <c r="TPY19" s="590"/>
      <c r="TPZ19" s="590"/>
      <c r="TQA19" s="587"/>
      <c r="TQB19" s="588"/>
      <c r="TQC19" s="589"/>
      <c r="TQD19" s="589"/>
      <c r="TQE19" s="590"/>
      <c r="TQF19" s="589"/>
      <c r="TQG19" s="589"/>
      <c r="TQH19" s="589"/>
      <c r="TQI19" s="591"/>
      <c r="TQJ19" s="589"/>
      <c r="TQK19" s="590"/>
      <c r="TQL19" s="589"/>
      <c r="TQM19" s="589"/>
      <c r="TQN19" s="589"/>
      <c r="TQO19" s="590"/>
      <c r="TQP19" s="590"/>
      <c r="TQQ19" s="590"/>
      <c r="TQR19" s="590"/>
      <c r="TQS19" s="590"/>
      <c r="TQT19" s="590"/>
      <c r="TQU19" s="590"/>
      <c r="TQV19" s="590"/>
      <c r="TQW19" s="590"/>
      <c r="TQX19" s="590"/>
      <c r="TQY19" s="590"/>
      <c r="TQZ19" s="590"/>
      <c r="TRA19" s="587"/>
      <c r="TRB19" s="588"/>
      <c r="TRC19" s="589"/>
      <c r="TRD19" s="589"/>
      <c r="TRE19" s="590"/>
      <c r="TRF19" s="589"/>
      <c r="TRG19" s="589"/>
      <c r="TRH19" s="589"/>
      <c r="TRI19" s="591"/>
      <c r="TRJ19" s="589"/>
      <c r="TRK19" s="590"/>
      <c r="TRL19" s="589"/>
      <c r="TRM19" s="589"/>
      <c r="TRN19" s="589"/>
      <c r="TRO19" s="590"/>
      <c r="TRP19" s="590"/>
      <c r="TRQ19" s="590"/>
      <c r="TRR19" s="590"/>
      <c r="TRS19" s="590"/>
      <c r="TRT19" s="590"/>
      <c r="TRU19" s="590"/>
      <c r="TRV19" s="590"/>
      <c r="TRW19" s="590"/>
      <c r="TRX19" s="590"/>
      <c r="TRY19" s="590"/>
      <c r="TRZ19" s="590"/>
      <c r="TSA19" s="587"/>
      <c r="TSB19" s="588"/>
      <c r="TSC19" s="589"/>
      <c r="TSD19" s="589"/>
      <c r="TSE19" s="590"/>
      <c r="TSF19" s="589"/>
      <c r="TSG19" s="589"/>
      <c r="TSH19" s="589"/>
      <c r="TSI19" s="591"/>
      <c r="TSJ19" s="589"/>
      <c r="TSK19" s="590"/>
      <c r="TSL19" s="589"/>
      <c r="TSM19" s="589"/>
      <c r="TSN19" s="589"/>
      <c r="TSO19" s="590"/>
      <c r="TSP19" s="590"/>
      <c r="TSQ19" s="590"/>
      <c r="TSR19" s="590"/>
      <c r="TSS19" s="590"/>
      <c r="TST19" s="590"/>
      <c r="TSU19" s="590"/>
      <c r="TSV19" s="590"/>
      <c r="TSW19" s="590"/>
      <c r="TSX19" s="590"/>
      <c r="TSY19" s="590"/>
      <c r="TSZ19" s="590"/>
      <c r="TTA19" s="587"/>
      <c r="TTB19" s="588"/>
      <c r="TTC19" s="589"/>
      <c r="TTD19" s="589"/>
      <c r="TTE19" s="590"/>
      <c r="TTF19" s="589"/>
      <c r="TTG19" s="589"/>
      <c r="TTH19" s="589"/>
      <c r="TTI19" s="591"/>
      <c r="TTJ19" s="589"/>
      <c r="TTK19" s="590"/>
      <c r="TTL19" s="589"/>
      <c r="TTM19" s="589"/>
      <c r="TTN19" s="589"/>
      <c r="TTO19" s="590"/>
      <c r="TTP19" s="590"/>
      <c r="TTQ19" s="590"/>
      <c r="TTR19" s="590"/>
      <c r="TTS19" s="590"/>
      <c r="TTT19" s="590"/>
      <c r="TTU19" s="590"/>
      <c r="TTV19" s="590"/>
      <c r="TTW19" s="590"/>
      <c r="TTX19" s="590"/>
      <c r="TTY19" s="590"/>
      <c r="TTZ19" s="590"/>
      <c r="TUA19" s="587"/>
      <c r="TUB19" s="588"/>
      <c r="TUC19" s="589"/>
      <c r="TUD19" s="589"/>
      <c r="TUE19" s="590"/>
      <c r="TUF19" s="589"/>
      <c r="TUG19" s="589"/>
      <c r="TUH19" s="589"/>
      <c r="TUI19" s="591"/>
      <c r="TUJ19" s="589"/>
      <c r="TUK19" s="590"/>
      <c r="TUL19" s="589"/>
      <c r="TUM19" s="589"/>
      <c r="TUN19" s="589"/>
      <c r="TUO19" s="590"/>
      <c r="TUP19" s="590"/>
      <c r="TUQ19" s="590"/>
      <c r="TUR19" s="590"/>
      <c r="TUS19" s="590"/>
      <c r="TUT19" s="590"/>
      <c r="TUU19" s="590"/>
      <c r="TUV19" s="590"/>
      <c r="TUW19" s="590"/>
      <c r="TUX19" s="590"/>
      <c r="TUY19" s="590"/>
      <c r="TUZ19" s="590"/>
      <c r="TVA19" s="587"/>
      <c r="TVB19" s="588"/>
      <c r="TVC19" s="589"/>
      <c r="TVD19" s="589"/>
      <c r="TVE19" s="590"/>
      <c r="TVF19" s="589"/>
      <c r="TVG19" s="589"/>
      <c r="TVH19" s="589"/>
      <c r="TVI19" s="591"/>
      <c r="TVJ19" s="589"/>
      <c r="TVK19" s="590"/>
      <c r="TVL19" s="589"/>
      <c r="TVM19" s="589"/>
      <c r="TVN19" s="589"/>
      <c r="TVO19" s="590"/>
      <c r="TVP19" s="590"/>
      <c r="TVQ19" s="590"/>
      <c r="TVR19" s="590"/>
      <c r="TVS19" s="590"/>
      <c r="TVT19" s="590"/>
      <c r="TVU19" s="590"/>
      <c r="TVV19" s="590"/>
      <c r="TVW19" s="590"/>
      <c r="TVX19" s="590"/>
      <c r="TVY19" s="590"/>
      <c r="TVZ19" s="590"/>
      <c r="TWA19" s="587"/>
      <c r="TWB19" s="588"/>
      <c r="TWC19" s="589"/>
      <c r="TWD19" s="589"/>
      <c r="TWE19" s="590"/>
      <c r="TWF19" s="589"/>
      <c r="TWG19" s="589"/>
      <c r="TWH19" s="589"/>
      <c r="TWI19" s="591"/>
      <c r="TWJ19" s="589"/>
      <c r="TWK19" s="590"/>
      <c r="TWL19" s="589"/>
      <c r="TWM19" s="589"/>
      <c r="TWN19" s="589"/>
      <c r="TWO19" s="590"/>
      <c r="TWP19" s="590"/>
      <c r="TWQ19" s="590"/>
      <c r="TWR19" s="590"/>
      <c r="TWS19" s="590"/>
      <c r="TWT19" s="590"/>
      <c r="TWU19" s="590"/>
      <c r="TWV19" s="590"/>
      <c r="TWW19" s="590"/>
      <c r="TWX19" s="590"/>
      <c r="TWY19" s="590"/>
      <c r="TWZ19" s="590"/>
      <c r="TXA19" s="587"/>
      <c r="TXB19" s="588"/>
      <c r="TXC19" s="589"/>
      <c r="TXD19" s="589"/>
      <c r="TXE19" s="590"/>
      <c r="TXF19" s="589"/>
      <c r="TXG19" s="589"/>
      <c r="TXH19" s="589"/>
      <c r="TXI19" s="591"/>
      <c r="TXJ19" s="589"/>
      <c r="TXK19" s="590"/>
      <c r="TXL19" s="589"/>
      <c r="TXM19" s="589"/>
      <c r="TXN19" s="589"/>
      <c r="TXO19" s="590"/>
      <c r="TXP19" s="590"/>
      <c r="TXQ19" s="590"/>
      <c r="TXR19" s="590"/>
      <c r="TXS19" s="590"/>
      <c r="TXT19" s="590"/>
      <c r="TXU19" s="590"/>
      <c r="TXV19" s="590"/>
      <c r="TXW19" s="590"/>
      <c r="TXX19" s="590"/>
      <c r="TXY19" s="590"/>
      <c r="TXZ19" s="590"/>
      <c r="TYA19" s="587"/>
      <c r="TYB19" s="588"/>
      <c r="TYC19" s="589"/>
      <c r="TYD19" s="589"/>
      <c r="TYE19" s="590"/>
      <c r="TYF19" s="589"/>
      <c r="TYG19" s="589"/>
      <c r="TYH19" s="589"/>
      <c r="TYI19" s="591"/>
      <c r="TYJ19" s="589"/>
      <c r="TYK19" s="590"/>
      <c r="TYL19" s="589"/>
      <c r="TYM19" s="589"/>
      <c r="TYN19" s="589"/>
      <c r="TYO19" s="590"/>
      <c r="TYP19" s="590"/>
      <c r="TYQ19" s="590"/>
      <c r="TYR19" s="590"/>
      <c r="TYS19" s="590"/>
      <c r="TYT19" s="590"/>
      <c r="TYU19" s="590"/>
      <c r="TYV19" s="590"/>
      <c r="TYW19" s="590"/>
      <c r="TYX19" s="590"/>
      <c r="TYY19" s="590"/>
      <c r="TYZ19" s="590"/>
      <c r="TZA19" s="587"/>
      <c r="TZB19" s="588"/>
      <c r="TZC19" s="589"/>
      <c r="TZD19" s="589"/>
      <c r="TZE19" s="590"/>
      <c r="TZF19" s="589"/>
      <c r="TZG19" s="589"/>
      <c r="TZH19" s="589"/>
      <c r="TZI19" s="591"/>
      <c r="TZJ19" s="589"/>
      <c r="TZK19" s="590"/>
      <c r="TZL19" s="589"/>
      <c r="TZM19" s="589"/>
      <c r="TZN19" s="589"/>
      <c r="TZO19" s="590"/>
      <c r="TZP19" s="590"/>
      <c r="TZQ19" s="590"/>
      <c r="TZR19" s="590"/>
      <c r="TZS19" s="590"/>
      <c r="TZT19" s="590"/>
      <c r="TZU19" s="590"/>
      <c r="TZV19" s="590"/>
      <c r="TZW19" s="590"/>
      <c r="TZX19" s="590"/>
      <c r="TZY19" s="590"/>
      <c r="TZZ19" s="590"/>
      <c r="UAA19" s="587"/>
      <c r="UAB19" s="588"/>
      <c r="UAC19" s="589"/>
      <c r="UAD19" s="589"/>
      <c r="UAE19" s="590"/>
      <c r="UAF19" s="589"/>
      <c r="UAG19" s="589"/>
      <c r="UAH19" s="589"/>
      <c r="UAI19" s="591"/>
      <c r="UAJ19" s="589"/>
      <c r="UAK19" s="590"/>
      <c r="UAL19" s="589"/>
      <c r="UAM19" s="589"/>
      <c r="UAN19" s="589"/>
      <c r="UAO19" s="590"/>
      <c r="UAP19" s="590"/>
      <c r="UAQ19" s="590"/>
      <c r="UAR19" s="590"/>
      <c r="UAS19" s="590"/>
      <c r="UAT19" s="590"/>
      <c r="UAU19" s="590"/>
      <c r="UAV19" s="590"/>
      <c r="UAW19" s="590"/>
      <c r="UAX19" s="590"/>
      <c r="UAY19" s="590"/>
      <c r="UAZ19" s="590"/>
      <c r="UBA19" s="587"/>
      <c r="UBB19" s="588"/>
      <c r="UBC19" s="589"/>
      <c r="UBD19" s="589"/>
      <c r="UBE19" s="590"/>
      <c r="UBF19" s="589"/>
      <c r="UBG19" s="589"/>
      <c r="UBH19" s="589"/>
      <c r="UBI19" s="591"/>
      <c r="UBJ19" s="589"/>
      <c r="UBK19" s="590"/>
      <c r="UBL19" s="589"/>
      <c r="UBM19" s="589"/>
      <c r="UBN19" s="589"/>
      <c r="UBO19" s="590"/>
      <c r="UBP19" s="590"/>
      <c r="UBQ19" s="590"/>
      <c r="UBR19" s="590"/>
      <c r="UBS19" s="590"/>
      <c r="UBT19" s="590"/>
      <c r="UBU19" s="590"/>
      <c r="UBV19" s="590"/>
      <c r="UBW19" s="590"/>
      <c r="UBX19" s="590"/>
      <c r="UBY19" s="590"/>
      <c r="UBZ19" s="590"/>
      <c r="UCA19" s="587"/>
      <c r="UCB19" s="588"/>
      <c r="UCC19" s="589"/>
      <c r="UCD19" s="589"/>
      <c r="UCE19" s="590"/>
      <c r="UCF19" s="589"/>
      <c r="UCG19" s="589"/>
      <c r="UCH19" s="589"/>
      <c r="UCI19" s="591"/>
      <c r="UCJ19" s="589"/>
      <c r="UCK19" s="590"/>
      <c r="UCL19" s="589"/>
      <c r="UCM19" s="589"/>
      <c r="UCN19" s="589"/>
      <c r="UCO19" s="590"/>
      <c r="UCP19" s="590"/>
      <c r="UCQ19" s="590"/>
      <c r="UCR19" s="590"/>
      <c r="UCS19" s="590"/>
      <c r="UCT19" s="590"/>
      <c r="UCU19" s="590"/>
      <c r="UCV19" s="590"/>
      <c r="UCW19" s="590"/>
      <c r="UCX19" s="590"/>
      <c r="UCY19" s="590"/>
      <c r="UCZ19" s="590"/>
      <c r="UDA19" s="587"/>
      <c r="UDB19" s="588"/>
      <c r="UDC19" s="589"/>
      <c r="UDD19" s="589"/>
      <c r="UDE19" s="590"/>
      <c r="UDF19" s="589"/>
      <c r="UDG19" s="589"/>
      <c r="UDH19" s="589"/>
      <c r="UDI19" s="591"/>
      <c r="UDJ19" s="589"/>
      <c r="UDK19" s="590"/>
      <c r="UDL19" s="589"/>
      <c r="UDM19" s="589"/>
      <c r="UDN19" s="589"/>
      <c r="UDO19" s="590"/>
      <c r="UDP19" s="590"/>
      <c r="UDQ19" s="590"/>
      <c r="UDR19" s="590"/>
      <c r="UDS19" s="590"/>
      <c r="UDT19" s="590"/>
      <c r="UDU19" s="590"/>
      <c r="UDV19" s="590"/>
      <c r="UDW19" s="590"/>
      <c r="UDX19" s="590"/>
      <c r="UDY19" s="590"/>
      <c r="UDZ19" s="590"/>
      <c r="UEA19" s="587"/>
      <c r="UEB19" s="588"/>
      <c r="UEC19" s="589"/>
      <c r="UED19" s="589"/>
      <c r="UEE19" s="590"/>
      <c r="UEF19" s="589"/>
      <c r="UEG19" s="589"/>
      <c r="UEH19" s="589"/>
      <c r="UEI19" s="591"/>
      <c r="UEJ19" s="589"/>
      <c r="UEK19" s="590"/>
      <c r="UEL19" s="589"/>
      <c r="UEM19" s="589"/>
      <c r="UEN19" s="589"/>
      <c r="UEO19" s="590"/>
      <c r="UEP19" s="590"/>
      <c r="UEQ19" s="590"/>
      <c r="UER19" s="590"/>
      <c r="UES19" s="590"/>
      <c r="UET19" s="590"/>
      <c r="UEU19" s="590"/>
      <c r="UEV19" s="590"/>
      <c r="UEW19" s="590"/>
      <c r="UEX19" s="590"/>
      <c r="UEY19" s="590"/>
      <c r="UEZ19" s="590"/>
      <c r="UFA19" s="587"/>
      <c r="UFB19" s="588"/>
      <c r="UFC19" s="589"/>
      <c r="UFD19" s="589"/>
      <c r="UFE19" s="590"/>
      <c r="UFF19" s="589"/>
      <c r="UFG19" s="589"/>
      <c r="UFH19" s="589"/>
      <c r="UFI19" s="591"/>
      <c r="UFJ19" s="589"/>
      <c r="UFK19" s="590"/>
      <c r="UFL19" s="589"/>
      <c r="UFM19" s="589"/>
      <c r="UFN19" s="589"/>
      <c r="UFO19" s="590"/>
      <c r="UFP19" s="590"/>
      <c r="UFQ19" s="590"/>
      <c r="UFR19" s="590"/>
      <c r="UFS19" s="590"/>
      <c r="UFT19" s="590"/>
      <c r="UFU19" s="590"/>
      <c r="UFV19" s="590"/>
      <c r="UFW19" s="590"/>
      <c r="UFX19" s="590"/>
      <c r="UFY19" s="590"/>
      <c r="UFZ19" s="590"/>
      <c r="UGA19" s="587"/>
      <c r="UGB19" s="588"/>
      <c r="UGC19" s="589"/>
      <c r="UGD19" s="589"/>
      <c r="UGE19" s="590"/>
      <c r="UGF19" s="589"/>
      <c r="UGG19" s="589"/>
      <c r="UGH19" s="589"/>
      <c r="UGI19" s="591"/>
      <c r="UGJ19" s="589"/>
      <c r="UGK19" s="590"/>
      <c r="UGL19" s="589"/>
      <c r="UGM19" s="589"/>
      <c r="UGN19" s="589"/>
      <c r="UGO19" s="590"/>
      <c r="UGP19" s="590"/>
      <c r="UGQ19" s="590"/>
      <c r="UGR19" s="590"/>
      <c r="UGS19" s="590"/>
      <c r="UGT19" s="590"/>
      <c r="UGU19" s="590"/>
      <c r="UGV19" s="590"/>
      <c r="UGW19" s="590"/>
      <c r="UGX19" s="590"/>
      <c r="UGY19" s="590"/>
      <c r="UGZ19" s="590"/>
      <c r="UHA19" s="587"/>
      <c r="UHB19" s="588"/>
      <c r="UHC19" s="589"/>
      <c r="UHD19" s="589"/>
      <c r="UHE19" s="590"/>
      <c r="UHF19" s="589"/>
      <c r="UHG19" s="589"/>
      <c r="UHH19" s="589"/>
      <c r="UHI19" s="591"/>
      <c r="UHJ19" s="589"/>
      <c r="UHK19" s="590"/>
      <c r="UHL19" s="589"/>
      <c r="UHM19" s="589"/>
      <c r="UHN19" s="589"/>
      <c r="UHO19" s="590"/>
      <c r="UHP19" s="590"/>
      <c r="UHQ19" s="590"/>
      <c r="UHR19" s="590"/>
      <c r="UHS19" s="590"/>
      <c r="UHT19" s="590"/>
      <c r="UHU19" s="590"/>
      <c r="UHV19" s="590"/>
      <c r="UHW19" s="590"/>
      <c r="UHX19" s="590"/>
      <c r="UHY19" s="590"/>
      <c r="UHZ19" s="590"/>
      <c r="UIA19" s="587"/>
      <c r="UIB19" s="588"/>
      <c r="UIC19" s="589"/>
      <c r="UID19" s="589"/>
      <c r="UIE19" s="590"/>
      <c r="UIF19" s="589"/>
      <c r="UIG19" s="589"/>
      <c r="UIH19" s="589"/>
      <c r="UII19" s="591"/>
      <c r="UIJ19" s="589"/>
      <c r="UIK19" s="590"/>
      <c r="UIL19" s="589"/>
      <c r="UIM19" s="589"/>
      <c r="UIN19" s="589"/>
      <c r="UIO19" s="590"/>
      <c r="UIP19" s="590"/>
      <c r="UIQ19" s="590"/>
      <c r="UIR19" s="590"/>
      <c r="UIS19" s="590"/>
      <c r="UIT19" s="590"/>
      <c r="UIU19" s="590"/>
      <c r="UIV19" s="590"/>
      <c r="UIW19" s="590"/>
      <c r="UIX19" s="590"/>
      <c r="UIY19" s="590"/>
      <c r="UIZ19" s="590"/>
      <c r="UJA19" s="587"/>
      <c r="UJB19" s="588"/>
      <c r="UJC19" s="589"/>
      <c r="UJD19" s="589"/>
      <c r="UJE19" s="590"/>
      <c r="UJF19" s="589"/>
      <c r="UJG19" s="589"/>
      <c r="UJH19" s="589"/>
      <c r="UJI19" s="591"/>
      <c r="UJJ19" s="589"/>
      <c r="UJK19" s="590"/>
      <c r="UJL19" s="589"/>
      <c r="UJM19" s="589"/>
      <c r="UJN19" s="589"/>
      <c r="UJO19" s="590"/>
      <c r="UJP19" s="590"/>
      <c r="UJQ19" s="590"/>
      <c r="UJR19" s="590"/>
      <c r="UJS19" s="590"/>
      <c r="UJT19" s="590"/>
      <c r="UJU19" s="590"/>
      <c r="UJV19" s="590"/>
      <c r="UJW19" s="590"/>
      <c r="UJX19" s="590"/>
      <c r="UJY19" s="590"/>
      <c r="UJZ19" s="590"/>
      <c r="UKA19" s="587"/>
      <c r="UKB19" s="588"/>
      <c r="UKC19" s="589"/>
      <c r="UKD19" s="589"/>
      <c r="UKE19" s="590"/>
      <c r="UKF19" s="589"/>
      <c r="UKG19" s="589"/>
      <c r="UKH19" s="589"/>
      <c r="UKI19" s="591"/>
      <c r="UKJ19" s="589"/>
      <c r="UKK19" s="590"/>
      <c r="UKL19" s="589"/>
      <c r="UKM19" s="589"/>
      <c r="UKN19" s="589"/>
      <c r="UKO19" s="590"/>
      <c r="UKP19" s="590"/>
      <c r="UKQ19" s="590"/>
      <c r="UKR19" s="590"/>
      <c r="UKS19" s="590"/>
      <c r="UKT19" s="590"/>
      <c r="UKU19" s="590"/>
      <c r="UKV19" s="590"/>
      <c r="UKW19" s="590"/>
      <c r="UKX19" s="590"/>
      <c r="UKY19" s="590"/>
      <c r="UKZ19" s="590"/>
      <c r="ULA19" s="587"/>
      <c r="ULB19" s="588"/>
      <c r="ULC19" s="589"/>
      <c r="ULD19" s="589"/>
      <c r="ULE19" s="590"/>
      <c r="ULF19" s="589"/>
      <c r="ULG19" s="589"/>
      <c r="ULH19" s="589"/>
      <c r="ULI19" s="591"/>
      <c r="ULJ19" s="589"/>
      <c r="ULK19" s="590"/>
      <c r="ULL19" s="589"/>
      <c r="ULM19" s="589"/>
      <c r="ULN19" s="589"/>
      <c r="ULO19" s="590"/>
      <c r="ULP19" s="590"/>
      <c r="ULQ19" s="590"/>
      <c r="ULR19" s="590"/>
      <c r="ULS19" s="590"/>
      <c r="ULT19" s="590"/>
      <c r="ULU19" s="590"/>
      <c r="ULV19" s="590"/>
      <c r="ULW19" s="590"/>
      <c r="ULX19" s="590"/>
      <c r="ULY19" s="590"/>
      <c r="ULZ19" s="590"/>
      <c r="UMA19" s="587"/>
      <c r="UMB19" s="588"/>
      <c r="UMC19" s="589"/>
      <c r="UMD19" s="589"/>
      <c r="UME19" s="590"/>
      <c r="UMF19" s="589"/>
      <c r="UMG19" s="589"/>
      <c r="UMH19" s="589"/>
      <c r="UMI19" s="591"/>
      <c r="UMJ19" s="589"/>
      <c r="UMK19" s="590"/>
      <c r="UML19" s="589"/>
      <c r="UMM19" s="589"/>
      <c r="UMN19" s="589"/>
      <c r="UMO19" s="590"/>
      <c r="UMP19" s="590"/>
      <c r="UMQ19" s="590"/>
      <c r="UMR19" s="590"/>
      <c r="UMS19" s="590"/>
      <c r="UMT19" s="590"/>
      <c r="UMU19" s="590"/>
      <c r="UMV19" s="590"/>
      <c r="UMW19" s="590"/>
      <c r="UMX19" s="590"/>
      <c r="UMY19" s="590"/>
      <c r="UMZ19" s="590"/>
      <c r="UNA19" s="587"/>
      <c r="UNB19" s="588"/>
      <c r="UNC19" s="589"/>
      <c r="UND19" s="589"/>
      <c r="UNE19" s="590"/>
      <c r="UNF19" s="589"/>
      <c r="UNG19" s="589"/>
      <c r="UNH19" s="589"/>
      <c r="UNI19" s="591"/>
      <c r="UNJ19" s="589"/>
      <c r="UNK19" s="590"/>
      <c r="UNL19" s="589"/>
      <c r="UNM19" s="589"/>
      <c r="UNN19" s="589"/>
      <c r="UNO19" s="590"/>
      <c r="UNP19" s="590"/>
      <c r="UNQ19" s="590"/>
      <c r="UNR19" s="590"/>
      <c r="UNS19" s="590"/>
      <c r="UNT19" s="590"/>
      <c r="UNU19" s="590"/>
      <c r="UNV19" s="590"/>
      <c r="UNW19" s="590"/>
      <c r="UNX19" s="590"/>
      <c r="UNY19" s="590"/>
      <c r="UNZ19" s="590"/>
      <c r="UOA19" s="587"/>
      <c r="UOB19" s="588"/>
      <c r="UOC19" s="589"/>
      <c r="UOD19" s="589"/>
      <c r="UOE19" s="590"/>
      <c r="UOF19" s="589"/>
      <c r="UOG19" s="589"/>
      <c r="UOH19" s="589"/>
      <c r="UOI19" s="591"/>
      <c r="UOJ19" s="589"/>
      <c r="UOK19" s="590"/>
      <c r="UOL19" s="589"/>
      <c r="UOM19" s="589"/>
      <c r="UON19" s="589"/>
      <c r="UOO19" s="590"/>
      <c r="UOP19" s="590"/>
      <c r="UOQ19" s="590"/>
      <c r="UOR19" s="590"/>
      <c r="UOS19" s="590"/>
      <c r="UOT19" s="590"/>
      <c r="UOU19" s="590"/>
      <c r="UOV19" s="590"/>
      <c r="UOW19" s="590"/>
      <c r="UOX19" s="590"/>
      <c r="UOY19" s="590"/>
      <c r="UOZ19" s="590"/>
      <c r="UPA19" s="587"/>
      <c r="UPB19" s="588"/>
      <c r="UPC19" s="589"/>
      <c r="UPD19" s="589"/>
      <c r="UPE19" s="590"/>
      <c r="UPF19" s="589"/>
      <c r="UPG19" s="589"/>
      <c r="UPH19" s="589"/>
      <c r="UPI19" s="591"/>
      <c r="UPJ19" s="589"/>
      <c r="UPK19" s="590"/>
      <c r="UPL19" s="589"/>
      <c r="UPM19" s="589"/>
      <c r="UPN19" s="589"/>
      <c r="UPO19" s="590"/>
      <c r="UPP19" s="590"/>
      <c r="UPQ19" s="590"/>
      <c r="UPR19" s="590"/>
      <c r="UPS19" s="590"/>
      <c r="UPT19" s="590"/>
      <c r="UPU19" s="590"/>
      <c r="UPV19" s="590"/>
      <c r="UPW19" s="590"/>
      <c r="UPX19" s="590"/>
      <c r="UPY19" s="590"/>
      <c r="UPZ19" s="590"/>
      <c r="UQA19" s="587"/>
      <c r="UQB19" s="588"/>
      <c r="UQC19" s="589"/>
      <c r="UQD19" s="589"/>
      <c r="UQE19" s="590"/>
      <c r="UQF19" s="589"/>
      <c r="UQG19" s="589"/>
      <c r="UQH19" s="589"/>
      <c r="UQI19" s="591"/>
      <c r="UQJ19" s="589"/>
      <c r="UQK19" s="590"/>
      <c r="UQL19" s="589"/>
      <c r="UQM19" s="589"/>
      <c r="UQN19" s="589"/>
      <c r="UQO19" s="590"/>
      <c r="UQP19" s="590"/>
      <c r="UQQ19" s="590"/>
      <c r="UQR19" s="590"/>
      <c r="UQS19" s="590"/>
      <c r="UQT19" s="590"/>
      <c r="UQU19" s="590"/>
      <c r="UQV19" s="590"/>
      <c r="UQW19" s="590"/>
      <c r="UQX19" s="590"/>
      <c r="UQY19" s="590"/>
      <c r="UQZ19" s="590"/>
      <c r="URA19" s="587"/>
      <c r="URB19" s="588"/>
      <c r="URC19" s="589"/>
      <c r="URD19" s="589"/>
      <c r="URE19" s="590"/>
      <c r="URF19" s="589"/>
      <c r="URG19" s="589"/>
      <c r="URH19" s="589"/>
      <c r="URI19" s="591"/>
      <c r="URJ19" s="589"/>
      <c r="URK19" s="590"/>
      <c r="URL19" s="589"/>
      <c r="URM19" s="589"/>
      <c r="URN19" s="589"/>
      <c r="URO19" s="590"/>
      <c r="URP19" s="590"/>
      <c r="URQ19" s="590"/>
      <c r="URR19" s="590"/>
      <c r="URS19" s="590"/>
      <c r="URT19" s="590"/>
      <c r="URU19" s="590"/>
      <c r="URV19" s="590"/>
      <c r="URW19" s="590"/>
      <c r="URX19" s="590"/>
      <c r="URY19" s="590"/>
      <c r="URZ19" s="590"/>
      <c r="USA19" s="587"/>
      <c r="USB19" s="588"/>
      <c r="USC19" s="589"/>
      <c r="USD19" s="589"/>
      <c r="USE19" s="590"/>
      <c r="USF19" s="589"/>
      <c r="USG19" s="589"/>
      <c r="USH19" s="589"/>
      <c r="USI19" s="591"/>
      <c r="USJ19" s="589"/>
      <c r="USK19" s="590"/>
      <c r="USL19" s="589"/>
      <c r="USM19" s="589"/>
      <c r="USN19" s="589"/>
      <c r="USO19" s="590"/>
      <c r="USP19" s="590"/>
      <c r="USQ19" s="590"/>
      <c r="USR19" s="590"/>
      <c r="USS19" s="590"/>
      <c r="UST19" s="590"/>
      <c r="USU19" s="590"/>
      <c r="USV19" s="590"/>
      <c r="USW19" s="590"/>
      <c r="USX19" s="590"/>
      <c r="USY19" s="590"/>
      <c r="USZ19" s="590"/>
      <c r="UTA19" s="587"/>
      <c r="UTB19" s="588"/>
      <c r="UTC19" s="589"/>
      <c r="UTD19" s="589"/>
      <c r="UTE19" s="590"/>
      <c r="UTF19" s="589"/>
      <c r="UTG19" s="589"/>
      <c r="UTH19" s="589"/>
      <c r="UTI19" s="591"/>
      <c r="UTJ19" s="589"/>
      <c r="UTK19" s="590"/>
      <c r="UTL19" s="589"/>
      <c r="UTM19" s="589"/>
      <c r="UTN19" s="589"/>
      <c r="UTO19" s="590"/>
      <c r="UTP19" s="590"/>
      <c r="UTQ19" s="590"/>
      <c r="UTR19" s="590"/>
      <c r="UTS19" s="590"/>
      <c r="UTT19" s="590"/>
      <c r="UTU19" s="590"/>
      <c r="UTV19" s="590"/>
      <c r="UTW19" s="590"/>
      <c r="UTX19" s="590"/>
      <c r="UTY19" s="590"/>
      <c r="UTZ19" s="590"/>
      <c r="UUA19" s="587"/>
      <c r="UUB19" s="588"/>
      <c r="UUC19" s="589"/>
      <c r="UUD19" s="589"/>
      <c r="UUE19" s="590"/>
      <c r="UUF19" s="589"/>
      <c r="UUG19" s="589"/>
      <c r="UUH19" s="589"/>
      <c r="UUI19" s="591"/>
      <c r="UUJ19" s="589"/>
      <c r="UUK19" s="590"/>
      <c r="UUL19" s="589"/>
      <c r="UUM19" s="589"/>
      <c r="UUN19" s="589"/>
      <c r="UUO19" s="590"/>
      <c r="UUP19" s="590"/>
      <c r="UUQ19" s="590"/>
      <c r="UUR19" s="590"/>
      <c r="UUS19" s="590"/>
      <c r="UUT19" s="590"/>
      <c r="UUU19" s="590"/>
      <c r="UUV19" s="590"/>
      <c r="UUW19" s="590"/>
      <c r="UUX19" s="590"/>
      <c r="UUY19" s="590"/>
      <c r="UUZ19" s="590"/>
      <c r="UVA19" s="587"/>
      <c r="UVB19" s="588"/>
      <c r="UVC19" s="589"/>
      <c r="UVD19" s="589"/>
      <c r="UVE19" s="590"/>
      <c r="UVF19" s="589"/>
      <c r="UVG19" s="589"/>
      <c r="UVH19" s="589"/>
      <c r="UVI19" s="591"/>
      <c r="UVJ19" s="589"/>
      <c r="UVK19" s="590"/>
      <c r="UVL19" s="589"/>
      <c r="UVM19" s="589"/>
      <c r="UVN19" s="589"/>
      <c r="UVO19" s="590"/>
      <c r="UVP19" s="590"/>
      <c r="UVQ19" s="590"/>
      <c r="UVR19" s="590"/>
      <c r="UVS19" s="590"/>
      <c r="UVT19" s="590"/>
      <c r="UVU19" s="590"/>
      <c r="UVV19" s="590"/>
      <c r="UVW19" s="590"/>
      <c r="UVX19" s="590"/>
      <c r="UVY19" s="590"/>
      <c r="UVZ19" s="590"/>
      <c r="UWA19" s="587"/>
      <c r="UWB19" s="588"/>
      <c r="UWC19" s="589"/>
      <c r="UWD19" s="589"/>
      <c r="UWE19" s="590"/>
      <c r="UWF19" s="589"/>
      <c r="UWG19" s="589"/>
      <c r="UWH19" s="589"/>
      <c r="UWI19" s="591"/>
      <c r="UWJ19" s="589"/>
      <c r="UWK19" s="590"/>
      <c r="UWL19" s="589"/>
      <c r="UWM19" s="589"/>
      <c r="UWN19" s="589"/>
      <c r="UWO19" s="590"/>
      <c r="UWP19" s="590"/>
      <c r="UWQ19" s="590"/>
      <c r="UWR19" s="590"/>
      <c r="UWS19" s="590"/>
      <c r="UWT19" s="590"/>
      <c r="UWU19" s="590"/>
      <c r="UWV19" s="590"/>
      <c r="UWW19" s="590"/>
      <c r="UWX19" s="590"/>
      <c r="UWY19" s="590"/>
      <c r="UWZ19" s="590"/>
      <c r="UXA19" s="587"/>
      <c r="UXB19" s="588"/>
      <c r="UXC19" s="589"/>
      <c r="UXD19" s="589"/>
      <c r="UXE19" s="590"/>
      <c r="UXF19" s="589"/>
      <c r="UXG19" s="589"/>
      <c r="UXH19" s="589"/>
      <c r="UXI19" s="591"/>
      <c r="UXJ19" s="589"/>
      <c r="UXK19" s="590"/>
      <c r="UXL19" s="589"/>
      <c r="UXM19" s="589"/>
      <c r="UXN19" s="589"/>
      <c r="UXO19" s="590"/>
      <c r="UXP19" s="590"/>
      <c r="UXQ19" s="590"/>
      <c r="UXR19" s="590"/>
      <c r="UXS19" s="590"/>
      <c r="UXT19" s="590"/>
      <c r="UXU19" s="590"/>
      <c r="UXV19" s="590"/>
      <c r="UXW19" s="590"/>
      <c r="UXX19" s="590"/>
      <c r="UXY19" s="590"/>
      <c r="UXZ19" s="590"/>
      <c r="UYA19" s="587"/>
      <c r="UYB19" s="588"/>
      <c r="UYC19" s="589"/>
      <c r="UYD19" s="589"/>
      <c r="UYE19" s="590"/>
      <c r="UYF19" s="589"/>
      <c r="UYG19" s="589"/>
      <c r="UYH19" s="589"/>
      <c r="UYI19" s="591"/>
      <c r="UYJ19" s="589"/>
      <c r="UYK19" s="590"/>
      <c r="UYL19" s="589"/>
      <c r="UYM19" s="589"/>
      <c r="UYN19" s="589"/>
      <c r="UYO19" s="590"/>
      <c r="UYP19" s="590"/>
      <c r="UYQ19" s="590"/>
      <c r="UYR19" s="590"/>
      <c r="UYS19" s="590"/>
      <c r="UYT19" s="590"/>
      <c r="UYU19" s="590"/>
      <c r="UYV19" s="590"/>
      <c r="UYW19" s="590"/>
      <c r="UYX19" s="590"/>
      <c r="UYY19" s="590"/>
      <c r="UYZ19" s="590"/>
      <c r="UZA19" s="587"/>
      <c r="UZB19" s="588"/>
      <c r="UZC19" s="589"/>
      <c r="UZD19" s="589"/>
      <c r="UZE19" s="590"/>
      <c r="UZF19" s="589"/>
      <c r="UZG19" s="589"/>
      <c r="UZH19" s="589"/>
      <c r="UZI19" s="591"/>
      <c r="UZJ19" s="589"/>
      <c r="UZK19" s="590"/>
      <c r="UZL19" s="589"/>
      <c r="UZM19" s="589"/>
      <c r="UZN19" s="589"/>
      <c r="UZO19" s="590"/>
      <c r="UZP19" s="590"/>
      <c r="UZQ19" s="590"/>
      <c r="UZR19" s="590"/>
      <c r="UZS19" s="590"/>
      <c r="UZT19" s="590"/>
      <c r="UZU19" s="590"/>
      <c r="UZV19" s="590"/>
      <c r="UZW19" s="590"/>
      <c r="UZX19" s="590"/>
      <c r="UZY19" s="590"/>
      <c r="UZZ19" s="590"/>
      <c r="VAA19" s="587"/>
      <c r="VAB19" s="588"/>
      <c r="VAC19" s="589"/>
      <c r="VAD19" s="589"/>
      <c r="VAE19" s="590"/>
      <c r="VAF19" s="589"/>
      <c r="VAG19" s="589"/>
      <c r="VAH19" s="589"/>
      <c r="VAI19" s="591"/>
      <c r="VAJ19" s="589"/>
      <c r="VAK19" s="590"/>
      <c r="VAL19" s="589"/>
      <c r="VAM19" s="589"/>
      <c r="VAN19" s="589"/>
      <c r="VAO19" s="590"/>
      <c r="VAP19" s="590"/>
      <c r="VAQ19" s="590"/>
      <c r="VAR19" s="590"/>
      <c r="VAS19" s="590"/>
      <c r="VAT19" s="590"/>
      <c r="VAU19" s="590"/>
      <c r="VAV19" s="590"/>
      <c r="VAW19" s="590"/>
      <c r="VAX19" s="590"/>
      <c r="VAY19" s="590"/>
      <c r="VAZ19" s="590"/>
      <c r="VBA19" s="587"/>
      <c r="VBB19" s="588"/>
      <c r="VBC19" s="589"/>
      <c r="VBD19" s="589"/>
      <c r="VBE19" s="590"/>
      <c r="VBF19" s="589"/>
      <c r="VBG19" s="589"/>
      <c r="VBH19" s="589"/>
      <c r="VBI19" s="591"/>
      <c r="VBJ19" s="589"/>
      <c r="VBK19" s="590"/>
      <c r="VBL19" s="589"/>
      <c r="VBM19" s="589"/>
      <c r="VBN19" s="589"/>
      <c r="VBO19" s="590"/>
      <c r="VBP19" s="590"/>
      <c r="VBQ19" s="590"/>
      <c r="VBR19" s="590"/>
      <c r="VBS19" s="590"/>
      <c r="VBT19" s="590"/>
      <c r="VBU19" s="590"/>
      <c r="VBV19" s="590"/>
      <c r="VBW19" s="590"/>
      <c r="VBX19" s="590"/>
      <c r="VBY19" s="590"/>
      <c r="VBZ19" s="590"/>
      <c r="VCA19" s="587"/>
      <c r="VCB19" s="588"/>
      <c r="VCC19" s="589"/>
      <c r="VCD19" s="589"/>
      <c r="VCE19" s="590"/>
      <c r="VCF19" s="589"/>
      <c r="VCG19" s="589"/>
      <c r="VCH19" s="589"/>
      <c r="VCI19" s="591"/>
      <c r="VCJ19" s="589"/>
      <c r="VCK19" s="590"/>
      <c r="VCL19" s="589"/>
      <c r="VCM19" s="589"/>
      <c r="VCN19" s="589"/>
      <c r="VCO19" s="590"/>
      <c r="VCP19" s="590"/>
      <c r="VCQ19" s="590"/>
      <c r="VCR19" s="590"/>
      <c r="VCS19" s="590"/>
      <c r="VCT19" s="590"/>
      <c r="VCU19" s="590"/>
      <c r="VCV19" s="590"/>
      <c r="VCW19" s="590"/>
      <c r="VCX19" s="590"/>
      <c r="VCY19" s="590"/>
      <c r="VCZ19" s="590"/>
      <c r="VDA19" s="587"/>
      <c r="VDB19" s="588"/>
      <c r="VDC19" s="589"/>
      <c r="VDD19" s="589"/>
      <c r="VDE19" s="590"/>
      <c r="VDF19" s="589"/>
      <c r="VDG19" s="589"/>
      <c r="VDH19" s="589"/>
      <c r="VDI19" s="591"/>
      <c r="VDJ19" s="589"/>
      <c r="VDK19" s="590"/>
      <c r="VDL19" s="589"/>
      <c r="VDM19" s="589"/>
      <c r="VDN19" s="589"/>
      <c r="VDO19" s="590"/>
      <c r="VDP19" s="590"/>
      <c r="VDQ19" s="590"/>
      <c r="VDR19" s="590"/>
      <c r="VDS19" s="590"/>
      <c r="VDT19" s="590"/>
      <c r="VDU19" s="590"/>
      <c r="VDV19" s="590"/>
      <c r="VDW19" s="590"/>
      <c r="VDX19" s="590"/>
      <c r="VDY19" s="590"/>
      <c r="VDZ19" s="590"/>
      <c r="VEA19" s="587"/>
      <c r="VEB19" s="588"/>
      <c r="VEC19" s="589"/>
      <c r="VED19" s="589"/>
      <c r="VEE19" s="590"/>
      <c r="VEF19" s="589"/>
      <c r="VEG19" s="589"/>
      <c r="VEH19" s="589"/>
      <c r="VEI19" s="591"/>
      <c r="VEJ19" s="589"/>
      <c r="VEK19" s="590"/>
      <c r="VEL19" s="589"/>
      <c r="VEM19" s="589"/>
      <c r="VEN19" s="589"/>
      <c r="VEO19" s="590"/>
      <c r="VEP19" s="590"/>
      <c r="VEQ19" s="590"/>
      <c r="VER19" s="590"/>
      <c r="VES19" s="590"/>
      <c r="VET19" s="590"/>
      <c r="VEU19" s="590"/>
      <c r="VEV19" s="590"/>
      <c r="VEW19" s="590"/>
      <c r="VEX19" s="590"/>
      <c r="VEY19" s="590"/>
      <c r="VEZ19" s="590"/>
      <c r="VFA19" s="587"/>
      <c r="VFB19" s="588"/>
      <c r="VFC19" s="589"/>
      <c r="VFD19" s="589"/>
      <c r="VFE19" s="590"/>
      <c r="VFF19" s="589"/>
      <c r="VFG19" s="589"/>
      <c r="VFH19" s="589"/>
      <c r="VFI19" s="591"/>
      <c r="VFJ19" s="589"/>
      <c r="VFK19" s="590"/>
      <c r="VFL19" s="589"/>
      <c r="VFM19" s="589"/>
      <c r="VFN19" s="589"/>
      <c r="VFO19" s="590"/>
      <c r="VFP19" s="590"/>
      <c r="VFQ19" s="590"/>
      <c r="VFR19" s="590"/>
      <c r="VFS19" s="590"/>
      <c r="VFT19" s="590"/>
      <c r="VFU19" s="590"/>
      <c r="VFV19" s="590"/>
      <c r="VFW19" s="590"/>
      <c r="VFX19" s="590"/>
      <c r="VFY19" s="590"/>
      <c r="VFZ19" s="590"/>
      <c r="VGA19" s="587"/>
      <c r="VGB19" s="588"/>
      <c r="VGC19" s="589"/>
      <c r="VGD19" s="589"/>
      <c r="VGE19" s="590"/>
      <c r="VGF19" s="589"/>
      <c r="VGG19" s="589"/>
      <c r="VGH19" s="589"/>
      <c r="VGI19" s="591"/>
      <c r="VGJ19" s="589"/>
      <c r="VGK19" s="590"/>
      <c r="VGL19" s="589"/>
      <c r="VGM19" s="589"/>
      <c r="VGN19" s="589"/>
      <c r="VGO19" s="590"/>
      <c r="VGP19" s="590"/>
      <c r="VGQ19" s="590"/>
      <c r="VGR19" s="590"/>
      <c r="VGS19" s="590"/>
      <c r="VGT19" s="590"/>
      <c r="VGU19" s="590"/>
      <c r="VGV19" s="590"/>
      <c r="VGW19" s="590"/>
      <c r="VGX19" s="590"/>
      <c r="VGY19" s="590"/>
      <c r="VGZ19" s="590"/>
      <c r="VHA19" s="587"/>
      <c r="VHB19" s="588"/>
      <c r="VHC19" s="589"/>
      <c r="VHD19" s="589"/>
      <c r="VHE19" s="590"/>
      <c r="VHF19" s="589"/>
      <c r="VHG19" s="589"/>
      <c r="VHH19" s="589"/>
      <c r="VHI19" s="591"/>
      <c r="VHJ19" s="589"/>
      <c r="VHK19" s="590"/>
      <c r="VHL19" s="589"/>
      <c r="VHM19" s="589"/>
      <c r="VHN19" s="589"/>
      <c r="VHO19" s="590"/>
      <c r="VHP19" s="590"/>
      <c r="VHQ19" s="590"/>
      <c r="VHR19" s="590"/>
      <c r="VHS19" s="590"/>
      <c r="VHT19" s="590"/>
      <c r="VHU19" s="590"/>
      <c r="VHV19" s="590"/>
      <c r="VHW19" s="590"/>
      <c r="VHX19" s="590"/>
      <c r="VHY19" s="590"/>
      <c r="VHZ19" s="590"/>
      <c r="VIA19" s="587"/>
      <c r="VIB19" s="588"/>
      <c r="VIC19" s="589"/>
      <c r="VID19" s="589"/>
      <c r="VIE19" s="590"/>
      <c r="VIF19" s="589"/>
      <c r="VIG19" s="589"/>
      <c r="VIH19" s="589"/>
      <c r="VII19" s="591"/>
      <c r="VIJ19" s="589"/>
      <c r="VIK19" s="590"/>
      <c r="VIL19" s="589"/>
      <c r="VIM19" s="589"/>
      <c r="VIN19" s="589"/>
      <c r="VIO19" s="590"/>
      <c r="VIP19" s="590"/>
      <c r="VIQ19" s="590"/>
      <c r="VIR19" s="590"/>
      <c r="VIS19" s="590"/>
      <c r="VIT19" s="590"/>
      <c r="VIU19" s="590"/>
      <c r="VIV19" s="590"/>
      <c r="VIW19" s="590"/>
      <c r="VIX19" s="590"/>
      <c r="VIY19" s="590"/>
      <c r="VIZ19" s="590"/>
      <c r="VJA19" s="587"/>
      <c r="VJB19" s="588"/>
      <c r="VJC19" s="589"/>
      <c r="VJD19" s="589"/>
      <c r="VJE19" s="590"/>
      <c r="VJF19" s="589"/>
      <c r="VJG19" s="589"/>
      <c r="VJH19" s="589"/>
      <c r="VJI19" s="591"/>
      <c r="VJJ19" s="589"/>
      <c r="VJK19" s="590"/>
      <c r="VJL19" s="589"/>
      <c r="VJM19" s="589"/>
      <c r="VJN19" s="589"/>
      <c r="VJO19" s="590"/>
      <c r="VJP19" s="590"/>
      <c r="VJQ19" s="590"/>
      <c r="VJR19" s="590"/>
      <c r="VJS19" s="590"/>
      <c r="VJT19" s="590"/>
      <c r="VJU19" s="590"/>
      <c r="VJV19" s="590"/>
      <c r="VJW19" s="590"/>
      <c r="VJX19" s="590"/>
      <c r="VJY19" s="590"/>
      <c r="VJZ19" s="590"/>
      <c r="VKA19" s="587"/>
      <c r="VKB19" s="588"/>
      <c r="VKC19" s="589"/>
      <c r="VKD19" s="589"/>
      <c r="VKE19" s="590"/>
      <c r="VKF19" s="589"/>
      <c r="VKG19" s="589"/>
      <c r="VKH19" s="589"/>
      <c r="VKI19" s="591"/>
      <c r="VKJ19" s="589"/>
      <c r="VKK19" s="590"/>
      <c r="VKL19" s="589"/>
      <c r="VKM19" s="589"/>
      <c r="VKN19" s="589"/>
      <c r="VKO19" s="590"/>
      <c r="VKP19" s="590"/>
      <c r="VKQ19" s="590"/>
      <c r="VKR19" s="590"/>
      <c r="VKS19" s="590"/>
      <c r="VKT19" s="590"/>
      <c r="VKU19" s="590"/>
      <c r="VKV19" s="590"/>
      <c r="VKW19" s="590"/>
      <c r="VKX19" s="590"/>
      <c r="VKY19" s="590"/>
      <c r="VKZ19" s="590"/>
      <c r="VLA19" s="587"/>
      <c r="VLB19" s="588"/>
      <c r="VLC19" s="589"/>
      <c r="VLD19" s="589"/>
      <c r="VLE19" s="590"/>
      <c r="VLF19" s="589"/>
      <c r="VLG19" s="589"/>
      <c r="VLH19" s="589"/>
      <c r="VLI19" s="591"/>
      <c r="VLJ19" s="589"/>
      <c r="VLK19" s="590"/>
      <c r="VLL19" s="589"/>
      <c r="VLM19" s="589"/>
      <c r="VLN19" s="589"/>
      <c r="VLO19" s="590"/>
      <c r="VLP19" s="590"/>
      <c r="VLQ19" s="590"/>
      <c r="VLR19" s="590"/>
      <c r="VLS19" s="590"/>
      <c r="VLT19" s="590"/>
      <c r="VLU19" s="590"/>
      <c r="VLV19" s="590"/>
      <c r="VLW19" s="590"/>
      <c r="VLX19" s="590"/>
      <c r="VLY19" s="590"/>
      <c r="VLZ19" s="590"/>
      <c r="VMA19" s="587"/>
      <c r="VMB19" s="588"/>
      <c r="VMC19" s="589"/>
      <c r="VMD19" s="589"/>
      <c r="VME19" s="590"/>
      <c r="VMF19" s="589"/>
      <c r="VMG19" s="589"/>
      <c r="VMH19" s="589"/>
      <c r="VMI19" s="591"/>
      <c r="VMJ19" s="589"/>
      <c r="VMK19" s="590"/>
      <c r="VML19" s="589"/>
      <c r="VMM19" s="589"/>
      <c r="VMN19" s="589"/>
      <c r="VMO19" s="590"/>
      <c r="VMP19" s="590"/>
      <c r="VMQ19" s="590"/>
      <c r="VMR19" s="590"/>
      <c r="VMS19" s="590"/>
      <c r="VMT19" s="590"/>
      <c r="VMU19" s="590"/>
      <c r="VMV19" s="590"/>
      <c r="VMW19" s="590"/>
      <c r="VMX19" s="590"/>
      <c r="VMY19" s="590"/>
      <c r="VMZ19" s="590"/>
      <c r="VNA19" s="587"/>
      <c r="VNB19" s="588"/>
      <c r="VNC19" s="589"/>
      <c r="VND19" s="589"/>
      <c r="VNE19" s="590"/>
      <c r="VNF19" s="589"/>
      <c r="VNG19" s="589"/>
      <c r="VNH19" s="589"/>
      <c r="VNI19" s="591"/>
      <c r="VNJ19" s="589"/>
      <c r="VNK19" s="590"/>
      <c r="VNL19" s="589"/>
      <c r="VNM19" s="589"/>
      <c r="VNN19" s="589"/>
      <c r="VNO19" s="590"/>
      <c r="VNP19" s="590"/>
      <c r="VNQ19" s="590"/>
      <c r="VNR19" s="590"/>
      <c r="VNS19" s="590"/>
      <c r="VNT19" s="590"/>
      <c r="VNU19" s="590"/>
      <c r="VNV19" s="590"/>
      <c r="VNW19" s="590"/>
      <c r="VNX19" s="590"/>
      <c r="VNY19" s="590"/>
      <c r="VNZ19" s="590"/>
      <c r="VOA19" s="587"/>
      <c r="VOB19" s="588"/>
      <c r="VOC19" s="589"/>
      <c r="VOD19" s="589"/>
      <c r="VOE19" s="590"/>
      <c r="VOF19" s="589"/>
      <c r="VOG19" s="589"/>
      <c r="VOH19" s="589"/>
      <c r="VOI19" s="591"/>
      <c r="VOJ19" s="589"/>
      <c r="VOK19" s="590"/>
      <c r="VOL19" s="589"/>
      <c r="VOM19" s="589"/>
      <c r="VON19" s="589"/>
      <c r="VOO19" s="590"/>
      <c r="VOP19" s="590"/>
      <c r="VOQ19" s="590"/>
      <c r="VOR19" s="590"/>
      <c r="VOS19" s="590"/>
      <c r="VOT19" s="590"/>
      <c r="VOU19" s="590"/>
      <c r="VOV19" s="590"/>
      <c r="VOW19" s="590"/>
      <c r="VOX19" s="590"/>
      <c r="VOY19" s="590"/>
      <c r="VOZ19" s="590"/>
      <c r="VPA19" s="587"/>
      <c r="VPB19" s="588"/>
      <c r="VPC19" s="589"/>
      <c r="VPD19" s="589"/>
      <c r="VPE19" s="590"/>
      <c r="VPF19" s="589"/>
      <c r="VPG19" s="589"/>
      <c r="VPH19" s="589"/>
      <c r="VPI19" s="591"/>
      <c r="VPJ19" s="589"/>
      <c r="VPK19" s="590"/>
      <c r="VPL19" s="589"/>
      <c r="VPM19" s="589"/>
      <c r="VPN19" s="589"/>
      <c r="VPO19" s="590"/>
      <c r="VPP19" s="590"/>
      <c r="VPQ19" s="590"/>
      <c r="VPR19" s="590"/>
      <c r="VPS19" s="590"/>
      <c r="VPT19" s="590"/>
      <c r="VPU19" s="590"/>
      <c r="VPV19" s="590"/>
      <c r="VPW19" s="590"/>
      <c r="VPX19" s="590"/>
      <c r="VPY19" s="590"/>
      <c r="VPZ19" s="590"/>
      <c r="VQA19" s="587"/>
      <c r="VQB19" s="588"/>
      <c r="VQC19" s="589"/>
      <c r="VQD19" s="589"/>
      <c r="VQE19" s="590"/>
      <c r="VQF19" s="589"/>
      <c r="VQG19" s="589"/>
      <c r="VQH19" s="589"/>
      <c r="VQI19" s="591"/>
      <c r="VQJ19" s="589"/>
      <c r="VQK19" s="590"/>
      <c r="VQL19" s="589"/>
      <c r="VQM19" s="589"/>
      <c r="VQN19" s="589"/>
      <c r="VQO19" s="590"/>
      <c r="VQP19" s="590"/>
      <c r="VQQ19" s="590"/>
      <c r="VQR19" s="590"/>
      <c r="VQS19" s="590"/>
      <c r="VQT19" s="590"/>
      <c r="VQU19" s="590"/>
      <c r="VQV19" s="590"/>
      <c r="VQW19" s="590"/>
      <c r="VQX19" s="590"/>
      <c r="VQY19" s="590"/>
      <c r="VQZ19" s="590"/>
      <c r="VRA19" s="587"/>
      <c r="VRB19" s="588"/>
      <c r="VRC19" s="589"/>
      <c r="VRD19" s="589"/>
      <c r="VRE19" s="590"/>
      <c r="VRF19" s="589"/>
      <c r="VRG19" s="589"/>
      <c r="VRH19" s="589"/>
      <c r="VRI19" s="591"/>
      <c r="VRJ19" s="589"/>
      <c r="VRK19" s="590"/>
      <c r="VRL19" s="589"/>
      <c r="VRM19" s="589"/>
      <c r="VRN19" s="589"/>
      <c r="VRO19" s="590"/>
      <c r="VRP19" s="590"/>
      <c r="VRQ19" s="590"/>
      <c r="VRR19" s="590"/>
      <c r="VRS19" s="590"/>
      <c r="VRT19" s="590"/>
      <c r="VRU19" s="590"/>
      <c r="VRV19" s="590"/>
      <c r="VRW19" s="590"/>
      <c r="VRX19" s="590"/>
      <c r="VRY19" s="590"/>
      <c r="VRZ19" s="590"/>
      <c r="VSA19" s="587"/>
      <c r="VSB19" s="588"/>
      <c r="VSC19" s="589"/>
      <c r="VSD19" s="589"/>
      <c r="VSE19" s="590"/>
      <c r="VSF19" s="589"/>
      <c r="VSG19" s="589"/>
      <c r="VSH19" s="589"/>
      <c r="VSI19" s="591"/>
      <c r="VSJ19" s="589"/>
      <c r="VSK19" s="590"/>
      <c r="VSL19" s="589"/>
      <c r="VSM19" s="589"/>
      <c r="VSN19" s="589"/>
      <c r="VSO19" s="590"/>
      <c r="VSP19" s="590"/>
      <c r="VSQ19" s="590"/>
      <c r="VSR19" s="590"/>
      <c r="VSS19" s="590"/>
      <c r="VST19" s="590"/>
      <c r="VSU19" s="590"/>
      <c r="VSV19" s="590"/>
      <c r="VSW19" s="590"/>
      <c r="VSX19" s="590"/>
      <c r="VSY19" s="590"/>
      <c r="VSZ19" s="590"/>
      <c r="VTA19" s="587"/>
      <c r="VTB19" s="588"/>
      <c r="VTC19" s="589"/>
      <c r="VTD19" s="589"/>
      <c r="VTE19" s="590"/>
      <c r="VTF19" s="589"/>
      <c r="VTG19" s="589"/>
      <c r="VTH19" s="589"/>
      <c r="VTI19" s="591"/>
      <c r="VTJ19" s="589"/>
      <c r="VTK19" s="590"/>
      <c r="VTL19" s="589"/>
      <c r="VTM19" s="589"/>
      <c r="VTN19" s="589"/>
      <c r="VTO19" s="590"/>
      <c r="VTP19" s="590"/>
      <c r="VTQ19" s="590"/>
      <c r="VTR19" s="590"/>
      <c r="VTS19" s="590"/>
      <c r="VTT19" s="590"/>
      <c r="VTU19" s="590"/>
      <c r="VTV19" s="590"/>
      <c r="VTW19" s="590"/>
      <c r="VTX19" s="590"/>
      <c r="VTY19" s="590"/>
      <c r="VTZ19" s="590"/>
      <c r="VUA19" s="587"/>
      <c r="VUB19" s="588"/>
      <c r="VUC19" s="589"/>
      <c r="VUD19" s="589"/>
      <c r="VUE19" s="590"/>
      <c r="VUF19" s="589"/>
      <c r="VUG19" s="589"/>
      <c r="VUH19" s="589"/>
      <c r="VUI19" s="591"/>
      <c r="VUJ19" s="589"/>
      <c r="VUK19" s="590"/>
      <c r="VUL19" s="589"/>
      <c r="VUM19" s="589"/>
      <c r="VUN19" s="589"/>
      <c r="VUO19" s="590"/>
      <c r="VUP19" s="590"/>
      <c r="VUQ19" s="590"/>
      <c r="VUR19" s="590"/>
      <c r="VUS19" s="590"/>
      <c r="VUT19" s="590"/>
      <c r="VUU19" s="590"/>
      <c r="VUV19" s="590"/>
      <c r="VUW19" s="590"/>
      <c r="VUX19" s="590"/>
      <c r="VUY19" s="590"/>
      <c r="VUZ19" s="590"/>
      <c r="VVA19" s="587"/>
      <c r="VVB19" s="588"/>
      <c r="VVC19" s="589"/>
      <c r="VVD19" s="589"/>
      <c r="VVE19" s="590"/>
      <c r="VVF19" s="589"/>
      <c r="VVG19" s="589"/>
      <c r="VVH19" s="589"/>
      <c r="VVI19" s="591"/>
      <c r="VVJ19" s="589"/>
      <c r="VVK19" s="590"/>
      <c r="VVL19" s="589"/>
      <c r="VVM19" s="589"/>
      <c r="VVN19" s="589"/>
      <c r="VVO19" s="590"/>
      <c r="VVP19" s="590"/>
      <c r="VVQ19" s="590"/>
      <c r="VVR19" s="590"/>
      <c r="VVS19" s="590"/>
      <c r="VVT19" s="590"/>
      <c r="VVU19" s="590"/>
      <c r="VVV19" s="590"/>
      <c r="VVW19" s="590"/>
      <c r="VVX19" s="590"/>
      <c r="VVY19" s="590"/>
      <c r="VVZ19" s="590"/>
      <c r="VWA19" s="587"/>
      <c r="VWB19" s="588"/>
      <c r="VWC19" s="589"/>
      <c r="VWD19" s="589"/>
      <c r="VWE19" s="590"/>
      <c r="VWF19" s="589"/>
      <c r="VWG19" s="589"/>
      <c r="VWH19" s="589"/>
      <c r="VWI19" s="591"/>
      <c r="VWJ19" s="589"/>
      <c r="VWK19" s="590"/>
      <c r="VWL19" s="589"/>
      <c r="VWM19" s="589"/>
      <c r="VWN19" s="589"/>
      <c r="VWO19" s="590"/>
      <c r="VWP19" s="590"/>
      <c r="VWQ19" s="590"/>
      <c r="VWR19" s="590"/>
      <c r="VWS19" s="590"/>
      <c r="VWT19" s="590"/>
      <c r="VWU19" s="590"/>
      <c r="VWV19" s="590"/>
      <c r="VWW19" s="590"/>
      <c r="VWX19" s="590"/>
      <c r="VWY19" s="590"/>
      <c r="VWZ19" s="590"/>
      <c r="VXA19" s="587"/>
      <c r="VXB19" s="588"/>
      <c r="VXC19" s="589"/>
      <c r="VXD19" s="589"/>
      <c r="VXE19" s="590"/>
      <c r="VXF19" s="589"/>
      <c r="VXG19" s="589"/>
      <c r="VXH19" s="589"/>
      <c r="VXI19" s="591"/>
      <c r="VXJ19" s="589"/>
      <c r="VXK19" s="590"/>
      <c r="VXL19" s="589"/>
      <c r="VXM19" s="589"/>
      <c r="VXN19" s="589"/>
      <c r="VXO19" s="590"/>
      <c r="VXP19" s="590"/>
      <c r="VXQ19" s="590"/>
      <c r="VXR19" s="590"/>
      <c r="VXS19" s="590"/>
      <c r="VXT19" s="590"/>
      <c r="VXU19" s="590"/>
      <c r="VXV19" s="590"/>
      <c r="VXW19" s="590"/>
      <c r="VXX19" s="590"/>
      <c r="VXY19" s="590"/>
      <c r="VXZ19" s="590"/>
      <c r="VYA19" s="587"/>
      <c r="VYB19" s="588"/>
      <c r="VYC19" s="589"/>
      <c r="VYD19" s="589"/>
      <c r="VYE19" s="590"/>
      <c r="VYF19" s="589"/>
      <c r="VYG19" s="589"/>
      <c r="VYH19" s="589"/>
      <c r="VYI19" s="591"/>
      <c r="VYJ19" s="589"/>
      <c r="VYK19" s="590"/>
      <c r="VYL19" s="589"/>
      <c r="VYM19" s="589"/>
      <c r="VYN19" s="589"/>
      <c r="VYO19" s="590"/>
      <c r="VYP19" s="590"/>
      <c r="VYQ19" s="590"/>
      <c r="VYR19" s="590"/>
      <c r="VYS19" s="590"/>
      <c r="VYT19" s="590"/>
      <c r="VYU19" s="590"/>
      <c r="VYV19" s="590"/>
      <c r="VYW19" s="590"/>
      <c r="VYX19" s="590"/>
      <c r="VYY19" s="590"/>
      <c r="VYZ19" s="590"/>
      <c r="VZA19" s="587"/>
      <c r="VZB19" s="588"/>
      <c r="VZC19" s="589"/>
      <c r="VZD19" s="589"/>
      <c r="VZE19" s="590"/>
      <c r="VZF19" s="589"/>
      <c r="VZG19" s="589"/>
      <c r="VZH19" s="589"/>
      <c r="VZI19" s="591"/>
      <c r="VZJ19" s="589"/>
      <c r="VZK19" s="590"/>
      <c r="VZL19" s="589"/>
      <c r="VZM19" s="589"/>
      <c r="VZN19" s="589"/>
      <c r="VZO19" s="590"/>
      <c r="VZP19" s="590"/>
      <c r="VZQ19" s="590"/>
      <c r="VZR19" s="590"/>
      <c r="VZS19" s="590"/>
      <c r="VZT19" s="590"/>
      <c r="VZU19" s="590"/>
      <c r="VZV19" s="590"/>
      <c r="VZW19" s="590"/>
      <c r="VZX19" s="590"/>
      <c r="VZY19" s="590"/>
      <c r="VZZ19" s="590"/>
      <c r="WAA19" s="587"/>
      <c r="WAB19" s="588"/>
      <c r="WAC19" s="589"/>
      <c r="WAD19" s="589"/>
      <c r="WAE19" s="590"/>
      <c r="WAF19" s="589"/>
      <c r="WAG19" s="589"/>
      <c r="WAH19" s="589"/>
      <c r="WAI19" s="591"/>
      <c r="WAJ19" s="589"/>
      <c r="WAK19" s="590"/>
      <c r="WAL19" s="589"/>
      <c r="WAM19" s="589"/>
      <c r="WAN19" s="589"/>
      <c r="WAO19" s="590"/>
      <c r="WAP19" s="590"/>
      <c r="WAQ19" s="590"/>
      <c r="WAR19" s="590"/>
      <c r="WAS19" s="590"/>
      <c r="WAT19" s="590"/>
      <c r="WAU19" s="590"/>
      <c r="WAV19" s="590"/>
      <c r="WAW19" s="590"/>
      <c r="WAX19" s="590"/>
      <c r="WAY19" s="590"/>
      <c r="WAZ19" s="590"/>
      <c r="WBA19" s="587"/>
      <c r="WBB19" s="588"/>
      <c r="WBC19" s="589"/>
      <c r="WBD19" s="589"/>
      <c r="WBE19" s="590"/>
      <c r="WBF19" s="589"/>
      <c r="WBG19" s="589"/>
      <c r="WBH19" s="589"/>
      <c r="WBI19" s="591"/>
      <c r="WBJ19" s="589"/>
      <c r="WBK19" s="590"/>
      <c r="WBL19" s="589"/>
      <c r="WBM19" s="589"/>
      <c r="WBN19" s="589"/>
      <c r="WBO19" s="590"/>
      <c r="WBP19" s="590"/>
      <c r="WBQ19" s="590"/>
      <c r="WBR19" s="590"/>
      <c r="WBS19" s="590"/>
      <c r="WBT19" s="590"/>
      <c r="WBU19" s="590"/>
      <c r="WBV19" s="590"/>
      <c r="WBW19" s="590"/>
      <c r="WBX19" s="590"/>
      <c r="WBY19" s="590"/>
      <c r="WBZ19" s="590"/>
      <c r="WCA19" s="587"/>
      <c r="WCB19" s="588"/>
      <c r="WCC19" s="589"/>
      <c r="WCD19" s="589"/>
      <c r="WCE19" s="590"/>
      <c r="WCF19" s="589"/>
      <c r="WCG19" s="589"/>
      <c r="WCH19" s="589"/>
      <c r="WCI19" s="591"/>
      <c r="WCJ19" s="589"/>
      <c r="WCK19" s="590"/>
      <c r="WCL19" s="589"/>
      <c r="WCM19" s="589"/>
      <c r="WCN19" s="589"/>
      <c r="WCO19" s="590"/>
      <c r="WCP19" s="590"/>
      <c r="WCQ19" s="590"/>
      <c r="WCR19" s="590"/>
      <c r="WCS19" s="590"/>
      <c r="WCT19" s="590"/>
      <c r="WCU19" s="590"/>
      <c r="WCV19" s="590"/>
      <c r="WCW19" s="590"/>
      <c r="WCX19" s="590"/>
      <c r="WCY19" s="590"/>
      <c r="WCZ19" s="590"/>
      <c r="WDA19" s="587"/>
      <c r="WDB19" s="588"/>
      <c r="WDC19" s="589"/>
      <c r="WDD19" s="589"/>
      <c r="WDE19" s="590"/>
      <c r="WDF19" s="589"/>
      <c r="WDG19" s="589"/>
      <c r="WDH19" s="589"/>
      <c r="WDI19" s="591"/>
      <c r="WDJ19" s="589"/>
      <c r="WDK19" s="590"/>
      <c r="WDL19" s="589"/>
      <c r="WDM19" s="589"/>
      <c r="WDN19" s="589"/>
      <c r="WDO19" s="590"/>
      <c r="WDP19" s="590"/>
      <c r="WDQ19" s="590"/>
      <c r="WDR19" s="590"/>
      <c r="WDS19" s="590"/>
      <c r="WDT19" s="590"/>
      <c r="WDU19" s="590"/>
      <c r="WDV19" s="590"/>
      <c r="WDW19" s="590"/>
      <c r="WDX19" s="590"/>
      <c r="WDY19" s="590"/>
      <c r="WDZ19" s="590"/>
      <c r="WEA19" s="587"/>
      <c r="WEB19" s="588"/>
      <c r="WEC19" s="589"/>
      <c r="WED19" s="589"/>
      <c r="WEE19" s="590"/>
      <c r="WEF19" s="589"/>
      <c r="WEG19" s="589"/>
      <c r="WEH19" s="589"/>
      <c r="WEI19" s="591"/>
      <c r="WEJ19" s="589"/>
      <c r="WEK19" s="590"/>
      <c r="WEL19" s="589"/>
      <c r="WEM19" s="589"/>
      <c r="WEN19" s="589"/>
      <c r="WEO19" s="590"/>
      <c r="WEP19" s="590"/>
      <c r="WEQ19" s="590"/>
      <c r="WER19" s="590"/>
      <c r="WES19" s="590"/>
      <c r="WET19" s="590"/>
      <c r="WEU19" s="590"/>
      <c r="WEV19" s="590"/>
      <c r="WEW19" s="590"/>
      <c r="WEX19" s="590"/>
      <c r="WEY19" s="590"/>
      <c r="WEZ19" s="590"/>
      <c r="WFA19" s="587"/>
      <c r="WFB19" s="588"/>
      <c r="WFC19" s="589"/>
      <c r="WFD19" s="589"/>
      <c r="WFE19" s="590"/>
      <c r="WFF19" s="589"/>
      <c r="WFG19" s="589"/>
      <c r="WFH19" s="589"/>
      <c r="WFI19" s="591"/>
      <c r="WFJ19" s="589"/>
      <c r="WFK19" s="590"/>
      <c r="WFL19" s="589"/>
      <c r="WFM19" s="589"/>
      <c r="WFN19" s="589"/>
      <c r="WFO19" s="590"/>
      <c r="WFP19" s="590"/>
      <c r="WFQ19" s="590"/>
      <c r="WFR19" s="590"/>
      <c r="WFS19" s="590"/>
      <c r="WFT19" s="590"/>
      <c r="WFU19" s="590"/>
      <c r="WFV19" s="590"/>
      <c r="WFW19" s="590"/>
      <c r="WFX19" s="590"/>
      <c r="WFY19" s="590"/>
      <c r="WFZ19" s="590"/>
      <c r="WGA19" s="587"/>
      <c r="WGB19" s="588"/>
      <c r="WGC19" s="589"/>
      <c r="WGD19" s="589"/>
      <c r="WGE19" s="590"/>
      <c r="WGF19" s="589"/>
      <c r="WGG19" s="589"/>
      <c r="WGH19" s="589"/>
      <c r="WGI19" s="591"/>
      <c r="WGJ19" s="589"/>
      <c r="WGK19" s="590"/>
      <c r="WGL19" s="589"/>
      <c r="WGM19" s="589"/>
      <c r="WGN19" s="589"/>
      <c r="WGO19" s="590"/>
      <c r="WGP19" s="590"/>
      <c r="WGQ19" s="590"/>
      <c r="WGR19" s="590"/>
      <c r="WGS19" s="590"/>
      <c r="WGT19" s="590"/>
      <c r="WGU19" s="590"/>
      <c r="WGV19" s="590"/>
      <c r="WGW19" s="590"/>
      <c r="WGX19" s="590"/>
      <c r="WGY19" s="590"/>
      <c r="WGZ19" s="590"/>
      <c r="WHA19" s="587"/>
      <c r="WHB19" s="588"/>
      <c r="WHC19" s="589"/>
      <c r="WHD19" s="589"/>
      <c r="WHE19" s="590"/>
      <c r="WHF19" s="589"/>
      <c r="WHG19" s="589"/>
      <c r="WHH19" s="589"/>
      <c r="WHI19" s="591"/>
      <c r="WHJ19" s="589"/>
      <c r="WHK19" s="590"/>
      <c r="WHL19" s="589"/>
      <c r="WHM19" s="589"/>
      <c r="WHN19" s="589"/>
      <c r="WHO19" s="590"/>
      <c r="WHP19" s="590"/>
      <c r="WHQ19" s="590"/>
      <c r="WHR19" s="590"/>
      <c r="WHS19" s="590"/>
      <c r="WHT19" s="590"/>
      <c r="WHU19" s="590"/>
      <c r="WHV19" s="590"/>
      <c r="WHW19" s="590"/>
      <c r="WHX19" s="590"/>
      <c r="WHY19" s="590"/>
      <c r="WHZ19" s="590"/>
      <c r="WIA19" s="587"/>
      <c r="WIB19" s="588"/>
      <c r="WIC19" s="589"/>
      <c r="WID19" s="589"/>
      <c r="WIE19" s="590"/>
      <c r="WIF19" s="589"/>
      <c r="WIG19" s="589"/>
      <c r="WIH19" s="589"/>
      <c r="WII19" s="591"/>
      <c r="WIJ19" s="589"/>
      <c r="WIK19" s="590"/>
      <c r="WIL19" s="589"/>
      <c r="WIM19" s="589"/>
      <c r="WIN19" s="589"/>
      <c r="WIO19" s="590"/>
      <c r="WIP19" s="590"/>
      <c r="WIQ19" s="590"/>
      <c r="WIR19" s="590"/>
      <c r="WIS19" s="590"/>
      <c r="WIT19" s="590"/>
      <c r="WIU19" s="590"/>
      <c r="WIV19" s="590"/>
      <c r="WIW19" s="590"/>
      <c r="WIX19" s="590"/>
      <c r="WIY19" s="590"/>
      <c r="WIZ19" s="590"/>
      <c r="WJA19" s="587"/>
      <c r="WJB19" s="588"/>
      <c r="WJC19" s="589"/>
      <c r="WJD19" s="589"/>
      <c r="WJE19" s="590"/>
      <c r="WJF19" s="589"/>
      <c r="WJG19" s="589"/>
      <c r="WJH19" s="589"/>
      <c r="WJI19" s="591"/>
      <c r="WJJ19" s="589"/>
      <c r="WJK19" s="590"/>
      <c r="WJL19" s="589"/>
      <c r="WJM19" s="589"/>
      <c r="WJN19" s="589"/>
      <c r="WJO19" s="590"/>
      <c r="WJP19" s="590"/>
      <c r="WJQ19" s="590"/>
      <c r="WJR19" s="590"/>
      <c r="WJS19" s="590"/>
      <c r="WJT19" s="590"/>
      <c r="WJU19" s="590"/>
      <c r="WJV19" s="590"/>
      <c r="WJW19" s="590"/>
      <c r="WJX19" s="590"/>
      <c r="WJY19" s="590"/>
      <c r="WJZ19" s="590"/>
      <c r="WKA19" s="587"/>
      <c r="WKB19" s="588"/>
      <c r="WKC19" s="589"/>
      <c r="WKD19" s="589"/>
      <c r="WKE19" s="590"/>
      <c r="WKF19" s="589"/>
      <c r="WKG19" s="589"/>
      <c r="WKH19" s="589"/>
      <c r="WKI19" s="591"/>
      <c r="WKJ19" s="589"/>
      <c r="WKK19" s="590"/>
      <c r="WKL19" s="589"/>
      <c r="WKM19" s="589"/>
      <c r="WKN19" s="589"/>
      <c r="WKO19" s="590"/>
      <c r="WKP19" s="590"/>
      <c r="WKQ19" s="590"/>
      <c r="WKR19" s="590"/>
      <c r="WKS19" s="590"/>
      <c r="WKT19" s="590"/>
      <c r="WKU19" s="590"/>
      <c r="WKV19" s="590"/>
      <c r="WKW19" s="590"/>
      <c r="WKX19" s="590"/>
      <c r="WKY19" s="590"/>
      <c r="WKZ19" s="590"/>
      <c r="WLA19" s="587"/>
      <c r="WLB19" s="588"/>
      <c r="WLC19" s="589"/>
      <c r="WLD19" s="589"/>
      <c r="WLE19" s="590"/>
      <c r="WLF19" s="589"/>
      <c r="WLG19" s="589"/>
      <c r="WLH19" s="589"/>
      <c r="WLI19" s="591"/>
      <c r="WLJ19" s="589"/>
      <c r="WLK19" s="590"/>
      <c r="WLL19" s="589"/>
      <c r="WLM19" s="589"/>
      <c r="WLN19" s="589"/>
      <c r="WLO19" s="590"/>
      <c r="WLP19" s="590"/>
      <c r="WLQ19" s="590"/>
      <c r="WLR19" s="590"/>
      <c r="WLS19" s="590"/>
      <c r="WLT19" s="590"/>
      <c r="WLU19" s="590"/>
      <c r="WLV19" s="590"/>
      <c r="WLW19" s="590"/>
      <c r="WLX19" s="590"/>
      <c r="WLY19" s="590"/>
      <c r="WLZ19" s="590"/>
      <c r="WMA19" s="587"/>
      <c r="WMB19" s="588"/>
      <c r="WMC19" s="589"/>
      <c r="WMD19" s="589"/>
      <c r="WME19" s="590"/>
      <c r="WMF19" s="589"/>
      <c r="WMG19" s="589"/>
      <c r="WMH19" s="589"/>
      <c r="WMI19" s="591"/>
      <c r="WMJ19" s="589"/>
      <c r="WMK19" s="590"/>
      <c r="WML19" s="589"/>
      <c r="WMM19" s="589"/>
      <c r="WMN19" s="589"/>
      <c r="WMO19" s="590"/>
      <c r="WMP19" s="590"/>
      <c r="WMQ19" s="590"/>
      <c r="WMR19" s="590"/>
      <c r="WMS19" s="590"/>
      <c r="WMT19" s="590"/>
      <c r="WMU19" s="590"/>
      <c r="WMV19" s="590"/>
      <c r="WMW19" s="590"/>
      <c r="WMX19" s="590"/>
      <c r="WMY19" s="590"/>
      <c r="WMZ19" s="590"/>
      <c r="WNA19" s="587"/>
      <c r="WNB19" s="588"/>
      <c r="WNC19" s="589"/>
      <c r="WND19" s="589"/>
      <c r="WNE19" s="590"/>
      <c r="WNF19" s="589"/>
      <c r="WNG19" s="589"/>
      <c r="WNH19" s="589"/>
      <c r="WNI19" s="591"/>
      <c r="WNJ19" s="589"/>
      <c r="WNK19" s="590"/>
      <c r="WNL19" s="589"/>
      <c r="WNM19" s="589"/>
      <c r="WNN19" s="589"/>
      <c r="WNO19" s="590"/>
      <c r="WNP19" s="590"/>
      <c r="WNQ19" s="590"/>
      <c r="WNR19" s="590"/>
      <c r="WNS19" s="590"/>
      <c r="WNT19" s="590"/>
      <c r="WNU19" s="590"/>
      <c r="WNV19" s="590"/>
      <c r="WNW19" s="590"/>
      <c r="WNX19" s="590"/>
      <c r="WNY19" s="590"/>
      <c r="WNZ19" s="590"/>
      <c r="WOA19" s="587"/>
      <c r="WOB19" s="588"/>
      <c r="WOC19" s="589"/>
      <c r="WOD19" s="589"/>
      <c r="WOE19" s="590"/>
      <c r="WOF19" s="589"/>
      <c r="WOG19" s="589"/>
      <c r="WOH19" s="589"/>
      <c r="WOI19" s="591"/>
      <c r="WOJ19" s="589"/>
      <c r="WOK19" s="590"/>
      <c r="WOL19" s="589"/>
      <c r="WOM19" s="589"/>
      <c r="WON19" s="589"/>
      <c r="WOO19" s="590"/>
      <c r="WOP19" s="590"/>
      <c r="WOQ19" s="590"/>
      <c r="WOR19" s="590"/>
      <c r="WOS19" s="590"/>
      <c r="WOT19" s="590"/>
      <c r="WOU19" s="590"/>
      <c r="WOV19" s="590"/>
      <c r="WOW19" s="590"/>
      <c r="WOX19" s="590"/>
      <c r="WOY19" s="590"/>
      <c r="WOZ19" s="590"/>
      <c r="WPA19" s="587"/>
      <c r="WPB19" s="588"/>
      <c r="WPC19" s="589"/>
      <c r="WPD19" s="589"/>
      <c r="WPE19" s="590"/>
      <c r="WPF19" s="589"/>
      <c r="WPG19" s="589"/>
      <c r="WPH19" s="589"/>
      <c r="WPI19" s="591"/>
      <c r="WPJ19" s="589"/>
      <c r="WPK19" s="590"/>
      <c r="WPL19" s="589"/>
      <c r="WPM19" s="589"/>
      <c r="WPN19" s="589"/>
      <c r="WPO19" s="590"/>
      <c r="WPP19" s="590"/>
      <c r="WPQ19" s="590"/>
      <c r="WPR19" s="590"/>
      <c r="WPS19" s="590"/>
      <c r="WPT19" s="590"/>
      <c r="WPU19" s="590"/>
      <c r="WPV19" s="590"/>
      <c r="WPW19" s="590"/>
      <c r="WPX19" s="590"/>
      <c r="WPY19" s="590"/>
      <c r="WPZ19" s="590"/>
      <c r="WQA19" s="587"/>
      <c r="WQB19" s="588"/>
      <c r="WQC19" s="589"/>
      <c r="WQD19" s="589"/>
      <c r="WQE19" s="590"/>
      <c r="WQF19" s="589"/>
      <c r="WQG19" s="589"/>
      <c r="WQH19" s="589"/>
      <c r="WQI19" s="591"/>
      <c r="WQJ19" s="589"/>
      <c r="WQK19" s="590"/>
      <c r="WQL19" s="589"/>
      <c r="WQM19" s="589"/>
      <c r="WQN19" s="589"/>
      <c r="WQO19" s="590"/>
      <c r="WQP19" s="590"/>
      <c r="WQQ19" s="590"/>
      <c r="WQR19" s="590"/>
      <c r="WQS19" s="590"/>
      <c r="WQT19" s="590"/>
      <c r="WQU19" s="590"/>
      <c r="WQV19" s="590"/>
      <c r="WQW19" s="590"/>
      <c r="WQX19" s="590"/>
      <c r="WQY19" s="590"/>
      <c r="WQZ19" s="590"/>
      <c r="WRA19" s="587"/>
      <c r="WRB19" s="588"/>
      <c r="WRC19" s="589"/>
      <c r="WRD19" s="589"/>
      <c r="WRE19" s="590"/>
      <c r="WRF19" s="589"/>
      <c r="WRG19" s="589"/>
      <c r="WRH19" s="589"/>
      <c r="WRI19" s="591"/>
      <c r="WRJ19" s="589"/>
      <c r="WRK19" s="590"/>
      <c r="WRL19" s="589"/>
      <c r="WRM19" s="589"/>
      <c r="WRN19" s="589"/>
      <c r="WRO19" s="590"/>
      <c r="WRP19" s="590"/>
      <c r="WRQ19" s="590"/>
      <c r="WRR19" s="590"/>
      <c r="WRS19" s="590"/>
      <c r="WRT19" s="590"/>
      <c r="WRU19" s="590"/>
      <c r="WRV19" s="590"/>
      <c r="WRW19" s="590"/>
      <c r="WRX19" s="590"/>
      <c r="WRY19" s="590"/>
      <c r="WRZ19" s="590"/>
      <c r="WSA19" s="587"/>
      <c r="WSB19" s="588"/>
      <c r="WSC19" s="589"/>
      <c r="WSD19" s="589"/>
      <c r="WSE19" s="590"/>
      <c r="WSF19" s="589"/>
      <c r="WSG19" s="589"/>
      <c r="WSH19" s="589"/>
      <c r="WSI19" s="591"/>
      <c r="WSJ19" s="589"/>
      <c r="WSK19" s="590"/>
      <c r="WSL19" s="589"/>
      <c r="WSM19" s="589"/>
      <c r="WSN19" s="589"/>
      <c r="WSO19" s="590"/>
      <c r="WSP19" s="590"/>
      <c r="WSQ19" s="590"/>
      <c r="WSR19" s="590"/>
      <c r="WSS19" s="590"/>
      <c r="WST19" s="590"/>
      <c r="WSU19" s="590"/>
      <c r="WSV19" s="590"/>
      <c r="WSW19" s="590"/>
      <c r="WSX19" s="590"/>
      <c r="WSY19" s="590"/>
      <c r="WSZ19" s="590"/>
      <c r="WTA19" s="587"/>
      <c r="WTB19" s="588"/>
      <c r="WTC19" s="589"/>
      <c r="WTD19" s="589"/>
      <c r="WTE19" s="590"/>
      <c r="WTF19" s="589"/>
      <c r="WTG19" s="589"/>
      <c r="WTH19" s="589"/>
      <c r="WTI19" s="591"/>
      <c r="WTJ19" s="589"/>
      <c r="WTK19" s="590"/>
      <c r="WTL19" s="589"/>
      <c r="WTM19" s="589"/>
      <c r="WTN19" s="589"/>
      <c r="WTO19" s="590"/>
      <c r="WTP19" s="590"/>
      <c r="WTQ19" s="590"/>
      <c r="WTR19" s="590"/>
      <c r="WTS19" s="590"/>
      <c r="WTT19" s="590"/>
      <c r="WTU19" s="590"/>
      <c r="WTV19" s="590"/>
      <c r="WTW19" s="590"/>
      <c r="WTX19" s="590"/>
      <c r="WTY19" s="590"/>
      <c r="WTZ19" s="590"/>
      <c r="WUA19" s="587"/>
      <c r="WUB19" s="588"/>
      <c r="WUC19" s="589"/>
      <c r="WUD19" s="589"/>
      <c r="WUE19" s="590"/>
      <c r="WUF19" s="589"/>
      <c r="WUG19" s="589"/>
      <c r="WUH19" s="589"/>
      <c r="WUI19" s="591"/>
      <c r="WUJ19" s="589"/>
      <c r="WUK19" s="590"/>
      <c r="WUL19" s="589"/>
      <c r="WUM19" s="589"/>
      <c r="WUN19" s="589"/>
      <c r="WUO19" s="590"/>
      <c r="WUP19" s="590"/>
      <c r="WUQ19" s="590"/>
      <c r="WUR19" s="590"/>
      <c r="WUS19" s="590"/>
      <c r="WUT19" s="590"/>
      <c r="WUU19" s="590"/>
      <c r="WUV19" s="590"/>
      <c r="WUW19" s="590"/>
      <c r="WUX19" s="590"/>
      <c r="WUY19" s="590"/>
      <c r="WUZ19" s="590"/>
      <c r="WVA19" s="587"/>
      <c r="WVB19" s="588"/>
      <c r="WVC19" s="589"/>
      <c r="WVD19" s="589"/>
      <c r="WVE19" s="590"/>
      <c r="WVF19" s="589"/>
      <c r="WVG19" s="589"/>
      <c r="WVH19" s="589"/>
      <c r="WVI19" s="591"/>
      <c r="WVJ19" s="589"/>
      <c r="WVK19" s="590"/>
      <c r="WVL19" s="589"/>
      <c r="WVM19" s="589"/>
      <c r="WVN19" s="589"/>
      <c r="WVO19" s="590"/>
      <c r="WVP19" s="590"/>
      <c r="WVQ19" s="590"/>
      <c r="WVR19" s="590"/>
      <c r="WVS19" s="590"/>
      <c r="WVT19" s="590"/>
      <c r="WVU19" s="590"/>
      <c r="WVV19" s="590"/>
      <c r="WVW19" s="590"/>
      <c r="WVX19" s="590"/>
      <c r="WVY19" s="590"/>
      <c r="WVZ19" s="590"/>
      <c r="WWA19" s="587"/>
      <c r="WWB19" s="588"/>
      <c r="WWC19" s="589"/>
      <c r="WWD19" s="589"/>
      <c r="WWE19" s="590"/>
      <c r="WWF19" s="589"/>
      <c r="WWG19" s="589"/>
      <c r="WWH19" s="589"/>
      <c r="WWI19" s="591"/>
      <c r="WWJ19" s="589"/>
      <c r="WWK19" s="590"/>
      <c r="WWL19" s="589"/>
      <c r="WWM19" s="589"/>
      <c r="WWN19" s="589"/>
      <c r="WWO19" s="590"/>
      <c r="WWP19" s="590"/>
      <c r="WWQ19" s="590"/>
      <c r="WWR19" s="590"/>
      <c r="WWS19" s="590"/>
      <c r="WWT19" s="590"/>
      <c r="WWU19" s="590"/>
      <c r="WWV19" s="590"/>
      <c r="WWW19" s="590"/>
      <c r="WWX19" s="590"/>
      <c r="WWY19" s="590"/>
      <c r="WWZ19" s="590"/>
      <c r="WXA19" s="587"/>
      <c r="WXB19" s="588"/>
      <c r="WXC19" s="589"/>
      <c r="WXD19" s="589"/>
      <c r="WXE19" s="590"/>
      <c r="WXF19" s="589"/>
      <c r="WXG19" s="589"/>
      <c r="WXH19" s="589"/>
      <c r="WXI19" s="591"/>
      <c r="WXJ19" s="589"/>
      <c r="WXK19" s="590"/>
      <c r="WXL19" s="589"/>
      <c r="WXM19" s="589"/>
      <c r="WXN19" s="589"/>
      <c r="WXO19" s="590"/>
      <c r="WXP19" s="590"/>
      <c r="WXQ19" s="590"/>
      <c r="WXR19" s="590"/>
      <c r="WXS19" s="590"/>
      <c r="WXT19" s="590"/>
      <c r="WXU19" s="590"/>
      <c r="WXV19" s="590"/>
      <c r="WXW19" s="590"/>
      <c r="WXX19" s="590"/>
      <c r="WXY19" s="590"/>
      <c r="WXZ19" s="590"/>
      <c r="WYA19" s="587"/>
      <c r="WYB19" s="588"/>
      <c r="WYC19" s="589"/>
      <c r="WYD19" s="589"/>
      <c r="WYE19" s="590"/>
      <c r="WYF19" s="589"/>
      <c r="WYG19" s="589"/>
      <c r="WYH19" s="589"/>
      <c r="WYI19" s="591"/>
      <c r="WYJ19" s="589"/>
      <c r="WYK19" s="590"/>
      <c r="WYL19" s="589"/>
      <c r="WYM19" s="589"/>
      <c r="WYN19" s="589"/>
      <c r="WYO19" s="590"/>
      <c r="WYP19" s="590"/>
      <c r="WYQ19" s="590"/>
      <c r="WYR19" s="590"/>
      <c r="WYS19" s="590"/>
      <c r="WYT19" s="590"/>
      <c r="WYU19" s="590"/>
      <c r="WYV19" s="590"/>
      <c r="WYW19" s="590"/>
      <c r="WYX19" s="590"/>
      <c r="WYY19" s="590"/>
      <c r="WYZ19" s="590"/>
      <c r="WZA19" s="587"/>
      <c r="WZB19" s="588"/>
      <c r="WZC19" s="589"/>
      <c r="WZD19" s="589"/>
      <c r="WZE19" s="590"/>
      <c r="WZF19" s="589"/>
      <c r="WZG19" s="589"/>
      <c r="WZH19" s="589"/>
      <c r="WZI19" s="591"/>
      <c r="WZJ19" s="589"/>
      <c r="WZK19" s="590"/>
      <c r="WZL19" s="589"/>
      <c r="WZM19" s="589"/>
      <c r="WZN19" s="589"/>
      <c r="WZO19" s="590"/>
      <c r="WZP19" s="590"/>
      <c r="WZQ19" s="590"/>
      <c r="WZR19" s="590"/>
      <c r="WZS19" s="590"/>
      <c r="WZT19" s="590"/>
      <c r="WZU19" s="590"/>
      <c r="WZV19" s="590"/>
      <c r="WZW19" s="590"/>
      <c r="WZX19" s="590"/>
      <c r="WZY19" s="590"/>
      <c r="WZZ19" s="590"/>
      <c r="XAA19" s="587"/>
      <c r="XAB19" s="588"/>
      <c r="XAC19" s="589"/>
      <c r="XAD19" s="589"/>
      <c r="XAE19" s="590"/>
      <c r="XAF19" s="589"/>
      <c r="XAG19" s="589"/>
      <c r="XAH19" s="589"/>
      <c r="XAI19" s="591"/>
      <c r="XAJ19" s="589"/>
      <c r="XAK19" s="590"/>
      <c r="XAL19" s="589"/>
      <c r="XAM19" s="589"/>
      <c r="XAN19" s="589"/>
      <c r="XAO19" s="590"/>
      <c r="XAP19" s="590"/>
      <c r="XAQ19" s="590"/>
      <c r="XAR19" s="590"/>
      <c r="XAS19" s="590"/>
      <c r="XAT19" s="590"/>
      <c r="XAU19" s="590"/>
      <c r="XAV19" s="590"/>
      <c r="XAW19" s="590"/>
      <c r="XAX19" s="590"/>
      <c r="XAY19" s="590"/>
      <c r="XAZ19" s="590"/>
      <c r="XBA19" s="587"/>
      <c r="XBB19" s="588"/>
      <c r="XBC19" s="589"/>
      <c r="XBD19" s="589"/>
      <c r="XBE19" s="590"/>
      <c r="XBF19" s="589"/>
      <c r="XBG19" s="589"/>
      <c r="XBH19" s="589"/>
      <c r="XBI19" s="591"/>
      <c r="XBJ19" s="589"/>
      <c r="XBK19" s="590"/>
      <c r="XBL19" s="589"/>
      <c r="XBM19" s="589"/>
      <c r="XBN19" s="589"/>
      <c r="XBO19" s="590"/>
      <c r="XBP19" s="590"/>
      <c r="XBQ19" s="590"/>
      <c r="XBR19" s="590"/>
      <c r="XBS19" s="590"/>
      <c r="XBT19" s="590"/>
      <c r="XBU19" s="590"/>
      <c r="XBV19" s="590"/>
      <c r="XBW19" s="590"/>
      <c r="XBX19" s="590"/>
      <c r="XBY19" s="590"/>
      <c r="XBZ19" s="590"/>
      <c r="XCA19" s="587"/>
      <c r="XCB19" s="588"/>
      <c r="XCC19" s="589"/>
      <c r="XCD19" s="589"/>
      <c r="XCE19" s="590"/>
      <c r="XCF19" s="589"/>
      <c r="XCG19" s="589"/>
      <c r="XCH19" s="589"/>
      <c r="XCI19" s="591"/>
      <c r="XCJ19" s="589"/>
      <c r="XCK19" s="590"/>
      <c r="XCL19" s="589"/>
      <c r="XCM19" s="589"/>
      <c r="XCN19" s="589"/>
      <c r="XCO19" s="590"/>
      <c r="XCP19" s="590"/>
      <c r="XCQ19" s="590"/>
      <c r="XCR19" s="590"/>
      <c r="XCS19" s="590"/>
      <c r="XCT19" s="590"/>
      <c r="XCU19" s="590"/>
      <c r="XCV19" s="590"/>
      <c r="XCW19" s="590"/>
      <c r="XCX19" s="590"/>
      <c r="XCY19" s="590"/>
      <c r="XCZ19" s="590"/>
      <c r="XDA19" s="587"/>
      <c r="XDB19" s="588"/>
      <c r="XDC19" s="589"/>
      <c r="XDD19" s="589"/>
      <c r="XDE19" s="590"/>
      <c r="XDF19" s="589"/>
      <c r="XDG19" s="589"/>
      <c r="XDH19" s="589"/>
      <c r="XDI19" s="591"/>
      <c r="XDJ19" s="589"/>
      <c r="XDK19" s="590"/>
      <c r="XDL19" s="589"/>
      <c r="XDM19" s="589"/>
      <c r="XDN19" s="589"/>
      <c r="XDO19" s="590"/>
      <c r="XDP19" s="590"/>
      <c r="XDQ19" s="590"/>
      <c r="XDR19" s="590"/>
      <c r="XDS19" s="590"/>
      <c r="XDT19" s="590"/>
      <c r="XDU19" s="590"/>
      <c r="XDV19" s="590"/>
      <c r="XDW19" s="590"/>
      <c r="XDX19" s="590"/>
      <c r="XDY19" s="590"/>
      <c r="XDZ19" s="590"/>
      <c r="XEA19" s="587"/>
      <c r="XEB19" s="588"/>
      <c r="XEC19" s="589"/>
      <c r="XED19" s="589"/>
      <c r="XEE19" s="590"/>
      <c r="XEF19" s="589"/>
      <c r="XEG19" s="589"/>
      <c r="XEH19" s="589"/>
      <c r="XEI19" s="591"/>
      <c r="XEJ19" s="589"/>
      <c r="XEK19" s="590"/>
      <c r="XEL19" s="589"/>
      <c r="XEM19" s="589"/>
      <c r="XEN19" s="589"/>
      <c r="XEO19" s="590"/>
      <c r="XEP19" s="590"/>
      <c r="XEQ19" s="590"/>
      <c r="XER19" s="590"/>
      <c r="XES19" s="590"/>
      <c r="XET19" s="590"/>
      <c r="XEU19" s="590"/>
      <c r="XEV19" s="590"/>
      <c r="XEW19" s="590"/>
      <c r="XEX19" s="590"/>
      <c r="XEY19" s="590"/>
      <c r="XEZ19" s="590"/>
      <c r="XFA19" s="587"/>
      <c r="XFB19" s="588"/>
      <c r="XFC19" s="589"/>
      <c r="XFD19" s="589"/>
    </row>
    <row r="20" spans="1:16384" x14ac:dyDescent="0.2">
      <c r="A20" s="514" t="str">
        <f>+'6. PEP Mensual'!A22</f>
        <v>1.2.1</v>
      </c>
      <c r="B20" s="515" t="str">
        <f>+'6. PEP Mensual'!B22</f>
        <v>Plan de Gestión Ambiental y Social - Región Occidental</v>
      </c>
      <c r="C20" s="516" t="str">
        <f>'[3]3. PEP'!D34</f>
        <v>T1 - Año 1</v>
      </c>
      <c r="D20" s="516" t="str">
        <f>'[3]3. PEP'!F34</f>
        <v>T4 - Año 5</v>
      </c>
      <c r="E20" s="517">
        <f>'[3]3. PEP'!G34</f>
        <v>764080</v>
      </c>
      <c r="F20" s="516"/>
      <c r="G20" s="516" t="str">
        <f t="shared" si="0"/>
        <v>T1 - Año 1</v>
      </c>
      <c r="H20" s="516" t="str">
        <f t="shared" si="0"/>
        <v>T4 - Año 5</v>
      </c>
      <c r="I20" s="518"/>
      <c r="J20" s="516"/>
      <c r="K20" s="517">
        <f>+'7. PEP Anual'!F19</f>
        <v>18600</v>
      </c>
      <c r="L20" s="516"/>
      <c r="M20" s="516"/>
      <c r="N20" s="516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5"/>
      <c r="AU20" s="585"/>
      <c r="AV20" s="585"/>
      <c r="AW20" s="585"/>
      <c r="AX20" s="585"/>
      <c r="AY20" s="585"/>
      <c r="AZ20" s="585"/>
      <c r="BA20" s="585"/>
      <c r="BB20" s="585"/>
      <c r="BC20" s="585"/>
      <c r="BD20" s="585"/>
      <c r="BE20" s="585"/>
      <c r="BF20" s="585"/>
      <c r="BG20" s="585"/>
      <c r="BH20" s="585"/>
      <c r="BI20" s="585"/>
      <c r="BJ20" s="585"/>
      <c r="BK20" s="585"/>
      <c r="BL20" s="585"/>
      <c r="BM20" s="585"/>
      <c r="BN20" s="585"/>
      <c r="BO20" s="585"/>
      <c r="BP20" s="585"/>
      <c r="BQ20" s="585"/>
      <c r="BR20" s="585"/>
      <c r="BS20" s="585"/>
      <c r="BT20" s="585"/>
      <c r="BU20" s="585"/>
      <c r="BV20" s="585"/>
      <c r="BW20" s="585"/>
      <c r="BX20" s="585"/>
      <c r="BY20" s="585"/>
      <c r="BZ20" s="585"/>
      <c r="CA20" s="585"/>
      <c r="CB20" s="585"/>
      <c r="CC20" s="585"/>
      <c r="CD20" s="585"/>
      <c r="CE20" s="585"/>
      <c r="CF20" s="585"/>
      <c r="CG20" s="585"/>
      <c r="CH20" s="585"/>
      <c r="CI20" s="585"/>
      <c r="CJ20" s="585"/>
      <c r="CK20" s="585"/>
      <c r="CL20" s="585"/>
      <c r="CM20" s="585"/>
      <c r="CN20" s="585"/>
      <c r="CO20" s="585"/>
      <c r="CP20" s="585"/>
      <c r="CQ20" s="585"/>
      <c r="CR20" s="585"/>
      <c r="CS20" s="585"/>
      <c r="CT20" s="585"/>
      <c r="CU20" s="585"/>
      <c r="CV20" s="585"/>
      <c r="CW20" s="585"/>
      <c r="CX20" s="585"/>
      <c r="CY20" s="585"/>
      <c r="CZ20" s="585"/>
      <c r="DA20" s="585"/>
      <c r="DB20" s="585"/>
      <c r="DC20" s="585"/>
      <c r="DD20" s="585"/>
      <c r="DE20" s="585"/>
      <c r="DF20" s="585"/>
      <c r="DG20" s="585"/>
      <c r="DH20" s="585"/>
      <c r="DI20" s="585"/>
      <c r="DJ20" s="585"/>
      <c r="DK20" s="585"/>
      <c r="DL20" s="585"/>
      <c r="DM20" s="585"/>
      <c r="DN20" s="585"/>
      <c r="DO20" s="585"/>
      <c r="DP20" s="585"/>
      <c r="DQ20" s="585"/>
      <c r="DR20" s="585"/>
      <c r="DS20" s="585"/>
      <c r="DT20" s="585"/>
      <c r="DU20" s="585"/>
      <c r="DV20" s="585"/>
      <c r="DW20" s="585"/>
      <c r="DX20" s="585"/>
      <c r="DY20" s="585"/>
      <c r="DZ20" s="585"/>
      <c r="EA20" s="585"/>
      <c r="EB20" s="585"/>
      <c r="EC20" s="585"/>
      <c r="ED20" s="585"/>
      <c r="EE20" s="585"/>
      <c r="EF20" s="585"/>
      <c r="EG20" s="585"/>
      <c r="EH20" s="585"/>
      <c r="EI20" s="585"/>
      <c r="EJ20" s="585"/>
      <c r="EK20" s="585"/>
      <c r="EL20" s="585"/>
      <c r="EM20" s="585"/>
      <c r="EN20" s="585"/>
      <c r="EO20" s="585"/>
      <c r="EP20" s="585"/>
      <c r="EQ20" s="585"/>
      <c r="ER20" s="585"/>
      <c r="ES20" s="585"/>
      <c r="ET20" s="585"/>
      <c r="EU20" s="585"/>
      <c r="EV20" s="585"/>
      <c r="EW20" s="585"/>
      <c r="EX20" s="585"/>
      <c r="EY20" s="585"/>
      <c r="EZ20" s="585"/>
      <c r="FA20" s="585"/>
      <c r="FB20" s="585"/>
      <c r="FC20" s="585"/>
    </row>
    <row r="21" spans="1:16384" x14ac:dyDescent="0.2">
      <c r="A21" s="514" t="str">
        <f>+'6. PEP Mensual'!A23</f>
        <v>1.2.1.1</v>
      </c>
      <c r="B21" s="542" t="str">
        <f>+'6. PEP Mensual'!B23</f>
        <v>PGAS obras del Chaco</v>
      </c>
      <c r="C21" s="543" t="e">
        <f>'[3]3. PEP'!#REF!</f>
        <v>#REF!</v>
      </c>
      <c r="D21" s="543" t="e">
        <f>'[3]3. PEP'!#REF!</f>
        <v>#REF!</v>
      </c>
      <c r="E21" s="522" t="e">
        <f>'[3]3. PEP'!#REF!</f>
        <v>#REF!</v>
      </c>
      <c r="F21" s="543"/>
      <c r="G21" s="543" t="e">
        <f t="shared" si="0"/>
        <v>#REF!</v>
      </c>
      <c r="H21" s="543" t="e">
        <f t="shared" si="0"/>
        <v>#REF!</v>
      </c>
      <c r="I21" s="544"/>
      <c r="J21" s="543"/>
      <c r="K21" s="522">
        <f>+'7. PEP Anual'!F20</f>
        <v>0</v>
      </c>
      <c r="L21" s="543"/>
      <c r="M21" s="543"/>
      <c r="N21" s="543"/>
      <c r="O21" s="522"/>
      <c r="P21" s="522"/>
      <c r="Q21" s="522"/>
      <c r="R21" s="522"/>
      <c r="S21" s="531"/>
      <c r="T21" s="531"/>
      <c r="U21" s="531"/>
      <c r="V21" s="531"/>
      <c r="W21" s="531"/>
      <c r="X21" s="531"/>
      <c r="Y21" s="531"/>
      <c r="Z21" s="531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585"/>
      <c r="AR21" s="585"/>
      <c r="AS21" s="585"/>
      <c r="AT21" s="585"/>
      <c r="AU21" s="585"/>
      <c r="AV21" s="585"/>
      <c r="AW21" s="585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5"/>
      <c r="BM21" s="585"/>
      <c r="BN21" s="585"/>
      <c r="BO21" s="585"/>
      <c r="BP21" s="585"/>
      <c r="BQ21" s="585"/>
      <c r="BR21" s="585"/>
      <c r="BS21" s="585"/>
      <c r="BT21" s="585"/>
      <c r="BU21" s="585"/>
      <c r="BV21" s="585"/>
      <c r="BW21" s="585"/>
      <c r="BX21" s="585"/>
      <c r="BY21" s="585"/>
      <c r="BZ21" s="585"/>
      <c r="CA21" s="585"/>
      <c r="CB21" s="585"/>
      <c r="CC21" s="585"/>
      <c r="CD21" s="585"/>
      <c r="CE21" s="585"/>
      <c r="CF21" s="585"/>
      <c r="CG21" s="585"/>
      <c r="CH21" s="585"/>
      <c r="CI21" s="585"/>
      <c r="CJ21" s="585"/>
      <c r="CK21" s="585"/>
      <c r="CL21" s="585"/>
      <c r="CM21" s="585"/>
      <c r="CN21" s="585"/>
      <c r="CO21" s="585"/>
      <c r="CP21" s="585"/>
      <c r="CQ21" s="585"/>
      <c r="CR21" s="585"/>
      <c r="CS21" s="585"/>
      <c r="CT21" s="585"/>
      <c r="CU21" s="585"/>
      <c r="CV21" s="585"/>
      <c r="CW21" s="585"/>
      <c r="CX21" s="585"/>
      <c r="CY21" s="585"/>
      <c r="CZ21" s="585"/>
      <c r="DA21" s="585"/>
      <c r="DB21" s="585"/>
      <c r="DC21" s="585"/>
      <c r="DD21" s="585"/>
      <c r="DE21" s="585"/>
      <c r="DF21" s="585"/>
      <c r="DG21" s="585"/>
      <c r="DH21" s="585"/>
      <c r="DI21" s="585"/>
      <c r="DJ21" s="585"/>
      <c r="DK21" s="585"/>
      <c r="DL21" s="585"/>
      <c r="DM21" s="585"/>
      <c r="DN21" s="585"/>
      <c r="DO21" s="585"/>
      <c r="DP21" s="585"/>
      <c r="DQ21" s="585"/>
      <c r="DR21" s="585"/>
      <c r="DS21" s="585"/>
      <c r="DT21" s="585"/>
      <c r="DU21" s="585"/>
      <c r="DV21" s="585"/>
      <c r="DW21" s="585"/>
      <c r="DX21" s="585"/>
      <c r="DY21" s="585"/>
      <c r="DZ21" s="585"/>
      <c r="EA21" s="585"/>
      <c r="EB21" s="585"/>
      <c r="EC21" s="585"/>
      <c r="ED21" s="585"/>
      <c r="EE21" s="585"/>
      <c r="EF21" s="585"/>
      <c r="EG21" s="585"/>
      <c r="EH21" s="585"/>
      <c r="EI21" s="585"/>
      <c r="EJ21" s="585"/>
      <c r="EK21" s="585"/>
      <c r="EL21" s="585"/>
      <c r="EM21" s="585"/>
      <c r="EN21" s="585"/>
      <c r="EO21" s="585"/>
      <c r="EP21" s="585"/>
      <c r="EQ21" s="585"/>
      <c r="ER21" s="585"/>
      <c r="ES21" s="585"/>
      <c r="ET21" s="585"/>
      <c r="EU21" s="585"/>
      <c r="EV21" s="585"/>
      <c r="EW21" s="585"/>
      <c r="EX21" s="585"/>
      <c r="EY21" s="585"/>
      <c r="EZ21" s="585"/>
      <c r="FA21" s="585"/>
      <c r="FB21" s="585"/>
      <c r="FC21" s="585"/>
    </row>
    <row r="22" spans="1:16384" ht="25.5" x14ac:dyDescent="0.2">
      <c r="A22" s="514" t="str">
        <f>+'6. PEP Mensual'!A24</f>
        <v>1.2.1.2</v>
      </c>
      <c r="B22" s="542" t="str">
        <f>+'6. PEP Mensual'!B24</f>
        <v>Reposición Forestal</v>
      </c>
      <c r="C22" s="543"/>
      <c r="D22" s="543"/>
      <c r="E22" s="522"/>
      <c r="F22" s="543"/>
      <c r="G22" s="543"/>
      <c r="H22" s="543"/>
      <c r="I22" s="544" t="s">
        <v>453</v>
      </c>
      <c r="J22" s="543" t="s">
        <v>328</v>
      </c>
      <c r="K22" s="522">
        <f>+'7. PEP Anual'!F21</f>
        <v>18600</v>
      </c>
      <c r="L22" s="543"/>
      <c r="M22" s="543"/>
      <c r="N22" s="543"/>
      <c r="O22" s="522"/>
      <c r="P22" s="522"/>
      <c r="Q22" s="519"/>
      <c r="R22" s="519"/>
      <c r="S22" s="519"/>
      <c r="T22" s="520"/>
      <c r="U22" s="520"/>
      <c r="V22" s="520"/>
      <c r="W22" s="520"/>
      <c r="X22" s="520"/>
      <c r="Y22" s="521">
        <v>1</v>
      </c>
      <c r="Z22" s="521">
        <v>2</v>
      </c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5"/>
      <c r="AO22" s="585"/>
      <c r="AP22" s="585"/>
      <c r="AQ22" s="585"/>
      <c r="AR22" s="585"/>
      <c r="AS22" s="585"/>
      <c r="AT22" s="585"/>
      <c r="AU22" s="585"/>
      <c r="AV22" s="585"/>
      <c r="AW22" s="585"/>
      <c r="AX22" s="585"/>
      <c r="AY22" s="585"/>
      <c r="AZ22" s="585"/>
      <c r="BA22" s="585"/>
      <c r="BB22" s="585"/>
      <c r="BC22" s="585"/>
      <c r="BD22" s="585"/>
      <c r="BE22" s="585"/>
      <c r="BF22" s="585"/>
      <c r="BG22" s="585"/>
      <c r="BH22" s="585"/>
      <c r="BI22" s="585"/>
      <c r="BJ22" s="585"/>
      <c r="BK22" s="585"/>
      <c r="BL22" s="585"/>
      <c r="BM22" s="585"/>
      <c r="BN22" s="585"/>
      <c r="BO22" s="585"/>
      <c r="BP22" s="585"/>
      <c r="BQ22" s="585"/>
      <c r="BR22" s="585"/>
      <c r="BS22" s="585"/>
      <c r="BT22" s="585"/>
      <c r="BU22" s="585"/>
      <c r="BV22" s="585"/>
      <c r="BW22" s="585"/>
      <c r="BX22" s="585"/>
      <c r="BY22" s="585"/>
      <c r="BZ22" s="585"/>
      <c r="CA22" s="585"/>
      <c r="CB22" s="585"/>
      <c r="CC22" s="585"/>
      <c r="CD22" s="585"/>
      <c r="CE22" s="585"/>
      <c r="CF22" s="585"/>
      <c r="CG22" s="585"/>
      <c r="CH22" s="585"/>
      <c r="CI22" s="585"/>
      <c r="CJ22" s="585"/>
      <c r="CK22" s="585"/>
      <c r="CL22" s="585"/>
      <c r="CM22" s="585"/>
      <c r="CN22" s="585"/>
      <c r="CO22" s="585"/>
      <c r="CP22" s="585"/>
      <c r="CQ22" s="585"/>
      <c r="CR22" s="585"/>
      <c r="CS22" s="585"/>
      <c r="CT22" s="585"/>
      <c r="CU22" s="585"/>
      <c r="CV22" s="585"/>
      <c r="CW22" s="585"/>
      <c r="CX22" s="585"/>
      <c r="CY22" s="585"/>
      <c r="CZ22" s="585"/>
      <c r="DA22" s="585"/>
      <c r="DB22" s="585"/>
      <c r="DC22" s="585"/>
      <c r="DD22" s="585"/>
      <c r="DE22" s="585"/>
      <c r="DF22" s="585"/>
      <c r="DG22" s="585"/>
      <c r="DH22" s="585"/>
      <c r="DI22" s="585"/>
      <c r="DJ22" s="585"/>
      <c r="DK22" s="585"/>
      <c r="DL22" s="585"/>
      <c r="DM22" s="585"/>
      <c r="DN22" s="585"/>
      <c r="DO22" s="585"/>
      <c r="DP22" s="585"/>
      <c r="DQ22" s="585"/>
      <c r="DR22" s="585"/>
      <c r="DS22" s="585"/>
      <c r="DT22" s="585"/>
      <c r="DU22" s="585"/>
      <c r="DV22" s="585"/>
      <c r="DW22" s="585"/>
      <c r="DX22" s="585"/>
      <c r="DY22" s="585"/>
      <c r="DZ22" s="585"/>
      <c r="EA22" s="585"/>
      <c r="EB22" s="585"/>
      <c r="EC22" s="585"/>
      <c r="ED22" s="585"/>
      <c r="EE22" s="585"/>
      <c r="EF22" s="585"/>
      <c r="EG22" s="585"/>
      <c r="EH22" s="585"/>
      <c r="EI22" s="585"/>
      <c r="EJ22" s="585"/>
      <c r="EK22" s="585"/>
      <c r="EL22" s="585"/>
      <c r="EM22" s="585"/>
      <c r="EN22" s="585"/>
      <c r="EO22" s="585"/>
      <c r="EP22" s="585"/>
      <c r="EQ22" s="585"/>
      <c r="ER22" s="585"/>
      <c r="ES22" s="585"/>
      <c r="ET22" s="585"/>
      <c r="EU22" s="585"/>
      <c r="EV22" s="585"/>
      <c r="EW22" s="585"/>
      <c r="EX22" s="585"/>
      <c r="EY22" s="585"/>
      <c r="EZ22" s="585"/>
      <c r="FA22" s="585"/>
      <c r="FB22" s="585"/>
      <c r="FC22" s="585"/>
    </row>
    <row r="23" spans="1:16384" ht="27" customHeight="1" x14ac:dyDescent="0.2">
      <c r="A23" s="514" t="str">
        <f>+'6. PEP Mensual'!A25</f>
        <v>1.2.1.3</v>
      </c>
      <c r="B23" s="542" t="str">
        <f>+'6. PEP Mensual'!B25</f>
        <v>Monitoreo de Fauna</v>
      </c>
      <c r="C23" s="543"/>
      <c r="D23" s="543"/>
      <c r="E23" s="522"/>
      <c r="F23" s="543"/>
      <c r="G23" s="543"/>
      <c r="H23" s="543"/>
      <c r="I23" s="544"/>
      <c r="J23" s="543"/>
      <c r="K23" s="522">
        <f>+'7. PEP Anual'!F22</f>
        <v>0</v>
      </c>
      <c r="L23" s="543"/>
      <c r="M23" s="543"/>
      <c r="N23" s="543"/>
      <c r="O23" s="522"/>
      <c r="P23" s="522"/>
      <c r="Q23" s="522"/>
      <c r="R23" s="522"/>
      <c r="S23" s="531"/>
      <c r="T23" s="531"/>
      <c r="U23" s="531"/>
      <c r="V23" s="531"/>
      <c r="W23" s="531"/>
      <c r="X23" s="531"/>
      <c r="Y23" s="531"/>
      <c r="Z23" s="531"/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585"/>
      <c r="AL23" s="585"/>
      <c r="AM23" s="585"/>
      <c r="AN23" s="585"/>
      <c r="AO23" s="585"/>
      <c r="AP23" s="585"/>
      <c r="AQ23" s="585"/>
      <c r="AR23" s="585"/>
      <c r="AS23" s="585"/>
      <c r="AT23" s="585"/>
      <c r="AU23" s="585"/>
      <c r="AV23" s="585"/>
      <c r="AW23" s="585"/>
      <c r="AX23" s="585"/>
      <c r="AY23" s="585"/>
      <c r="AZ23" s="585"/>
      <c r="BA23" s="585"/>
      <c r="BB23" s="585"/>
      <c r="BC23" s="585"/>
      <c r="BD23" s="585"/>
      <c r="BE23" s="585"/>
      <c r="BF23" s="585"/>
      <c r="BG23" s="585"/>
      <c r="BH23" s="585"/>
      <c r="BI23" s="585"/>
      <c r="BJ23" s="585"/>
      <c r="BK23" s="585"/>
      <c r="BL23" s="585"/>
      <c r="BM23" s="585"/>
      <c r="BN23" s="585"/>
      <c r="BO23" s="585"/>
      <c r="BP23" s="585"/>
      <c r="BQ23" s="585"/>
      <c r="BR23" s="585"/>
      <c r="BS23" s="585"/>
      <c r="BT23" s="585"/>
      <c r="BU23" s="585"/>
      <c r="BV23" s="585"/>
      <c r="BW23" s="585"/>
      <c r="BX23" s="585"/>
      <c r="BY23" s="585"/>
      <c r="BZ23" s="585"/>
      <c r="CA23" s="585"/>
      <c r="CB23" s="585"/>
      <c r="CC23" s="585"/>
      <c r="CD23" s="585"/>
      <c r="CE23" s="585"/>
      <c r="CF23" s="585"/>
      <c r="CG23" s="585"/>
      <c r="CH23" s="585"/>
      <c r="CI23" s="585"/>
      <c r="CJ23" s="585"/>
      <c r="CK23" s="585"/>
      <c r="CL23" s="585"/>
      <c r="CM23" s="585"/>
      <c r="CN23" s="585"/>
      <c r="CO23" s="585"/>
      <c r="CP23" s="585"/>
      <c r="CQ23" s="585"/>
      <c r="CR23" s="585"/>
      <c r="CS23" s="585"/>
      <c r="CT23" s="585"/>
      <c r="CU23" s="585"/>
      <c r="CV23" s="585"/>
      <c r="CW23" s="585"/>
      <c r="CX23" s="585"/>
      <c r="CY23" s="585"/>
      <c r="CZ23" s="585"/>
      <c r="DA23" s="585"/>
      <c r="DB23" s="585"/>
      <c r="DC23" s="585"/>
      <c r="DD23" s="585"/>
      <c r="DE23" s="585"/>
      <c r="DF23" s="585"/>
      <c r="DG23" s="585"/>
      <c r="DH23" s="585"/>
      <c r="DI23" s="585"/>
      <c r="DJ23" s="585"/>
      <c r="DK23" s="585"/>
      <c r="DL23" s="585"/>
      <c r="DM23" s="585"/>
      <c r="DN23" s="585"/>
      <c r="DO23" s="585"/>
      <c r="DP23" s="585"/>
      <c r="DQ23" s="585"/>
      <c r="DR23" s="585"/>
      <c r="DS23" s="585"/>
      <c r="DT23" s="585"/>
      <c r="DU23" s="585"/>
      <c r="DV23" s="585"/>
      <c r="DW23" s="585"/>
      <c r="DX23" s="585"/>
      <c r="DY23" s="585"/>
      <c r="DZ23" s="585"/>
      <c r="EA23" s="585"/>
      <c r="EB23" s="585"/>
      <c r="EC23" s="585"/>
      <c r="ED23" s="585"/>
      <c r="EE23" s="585"/>
      <c r="EF23" s="585"/>
      <c r="EG23" s="585"/>
      <c r="EH23" s="585"/>
      <c r="EI23" s="585"/>
      <c r="EJ23" s="585"/>
      <c r="EK23" s="585"/>
      <c r="EL23" s="585"/>
      <c r="EM23" s="585"/>
      <c r="EN23" s="585"/>
      <c r="EO23" s="585"/>
      <c r="EP23" s="585"/>
      <c r="EQ23" s="585"/>
      <c r="ER23" s="585"/>
      <c r="ES23" s="585"/>
      <c r="ET23" s="585"/>
      <c r="EU23" s="585"/>
      <c r="EV23" s="585"/>
      <c r="EW23" s="585"/>
      <c r="EX23" s="585"/>
      <c r="EY23" s="585"/>
      <c r="EZ23" s="585"/>
      <c r="FA23" s="585"/>
      <c r="FB23" s="585"/>
      <c r="FC23" s="585"/>
    </row>
    <row r="24" spans="1:16384" ht="20.25" customHeight="1" x14ac:dyDescent="0.2">
      <c r="A24" s="514" t="str">
        <f>+'6. PEP Mensual'!A26</f>
        <v>1.2.2</v>
      </c>
      <c r="B24" s="542" t="str">
        <f>+'6. PEP Mensual'!B26</f>
        <v>Plan de Gestión Ambiental y Social - Región Oriental</v>
      </c>
      <c r="C24" s="543"/>
      <c r="D24" s="543"/>
      <c r="E24" s="522"/>
      <c r="F24" s="543"/>
      <c r="G24" s="543"/>
      <c r="H24" s="543"/>
      <c r="I24" s="545"/>
      <c r="J24" s="545"/>
      <c r="K24" s="522">
        <f>+'7. PEP Anual'!F23</f>
        <v>18000</v>
      </c>
      <c r="L24" s="545"/>
      <c r="M24" s="545"/>
      <c r="N24" s="545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585"/>
      <c r="AL24" s="585"/>
      <c r="AM24" s="585"/>
      <c r="AN24" s="585"/>
      <c r="AO24" s="585"/>
      <c r="AP24" s="585"/>
      <c r="AQ24" s="585"/>
      <c r="AR24" s="585"/>
      <c r="AS24" s="585"/>
      <c r="AT24" s="585"/>
      <c r="AU24" s="585"/>
      <c r="AV24" s="585"/>
      <c r="AW24" s="585"/>
      <c r="AX24" s="585"/>
      <c r="AY24" s="585"/>
      <c r="AZ24" s="585"/>
      <c r="BA24" s="585"/>
      <c r="BB24" s="585"/>
      <c r="BC24" s="585"/>
      <c r="BD24" s="585"/>
      <c r="BE24" s="585"/>
      <c r="BF24" s="585"/>
      <c r="BG24" s="585"/>
      <c r="BH24" s="585"/>
      <c r="BI24" s="585"/>
      <c r="BJ24" s="585"/>
      <c r="BK24" s="585"/>
      <c r="BL24" s="585"/>
      <c r="BM24" s="585"/>
      <c r="BN24" s="585"/>
      <c r="BO24" s="585"/>
      <c r="BP24" s="585"/>
      <c r="BQ24" s="585"/>
      <c r="BR24" s="585"/>
      <c r="BS24" s="585"/>
      <c r="BT24" s="585"/>
      <c r="BU24" s="585"/>
      <c r="BV24" s="585"/>
      <c r="BW24" s="585"/>
      <c r="BX24" s="585"/>
      <c r="BY24" s="585"/>
      <c r="BZ24" s="585"/>
      <c r="CA24" s="585"/>
      <c r="CB24" s="585"/>
      <c r="CC24" s="585"/>
      <c r="CD24" s="585"/>
      <c r="CE24" s="585"/>
      <c r="CF24" s="585"/>
      <c r="CG24" s="585"/>
      <c r="CH24" s="585"/>
      <c r="CI24" s="585"/>
      <c r="CJ24" s="585"/>
      <c r="CK24" s="585"/>
      <c r="CL24" s="585"/>
      <c r="CM24" s="585"/>
      <c r="CN24" s="585"/>
      <c r="CO24" s="585"/>
      <c r="CP24" s="585"/>
      <c r="CQ24" s="585"/>
      <c r="CR24" s="585"/>
      <c r="CS24" s="585"/>
      <c r="CT24" s="585"/>
      <c r="CU24" s="585"/>
      <c r="CV24" s="585"/>
      <c r="CW24" s="585"/>
      <c r="CX24" s="585"/>
      <c r="CY24" s="585"/>
      <c r="CZ24" s="585"/>
      <c r="DA24" s="585"/>
      <c r="DB24" s="585"/>
      <c r="DC24" s="585"/>
      <c r="DD24" s="585"/>
      <c r="DE24" s="585"/>
      <c r="DF24" s="585"/>
      <c r="DG24" s="585"/>
      <c r="DH24" s="585"/>
      <c r="DI24" s="585"/>
      <c r="DJ24" s="585"/>
      <c r="DK24" s="585"/>
      <c r="DL24" s="585"/>
      <c r="DM24" s="585"/>
      <c r="DN24" s="585"/>
      <c r="DO24" s="585"/>
      <c r="DP24" s="585"/>
      <c r="DQ24" s="585"/>
      <c r="DR24" s="585"/>
      <c r="DS24" s="585"/>
      <c r="DT24" s="585"/>
      <c r="DU24" s="585"/>
      <c r="DV24" s="585"/>
      <c r="DW24" s="585"/>
      <c r="DX24" s="585"/>
      <c r="DY24" s="585"/>
      <c r="DZ24" s="585"/>
      <c r="EA24" s="585"/>
      <c r="EB24" s="585"/>
      <c r="EC24" s="585"/>
      <c r="ED24" s="585"/>
      <c r="EE24" s="585"/>
      <c r="EF24" s="585"/>
      <c r="EG24" s="585"/>
      <c r="EH24" s="585"/>
      <c r="EI24" s="585"/>
      <c r="EJ24" s="585"/>
      <c r="EK24" s="585"/>
      <c r="EL24" s="585"/>
      <c r="EM24" s="585"/>
      <c r="EN24" s="585"/>
      <c r="EO24" s="585"/>
      <c r="EP24" s="585"/>
      <c r="EQ24" s="585"/>
      <c r="ER24" s="585"/>
      <c r="ES24" s="585"/>
      <c r="ET24" s="585"/>
      <c r="EU24" s="585"/>
      <c r="EV24" s="585"/>
      <c r="EW24" s="585"/>
      <c r="EX24" s="585"/>
      <c r="EY24" s="585"/>
      <c r="EZ24" s="585"/>
      <c r="FA24" s="585"/>
      <c r="FB24" s="585"/>
      <c r="FC24" s="585"/>
    </row>
    <row r="25" spans="1:16384" ht="18" customHeight="1" x14ac:dyDescent="0.2">
      <c r="A25" s="514" t="str">
        <f>+'6. PEP Mensual'!A27</f>
        <v>1.2.2.1</v>
      </c>
      <c r="B25" s="542" t="str">
        <f>+'6. PEP Mensual'!B27</f>
        <v>PGAS otras obras de pavimentación y mantenimiento</v>
      </c>
      <c r="C25" s="543"/>
      <c r="D25" s="543"/>
      <c r="E25" s="522"/>
      <c r="F25" s="543"/>
      <c r="G25" s="543"/>
      <c r="H25" s="543"/>
      <c r="I25" s="546"/>
      <c r="J25" s="547"/>
      <c r="K25" s="522">
        <f>+'7. PEP Anual'!F24</f>
        <v>0</v>
      </c>
      <c r="L25" s="547"/>
      <c r="M25" s="547"/>
      <c r="N25" s="547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585"/>
      <c r="AL25" s="585"/>
      <c r="AM25" s="585"/>
      <c r="AN25" s="585"/>
      <c r="AO25" s="585"/>
      <c r="AP25" s="585"/>
      <c r="AQ25" s="585"/>
      <c r="AR25" s="585"/>
      <c r="AS25" s="585"/>
      <c r="AT25" s="585"/>
      <c r="AU25" s="585"/>
      <c r="AV25" s="585"/>
      <c r="AW25" s="585"/>
      <c r="AX25" s="585"/>
      <c r="AY25" s="585"/>
      <c r="AZ25" s="585"/>
      <c r="BA25" s="585"/>
      <c r="BB25" s="585"/>
      <c r="BC25" s="585"/>
      <c r="BD25" s="585"/>
      <c r="BE25" s="585"/>
      <c r="BF25" s="585"/>
      <c r="BG25" s="585"/>
      <c r="BH25" s="585"/>
      <c r="BI25" s="585"/>
      <c r="BJ25" s="585"/>
      <c r="BK25" s="585"/>
      <c r="BL25" s="585"/>
      <c r="BM25" s="585"/>
      <c r="BN25" s="585"/>
      <c r="BO25" s="585"/>
      <c r="BP25" s="585"/>
      <c r="BQ25" s="585"/>
      <c r="BR25" s="585"/>
      <c r="BS25" s="585"/>
      <c r="BT25" s="585"/>
      <c r="BU25" s="585"/>
      <c r="BV25" s="585"/>
      <c r="BW25" s="585"/>
      <c r="BX25" s="585"/>
      <c r="BY25" s="585"/>
      <c r="BZ25" s="585"/>
      <c r="CA25" s="585"/>
      <c r="CB25" s="585"/>
      <c r="CC25" s="585"/>
      <c r="CD25" s="585"/>
      <c r="CE25" s="585"/>
      <c r="CF25" s="585"/>
      <c r="CG25" s="585"/>
      <c r="CH25" s="585"/>
      <c r="CI25" s="585"/>
      <c r="CJ25" s="585"/>
      <c r="CK25" s="585"/>
      <c r="CL25" s="585"/>
      <c r="CM25" s="585"/>
      <c r="CN25" s="585"/>
      <c r="CO25" s="585"/>
      <c r="CP25" s="585"/>
      <c r="CQ25" s="585"/>
      <c r="CR25" s="585"/>
      <c r="CS25" s="585"/>
      <c r="CT25" s="585"/>
      <c r="CU25" s="585"/>
      <c r="CV25" s="585"/>
      <c r="CW25" s="585"/>
      <c r="CX25" s="585"/>
      <c r="CY25" s="585"/>
      <c r="CZ25" s="585"/>
      <c r="DA25" s="585"/>
      <c r="DB25" s="585"/>
      <c r="DC25" s="585"/>
      <c r="DD25" s="585"/>
      <c r="DE25" s="585"/>
      <c r="DF25" s="585"/>
      <c r="DG25" s="585"/>
      <c r="DH25" s="585"/>
      <c r="DI25" s="585"/>
      <c r="DJ25" s="585"/>
      <c r="DK25" s="585"/>
      <c r="DL25" s="585"/>
      <c r="DM25" s="585"/>
      <c r="DN25" s="585"/>
      <c r="DO25" s="585"/>
      <c r="DP25" s="585"/>
      <c r="DQ25" s="585"/>
      <c r="DR25" s="585"/>
      <c r="DS25" s="585"/>
      <c r="DT25" s="585"/>
      <c r="DU25" s="585"/>
      <c r="DV25" s="585"/>
      <c r="DW25" s="585"/>
      <c r="DX25" s="585"/>
      <c r="DY25" s="585"/>
      <c r="DZ25" s="585"/>
      <c r="EA25" s="585"/>
      <c r="EB25" s="585"/>
      <c r="EC25" s="585"/>
      <c r="ED25" s="585"/>
      <c r="EE25" s="585"/>
      <c r="EF25" s="585"/>
      <c r="EG25" s="585"/>
      <c r="EH25" s="585"/>
      <c r="EI25" s="585"/>
      <c r="EJ25" s="585"/>
      <c r="EK25" s="585"/>
      <c r="EL25" s="585"/>
      <c r="EM25" s="585"/>
      <c r="EN25" s="585"/>
      <c r="EO25" s="585"/>
      <c r="EP25" s="585"/>
      <c r="EQ25" s="585"/>
      <c r="ER25" s="585"/>
      <c r="ES25" s="585"/>
      <c r="ET25" s="585"/>
      <c r="EU25" s="585"/>
      <c r="EV25" s="585"/>
      <c r="EW25" s="585"/>
      <c r="EX25" s="585"/>
      <c r="EY25" s="585"/>
      <c r="EZ25" s="585"/>
      <c r="FA25" s="585"/>
      <c r="FB25" s="585"/>
      <c r="FC25" s="585"/>
    </row>
    <row r="26" spans="1:16384" ht="25.5" x14ac:dyDescent="0.2">
      <c r="A26" s="514" t="str">
        <f>+'6. PEP Mensual'!A28</f>
        <v>1.2.2.2</v>
      </c>
      <c r="B26" s="542" t="str">
        <f>+'6. PEP Mensual'!B28</f>
        <v>Plan de reposición forestal</v>
      </c>
      <c r="C26" s="547"/>
      <c r="D26" s="547"/>
      <c r="E26" s="548">
        <f>'[3]3. PEP'!G40</f>
        <v>11660000</v>
      </c>
      <c r="F26" s="547"/>
      <c r="G26" s="547"/>
      <c r="H26" s="547"/>
      <c r="I26" s="544" t="s">
        <v>453</v>
      </c>
      <c r="J26" s="543" t="s">
        <v>328</v>
      </c>
      <c r="K26" s="522">
        <f>+'7. PEP Anual'!F25</f>
        <v>18000</v>
      </c>
      <c r="L26" s="543"/>
      <c r="M26" s="543"/>
      <c r="N26" s="543"/>
      <c r="O26" s="523"/>
      <c r="P26" s="523"/>
      <c r="Q26" s="519"/>
      <c r="R26" s="519"/>
      <c r="S26" s="519"/>
      <c r="T26" s="520"/>
      <c r="U26" s="520"/>
      <c r="V26" s="520"/>
      <c r="W26" s="520"/>
      <c r="X26" s="520"/>
      <c r="Y26" s="521">
        <v>1</v>
      </c>
      <c r="Z26" s="521">
        <v>2</v>
      </c>
      <c r="AA26" s="585"/>
      <c r="AB26" s="585"/>
      <c r="AC26" s="585"/>
      <c r="AD26" s="585"/>
      <c r="AE26" s="585"/>
      <c r="AF26" s="585"/>
      <c r="AG26" s="585"/>
      <c r="AH26" s="585"/>
      <c r="AI26" s="585"/>
      <c r="AJ26" s="585"/>
      <c r="AK26" s="585"/>
      <c r="AL26" s="585"/>
      <c r="AM26" s="585"/>
      <c r="AN26" s="585"/>
      <c r="AO26" s="585"/>
      <c r="AP26" s="585"/>
      <c r="AQ26" s="585"/>
      <c r="AR26" s="585"/>
      <c r="AS26" s="585"/>
      <c r="AT26" s="585"/>
      <c r="AU26" s="585"/>
      <c r="AV26" s="585"/>
      <c r="AW26" s="585"/>
      <c r="AX26" s="585"/>
      <c r="AY26" s="585"/>
      <c r="AZ26" s="585"/>
      <c r="BA26" s="585"/>
      <c r="BB26" s="585"/>
      <c r="BC26" s="585"/>
      <c r="BD26" s="585"/>
      <c r="BE26" s="585"/>
      <c r="BF26" s="585"/>
      <c r="BG26" s="585"/>
      <c r="BH26" s="585"/>
      <c r="BI26" s="585"/>
      <c r="BJ26" s="585"/>
      <c r="BK26" s="585"/>
      <c r="BL26" s="585"/>
      <c r="BM26" s="585"/>
      <c r="BN26" s="585"/>
      <c r="BO26" s="585"/>
      <c r="BP26" s="585"/>
      <c r="BQ26" s="585"/>
      <c r="BR26" s="585"/>
      <c r="BS26" s="585"/>
      <c r="BT26" s="585"/>
      <c r="BU26" s="585"/>
      <c r="BV26" s="585"/>
      <c r="BW26" s="585"/>
      <c r="BX26" s="585"/>
      <c r="BY26" s="585"/>
      <c r="BZ26" s="585"/>
      <c r="CA26" s="585"/>
      <c r="CB26" s="585"/>
      <c r="CC26" s="585"/>
      <c r="CD26" s="585"/>
      <c r="CE26" s="585"/>
      <c r="CF26" s="585"/>
      <c r="CG26" s="585"/>
      <c r="CH26" s="585"/>
      <c r="CI26" s="585"/>
      <c r="CJ26" s="585"/>
      <c r="CK26" s="585"/>
      <c r="CL26" s="585"/>
      <c r="CM26" s="585"/>
      <c r="CN26" s="585"/>
      <c r="CO26" s="585"/>
      <c r="CP26" s="585"/>
      <c r="CQ26" s="585"/>
      <c r="CR26" s="585"/>
      <c r="CS26" s="585"/>
      <c r="CT26" s="585"/>
      <c r="CU26" s="585"/>
      <c r="CV26" s="585"/>
      <c r="CW26" s="585"/>
      <c r="CX26" s="585"/>
      <c r="CY26" s="585"/>
      <c r="CZ26" s="585"/>
      <c r="DA26" s="585"/>
      <c r="DB26" s="585"/>
      <c r="DC26" s="585"/>
      <c r="DD26" s="585"/>
      <c r="DE26" s="585"/>
      <c r="DF26" s="585"/>
      <c r="DG26" s="585"/>
      <c r="DH26" s="585"/>
      <c r="DI26" s="585"/>
      <c r="DJ26" s="585"/>
      <c r="DK26" s="585"/>
      <c r="DL26" s="585"/>
      <c r="DM26" s="585"/>
      <c r="DN26" s="585"/>
      <c r="DO26" s="585"/>
      <c r="DP26" s="585"/>
      <c r="DQ26" s="585"/>
      <c r="DR26" s="585"/>
      <c r="DS26" s="585"/>
      <c r="DT26" s="585"/>
      <c r="DU26" s="585"/>
      <c r="DV26" s="585"/>
      <c r="DW26" s="585"/>
      <c r="DX26" s="585"/>
      <c r="DY26" s="585"/>
      <c r="DZ26" s="585"/>
      <c r="EA26" s="585"/>
      <c r="EB26" s="585"/>
      <c r="EC26" s="585"/>
      <c r="ED26" s="585"/>
      <c r="EE26" s="585"/>
      <c r="EF26" s="585"/>
      <c r="EG26" s="585"/>
      <c r="EH26" s="585"/>
      <c r="EI26" s="585"/>
      <c r="EJ26" s="585"/>
      <c r="EK26" s="585"/>
      <c r="EL26" s="585"/>
      <c r="EM26" s="585"/>
      <c r="EN26" s="585"/>
      <c r="EO26" s="585"/>
      <c r="EP26" s="585"/>
      <c r="EQ26" s="585"/>
      <c r="ER26" s="585"/>
      <c r="ES26" s="585"/>
      <c r="ET26" s="585"/>
      <c r="EU26" s="585"/>
      <c r="EV26" s="585"/>
      <c r="EW26" s="585"/>
      <c r="EX26" s="585"/>
      <c r="EY26" s="585"/>
      <c r="EZ26" s="585"/>
      <c r="FA26" s="585"/>
      <c r="FB26" s="585"/>
      <c r="FC26" s="585"/>
    </row>
    <row r="27" spans="1:16384" x14ac:dyDescent="0.2">
      <c r="A27" s="514" t="str">
        <f>+'6. PEP Mensual'!A29</f>
        <v>1.2.2.3</v>
      </c>
      <c r="B27" s="542" t="str">
        <f>+'6. PEP Mensual'!B29</f>
        <v>Caracterización y monitoreo de fauna</v>
      </c>
      <c r="C27" s="549" t="str">
        <f>'[3]3. PEP'!D41</f>
        <v>T2 - Año 1</v>
      </c>
      <c r="D27" s="549" t="str">
        <f>'[3]3. PEP'!F41</f>
        <v>T1 - Año 3</v>
      </c>
      <c r="E27" s="522">
        <f>'[3]3. PEP'!G41</f>
        <v>6885000</v>
      </c>
      <c r="F27" s="549"/>
      <c r="G27" s="549" t="str">
        <f t="shared" si="0"/>
        <v>T2 - Año 1</v>
      </c>
      <c r="H27" s="549" t="str">
        <f t="shared" si="0"/>
        <v>T1 - Año 3</v>
      </c>
      <c r="I27" s="546"/>
      <c r="J27" s="547"/>
      <c r="K27" s="522">
        <f>+'7. PEP Anual'!F26</f>
        <v>0</v>
      </c>
      <c r="L27" s="547"/>
      <c r="M27" s="547"/>
      <c r="N27" s="547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5"/>
      <c r="AL27" s="585"/>
      <c r="AM27" s="585"/>
      <c r="AN27" s="585"/>
      <c r="AO27" s="585"/>
      <c r="AP27" s="585"/>
      <c r="AQ27" s="585"/>
      <c r="AR27" s="585"/>
      <c r="AS27" s="585"/>
      <c r="AT27" s="585"/>
      <c r="AU27" s="585"/>
      <c r="AV27" s="585"/>
      <c r="AW27" s="585"/>
      <c r="AX27" s="585"/>
      <c r="AY27" s="585"/>
      <c r="AZ27" s="585"/>
      <c r="BA27" s="585"/>
      <c r="BB27" s="585"/>
      <c r="BC27" s="585"/>
      <c r="BD27" s="585"/>
      <c r="BE27" s="585"/>
      <c r="BF27" s="585"/>
      <c r="BG27" s="585"/>
      <c r="BH27" s="585"/>
      <c r="BI27" s="585"/>
      <c r="BJ27" s="585"/>
      <c r="BK27" s="585"/>
      <c r="BL27" s="585"/>
      <c r="BM27" s="585"/>
      <c r="BN27" s="585"/>
      <c r="BO27" s="585"/>
      <c r="BP27" s="585"/>
      <c r="BQ27" s="585"/>
      <c r="BR27" s="585"/>
      <c r="BS27" s="585"/>
      <c r="BT27" s="585"/>
      <c r="BU27" s="585"/>
      <c r="BV27" s="585"/>
      <c r="BW27" s="585"/>
      <c r="BX27" s="585"/>
      <c r="BY27" s="585"/>
      <c r="BZ27" s="585"/>
      <c r="CA27" s="585"/>
      <c r="CB27" s="585"/>
      <c r="CC27" s="585"/>
      <c r="CD27" s="585"/>
      <c r="CE27" s="585"/>
      <c r="CF27" s="585"/>
      <c r="CG27" s="585"/>
      <c r="CH27" s="585"/>
      <c r="CI27" s="585"/>
      <c r="CJ27" s="585"/>
      <c r="CK27" s="585"/>
      <c r="CL27" s="585"/>
      <c r="CM27" s="585"/>
      <c r="CN27" s="585"/>
      <c r="CO27" s="585"/>
      <c r="CP27" s="585"/>
      <c r="CQ27" s="585"/>
      <c r="CR27" s="585"/>
      <c r="CS27" s="585"/>
      <c r="CT27" s="585"/>
      <c r="CU27" s="585"/>
      <c r="CV27" s="585"/>
      <c r="CW27" s="585"/>
      <c r="CX27" s="585"/>
      <c r="CY27" s="585"/>
      <c r="CZ27" s="585"/>
      <c r="DA27" s="585"/>
      <c r="DB27" s="585"/>
      <c r="DC27" s="585"/>
      <c r="DD27" s="585"/>
      <c r="DE27" s="585"/>
      <c r="DF27" s="585"/>
      <c r="DG27" s="585"/>
      <c r="DH27" s="585"/>
      <c r="DI27" s="585"/>
      <c r="DJ27" s="585"/>
      <c r="DK27" s="585"/>
      <c r="DL27" s="585"/>
      <c r="DM27" s="585"/>
      <c r="DN27" s="585"/>
      <c r="DO27" s="585"/>
      <c r="DP27" s="585"/>
      <c r="DQ27" s="585"/>
      <c r="DR27" s="585"/>
      <c r="DS27" s="585"/>
      <c r="DT27" s="585"/>
      <c r="DU27" s="585"/>
      <c r="DV27" s="585"/>
      <c r="DW27" s="585"/>
      <c r="DX27" s="585"/>
      <c r="DY27" s="585"/>
      <c r="DZ27" s="585"/>
      <c r="EA27" s="585"/>
      <c r="EB27" s="585"/>
      <c r="EC27" s="585"/>
      <c r="ED27" s="585"/>
      <c r="EE27" s="585"/>
      <c r="EF27" s="585"/>
      <c r="EG27" s="585"/>
      <c r="EH27" s="585"/>
      <c r="EI27" s="585"/>
      <c r="EJ27" s="585"/>
      <c r="EK27" s="585"/>
      <c r="EL27" s="585"/>
      <c r="EM27" s="585"/>
      <c r="EN27" s="585"/>
      <c r="EO27" s="585"/>
      <c r="EP27" s="585"/>
      <c r="EQ27" s="585"/>
      <c r="ER27" s="585"/>
      <c r="ES27" s="585"/>
      <c r="ET27" s="585"/>
      <c r="EU27" s="585"/>
      <c r="EV27" s="585"/>
      <c r="EW27" s="585"/>
      <c r="EX27" s="585"/>
      <c r="EY27" s="585"/>
      <c r="EZ27" s="585"/>
      <c r="FA27" s="585"/>
      <c r="FB27" s="585"/>
      <c r="FC27" s="585"/>
    </row>
    <row r="28" spans="1:16384" x14ac:dyDescent="0.2">
      <c r="A28" s="514" t="str">
        <f>+'6. PEP Mensual'!A30</f>
        <v>1.2.2.4</v>
      </c>
      <c r="B28" s="542" t="str">
        <f>+'6. PEP Mensual'!B30</f>
        <v>Monitoreo de Recursos Hídricos</v>
      </c>
      <c r="C28" s="549" t="str">
        <f>'[3]3. PEP'!D42</f>
        <v>T3 - Año 2</v>
      </c>
      <c r="D28" s="549" t="str">
        <f>'[3]3. PEP'!F42</f>
        <v>T4 - Año 4</v>
      </c>
      <c r="E28" s="522">
        <f>'[3]3. PEP'!G42</f>
        <v>3315000</v>
      </c>
      <c r="F28" s="549"/>
      <c r="G28" s="549" t="str">
        <f t="shared" si="0"/>
        <v>T3 - Año 2</v>
      </c>
      <c r="H28" s="549" t="str">
        <f t="shared" si="0"/>
        <v>T4 - Año 4</v>
      </c>
      <c r="I28" s="544"/>
      <c r="J28" s="543"/>
      <c r="K28" s="522">
        <f>+'7. PEP Anual'!F27</f>
        <v>0</v>
      </c>
      <c r="L28" s="549"/>
      <c r="M28" s="549"/>
      <c r="N28" s="549"/>
      <c r="O28" s="550"/>
      <c r="P28" s="550"/>
      <c r="Q28" s="550"/>
      <c r="R28" s="550"/>
      <c r="S28" s="550"/>
      <c r="T28" s="550"/>
      <c r="U28" s="550"/>
      <c r="V28" s="522"/>
      <c r="W28" s="522"/>
      <c r="X28" s="522"/>
      <c r="Y28" s="522"/>
      <c r="Z28" s="522"/>
      <c r="AA28" s="585"/>
      <c r="AB28" s="585"/>
      <c r="AC28" s="585"/>
      <c r="AD28" s="585"/>
      <c r="AE28" s="585"/>
      <c r="AF28" s="585"/>
      <c r="AG28" s="585"/>
      <c r="AH28" s="585"/>
      <c r="AI28" s="585"/>
      <c r="AJ28" s="585"/>
      <c r="AK28" s="585"/>
      <c r="AL28" s="585"/>
      <c r="AM28" s="585"/>
      <c r="AN28" s="585"/>
      <c r="AO28" s="585"/>
      <c r="AP28" s="585"/>
      <c r="AQ28" s="585"/>
      <c r="AR28" s="585"/>
      <c r="AS28" s="585"/>
      <c r="AT28" s="585"/>
      <c r="AU28" s="585"/>
      <c r="AV28" s="585"/>
      <c r="AW28" s="585"/>
      <c r="AX28" s="585"/>
      <c r="AY28" s="585"/>
      <c r="AZ28" s="585"/>
      <c r="BA28" s="585"/>
      <c r="BB28" s="585"/>
      <c r="BC28" s="585"/>
      <c r="BD28" s="585"/>
      <c r="BE28" s="585"/>
      <c r="BF28" s="585"/>
      <c r="BG28" s="585"/>
      <c r="BH28" s="585"/>
      <c r="BI28" s="585"/>
      <c r="BJ28" s="585"/>
      <c r="BK28" s="585"/>
      <c r="BL28" s="585"/>
      <c r="BM28" s="585"/>
      <c r="BN28" s="585"/>
      <c r="BO28" s="585"/>
      <c r="BP28" s="585"/>
      <c r="BQ28" s="585"/>
      <c r="BR28" s="585"/>
      <c r="BS28" s="585"/>
      <c r="BT28" s="585"/>
      <c r="BU28" s="585"/>
      <c r="BV28" s="585"/>
      <c r="BW28" s="585"/>
      <c r="BX28" s="585"/>
      <c r="BY28" s="585"/>
      <c r="BZ28" s="585"/>
      <c r="CA28" s="585"/>
      <c r="CB28" s="585"/>
      <c r="CC28" s="585"/>
      <c r="CD28" s="585"/>
      <c r="CE28" s="585"/>
      <c r="CF28" s="585"/>
      <c r="CG28" s="585"/>
      <c r="CH28" s="585"/>
      <c r="CI28" s="585"/>
      <c r="CJ28" s="585"/>
      <c r="CK28" s="585"/>
      <c r="CL28" s="585"/>
      <c r="CM28" s="585"/>
      <c r="CN28" s="585"/>
      <c r="CO28" s="585"/>
      <c r="CP28" s="585"/>
      <c r="CQ28" s="585"/>
      <c r="CR28" s="585"/>
      <c r="CS28" s="585"/>
      <c r="CT28" s="585"/>
      <c r="CU28" s="585"/>
      <c r="CV28" s="585"/>
      <c r="CW28" s="585"/>
      <c r="CX28" s="585"/>
      <c r="CY28" s="585"/>
      <c r="CZ28" s="585"/>
      <c r="DA28" s="585"/>
      <c r="DB28" s="585"/>
      <c r="DC28" s="585"/>
      <c r="DD28" s="585"/>
      <c r="DE28" s="585"/>
      <c r="DF28" s="585"/>
      <c r="DG28" s="585"/>
      <c r="DH28" s="585"/>
      <c r="DI28" s="585"/>
      <c r="DJ28" s="585"/>
      <c r="DK28" s="585"/>
      <c r="DL28" s="585"/>
      <c r="DM28" s="585"/>
      <c r="DN28" s="585"/>
      <c r="DO28" s="585"/>
      <c r="DP28" s="585"/>
      <c r="DQ28" s="585"/>
      <c r="DR28" s="585"/>
      <c r="DS28" s="585"/>
      <c r="DT28" s="585"/>
      <c r="DU28" s="585"/>
      <c r="DV28" s="585"/>
      <c r="DW28" s="585"/>
      <c r="DX28" s="585"/>
      <c r="DY28" s="585"/>
      <c r="DZ28" s="585"/>
      <c r="EA28" s="585"/>
      <c r="EB28" s="585"/>
      <c r="EC28" s="585"/>
      <c r="ED28" s="585"/>
      <c r="EE28" s="585"/>
      <c r="EF28" s="585"/>
      <c r="EG28" s="585"/>
      <c r="EH28" s="585"/>
      <c r="EI28" s="585"/>
      <c r="EJ28" s="585"/>
      <c r="EK28" s="585"/>
      <c r="EL28" s="585"/>
      <c r="EM28" s="585"/>
      <c r="EN28" s="585"/>
      <c r="EO28" s="585"/>
      <c r="EP28" s="585"/>
      <c r="EQ28" s="585"/>
      <c r="ER28" s="585"/>
      <c r="ES28" s="585"/>
      <c r="ET28" s="585"/>
      <c r="EU28" s="585"/>
      <c r="EV28" s="585"/>
      <c r="EW28" s="585"/>
      <c r="EX28" s="585"/>
      <c r="EY28" s="585"/>
      <c r="EZ28" s="585"/>
      <c r="FA28" s="585"/>
      <c r="FB28" s="585"/>
      <c r="FC28" s="585"/>
    </row>
    <row r="29" spans="1:16384" x14ac:dyDescent="0.2">
      <c r="A29" s="509" t="str">
        <f>+'6. PEP Mensual'!A31</f>
        <v>1.3</v>
      </c>
      <c r="B29" s="510" t="str">
        <f>+'6. PEP Mensual'!B31</f>
        <v>Pago por Servicios Ambientales</v>
      </c>
      <c r="C29" s="511" t="str">
        <f>'[3]3. PEP'!D43</f>
        <v>T1 - Año 1</v>
      </c>
      <c r="D29" s="511" t="str">
        <f>'[3]3. PEP'!F43</f>
        <v>T1 - Año 3</v>
      </c>
      <c r="E29" s="512">
        <f>'[3]3. PEP'!G43</f>
        <v>460000</v>
      </c>
      <c r="F29" s="511"/>
      <c r="G29" s="511" t="str">
        <f>C29</f>
        <v>T1 - Año 1</v>
      </c>
      <c r="H29" s="511" t="str">
        <f>D29</f>
        <v>T1 - Año 3</v>
      </c>
      <c r="I29" s="513"/>
      <c r="J29" s="511"/>
      <c r="K29" s="512">
        <f>+'7. PEP Anual'!F28</f>
        <v>0</v>
      </c>
      <c r="L29" s="511"/>
      <c r="M29" s="511"/>
      <c r="N29" s="511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87"/>
      <c r="AB29" s="588"/>
      <c r="AC29" s="585"/>
      <c r="AD29" s="585"/>
      <c r="AE29" s="585"/>
      <c r="AF29" s="585"/>
      <c r="AG29" s="585"/>
      <c r="AH29" s="585"/>
      <c r="AI29" s="585"/>
      <c r="AJ29" s="585"/>
      <c r="AK29" s="585"/>
      <c r="AL29" s="585"/>
      <c r="AM29" s="585"/>
      <c r="AN29" s="585"/>
      <c r="AO29" s="585"/>
      <c r="AP29" s="585"/>
      <c r="AQ29" s="585"/>
      <c r="AR29" s="585"/>
      <c r="AS29" s="585"/>
      <c r="AT29" s="585"/>
      <c r="AU29" s="585"/>
      <c r="AV29" s="585"/>
      <c r="AW29" s="585"/>
      <c r="AX29" s="585"/>
      <c r="AY29" s="585"/>
      <c r="AZ29" s="585"/>
      <c r="BA29" s="585"/>
      <c r="BB29" s="585"/>
      <c r="BC29" s="585"/>
      <c r="BD29" s="585"/>
      <c r="BE29" s="585"/>
      <c r="BF29" s="585"/>
      <c r="BG29" s="585"/>
      <c r="BH29" s="585"/>
      <c r="BI29" s="585"/>
      <c r="BJ29" s="585"/>
      <c r="BK29" s="585"/>
      <c r="BL29" s="585"/>
      <c r="BM29" s="585"/>
      <c r="BN29" s="585"/>
      <c r="BO29" s="585"/>
      <c r="BP29" s="585"/>
      <c r="BQ29" s="585"/>
      <c r="BR29" s="585"/>
      <c r="BS29" s="585"/>
      <c r="BT29" s="585"/>
      <c r="BU29" s="585"/>
      <c r="BV29" s="585"/>
      <c r="BW29" s="585"/>
      <c r="BX29" s="585"/>
      <c r="BY29" s="585"/>
      <c r="BZ29" s="585"/>
      <c r="CA29" s="585"/>
      <c r="CB29" s="585"/>
      <c r="CC29" s="585"/>
      <c r="CD29" s="585"/>
      <c r="CE29" s="585"/>
      <c r="CF29" s="585"/>
      <c r="CG29" s="585"/>
      <c r="CH29" s="585"/>
      <c r="CI29" s="585"/>
      <c r="CJ29" s="585"/>
      <c r="CK29" s="585"/>
      <c r="CL29" s="585"/>
      <c r="CM29" s="585"/>
      <c r="CN29" s="585"/>
      <c r="CO29" s="585"/>
      <c r="CP29" s="585"/>
      <c r="CQ29" s="585"/>
      <c r="CR29" s="585"/>
      <c r="CS29" s="585"/>
      <c r="CT29" s="585"/>
      <c r="CU29" s="585"/>
      <c r="CV29" s="585"/>
      <c r="CW29" s="585"/>
      <c r="CX29" s="585"/>
      <c r="CY29" s="585"/>
      <c r="CZ29" s="585"/>
      <c r="DA29" s="585"/>
      <c r="DB29" s="585"/>
      <c r="DC29" s="585"/>
      <c r="DD29" s="585"/>
      <c r="DE29" s="585"/>
      <c r="DF29" s="585"/>
      <c r="DG29" s="585"/>
      <c r="DH29" s="585"/>
      <c r="DI29" s="585"/>
      <c r="DJ29" s="585"/>
      <c r="DK29" s="585"/>
      <c r="DL29" s="585"/>
      <c r="DM29" s="585"/>
      <c r="DN29" s="585"/>
      <c r="DO29" s="585"/>
      <c r="DP29" s="585"/>
      <c r="DQ29" s="585"/>
      <c r="DR29" s="585"/>
      <c r="DS29" s="585"/>
      <c r="DT29" s="585"/>
      <c r="DU29" s="585"/>
      <c r="DV29" s="585"/>
      <c r="DW29" s="585"/>
      <c r="DX29" s="585"/>
      <c r="DY29" s="585"/>
      <c r="DZ29" s="585"/>
      <c r="EA29" s="585"/>
      <c r="EB29" s="585"/>
      <c r="EC29" s="585"/>
      <c r="ED29" s="585"/>
      <c r="EE29" s="585"/>
      <c r="EF29" s="585"/>
      <c r="EG29" s="585"/>
      <c r="EH29" s="585"/>
      <c r="EI29" s="585"/>
      <c r="EJ29" s="585"/>
      <c r="EK29" s="585"/>
      <c r="EL29" s="585"/>
      <c r="EM29" s="585"/>
      <c r="EN29" s="585"/>
      <c r="EO29" s="585"/>
      <c r="EP29" s="585"/>
      <c r="EQ29" s="585"/>
      <c r="ER29" s="585"/>
      <c r="ES29" s="585"/>
      <c r="ET29" s="585"/>
      <c r="EU29" s="585"/>
      <c r="EV29" s="585"/>
      <c r="EW29" s="585"/>
      <c r="EX29" s="585"/>
      <c r="EY29" s="585"/>
      <c r="EZ29" s="585"/>
      <c r="FA29" s="585"/>
      <c r="FB29" s="585"/>
      <c r="FC29" s="585"/>
    </row>
    <row r="30" spans="1:16384" ht="23.25" customHeight="1" x14ac:dyDescent="0.2">
      <c r="A30" s="514" t="str">
        <f>+'6. PEP Mensual'!A32</f>
        <v>1.3.1</v>
      </c>
      <c r="B30" s="515" t="str">
        <f>+'6. PEP Mensual'!B32</f>
        <v>Servicios Ambientales</v>
      </c>
      <c r="C30" s="516" t="str">
        <f>'[3]3. PEP'!D45</f>
        <v>T3 - Año 1</v>
      </c>
      <c r="D30" s="516" t="str">
        <f>'[3]3. PEP'!F45</f>
        <v>T4 - Año 2</v>
      </c>
      <c r="E30" s="517">
        <f>'[3]3. PEP'!G45</f>
        <v>780000</v>
      </c>
      <c r="F30" s="516"/>
      <c r="G30" s="516" t="str">
        <f>C30</f>
        <v>T3 - Año 1</v>
      </c>
      <c r="H30" s="516" t="str">
        <f t="shared" ref="H30" si="3">D30</f>
        <v>T4 - Año 2</v>
      </c>
      <c r="I30" s="518"/>
      <c r="J30" s="516"/>
      <c r="K30" s="517">
        <f>+'7. PEP Anual'!F29</f>
        <v>0</v>
      </c>
      <c r="L30" s="516"/>
      <c r="M30" s="516"/>
      <c r="N30" s="516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85"/>
      <c r="AB30" s="585"/>
      <c r="AC30" s="585"/>
      <c r="AD30" s="585"/>
      <c r="AE30" s="585"/>
      <c r="AF30" s="585"/>
      <c r="AG30" s="585"/>
      <c r="AH30" s="585"/>
      <c r="AI30" s="585"/>
      <c r="AJ30" s="585"/>
      <c r="AK30" s="585"/>
      <c r="AL30" s="585"/>
      <c r="AM30" s="585"/>
      <c r="AN30" s="585"/>
      <c r="AO30" s="585"/>
      <c r="AP30" s="585"/>
      <c r="AQ30" s="585"/>
      <c r="AR30" s="585"/>
      <c r="AS30" s="585"/>
      <c r="AT30" s="585"/>
      <c r="AU30" s="585"/>
      <c r="AV30" s="585"/>
      <c r="AW30" s="585"/>
      <c r="AX30" s="585"/>
      <c r="AY30" s="585"/>
      <c r="AZ30" s="585"/>
      <c r="BA30" s="585"/>
      <c r="BB30" s="585"/>
      <c r="BC30" s="585"/>
      <c r="BD30" s="585"/>
      <c r="BE30" s="585"/>
      <c r="BF30" s="585"/>
      <c r="BG30" s="585"/>
      <c r="BH30" s="585"/>
      <c r="BI30" s="585"/>
      <c r="BJ30" s="585"/>
      <c r="BK30" s="585"/>
      <c r="BL30" s="585"/>
      <c r="BM30" s="585"/>
      <c r="BN30" s="585"/>
      <c r="BO30" s="585"/>
      <c r="BP30" s="585"/>
      <c r="BQ30" s="585"/>
      <c r="BR30" s="585"/>
      <c r="BS30" s="585"/>
      <c r="BT30" s="585"/>
      <c r="BU30" s="585"/>
      <c r="BV30" s="585"/>
      <c r="BW30" s="585"/>
      <c r="BX30" s="585"/>
      <c r="BY30" s="585"/>
      <c r="BZ30" s="585"/>
      <c r="CA30" s="585"/>
      <c r="CB30" s="585"/>
      <c r="CC30" s="585"/>
      <c r="CD30" s="585"/>
      <c r="CE30" s="585"/>
      <c r="CF30" s="585"/>
      <c r="CG30" s="585"/>
      <c r="CH30" s="585"/>
      <c r="CI30" s="585"/>
      <c r="CJ30" s="585"/>
      <c r="CK30" s="585"/>
      <c r="CL30" s="585"/>
      <c r="CM30" s="585"/>
      <c r="CN30" s="585"/>
      <c r="CO30" s="585"/>
      <c r="CP30" s="585"/>
      <c r="CQ30" s="585"/>
      <c r="CR30" s="585"/>
      <c r="CS30" s="585"/>
      <c r="CT30" s="585"/>
      <c r="CU30" s="585"/>
      <c r="CV30" s="585"/>
      <c r="CW30" s="585"/>
      <c r="CX30" s="585"/>
      <c r="CY30" s="585"/>
      <c r="CZ30" s="585"/>
      <c r="DA30" s="585"/>
      <c r="DB30" s="585"/>
      <c r="DC30" s="585"/>
      <c r="DD30" s="585"/>
      <c r="DE30" s="585"/>
      <c r="DF30" s="585"/>
      <c r="DG30" s="585"/>
      <c r="DH30" s="585"/>
      <c r="DI30" s="585"/>
      <c r="DJ30" s="585"/>
      <c r="DK30" s="585"/>
      <c r="DL30" s="585"/>
      <c r="DM30" s="585"/>
      <c r="DN30" s="585"/>
      <c r="DO30" s="585"/>
      <c r="DP30" s="585"/>
      <c r="DQ30" s="585"/>
      <c r="DR30" s="585"/>
      <c r="DS30" s="585"/>
      <c r="DT30" s="585"/>
      <c r="DU30" s="585"/>
      <c r="DV30" s="585"/>
      <c r="DW30" s="585"/>
      <c r="DX30" s="585"/>
      <c r="DY30" s="585"/>
      <c r="DZ30" s="585"/>
      <c r="EA30" s="585"/>
      <c r="EB30" s="585"/>
      <c r="EC30" s="585"/>
      <c r="ED30" s="585"/>
      <c r="EE30" s="585"/>
      <c r="EF30" s="585"/>
      <c r="EG30" s="585"/>
      <c r="EH30" s="585"/>
      <c r="EI30" s="585"/>
      <c r="EJ30" s="585"/>
      <c r="EK30" s="585"/>
      <c r="EL30" s="585"/>
      <c r="EM30" s="585"/>
      <c r="EN30" s="585"/>
      <c r="EO30" s="585"/>
      <c r="EP30" s="585"/>
      <c r="EQ30" s="585"/>
      <c r="ER30" s="585"/>
      <c r="ES30" s="585"/>
      <c r="ET30" s="585"/>
      <c r="EU30" s="585"/>
      <c r="EV30" s="585"/>
      <c r="EW30" s="585"/>
      <c r="EX30" s="585"/>
      <c r="EY30" s="585"/>
      <c r="EZ30" s="585"/>
      <c r="FA30" s="585"/>
      <c r="FB30" s="585"/>
      <c r="FC30" s="585"/>
    </row>
    <row r="31" spans="1:16384" ht="23.25" customHeight="1" x14ac:dyDescent="0.2">
      <c r="A31" s="509" t="str">
        <f>+'6. PEP Mensual'!A33</f>
        <v>1.4</v>
      </c>
      <c r="B31" s="510" t="str">
        <f>+'6. PEP Mensual'!B33</f>
        <v>Expropiaciones</v>
      </c>
      <c r="C31" s="511"/>
      <c r="D31" s="511"/>
      <c r="E31" s="512"/>
      <c r="F31" s="511"/>
      <c r="G31" s="511"/>
      <c r="H31" s="511"/>
      <c r="I31" s="513"/>
      <c r="J31" s="511"/>
      <c r="K31" s="512">
        <f>+'7. PEP Anual'!F30</f>
        <v>356666.66666666663</v>
      </c>
      <c r="L31" s="511"/>
      <c r="M31" s="511"/>
      <c r="N31" s="511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87"/>
      <c r="AB31" s="588"/>
      <c r="AC31" s="585"/>
      <c r="AD31" s="585"/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5"/>
      <c r="AV31" s="585"/>
      <c r="AW31" s="585"/>
      <c r="AX31" s="585"/>
      <c r="AY31" s="585"/>
      <c r="AZ31" s="585"/>
      <c r="BA31" s="585"/>
      <c r="BB31" s="585"/>
      <c r="BC31" s="585"/>
      <c r="BD31" s="585"/>
      <c r="BE31" s="585"/>
      <c r="BF31" s="585"/>
      <c r="BG31" s="585"/>
      <c r="BH31" s="585"/>
      <c r="BI31" s="585"/>
      <c r="BJ31" s="585"/>
      <c r="BK31" s="585"/>
      <c r="BL31" s="585"/>
      <c r="BM31" s="585"/>
      <c r="BN31" s="585"/>
      <c r="BO31" s="585"/>
      <c r="BP31" s="585"/>
      <c r="BQ31" s="585"/>
      <c r="BR31" s="585"/>
      <c r="BS31" s="585"/>
      <c r="BT31" s="585"/>
      <c r="BU31" s="585"/>
      <c r="BV31" s="585"/>
      <c r="BW31" s="585"/>
      <c r="BX31" s="585"/>
      <c r="BY31" s="585"/>
      <c r="BZ31" s="585"/>
      <c r="CA31" s="585"/>
      <c r="CB31" s="585"/>
      <c r="CC31" s="585"/>
      <c r="CD31" s="585"/>
      <c r="CE31" s="585"/>
      <c r="CF31" s="585"/>
      <c r="CG31" s="585"/>
      <c r="CH31" s="585"/>
      <c r="CI31" s="585"/>
      <c r="CJ31" s="585"/>
      <c r="CK31" s="585"/>
      <c r="CL31" s="585"/>
      <c r="CM31" s="585"/>
      <c r="CN31" s="585"/>
      <c r="CO31" s="585"/>
      <c r="CP31" s="585"/>
      <c r="CQ31" s="585"/>
      <c r="CR31" s="585"/>
      <c r="CS31" s="585"/>
      <c r="CT31" s="585"/>
      <c r="CU31" s="585"/>
      <c r="CV31" s="585"/>
      <c r="CW31" s="585"/>
      <c r="CX31" s="585"/>
      <c r="CY31" s="585"/>
      <c r="CZ31" s="585"/>
      <c r="DA31" s="585"/>
      <c r="DB31" s="585"/>
      <c r="DC31" s="585"/>
      <c r="DD31" s="585"/>
      <c r="DE31" s="585"/>
      <c r="DF31" s="585"/>
      <c r="DG31" s="585"/>
      <c r="DH31" s="585"/>
      <c r="DI31" s="585"/>
      <c r="DJ31" s="585"/>
      <c r="DK31" s="585"/>
      <c r="DL31" s="585"/>
      <c r="DM31" s="585"/>
      <c r="DN31" s="585"/>
      <c r="DO31" s="585"/>
      <c r="DP31" s="585"/>
      <c r="DQ31" s="585"/>
      <c r="DR31" s="585"/>
      <c r="DS31" s="585"/>
      <c r="DT31" s="585"/>
      <c r="DU31" s="585"/>
      <c r="DV31" s="585"/>
      <c r="DW31" s="585"/>
      <c r="DX31" s="585"/>
      <c r="DY31" s="585"/>
      <c r="DZ31" s="585"/>
      <c r="EA31" s="585"/>
      <c r="EB31" s="585"/>
      <c r="EC31" s="585"/>
      <c r="ED31" s="585"/>
      <c r="EE31" s="585"/>
      <c r="EF31" s="585"/>
      <c r="EG31" s="585"/>
      <c r="EH31" s="585"/>
      <c r="EI31" s="585"/>
      <c r="EJ31" s="585"/>
      <c r="EK31" s="585"/>
      <c r="EL31" s="585"/>
      <c r="EM31" s="585"/>
      <c r="EN31" s="585"/>
      <c r="EO31" s="585"/>
      <c r="EP31" s="585"/>
      <c r="EQ31" s="585"/>
      <c r="ER31" s="585"/>
      <c r="ES31" s="585"/>
      <c r="ET31" s="585"/>
      <c r="EU31" s="585"/>
      <c r="EV31" s="585"/>
      <c r="EW31" s="585"/>
      <c r="EX31" s="585"/>
      <c r="EY31" s="585"/>
      <c r="EZ31" s="585"/>
      <c r="FA31" s="585"/>
      <c r="FB31" s="585"/>
      <c r="FC31" s="585"/>
    </row>
    <row r="32" spans="1:16384" ht="17.25" customHeight="1" x14ac:dyDescent="0.2">
      <c r="A32" s="514" t="str">
        <f>+'6. PEP Mensual'!A34</f>
        <v>1.4.1</v>
      </c>
      <c r="B32" s="542" t="str">
        <f>+'6. PEP Mensual'!B34</f>
        <v>Expropiaciones Región Occidental</v>
      </c>
      <c r="C32" s="543" t="str">
        <f>'[3]3. PEP'!D44</f>
        <v>T2 - Año 2</v>
      </c>
      <c r="D32" s="543" t="str">
        <f>'[3]3. PEP'!F44</f>
        <v>T1 - Año 5</v>
      </c>
      <c r="E32" s="522">
        <f>'[3]3. PEP'!G44</f>
        <v>220000</v>
      </c>
      <c r="F32" s="543"/>
      <c r="G32" s="543" t="str">
        <f t="shared" si="0"/>
        <v>T2 - Año 2</v>
      </c>
      <c r="H32" s="543" t="str">
        <f t="shared" si="0"/>
        <v>T1 - Año 5</v>
      </c>
      <c r="I32" s="544" t="s">
        <v>454</v>
      </c>
      <c r="J32" s="547"/>
      <c r="K32" s="522">
        <f>+'7. PEP Anual'!F31</f>
        <v>190000.00000000003</v>
      </c>
      <c r="L32" s="547"/>
      <c r="M32" s="547"/>
      <c r="N32" s="547"/>
      <c r="O32" s="547"/>
      <c r="P32" s="547"/>
      <c r="Q32" s="519"/>
      <c r="R32" s="519"/>
      <c r="S32" s="519"/>
      <c r="T32" s="519"/>
      <c r="U32" s="519"/>
      <c r="V32" s="519"/>
      <c r="W32" s="519"/>
      <c r="X32" s="521">
        <v>1</v>
      </c>
      <c r="Y32" s="521">
        <v>2</v>
      </c>
      <c r="Z32" s="521">
        <v>3</v>
      </c>
      <c r="AA32" s="585"/>
      <c r="AB32" s="585"/>
      <c r="AC32" s="585"/>
      <c r="AD32" s="585"/>
      <c r="AE32" s="585"/>
      <c r="AF32" s="585"/>
      <c r="AG32" s="585"/>
      <c r="AH32" s="585"/>
      <c r="AI32" s="585"/>
      <c r="AJ32" s="585"/>
      <c r="AK32" s="585"/>
      <c r="AL32" s="585"/>
      <c r="AM32" s="585"/>
      <c r="AN32" s="585"/>
      <c r="AO32" s="585"/>
      <c r="AP32" s="585"/>
      <c r="AQ32" s="585"/>
      <c r="AR32" s="585"/>
      <c r="AS32" s="585"/>
      <c r="AT32" s="585"/>
      <c r="AU32" s="585"/>
      <c r="AV32" s="585"/>
      <c r="AW32" s="585"/>
      <c r="AX32" s="585"/>
      <c r="AY32" s="585"/>
      <c r="AZ32" s="585"/>
      <c r="BA32" s="585"/>
      <c r="BB32" s="585"/>
      <c r="BC32" s="585"/>
      <c r="BD32" s="585"/>
      <c r="BE32" s="585"/>
      <c r="BF32" s="585"/>
      <c r="BG32" s="585"/>
      <c r="BH32" s="585"/>
      <c r="BI32" s="585"/>
      <c r="BJ32" s="585"/>
      <c r="BK32" s="585"/>
      <c r="BL32" s="585"/>
      <c r="BM32" s="585"/>
      <c r="BN32" s="585"/>
      <c r="BO32" s="585"/>
      <c r="BP32" s="585"/>
      <c r="BQ32" s="585"/>
      <c r="BR32" s="585"/>
      <c r="BS32" s="585"/>
      <c r="BT32" s="585"/>
      <c r="BU32" s="585"/>
      <c r="BV32" s="585"/>
      <c r="BW32" s="585"/>
      <c r="BX32" s="585"/>
      <c r="BY32" s="585"/>
      <c r="BZ32" s="585"/>
      <c r="CA32" s="585"/>
      <c r="CB32" s="585"/>
      <c r="CC32" s="585"/>
      <c r="CD32" s="585"/>
      <c r="CE32" s="585"/>
      <c r="CF32" s="585"/>
      <c r="CG32" s="585"/>
      <c r="CH32" s="585"/>
      <c r="CI32" s="585"/>
      <c r="CJ32" s="585"/>
      <c r="CK32" s="585"/>
      <c r="CL32" s="585"/>
      <c r="CM32" s="585"/>
      <c r="CN32" s="585"/>
      <c r="CO32" s="585"/>
      <c r="CP32" s="585"/>
      <c r="CQ32" s="585"/>
      <c r="CR32" s="585"/>
      <c r="CS32" s="585"/>
      <c r="CT32" s="585"/>
      <c r="CU32" s="585"/>
      <c r="CV32" s="585"/>
      <c r="CW32" s="585"/>
      <c r="CX32" s="585"/>
      <c r="CY32" s="585"/>
      <c r="CZ32" s="585"/>
      <c r="DA32" s="585"/>
      <c r="DB32" s="585"/>
      <c r="DC32" s="585"/>
      <c r="DD32" s="585"/>
      <c r="DE32" s="585"/>
      <c r="DF32" s="585"/>
      <c r="DG32" s="585"/>
      <c r="DH32" s="585"/>
      <c r="DI32" s="585"/>
      <c r="DJ32" s="585"/>
      <c r="DK32" s="585"/>
      <c r="DL32" s="585"/>
      <c r="DM32" s="585"/>
      <c r="DN32" s="585"/>
      <c r="DO32" s="585"/>
      <c r="DP32" s="585"/>
      <c r="DQ32" s="585"/>
      <c r="DR32" s="585"/>
      <c r="DS32" s="585"/>
      <c r="DT32" s="585"/>
      <c r="DU32" s="585"/>
      <c r="DV32" s="585"/>
      <c r="DW32" s="585"/>
      <c r="DX32" s="585"/>
      <c r="DY32" s="585"/>
      <c r="DZ32" s="585"/>
      <c r="EA32" s="585"/>
      <c r="EB32" s="585"/>
      <c r="EC32" s="585"/>
      <c r="ED32" s="585"/>
      <c r="EE32" s="585"/>
      <c r="EF32" s="585"/>
      <c r="EG32" s="585"/>
      <c r="EH32" s="585"/>
      <c r="EI32" s="585"/>
      <c r="EJ32" s="585"/>
      <c r="EK32" s="585"/>
      <c r="EL32" s="585"/>
      <c r="EM32" s="585"/>
      <c r="EN32" s="585"/>
      <c r="EO32" s="585"/>
      <c r="EP32" s="585"/>
      <c r="EQ32" s="585"/>
      <c r="ER32" s="585"/>
      <c r="ES32" s="585"/>
      <c r="ET32" s="585"/>
      <c r="EU32" s="585"/>
      <c r="EV32" s="585"/>
      <c r="EW32" s="585"/>
      <c r="EX32" s="585"/>
      <c r="EY32" s="585"/>
      <c r="EZ32" s="585"/>
      <c r="FA32" s="585"/>
      <c r="FB32" s="585"/>
      <c r="FC32" s="585"/>
    </row>
    <row r="33" spans="1:159" x14ac:dyDescent="0.2">
      <c r="A33" s="514" t="str">
        <f>+'6. PEP Mensual'!A35</f>
        <v>1.4.2</v>
      </c>
      <c r="B33" s="542" t="str">
        <f>+'6. PEP Mensual'!B35</f>
        <v>Expropiaciones Región Oriental</v>
      </c>
      <c r="C33" s="547"/>
      <c r="D33" s="547"/>
      <c r="E33" s="548">
        <f>'[3]3. PEP'!G46</f>
        <v>220000</v>
      </c>
      <c r="F33" s="547"/>
      <c r="G33" s="547"/>
      <c r="H33" s="547"/>
      <c r="I33" s="544" t="s">
        <v>454</v>
      </c>
      <c r="J33" s="543"/>
      <c r="K33" s="522">
        <f>+'7. PEP Anual'!F32</f>
        <v>166666.66666666663</v>
      </c>
      <c r="L33" s="543"/>
      <c r="M33" s="543"/>
      <c r="N33" s="543"/>
      <c r="O33" s="550"/>
      <c r="P33" s="550"/>
      <c r="Q33" s="519"/>
      <c r="R33" s="519"/>
      <c r="S33" s="519"/>
      <c r="T33" s="519"/>
      <c r="U33" s="519"/>
      <c r="V33" s="519"/>
      <c r="W33" s="519"/>
      <c r="X33" s="521">
        <v>1</v>
      </c>
      <c r="Y33" s="521">
        <v>2</v>
      </c>
      <c r="Z33" s="521">
        <v>3</v>
      </c>
      <c r="AA33" s="585"/>
      <c r="AB33" s="585"/>
      <c r="AC33" s="585"/>
      <c r="AD33" s="585"/>
      <c r="AE33" s="585"/>
      <c r="AF33" s="585"/>
      <c r="AG33" s="585"/>
      <c r="AH33" s="585"/>
      <c r="AI33" s="585"/>
      <c r="AJ33" s="585"/>
      <c r="AK33" s="585"/>
      <c r="AL33" s="585"/>
      <c r="AM33" s="585"/>
      <c r="AN33" s="585"/>
      <c r="AO33" s="585"/>
      <c r="AP33" s="585"/>
      <c r="AQ33" s="585"/>
      <c r="AR33" s="585"/>
      <c r="AS33" s="585"/>
      <c r="AT33" s="585"/>
      <c r="AU33" s="585"/>
      <c r="AV33" s="585"/>
      <c r="AW33" s="585"/>
      <c r="AX33" s="585"/>
      <c r="AY33" s="585"/>
      <c r="AZ33" s="585"/>
      <c r="BA33" s="585"/>
      <c r="BB33" s="585"/>
      <c r="BC33" s="585"/>
      <c r="BD33" s="585"/>
      <c r="BE33" s="585"/>
      <c r="BF33" s="585"/>
      <c r="BG33" s="585"/>
      <c r="BH33" s="585"/>
      <c r="BI33" s="585"/>
      <c r="BJ33" s="585"/>
      <c r="BK33" s="585"/>
      <c r="BL33" s="585"/>
      <c r="BM33" s="585"/>
      <c r="BN33" s="585"/>
      <c r="BO33" s="585"/>
      <c r="BP33" s="585"/>
      <c r="BQ33" s="585"/>
      <c r="BR33" s="585"/>
      <c r="BS33" s="585"/>
      <c r="BT33" s="585"/>
      <c r="BU33" s="585"/>
      <c r="BV33" s="585"/>
      <c r="BW33" s="585"/>
      <c r="BX33" s="585"/>
      <c r="BY33" s="585"/>
      <c r="BZ33" s="585"/>
      <c r="CA33" s="585"/>
      <c r="CB33" s="585"/>
      <c r="CC33" s="585"/>
      <c r="CD33" s="585"/>
      <c r="CE33" s="585"/>
      <c r="CF33" s="585"/>
      <c r="CG33" s="585"/>
      <c r="CH33" s="585"/>
      <c r="CI33" s="585"/>
      <c r="CJ33" s="585"/>
      <c r="CK33" s="585"/>
      <c r="CL33" s="585"/>
      <c r="CM33" s="585"/>
      <c r="CN33" s="585"/>
      <c r="CO33" s="585"/>
      <c r="CP33" s="585"/>
      <c r="CQ33" s="585"/>
      <c r="CR33" s="585"/>
      <c r="CS33" s="585"/>
      <c r="CT33" s="585"/>
      <c r="CU33" s="585"/>
      <c r="CV33" s="585"/>
      <c r="CW33" s="585"/>
      <c r="CX33" s="585"/>
      <c r="CY33" s="585"/>
      <c r="CZ33" s="585"/>
      <c r="DA33" s="585"/>
      <c r="DB33" s="585"/>
      <c r="DC33" s="585"/>
      <c r="DD33" s="585"/>
      <c r="DE33" s="585"/>
      <c r="DF33" s="585"/>
      <c r="DG33" s="585"/>
      <c r="DH33" s="585"/>
      <c r="DI33" s="585"/>
      <c r="DJ33" s="585"/>
      <c r="DK33" s="585"/>
      <c r="DL33" s="585"/>
      <c r="DM33" s="585"/>
      <c r="DN33" s="585"/>
      <c r="DO33" s="585"/>
      <c r="DP33" s="585"/>
      <c r="DQ33" s="585"/>
      <c r="DR33" s="585"/>
      <c r="DS33" s="585"/>
      <c r="DT33" s="585"/>
      <c r="DU33" s="585"/>
      <c r="DV33" s="585"/>
      <c r="DW33" s="585"/>
      <c r="DX33" s="585"/>
      <c r="DY33" s="585"/>
      <c r="DZ33" s="585"/>
      <c r="EA33" s="585"/>
      <c r="EB33" s="585"/>
      <c r="EC33" s="585"/>
      <c r="ED33" s="585"/>
      <c r="EE33" s="585"/>
      <c r="EF33" s="585"/>
      <c r="EG33" s="585"/>
      <c r="EH33" s="585"/>
      <c r="EI33" s="585"/>
      <c r="EJ33" s="585"/>
      <c r="EK33" s="585"/>
      <c r="EL33" s="585"/>
      <c r="EM33" s="585"/>
      <c r="EN33" s="585"/>
      <c r="EO33" s="585"/>
      <c r="EP33" s="585"/>
      <c r="EQ33" s="585"/>
      <c r="ER33" s="585"/>
      <c r="ES33" s="585"/>
      <c r="ET33" s="585"/>
      <c r="EU33" s="585"/>
      <c r="EV33" s="585"/>
      <c r="EW33" s="585"/>
      <c r="EX33" s="585"/>
      <c r="EY33" s="585"/>
      <c r="EZ33" s="585"/>
      <c r="FA33" s="585"/>
      <c r="FB33" s="585"/>
      <c r="FC33" s="585"/>
    </row>
    <row r="34" spans="1:159" x14ac:dyDescent="0.2">
      <c r="A34" s="509" t="str">
        <f>+'6. PEP Mensual'!A36</f>
        <v>1.5</v>
      </c>
      <c r="B34" s="510" t="str">
        <f>+'6. PEP Mensual'!B36</f>
        <v>Contingencias y Escalamientos</v>
      </c>
      <c r="C34" s="511" t="str">
        <f>'[3]3. PEP'!D47</f>
        <v>T2 - Año 1</v>
      </c>
      <c r="D34" s="511" t="str">
        <f>'[3]3. PEP'!F47</f>
        <v>T2 - Año 4</v>
      </c>
      <c r="E34" s="512">
        <f>'[3]3. PEP'!G47</f>
        <v>90000</v>
      </c>
      <c r="F34" s="511"/>
      <c r="G34" s="511" t="str">
        <f t="shared" si="0"/>
        <v>T2 - Año 1</v>
      </c>
      <c r="H34" s="511" t="str">
        <f t="shared" si="0"/>
        <v>T2 - Año 4</v>
      </c>
      <c r="I34" s="513"/>
      <c r="J34" s="511"/>
      <c r="K34" s="512">
        <f>+'7. PEP Anual'!F33</f>
        <v>0</v>
      </c>
      <c r="L34" s="511"/>
      <c r="M34" s="511"/>
      <c r="N34" s="511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87"/>
      <c r="AB34" s="588"/>
      <c r="AC34" s="585"/>
      <c r="AD34" s="585"/>
      <c r="AE34" s="585"/>
      <c r="AF34" s="585"/>
      <c r="AG34" s="585"/>
      <c r="AH34" s="585"/>
      <c r="AI34" s="585"/>
      <c r="AJ34" s="585"/>
      <c r="AK34" s="585"/>
      <c r="AL34" s="585"/>
      <c r="AM34" s="585"/>
      <c r="AN34" s="585"/>
      <c r="AO34" s="585"/>
      <c r="AP34" s="585"/>
      <c r="AQ34" s="585"/>
      <c r="AR34" s="585"/>
      <c r="AS34" s="585"/>
      <c r="AT34" s="585"/>
      <c r="AU34" s="585"/>
      <c r="AV34" s="585"/>
      <c r="AW34" s="585"/>
      <c r="AX34" s="585"/>
      <c r="AY34" s="585"/>
      <c r="AZ34" s="585"/>
      <c r="BA34" s="585"/>
      <c r="BB34" s="585"/>
      <c r="BC34" s="585"/>
      <c r="BD34" s="585"/>
      <c r="BE34" s="585"/>
      <c r="BF34" s="585"/>
      <c r="BG34" s="585"/>
      <c r="BH34" s="585"/>
      <c r="BI34" s="585"/>
      <c r="BJ34" s="585"/>
      <c r="BK34" s="585"/>
      <c r="BL34" s="585"/>
      <c r="BM34" s="585"/>
      <c r="BN34" s="585"/>
      <c r="BO34" s="585"/>
      <c r="BP34" s="585"/>
      <c r="BQ34" s="585"/>
      <c r="BR34" s="585"/>
      <c r="BS34" s="585"/>
      <c r="BT34" s="585"/>
      <c r="BU34" s="585"/>
      <c r="BV34" s="585"/>
      <c r="BW34" s="585"/>
      <c r="BX34" s="585"/>
      <c r="BY34" s="585"/>
      <c r="BZ34" s="585"/>
      <c r="CA34" s="585"/>
      <c r="CB34" s="585"/>
      <c r="CC34" s="585"/>
      <c r="CD34" s="585"/>
      <c r="CE34" s="585"/>
      <c r="CF34" s="585"/>
      <c r="CG34" s="585"/>
      <c r="CH34" s="585"/>
      <c r="CI34" s="585"/>
      <c r="CJ34" s="585"/>
      <c r="CK34" s="585"/>
      <c r="CL34" s="585"/>
      <c r="CM34" s="585"/>
      <c r="CN34" s="585"/>
      <c r="CO34" s="585"/>
      <c r="CP34" s="585"/>
      <c r="CQ34" s="585"/>
      <c r="CR34" s="585"/>
      <c r="CS34" s="585"/>
      <c r="CT34" s="585"/>
      <c r="CU34" s="585"/>
      <c r="CV34" s="585"/>
      <c r="CW34" s="585"/>
      <c r="CX34" s="585"/>
      <c r="CY34" s="585"/>
      <c r="CZ34" s="585"/>
      <c r="DA34" s="585"/>
      <c r="DB34" s="585"/>
      <c r="DC34" s="585"/>
      <c r="DD34" s="585"/>
      <c r="DE34" s="585"/>
      <c r="DF34" s="585"/>
      <c r="DG34" s="585"/>
      <c r="DH34" s="585"/>
      <c r="DI34" s="585"/>
      <c r="DJ34" s="585"/>
      <c r="DK34" s="585"/>
      <c r="DL34" s="585"/>
      <c r="DM34" s="585"/>
      <c r="DN34" s="585"/>
      <c r="DO34" s="585"/>
      <c r="DP34" s="585"/>
      <c r="DQ34" s="585"/>
      <c r="DR34" s="585"/>
      <c r="DS34" s="585"/>
      <c r="DT34" s="585"/>
      <c r="DU34" s="585"/>
      <c r="DV34" s="585"/>
      <c r="DW34" s="585"/>
      <c r="DX34" s="585"/>
      <c r="DY34" s="585"/>
      <c r="DZ34" s="585"/>
      <c r="EA34" s="585"/>
      <c r="EB34" s="585"/>
      <c r="EC34" s="585"/>
      <c r="ED34" s="585"/>
      <c r="EE34" s="585"/>
      <c r="EF34" s="585"/>
      <c r="EG34" s="585"/>
      <c r="EH34" s="585"/>
      <c r="EI34" s="585"/>
      <c r="EJ34" s="585"/>
      <c r="EK34" s="585"/>
      <c r="EL34" s="585"/>
      <c r="EM34" s="585"/>
      <c r="EN34" s="585"/>
      <c r="EO34" s="585"/>
      <c r="EP34" s="585"/>
      <c r="EQ34" s="585"/>
      <c r="ER34" s="585"/>
      <c r="ES34" s="585"/>
      <c r="ET34" s="585"/>
      <c r="EU34" s="585"/>
      <c r="EV34" s="585"/>
      <c r="EW34" s="585"/>
      <c r="EX34" s="585"/>
      <c r="EY34" s="585"/>
      <c r="EZ34" s="585"/>
      <c r="FA34" s="585"/>
      <c r="FB34" s="585"/>
      <c r="FC34" s="585"/>
    </row>
    <row r="35" spans="1:159" ht="14.25" customHeight="1" x14ac:dyDescent="0.2">
      <c r="A35" s="514" t="str">
        <f>+'6. PEP Mensual'!A37</f>
        <v>1.5.1</v>
      </c>
      <c r="B35" s="515" t="str">
        <f>+'6. PEP Mensual'!B37</f>
        <v>Contingencias y Escalamientos</v>
      </c>
      <c r="C35" s="516" t="str">
        <f>'[3]3. PEP'!D57</f>
        <v>T1 - Año 2</v>
      </c>
      <c r="D35" s="516" t="str">
        <f>'[3]3. PEP'!F57</f>
        <v>T3 - Año 4</v>
      </c>
      <c r="E35" s="517">
        <f>'[3]3. PEP'!G57</f>
        <v>65000</v>
      </c>
      <c r="F35" s="516"/>
      <c r="G35" s="516" t="str">
        <f t="shared" si="0"/>
        <v>T1 - Año 2</v>
      </c>
      <c r="H35" s="516" t="str">
        <f t="shared" si="0"/>
        <v>T3 - Año 4</v>
      </c>
      <c r="I35" s="518"/>
      <c r="J35" s="516"/>
      <c r="K35" s="517">
        <f>+'7. PEP Anual'!F34</f>
        <v>0</v>
      </c>
      <c r="L35" s="516"/>
      <c r="M35" s="516"/>
      <c r="N35" s="516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85"/>
      <c r="AB35" s="585"/>
      <c r="AC35" s="585"/>
      <c r="AD35" s="585"/>
      <c r="AE35" s="585"/>
      <c r="AF35" s="585"/>
      <c r="AG35" s="585"/>
      <c r="AH35" s="585"/>
      <c r="AI35" s="585"/>
      <c r="AJ35" s="585"/>
      <c r="AK35" s="585"/>
      <c r="AL35" s="585"/>
      <c r="AM35" s="585"/>
      <c r="AN35" s="585"/>
      <c r="AO35" s="585"/>
      <c r="AP35" s="585"/>
      <c r="AQ35" s="585"/>
      <c r="AR35" s="585"/>
      <c r="AS35" s="585"/>
      <c r="AT35" s="585"/>
      <c r="AU35" s="585"/>
      <c r="AV35" s="585"/>
      <c r="AW35" s="585"/>
      <c r="AX35" s="585"/>
      <c r="AY35" s="585"/>
      <c r="AZ35" s="585"/>
      <c r="BA35" s="585"/>
      <c r="BB35" s="585"/>
      <c r="BC35" s="585"/>
      <c r="BD35" s="585"/>
      <c r="BE35" s="585"/>
      <c r="BF35" s="585"/>
      <c r="BG35" s="585"/>
      <c r="BH35" s="585"/>
      <c r="BI35" s="585"/>
      <c r="BJ35" s="585"/>
      <c r="BK35" s="585"/>
      <c r="BL35" s="585"/>
      <c r="BM35" s="585"/>
      <c r="BN35" s="585"/>
      <c r="BO35" s="585"/>
      <c r="BP35" s="585"/>
      <c r="BQ35" s="585"/>
      <c r="BR35" s="585"/>
      <c r="BS35" s="585"/>
      <c r="BT35" s="585"/>
      <c r="BU35" s="585"/>
      <c r="BV35" s="585"/>
      <c r="BW35" s="585"/>
      <c r="BX35" s="585"/>
      <c r="BY35" s="585"/>
      <c r="BZ35" s="585"/>
      <c r="CA35" s="585"/>
      <c r="CB35" s="585"/>
      <c r="CC35" s="585"/>
      <c r="CD35" s="585"/>
      <c r="CE35" s="585"/>
      <c r="CF35" s="585"/>
      <c r="CG35" s="585"/>
      <c r="CH35" s="585"/>
      <c r="CI35" s="585"/>
      <c r="CJ35" s="585"/>
      <c r="CK35" s="585"/>
      <c r="CL35" s="585"/>
      <c r="CM35" s="585"/>
      <c r="CN35" s="585"/>
      <c r="CO35" s="585"/>
      <c r="CP35" s="585"/>
      <c r="CQ35" s="585"/>
      <c r="CR35" s="585"/>
      <c r="CS35" s="585"/>
      <c r="CT35" s="585"/>
      <c r="CU35" s="585"/>
      <c r="CV35" s="585"/>
      <c r="CW35" s="585"/>
      <c r="CX35" s="585"/>
      <c r="CY35" s="585"/>
      <c r="CZ35" s="585"/>
      <c r="DA35" s="585"/>
      <c r="DB35" s="585"/>
      <c r="DC35" s="585"/>
      <c r="DD35" s="585"/>
      <c r="DE35" s="585"/>
      <c r="DF35" s="585"/>
      <c r="DG35" s="585"/>
      <c r="DH35" s="585"/>
      <c r="DI35" s="585"/>
      <c r="DJ35" s="585"/>
      <c r="DK35" s="585"/>
      <c r="DL35" s="585"/>
      <c r="DM35" s="585"/>
      <c r="DN35" s="585"/>
      <c r="DO35" s="585"/>
      <c r="DP35" s="585"/>
      <c r="DQ35" s="585"/>
      <c r="DR35" s="585"/>
      <c r="DS35" s="585"/>
      <c r="DT35" s="585"/>
      <c r="DU35" s="585"/>
      <c r="DV35" s="585"/>
      <c r="DW35" s="585"/>
      <c r="DX35" s="585"/>
      <c r="DY35" s="585"/>
      <c r="DZ35" s="585"/>
      <c r="EA35" s="585"/>
      <c r="EB35" s="585"/>
      <c r="EC35" s="585"/>
      <c r="ED35" s="585"/>
      <c r="EE35" s="585"/>
      <c r="EF35" s="585"/>
      <c r="EG35" s="585"/>
      <c r="EH35" s="585"/>
      <c r="EI35" s="585"/>
      <c r="EJ35" s="585"/>
      <c r="EK35" s="585"/>
      <c r="EL35" s="585"/>
      <c r="EM35" s="585"/>
      <c r="EN35" s="585"/>
      <c r="EO35" s="585"/>
      <c r="EP35" s="585"/>
      <c r="EQ35" s="585"/>
      <c r="ER35" s="585"/>
      <c r="ES35" s="585"/>
      <c r="ET35" s="585"/>
      <c r="EU35" s="585"/>
      <c r="EV35" s="585"/>
      <c r="EW35" s="585"/>
      <c r="EX35" s="585"/>
      <c r="EY35" s="585"/>
      <c r="EZ35" s="585"/>
      <c r="FA35" s="585"/>
      <c r="FB35" s="585"/>
      <c r="FC35" s="585"/>
    </row>
    <row r="36" spans="1:159" x14ac:dyDescent="0.2">
      <c r="A36" s="504">
        <f>+'6. PEP Mensual'!A38</f>
        <v>2</v>
      </c>
      <c r="B36" s="505" t="str">
        <f>+'6. PEP Mensual'!B38</f>
        <v>Otros Costos</v>
      </c>
      <c r="C36" s="506"/>
      <c r="D36" s="506"/>
      <c r="E36" s="507"/>
      <c r="F36" s="506"/>
      <c r="G36" s="506"/>
      <c r="H36" s="506"/>
      <c r="I36" s="508"/>
      <c r="J36" s="506"/>
      <c r="K36" s="507">
        <f>+'7. PEP Anual'!F35</f>
        <v>200000</v>
      </c>
      <c r="L36" s="506"/>
      <c r="M36" s="506"/>
      <c r="N36" s="506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85"/>
      <c r="AB36" s="585"/>
      <c r="AC36" s="585"/>
      <c r="AD36" s="585"/>
      <c r="AE36" s="585"/>
      <c r="AF36" s="585"/>
      <c r="AG36" s="585"/>
      <c r="AH36" s="585"/>
      <c r="AI36" s="585"/>
      <c r="AJ36" s="585"/>
      <c r="AK36" s="585"/>
      <c r="AL36" s="585"/>
      <c r="AM36" s="585"/>
      <c r="AN36" s="585"/>
      <c r="AO36" s="585"/>
      <c r="AP36" s="585"/>
      <c r="AQ36" s="585"/>
      <c r="AR36" s="585"/>
      <c r="AS36" s="585"/>
      <c r="AT36" s="585"/>
      <c r="AU36" s="585"/>
      <c r="AV36" s="585"/>
      <c r="AW36" s="585"/>
      <c r="AX36" s="585"/>
      <c r="AY36" s="585"/>
      <c r="AZ36" s="585"/>
      <c r="BA36" s="585"/>
      <c r="BB36" s="585"/>
      <c r="BC36" s="585"/>
      <c r="BD36" s="585"/>
      <c r="BE36" s="585"/>
      <c r="BF36" s="585"/>
      <c r="BG36" s="585"/>
      <c r="BH36" s="585"/>
      <c r="BI36" s="585"/>
      <c r="BJ36" s="585"/>
      <c r="BK36" s="585"/>
      <c r="BL36" s="585"/>
      <c r="BM36" s="585"/>
      <c r="BN36" s="585"/>
      <c r="BO36" s="585"/>
      <c r="BP36" s="585"/>
      <c r="BQ36" s="585"/>
      <c r="BR36" s="585"/>
      <c r="BS36" s="585"/>
      <c r="BT36" s="585"/>
      <c r="BU36" s="585"/>
      <c r="BV36" s="585"/>
      <c r="BW36" s="585"/>
      <c r="BX36" s="585"/>
      <c r="BY36" s="585"/>
      <c r="BZ36" s="585"/>
      <c r="CA36" s="585"/>
      <c r="CB36" s="585"/>
      <c r="CC36" s="585"/>
      <c r="CD36" s="585"/>
      <c r="CE36" s="585"/>
      <c r="CF36" s="585"/>
      <c r="CG36" s="585"/>
      <c r="CH36" s="585"/>
      <c r="CI36" s="585"/>
      <c r="CJ36" s="585"/>
      <c r="CK36" s="585"/>
      <c r="CL36" s="585"/>
      <c r="CM36" s="585"/>
      <c r="CN36" s="585"/>
      <c r="CO36" s="585"/>
      <c r="CP36" s="585"/>
      <c r="CQ36" s="585"/>
      <c r="CR36" s="585"/>
      <c r="CS36" s="585"/>
      <c r="CT36" s="585"/>
      <c r="CU36" s="585"/>
      <c r="CV36" s="585"/>
      <c r="CW36" s="585"/>
      <c r="CX36" s="585"/>
      <c r="CY36" s="585"/>
      <c r="CZ36" s="585"/>
      <c r="DA36" s="585"/>
      <c r="DB36" s="585"/>
      <c r="DC36" s="585"/>
      <c r="DD36" s="585"/>
      <c r="DE36" s="585"/>
      <c r="DF36" s="585"/>
      <c r="DG36" s="585"/>
      <c r="DH36" s="585"/>
      <c r="DI36" s="585"/>
      <c r="DJ36" s="585"/>
      <c r="DK36" s="585"/>
      <c r="DL36" s="585"/>
      <c r="DM36" s="585"/>
      <c r="DN36" s="585"/>
      <c r="DO36" s="585"/>
      <c r="DP36" s="585"/>
      <c r="DQ36" s="585"/>
      <c r="DR36" s="585"/>
      <c r="DS36" s="585"/>
      <c r="DT36" s="585"/>
      <c r="DU36" s="585"/>
      <c r="DV36" s="585"/>
      <c r="DW36" s="585"/>
      <c r="DX36" s="585"/>
      <c r="DY36" s="585"/>
      <c r="DZ36" s="585"/>
      <c r="EA36" s="585"/>
      <c r="EB36" s="585"/>
      <c r="EC36" s="585"/>
      <c r="ED36" s="585"/>
      <c r="EE36" s="585"/>
      <c r="EF36" s="585"/>
      <c r="EG36" s="585"/>
      <c r="EH36" s="585"/>
      <c r="EI36" s="585"/>
      <c r="EJ36" s="585"/>
      <c r="EK36" s="585"/>
      <c r="EL36" s="585"/>
      <c r="EM36" s="585"/>
      <c r="EN36" s="585"/>
      <c r="EO36" s="585"/>
      <c r="EP36" s="585"/>
      <c r="EQ36" s="585"/>
      <c r="ER36" s="585"/>
      <c r="ES36" s="585"/>
      <c r="ET36" s="585"/>
      <c r="EU36" s="585"/>
      <c r="EV36" s="585"/>
      <c r="EW36" s="585"/>
      <c r="EX36" s="585"/>
      <c r="EY36" s="585"/>
      <c r="EZ36" s="585"/>
      <c r="FA36" s="585"/>
      <c r="FB36" s="585"/>
      <c r="FC36" s="585"/>
    </row>
    <row r="37" spans="1:159" x14ac:dyDescent="0.2">
      <c r="A37" s="509">
        <f>+'6. PEP Mensual'!A39</f>
        <v>2.1</v>
      </c>
      <c r="B37" s="510" t="str">
        <f>+'6. PEP Mensual'!B39</f>
        <v>Administración del Programa</v>
      </c>
      <c r="C37" s="511"/>
      <c r="D37" s="511"/>
      <c r="E37" s="512"/>
      <c r="F37" s="511"/>
      <c r="G37" s="511"/>
      <c r="H37" s="511"/>
      <c r="I37" s="513"/>
      <c r="J37" s="511"/>
      <c r="K37" s="512">
        <f>+'7. PEP Anual'!F36</f>
        <v>0</v>
      </c>
      <c r="L37" s="511"/>
      <c r="M37" s="511"/>
      <c r="N37" s="511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85"/>
      <c r="AB37" s="585"/>
      <c r="AC37" s="585"/>
      <c r="AD37" s="585"/>
      <c r="AE37" s="585"/>
      <c r="AF37" s="585"/>
      <c r="AG37" s="585"/>
      <c r="AH37" s="585"/>
      <c r="AI37" s="585"/>
      <c r="AJ37" s="585"/>
      <c r="AK37" s="585"/>
      <c r="AL37" s="585"/>
      <c r="AM37" s="585"/>
      <c r="AN37" s="585"/>
      <c r="AO37" s="585"/>
      <c r="AP37" s="585"/>
      <c r="AQ37" s="585"/>
      <c r="AR37" s="585"/>
      <c r="AS37" s="585"/>
      <c r="AT37" s="585"/>
      <c r="AU37" s="585"/>
      <c r="AV37" s="585"/>
      <c r="AW37" s="585"/>
      <c r="AX37" s="585"/>
      <c r="AY37" s="585"/>
      <c r="AZ37" s="585"/>
      <c r="BA37" s="585"/>
      <c r="BB37" s="585"/>
      <c r="BC37" s="585"/>
      <c r="BD37" s="585"/>
      <c r="BE37" s="585"/>
      <c r="BF37" s="585"/>
      <c r="BG37" s="585"/>
      <c r="BH37" s="585"/>
      <c r="BI37" s="585"/>
      <c r="BJ37" s="585"/>
      <c r="BK37" s="585"/>
      <c r="BL37" s="585"/>
      <c r="BM37" s="585"/>
      <c r="BN37" s="585"/>
      <c r="BO37" s="585"/>
      <c r="BP37" s="585"/>
      <c r="BQ37" s="585"/>
      <c r="BR37" s="585"/>
      <c r="BS37" s="585"/>
      <c r="BT37" s="585"/>
      <c r="BU37" s="585"/>
      <c r="BV37" s="585"/>
      <c r="BW37" s="585"/>
      <c r="BX37" s="585"/>
      <c r="BY37" s="585"/>
      <c r="BZ37" s="585"/>
      <c r="CA37" s="585"/>
      <c r="CB37" s="585"/>
      <c r="CC37" s="585"/>
      <c r="CD37" s="585"/>
      <c r="CE37" s="585"/>
      <c r="CF37" s="585"/>
      <c r="CG37" s="585"/>
      <c r="CH37" s="585"/>
      <c r="CI37" s="585"/>
      <c r="CJ37" s="585"/>
      <c r="CK37" s="585"/>
      <c r="CL37" s="585"/>
      <c r="CM37" s="585"/>
      <c r="CN37" s="585"/>
      <c r="CO37" s="585"/>
      <c r="CP37" s="585"/>
      <c r="CQ37" s="585"/>
      <c r="CR37" s="585"/>
      <c r="CS37" s="585"/>
      <c r="CT37" s="585"/>
      <c r="CU37" s="585"/>
      <c r="CV37" s="585"/>
      <c r="CW37" s="585"/>
      <c r="CX37" s="585"/>
      <c r="CY37" s="585"/>
      <c r="CZ37" s="585"/>
      <c r="DA37" s="585"/>
      <c r="DB37" s="585"/>
      <c r="DC37" s="585"/>
      <c r="DD37" s="585"/>
      <c r="DE37" s="585"/>
      <c r="DF37" s="585"/>
      <c r="DG37" s="585"/>
      <c r="DH37" s="585"/>
      <c r="DI37" s="585"/>
      <c r="DJ37" s="585"/>
      <c r="DK37" s="585"/>
      <c r="DL37" s="585"/>
      <c r="DM37" s="585"/>
      <c r="DN37" s="585"/>
      <c r="DO37" s="585"/>
      <c r="DP37" s="585"/>
      <c r="DQ37" s="585"/>
      <c r="DR37" s="585"/>
      <c r="DS37" s="585"/>
      <c r="DT37" s="585"/>
      <c r="DU37" s="585"/>
      <c r="DV37" s="585"/>
      <c r="DW37" s="585"/>
      <c r="DX37" s="585"/>
      <c r="DY37" s="585"/>
      <c r="DZ37" s="585"/>
      <c r="EA37" s="585"/>
      <c r="EB37" s="585"/>
      <c r="EC37" s="585"/>
      <c r="ED37" s="585"/>
      <c r="EE37" s="585"/>
      <c r="EF37" s="585"/>
      <c r="EG37" s="585"/>
      <c r="EH37" s="585"/>
      <c r="EI37" s="585"/>
      <c r="EJ37" s="585"/>
      <c r="EK37" s="585"/>
      <c r="EL37" s="585"/>
      <c r="EM37" s="585"/>
      <c r="EN37" s="585"/>
      <c r="EO37" s="585"/>
      <c r="EP37" s="585"/>
      <c r="EQ37" s="585"/>
      <c r="ER37" s="585"/>
      <c r="ES37" s="585"/>
      <c r="ET37" s="585"/>
      <c r="EU37" s="585"/>
      <c r="EV37" s="585"/>
      <c r="EW37" s="585"/>
      <c r="EX37" s="585"/>
      <c r="EY37" s="585"/>
      <c r="EZ37" s="585"/>
      <c r="FA37" s="585"/>
      <c r="FB37" s="585"/>
      <c r="FC37" s="585"/>
    </row>
    <row r="38" spans="1:159" x14ac:dyDescent="0.2">
      <c r="A38" s="514" t="str">
        <f>+'6. PEP Mensual'!A40</f>
        <v>2.1.1</v>
      </c>
      <c r="B38" s="515" t="str">
        <f>+'6. PEP Mensual'!B40</f>
        <v xml:space="preserve">Contratación de la ECATEF para apoyo en la ejecución del Programa </v>
      </c>
      <c r="C38" s="525"/>
      <c r="D38" s="525"/>
      <c r="E38" s="526"/>
      <c r="F38" s="525"/>
      <c r="G38" s="527"/>
      <c r="H38" s="528"/>
      <c r="I38" s="529"/>
      <c r="J38" s="530"/>
      <c r="K38" s="517">
        <f>+'7. PEP Anual'!F37</f>
        <v>0</v>
      </c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85"/>
      <c r="AB38" s="585"/>
      <c r="AC38" s="585"/>
      <c r="AD38" s="585"/>
      <c r="AE38" s="585"/>
      <c r="AF38" s="585"/>
      <c r="AG38" s="585"/>
      <c r="AH38" s="585"/>
      <c r="AI38" s="585"/>
      <c r="AJ38" s="585"/>
      <c r="AK38" s="585"/>
      <c r="AL38" s="585"/>
      <c r="AM38" s="585"/>
      <c r="AN38" s="585"/>
      <c r="AO38" s="585"/>
      <c r="AP38" s="585"/>
      <c r="AQ38" s="585"/>
      <c r="AR38" s="585"/>
      <c r="AS38" s="585"/>
      <c r="AT38" s="585"/>
      <c r="AU38" s="585"/>
      <c r="AV38" s="585"/>
      <c r="AW38" s="585"/>
      <c r="AX38" s="585"/>
      <c r="AY38" s="585"/>
      <c r="AZ38" s="585"/>
      <c r="BA38" s="585"/>
      <c r="BB38" s="585"/>
      <c r="BC38" s="585"/>
      <c r="BD38" s="585"/>
      <c r="BE38" s="585"/>
      <c r="BF38" s="585"/>
      <c r="BG38" s="585"/>
      <c r="BH38" s="585"/>
      <c r="BI38" s="585"/>
      <c r="BJ38" s="585"/>
      <c r="BK38" s="585"/>
      <c r="BL38" s="585"/>
      <c r="BM38" s="585"/>
      <c r="BN38" s="585"/>
      <c r="BO38" s="585"/>
      <c r="BP38" s="585"/>
      <c r="BQ38" s="585"/>
      <c r="BR38" s="585"/>
      <c r="BS38" s="585"/>
      <c r="BT38" s="585"/>
      <c r="BU38" s="585"/>
      <c r="BV38" s="585"/>
      <c r="BW38" s="585"/>
      <c r="BX38" s="585"/>
      <c r="BY38" s="585"/>
      <c r="BZ38" s="585"/>
      <c r="CA38" s="585"/>
      <c r="CB38" s="585"/>
      <c r="CC38" s="585"/>
      <c r="CD38" s="585"/>
      <c r="CE38" s="585"/>
      <c r="CF38" s="585"/>
      <c r="CG38" s="585"/>
      <c r="CH38" s="585"/>
      <c r="CI38" s="585"/>
      <c r="CJ38" s="585"/>
      <c r="CK38" s="585"/>
      <c r="CL38" s="585"/>
      <c r="CM38" s="585"/>
      <c r="CN38" s="585"/>
      <c r="CO38" s="585"/>
      <c r="CP38" s="585"/>
      <c r="CQ38" s="585"/>
      <c r="CR38" s="585"/>
      <c r="CS38" s="585"/>
      <c r="CT38" s="585"/>
      <c r="CU38" s="585"/>
      <c r="CV38" s="585"/>
      <c r="CW38" s="585"/>
      <c r="CX38" s="585"/>
      <c r="CY38" s="585"/>
      <c r="CZ38" s="585"/>
      <c r="DA38" s="585"/>
      <c r="DB38" s="585"/>
      <c r="DC38" s="585"/>
      <c r="DD38" s="585"/>
      <c r="DE38" s="585"/>
      <c r="DF38" s="585"/>
      <c r="DG38" s="585"/>
      <c r="DH38" s="585"/>
      <c r="DI38" s="585"/>
      <c r="DJ38" s="585"/>
      <c r="DK38" s="585"/>
      <c r="DL38" s="585"/>
      <c r="DM38" s="585"/>
      <c r="DN38" s="585"/>
      <c r="DO38" s="585"/>
      <c r="DP38" s="585"/>
      <c r="DQ38" s="585"/>
      <c r="DR38" s="585"/>
      <c r="DS38" s="585"/>
      <c r="DT38" s="585"/>
      <c r="DU38" s="585"/>
      <c r="DV38" s="585"/>
      <c r="DW38" s="585"/>
      <c r="DX38" s="585"/>
      <c r="DY38" s="585"/>
      <c r="DZ38" s="585"/>
      <c r="EA38" s="585"/>
      <c r="EB38" s="585"/>
      <c r="EC38" s="585"/>
      <c r="ED38" s="585"/>
      <c r="EE38" s="585"/>
      <c r="EF38" s="585"/>
      <c r="EG38" s="585"/>
      <c r="EH38" s="585"/>
      <c r="EI38" s="585"/>
      <c r="EJ38" s="585"/>
      <c r="EK38" s="585"/>
      <c r="EL38" s="585"/>
      <c r="EM38" s="585"/>
      <c r="EN38" s="585"/>
      <c r="EO38" s="585"/>
      <c r="EP38" s="585"/>
      <c r="EQ38" s="585"/>
      <c r="ER38" s="585"/>
      <c r="ES38" s="585"/>
      <c r="ET38" s="585"/>
      <c r="EU38" s="585"/>
      <c r="EV38" s="585"/>
      <c r="EW38" s="585"/>
      <c r="EX38" s="585"/>
      <c r="EY38" s="585"/>
      <c r="EZ38" s="585"/>
      <c r="FA38" s="585"/>
      <c r="FB38" s="585"/>
      <c r="FC38" s="585"/>
    </row>
    <row r="39" spans="1:159" x14ac:dyDescent="0.2">
      <c r="A39" s="509">
        <f>+'6. PEP Mensual'!A41</f>
        <v>2.2000000000000002</v>
      </c>
      <c r="B39" s="510" t="str">
        <f>+'6. PEP Mensual'!B41</f>
        <v>Evaluaciones, estudios y auditorías.</v>
      </c>
      <c r="C39" s="511"/>
      <c r="D39" s="511"/>
      <c r="E39" s="512"/>
      <c r="F39" s="511"/>
      <c r="G39" s="511"/>
      <c r="H39" s="511"/>
      <c r="I39" s="513"/>
      <c r="J39" s="511"/>
      <c r="K39" s="512">
        <f>+'7. PEP Anual'!F38</f>
        <v>200000</v>
      </c>
      <c r="L39" s="511"/>
      <c r="M39" s="511"/>
      <c r="N39" s="511"/>
      <c r="O39" s="512"/>
      <c r="P39" s="512"/>
      <c r="Q39" s="512"/>
      <c r="R39" s="512"/>
      <c r="S39" s="512"/>
      <c r="T39" s="512"/>
      <c r="U39" s="512"/>
      <c r="V39" s="512"/>
      <c r="W39" s="512"/>
      <c r="X39" s="512"/>
      <c r="Y39" s="512"/>
      <c r="Z39" s="512"/>
      <c r="AA39" s="585"/>
      <c r="AB39" s="585"/>
      <c r="AC39" s="585"/>
      <c r="AD39" s="585"/>
      <c r="AE39" s="585"/>
      <c r="AF39" s="585"/>
      <c r="AG39" s="585"/>
      <c r="AH39" s="585"/>
      <c r="AI39" s="585"/>
      <c r="AJ39" s="585"/>
      <c r="AK39" s="585"/>
      <c r="AL39" s="585"/>
      <c r="AM39" s="585"/>
      <c r="AN39" s="585"/>
      <c r="AO39" s="585"/>
      <c r="AP39" s="585"/>
      <c r="AQ39" s="585"/>
      <c r="AR39" s="585"/>
      <c r="AS39" s="585"/>
      <c r="AT39" s="585"/>
      <c r="AU39" s="585"/>
      <c r="AV39" s="585"/>
      <c r="AW39" s="585"/>
      <c r="AX39" s="585"/>
      <c r="AY39" s="585"/>
      <c r="AZ39" s="585"/>
      <c r="BA39" s="585"/>
      <c r="BB39" s="585"/>
      <c r="BC39" s="585"/>
      <c r="BD39" s="585"/>
      <c r="BE39" s="585"/>
      <c r="BF39" s="585"/>
      <c r="BG39" s="585"/>
      <c r="BH39" s="585"/>
      <c r="BI39" s="585"/>
      <c r="BJ39" s="585"/>
      <c r="BK39" s="585"/>
      <c r="BL39" s="585"/>
      <c r="BM39" s="585"/>
      <c r="BN39" s="585"/>
      <c r="BO39" s="585"/>
      <c r="BP39" s="585"/>
      <c r="BQ39" s="585"/>
      <c r="BR39" s="585"/>
      <c r="BS39" s="585"/>
      <c r="BT39" s="585"/>
      <c r="BU39" s="585"/>
      <c r="BV39" s="585"/>
      <c r="BW39" s="585"/>
      <c r="BX39" s="585"/>
      <c r="BY39" s="585"/>
      <c r="BZ39" s="585"/>
      <c r="CA39" s="585"/>
      <c r="CB39" s="585"/>
      <c r="CC39" s="585"/>
      <c r="CD39" s="585"/>
      <c r="CE39" s="585"/>
      <c r="CF39" s="585"/>
      <c r="CG39" s="585"/>
      <c r="CH39" s="585"/>
      <c r="CI39" s="585"/>
      <c r="CJ39" s="585"/>
      <c r="CK39" s="585"/>
      <c r="CL39" s="585"/>
      <c r="CM39" s="585"/>
      <c r="CN39" s="585"/>
      <c r="CO39" s="585"/>
      <c r="CP39" s="585"/>
      <c r="CQ39" s="585"/>
      <c r="CR39" s="585"/>
      <c r="CS39" s="585"/>
      <c r="CT39" s="585"/>
      <c r="CU39" s="585"/>
      <c r="CV39" s="585"/>
      <c r="CW39" s="585"/>
      <c r="CX39" s="585"/>
      <c r="CY39" s="585"/>
      <c r="CZ39" s="585"/>
      <c r="DA39" s="585"/>
      <c r="DB39" s="585"/>
      <c r="DC39" s="585"/>
      <c r="DD39" s="585"/>
      <c r="DE39" s="585"/>
      <c r="DF39" s="585"/>
      <c r="DG39" s="585"/>
      <c r="DH39" s="585"/>
      <c r="DI39" s="585"/>
      <c r="DJ39" s="585"/>
      <c r="DK39" s="585"/>
      <c r="DL39" s="585"/>
      <c r="DM39" s="585"/>
      <c r="DN39" s="585"/>
      <c r="DO39" s="585"/>
      <c r="DP39" s="585"/>
      <c r="DQ39" s="585"/>
      <c r="DR39" s="585"/>
      <c r="DS39" s="585"/>
      <c r="DT39" s="585"/>
      <c r="DU39" s="585"/>
      <c r="DV39" s="585"/>
      <c r="DW39" s="585"/>
      <c r="DX39" s="585"/>
      <c r="DY39" s="585"/>
      <c r="DZ39" s="585"/>
      <c r="EA39" s="585"/>
      <c r="EB39" s="585"/>
      <c r="EC39" s="585"/>
      <c r="ED39" s="585"/>
      <c r="EE39" s="585"/>
      <c r="EF39" s="585"/>
      <c r="EG39" s="585"/>
      <c r="EH39" s="585"/>
      <c r="EI39" s="585"/>
      <c r="EJ39" s="585"/>
      <c r="EK39" s="585"/>
      <c r="EL39" s="585"/>
      <c r="EM39" s="585"/>
      <c r="EN39" s="585"/>
      <c r="EO39" s="585"/>
      <c r="EP39" s="585"/>
      <c r="EQ39" s="585"/>
      <c r="ER39" s="585"/>
      <c r="ES39" s="585"/>
      <c r="ET39" s="585"/>
      <c r="EU39" s="585"/>
      <c r="EV39" s="585"/>
      <c r="EW39" s="585"/>
      <c r="EX39" s="585"/>
      <c r="EY39" s="585"/>
      <c r="EZ39" s="585"/>
      <c r="FA39" s="585"/>
      <c r="FB39" s="585"/>
      <c r="FC39" s="585"/>
    </row>
    <row r="40" spans="1:159" ht="25.5" x14ac:dyDescent="0.2">
      <c r="A40" s="514" t="str">
        <f>+'6. PEP Mensual'!A42</f>
        <v>2.2.1</v>
      </c>
      <c r="B40" s="515" t="str">
        <f>+'6. PEP Mensual'!B42</f>
        <v>Auditoría financiera</v>
      </c>
      <c r="C40" s="525"/>
      <c r="D40" s="525"/>
      <c r="E40" s="526"/>
      <c r="F40" s="525"/>
      <c r="G40" s="527"/>
      <c r="H40" s="528"/>
      <c r="I40" s="529" t="s">
        <v>455</v>
      </c>
      <c r="J40" s="530" t="s">
        <v>328</v>
      </c>
      <c r="K40" s="517">
        <f>+'7. PEP Anual'!F39</f>
        <v>50000</v>
      </c>
      <c r="L40" s="531"/>
      <c r="M40" s="531"/>
      <c r="N40" s="531"/>
      <c r="O40" s="519"/>
      <c r="P40" s="519"/>
      <c r="Q40" s="519"/>
      <c r="R40" s="520"/>
      <c r="S40" s="520"/>
      <c r="T40" s="520"/>
      <c r="U40" s="520"/>
      <c r="V40" s="520"/>
      <c r="W40" s="521">
        <v>1</v>
      </c>
      <c r="X40" s="521">
        <v>2</v>
      </c>
      <c r="Y40" s="521">
        <v>3</v>
      </c>
      <c r="Z40" s="521">
        <v>6</v>
      </c>
      <c r="AA40" s="585"/>
      <c r="AB40" s="585"/>
      <c r="AC40" s="585"/>
      <c r="AD40" s="585"/>
      <c r="AE40" s="585"/>
      <c r="AF40" s="585"/>
      <c r="AG40" s="585"/>
      <c r="AH40" s="585"/>
      <c r="AI40" s="585"/>
      <c r="AJ40" s="585"/>
      <c r="AK40" s="585"/>
      <c r="AL40" s="585"/>
      <c r="AM40" s="585"/>
      <c r="AN40" s="585"/>
      <c r="AO40" s="585"/>
      <c r="AP40" s="585"/>
      <c r="AQ40" s="585"/>
      <c r="AR40" s="585"/>
      <c r="AS40" s="585"/>
      <c r="AT40" s="585"/>
      <c r="AU40" s="585"/>
      <c r="AV40" s="585"/>
      <c r="AW40" s="585"/>
      <c r="AX40" s="585"/>
      <c r="AY40" s="585"/>
      <c r="AZ40" s="585"/>
      <c r="BA40" s="585"/>
      <c r="BB40" s="585"/>
      <c r="BC40" s="585"/>
      <c r="BD40" s="585"/>
      <c r="BE40" s="585"/>
      <c r="BF40" s="585"/>
      <c r="BG40" s="585"/>
      <c r="BH40" s="585"/>
      <c r="BI40" s="585"/>
      <c r="BJ40" s="585"/>
      <c r="BK40" s="585"/>
      <c r="BL40" s="585"/>
      <c r="BM40" s="585"/>
      <c r="BN40" s="585"/>
      <c r="BO40" s="585"/>
      <c r="BP40" s="585"/>
      <c r="BQ40" s="585"/>
      <c r="BR40" s="585"/>
      <c r="BS40" s="585"/>
      <c r="BT40" s="585"/>
      <c r="BU40" s="585"/>
      <c r="BV40" s="585"/>
      <c r="BW40" s="585"/>
      <c r="BX40" s="585"/>
      <c r="BY40" s="585"/>
      <c r="BZ40" s="585"/>
      <c r="CA40" s="585"/>
      <c r="CB40" s="585"/>
      <c r="CC40" s="585"/>
      <c r="CD40" s="585"/>
      <c r="CE40" s="585"/>
      <c r="CF40" s="585"/>
      <c r="CG40" s="585"/>
      <c r="CH40" s="585"/>
      <c r="CI40" s="585"/>
      <c r="CJ40" s="585"/>
      <c r="CK40" s="585"/>
      <c r="CL40" s="585"/>
      <c r="CM40" s="585"/>
      <c r="CN40" s="585"/>
      <c r="CO40" s="585"/>
      <c r="CP40" s="585"/>
      <c r="CQ40" s="585"/>
      <c r="CR40" s="585"/>
      <c r="CS40" s="585"/>
      <c r="CT40" s="585"/>
      <c r="CU40" s="585"/>
      <c r="CV40" s="585"/>
      <c r="CW40" s="585"/>
      <c r="CX40" s="585"/>
      <c r="CY40" s="585"/>
      <c r="CZ40" s="585"/>
      <c r="DA40" s="585"/>
      <c r="DB40" s="585"/>
      <c r="DC40" s="585"/>
      <c r="DD40" s="585"/>
      <c r="DE40" s="585"/>
      <c r="DF40" s="585"/>
      <c r="DG40" s="585"/>
      <c r="DH40" s="585"/>
      <c r="DI40" s="585"/>
      <c r="DJ40" s="585"/>
      <c r="DK40" s="585"/>
      <c r="DL40" s="585"/>
      <c r="DM40" s="585"/>
      <c r="DN40" s="585"/>
      <c r="DO40" s="585"/>
      <c r="DP40" s="585"/>
      <c r="DQ40" s="585"/>
      <c r="DR40" s="585"/>
      <c r="DS40" s="585"/>
      <c r="DT40" s="585"/>
      <c r="DU40" s="585"/>
      <c r="DV40" s="585"/>
      <c r="DW40" s="585"/>
      <c r="DX40" s="585"/>
      <c r="DY40" s="585"/>
      <c r="DZ40" s="585"/>
      <c r="EA40" s="585"/>
      <c r="EB40" s="585"/>
      <c r="EC40" s="585"/>
      <c r="ED40" s="585"/>
      <c r="EE40" s="585"/>
      <c r="EF40" s="585"/>
      <c r="EG40" s="585"/>
      <c r="EH40" s="585"/>
      <c r="EI40" s="585"/>
      <c r="EJ40" s="585"/>
      <c r="EK40" s="585"/>
      <c r="EL40" s="585"/>
      <c r="EM40" s="585"/>
      <c r="EN40" s="585"/>
      <c r="EO40" s="585"/>
      <c r="EP40" s="585"/>
      <c r="EQ40" s="585"/>
      <c r="ER40" s="585"/>
      <c r="ES40" s="585"/>
      <c r="ET40" s="585"/>
      <c r="EU40" s="585"/>
      <c r="EV40" s="585"/>
      <c r="EW40" s="585"/>
      <c r="EX40" s="585"/>
      <c r="EY40" s="585"/>
      <c r="EZ40" s="585"/>
      <c r="FA40" s="585"/>
      <c r="FB40" s="585"/>
      <c r="FC40" s="585"/>
    </row>
    <row r="41" spans="1:159" ht="25.5" x14ac:dyDescent="0.2">
      <c r="A41" s="514" t="str">
        <f>+'6. PEP Mensual'!A43</f>
        <v>2.2.2</v>
      </c>
      <c r="B41" s="515" t="str">
        <f>+'6. PEP Mensual'!B43</f>
        <v xml:space="preserve">Estudios de pre inversión y diseños de ingeniería </v>
      </c>
      <c r="C41" s="525"/>
      <c r="D41" s="525"/>
      <c r="E41" s="526"/>
      <c r="F41" s="525"/>
      <c r="G41" s="527"/>
      <c r="H41" s="528"/>
      <c r="I41" s="518" t="s">
        <v>330</v>
      </c>
      <c r="J41" s="530" t="s">
        <v>328</v>
      </c>
      <c r="K41" s="517">
        <f>+'7. PEP Anual'!F40</f>
        <v>100000</v>
      </c>
      <c r="L41" s="531"/>
      <c r="M41" s="531"/>
      <c r="N41" s="531"/>
      <c r="O41" s="519"/>
      <c r="P41" s="519"/>
      <c r="Q41" s="519"/>
      <c r="R41" s="520"/>
      <c r="S41" s="520"/>
      <c r="T41" s="520"/>
      <c r="U41" s="521">
        <v>1</v>
      </c>
      <c r="V41" s="521">
        <v>2</v>
      </c>
      <c r="W41" s="521">
        <v>3</v>
      </c>
      <c r="X41" s="521">
        <v>4</v>
      </c>
      <c r="Y41" s="521">
        <v>5</v>
      </c>
      <c r="Z41" s="521">
        <v>6</v>
      </c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5"/>
      <c r="AV41" s="585"/>
      <c r="AW41" s="585"/>
      <c r="AX41" s="585"/>
      <c r="AY41" s="585"/>
      <c r="AZ41" s="585"/>
      <c r="BA41" s="585"/>
      <c r="BB41" s="585"/>
      <c r="BC41" s="585"/>
      <c r="BD41" s="585"/>
      <c r="BE41" s="585"/>
      <c r="BF41" s="585"/>
      <c r="BG41" s="585"/>
      <c r="BH41" s="585"/>
      <c r="BI41" s="585"/>
      <c r="BJ41" s="585"/>
      <c r="BK41" s="585"/>
      <c r="BL41" s="585"/>
      <c r="BM41" s="585"/>
      <c r="BN41" s="585"/>
      <c r="BO41" s="585"/>
      <c r="BP41" s="585"/>
      <c r="BQ41" s="585"/>
      <c r="BR41" s="585"/>
      <c r="BS41" s="585"/>
      <c r="BT41" s="585"/>
      <c r="BU41" s="585"/>
      <c r="BV41" s="585"/>
      <c r="BW41" s="585"/>
      <c r="BX41" s="585"/>
      <c r="BY41" s="585"/>
      <c r="BZ41" s="585"/>
      <c r="CA41" s="585"/>
      <c r="CB41" s="585"/>
      <c r="CC41" s="585"/>
      <c r="CD41" s="585"/>
      <c r="CE41" s="585"/>
      <c r="CF41" s="585"/>
      <c r="CG41" s="585"/>
      <c r="CH41" s="585"/>
      <c r="CI41" s="585"/>
      <c r="CJ41" s="585"/>
      <c r="CK41" s="585"/>
      <c r="CL41" s="585"/>
      <c r="CM41" s="585"/>
      <c r="CN41" s="585"/>
      <c r="CO41" s="585"/>
      <c r="CP41" s="585"/>
      <c r="CQ41" s="585"/>
      <c r="CR41" s="585"/>
      <c r="CS41" s="585"/>
      <c r="CT41" s="585"/>
      <c r="CU41" s="585"/>
      <c r="CV41" s="585"/>
      <c r="CW41" s="585"/>
      <c r="CX41" s="585"/>
      <c r="CY41" s="585"/>
      <c r="CZ41" s="585"/>
      <c r="DA41" s="585"/>
      <c r="DB41" s="585"/>
      <c r="DC41" s="585"/>
      <c r="DD41" s="585"/>
      <c r="DE41" s="585"/>
      <c r="DF41" s="585"/>
      <c r="DG41" s="585"/>
      <c r="DH41" s="585"/>
      <c r="DI41" s="585"/>
      <c r="DJ41" s="585"/>
      <c r="DK41" s="585"/>
      <c r="DL41" s="585"/>
      <c r="DM41" s="585"/>
      <c r="DN41" s="585"/>
      <c r="DO41" s="585"/>
      <c r="DP41" s="585"/>
      <c r="DQ41" s="585"/>
      <c r="DR41" s="585"/>
      <c r="DS41" s="585"/>
      <c r="DT41" s="585"/>
      <c r="DU41" s="585"/>
      <c r="DV41" s="585"/>
      <c r="DW41" s="585"/>
      <c r="DX41" s="585"/>
      <c r="DY41" s="585"/>
      <c r="DZ41" s="585"/>
      <c r="EA41" s="585"/>
      <c r="EB41" s="585"/>
      <c r="EC41" s="585"/>
      <c r="ED41" s="585"/>
      <c r="EE41" s="585"/>
      <c r="EF41" s="585"/>
      <c r="EG41" s="585"/>
      <c r="EH41" s="585"/>
      <c r="EI41" s="585"/>
      <c r="EJ41" s="585"/>
      <c r="EK41" s="585"/>
      <c r="EL41" s="585"/>
      <c r="EM41" s="585"/>
      <c r="EN41" s="585"/>
      <c r="EO41" s="585"/>
      <c r="EP41" s="585"/>
      <c r="EQ41" s="585"/>
      <c r="ER41" s="585"/>
      <c r="ES41" s="585"/>
      <c r="ET41" s="585"/>
      <c r="EU41" s="585"/>
      <c r="EV41" s="585"/>
      <c r="EW41" s="585"/>
      <c r="EX41" s="585"/>
      <c r="EY41" s="585"/>
      <c r="EZ41" s="585"/>
      <c r="FA41" s="585"/>
      <c r="FB41" s="585"/>
      <c r="FC41" s="585"/>
    </row>
    <row r="42" spans="1:159" ht="25.5" x14ac:dyDescent="0.2">
      <c r="A42" s="514" t="str">
        <f>+'6. PEP Mensual'!A44</f>
        <v>2.2.3</v>
      </c>
      <c r="B42" s="515" t="str">
        <f>+'6. PEP Mensual'!B44</f>
        <v>Fortalecimiento de departamentos de conservación vial y gobiernos locales para implementación del plan de mantenimiento</v>
      </c>
      <c r="C42" s="525"/>
      <c r="D42" s="525"/>
      <c r="E42" s="526"/>
      <c r="F42" s="525"/>
      <c r="G42" s="527"/>
      <c r="H42" s="528"/>
      <c r="I42" s="529"/>
      <c r="J42" s="530"/>
      <c r="K42" s="517">
        <f>+'7. PEP Anual'!F41</f>
        <v>0</v>
      </c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85"/>
      <c r="AB42" s="585"/>
      <c r="AC42" s="585"/>
      <c r="AD42" s="585"/>
      <c r="AE42" s="585"/>
      <c r="AF42" s="585"/>
      <c r="AG42" s="585"/>
      <c r="AH42" s="585"/>
      <c r="AI42" s="585"/>
      <c r="AJ42" s="585"/>
      <c r="AK42" s="585"/>
      <c r="AL42" s="585"/>
      <c r="AM42" s="585"/>
      <c r="AN42" s="585"/>
      <c r="AO42" s="585"/>
      <c r="AP42" s="585"/>
      <c r="AQ42" s="585"/>
      <c r="AR42" s="585"/>
      <c r="AS42" s="585"/>
      <c r="AT42" s="585"/>
      <c r="AU42" s="585"/>
      <c r="AV42" s="585"/>
      <c r="AW42" s="585"/>
      <c r="AX42" s="585"/>
      <c r="AY42" s="585"/>
      <c r="AZ42" s="585"/>
      <c r="BA42" s="585"/>
      <c r="BB42" s="585"/>
      <c r="BC42" s="585"/>
      <c r="BD42" s="585"/>
      <c r="BE42" s="585"/>
      <c r="BF42" s="585"/>
      <c r="BG42" s="585"/>
      <c r="BH42" s="585"/>
      <c r="BI42" s="585"/>
      <c r="BJ42" s="585"/>
      <c r="BK42" s="585"/>
      <c r="BL42" s="585"/>
      <c r="BM42" s="585"/>
      <c r="BN42" s="585"/>
      <c r="BO42" s="585"/>
      <c r="BP42" s="585"/>
      <c r="BQ42" s="585"/>
      <c r="BR42" s="585"/>
      <c r="BS42" s="585"/>
      <c r="BT42" s="585"/>
      <c r="BU42" s="585"/>
      <c r="BV42" s="585"/>
      <c r="BW42" s="585"/>
      <c r="BX42" s="585"/>
      <c r="BY42" s="585"/>
      <c r="BZ42" s="585"/>
      <c r="CA42" s="585"/>
      <c r="CB42" s="585"/>
      <c r="CC42" s="585"/>
      <c r="CD42" s="585"/>
      <c r="CE42" s="585"/>
      <c r="CF42" s="585"/>
      <c r="CG42" s="585"/>
      <c r="CH42" s="585"/>
      <c r="CI42" s="585"/>
      <c r="CJ42" s="585"/>
      <c r="CK42" s="585"/>
      <c r="CL42" s="585"/>
      <c r="CM42" s="585"/>
      <c r="CN42" s="585"/>
      <c r="CO42" s="585"/>
      <c r="CP42" s="585"/>
      <c r="CQ42" s="585"/>
      <c r="CR42" s="585"/>
      <c r="CS42" s="585"/>
      <c r="CT42" s="585"/>
      <c r="CU42" s="585"/>
      <c r="CV42" s="585"/>
      <c r="CW42" s="585"/>
      <c r="CX42" s="585"/>
      <c r="CY42" s="585"/>
      <c r="CZ42" s="585"/>
      <c r="DA42" s="585"/>
      <c r="DB42" s="585"/>
      <c r="DC42" s="585"/>
      <c r="DD42" s="585"/>
      <c r="DE42" s="585"/>
      <c r="DF42" s="585"/>
      <c r="DG42" s="585"/>
      <c r="DH42" s="585"/>
      <c r="DI42" s="585"/>
      <c r="DJ42" s="585"/>
      <c r="DK42" s="585"/>
      <c r="DL42" s="585"/>
      <c r="DM42" s="585"/>
      <c r="DN42" s="585"/>
      <c r="DO42" s="585"/>
      <c r="DP42" s="585"/>
      <c r="DQ42" s="585"/>
      <c r="DR42" s="585"/>
      <c r="DS42" s="585"/>
      <c r="DT42" s="585"/>
      <c r="DU42" s="585"/>
      <c r="DV42" s="585"/>
      <c r="DW42" s="585"/>
      <c r="DX42" s="585"/>
      <c r="DY42" s="585"/>
      <c r="DZ42" s="585"/>
      <c r="EA42" s="585"/>
      <c r="EB42" s="585"/>
      <c r="EC42" s="585"/>
      <c r="ED42" s="585"/>
      <c r="EE42" s="585"/>
      <c r="EF42" s="585"/>
      <c r="EG42" s="585"/>
      <c r="EH42" s="585"/>
      <c r="EI42" s="585"/>
      <c r="EJ42" s="585"/>
      <c r="EK42" s="585"/>
      <c r="EL42" s="585"/>
      <c r="EM42" s="585"/>
      <c r="EN42" s="585"/>
      <c r="EO42" s="585"/>
      <c r="EP42" s="585"/>
      <c r="EQ42" s="585"/>
      <c r="ER42" s="585"/>
      <c r="ES42" s="585"/>
      <c r="ET42" s="585"/>
      <c r="EU42" s="585"/>
      <c r="EV42" s="585"/>
      <c r="EW42" s="585"/>
      <c r="EX42" s="585"/>
      <c r="EY42" s="585"/>
      <c r="EZ42" s="585"/>
      <c r="FA42" s="585"/>
      <c r="FB42" s="585"/>
      <c r="FC42" s="585"/>
    </row>
    <row r="43" spans="1:159" x14ac:dyDescent="0.2">
      <c r="A43" s="514" t="str">
        <f>+'6. PEP Mensual'!A45</f>
        <v>2.2.4</v>
      </c>
      <c r="B43" s="515" t="str">
        <f>+'6. PEP Mensual'!B45</f>
        <v>Evaluación final del programa, incluyendo evaluación de impacto</v>
      </c>
      <c r="C43" s="525"/>
      <c r="D43" s="525"/>
      <c r="E43" s="526"/>
      <c r="F43" s="525"/>
      <c r="G43" s="527"/>
      <c r="H43" s="528"/>
      <c r="I43" s="529"/>
      <c r="J43" s="530"/>
      <c r="K43" s="517">
        <f>+'7. PEP Anual'!F42</f>
        <v>0</v>
      </c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85"/>
      <c r="AB43" s="585"/>
      <c r="AC43" s="585"/>
      <c r="AD43" s="585"/>
      <c r="AE43" s="585"/>
      <c r="AF43" s="585"/>
      <c r="AG43" s="585"/>
      <c r="AH43" s="585"/>
      <c r="AI43" s="585"/>
      <c r="AJ43" s="585"/>
      <c r="AK43" s="585"/>
      <c r="AL43" s="585"/>
      <c r="AM43" s="585"/>
      <c r="AN43" s="585"/>
      <c r="AO43" s="585"/>
      <c r="AP43" s="585"/>
      <c r="AQ43" s="585"/>
      <c r="AR43" s="585"/>
      <c r="AS43" s="585"/>
      <c r="AT43" s="585"/>
      <c r="AU43" s="585"/>
      <c r="AV43" s="585"/>
      <c r="AW43" s="585"/>
      <c r="AX43" s="585"/>
      <c r="AY43" s="585"/>
      <c r="AZ43" s="585"/>
      <c r="BA43" s="585"/>
      <c r="BB43" s="585"/>
      <c r="BC43" s="585"/>
      <c r="BD43" s="585"/>
      <c r="BE43" s="585"/>
      <c r="BF43" s="585"/>
      <c r="BG43" s="585"/>
      <c r="BH43" s="585"/>
      <c r="BI43" s="585"/>
      <c r="BJ43" s="585"/>
      <c r="BK43" s="585"/>
      <c r="BL43" s="585"/>
      <c r="BM43" s="585"/>
      <c r="BN43" s="585"/>
      <c r="BO43" s="585"/>
      <c r="BP43" s="585"/>
      <c r="BQ43" s="585"/>
      <c r="BR43" s="585"/>
      <c r="BS43" s="585"/>
      <c r="BT43" s="585"/>
      <c r="BU43" s="585"/>
      <c r="BV43" s="585"/>
      <c r="BW43" s="585"/>
      <c r="BX43" s="585"/>
      <c r="BY43" s="585"/>
      <c r="BZ43" s="585"/>
      <c r="CA43" s="585"/>
      <c r="CB43" s="585"/>
      <c r="CC43" s="585"/>
      <c r="CD43" s="585"/>
      <c r="CE43" s="585"/>
      <c r="CF43" s="585"/>
      <c r="CG43" s="585"/>
      <c r="CH43" s="585"/>
      <c r="CI43" s="585"/>
      <c r="CJ43" s="585"/>
      <c r="CK43" s="585"/>
      <c r="CL43" s="585"/>
      <c r="CM43" s="585"/>
      <c r="CN43" s="585"/>
      <c r="CO43" s="585"/>
      <c r="CP43" s="585"/>
      <c r="CQ43" s="585"/>
      <c r="CR43" s="585"/>
      <c r="CS43" s="585"/>
      <c r="CT43" s="585"/>
      <c r="CU43" s="585"/>
      <c r="CV43" s="585"/>
      <c r="CW43" s="585"/>
      <c r="CX43" s="585"/>
      <c r="CY43" s="585"/>
      <c r="CZ43" s="585"/>
      <c r="DA43" s="585"/>
      <c r="DB43" s="585"/>
      <c r="DC43" s="585"/>
      <c r="DD43" s="585"/>
      <c r="DE43" s="585"/>
      <c r="DF43" s="585"/>
      <c r="DG43" s="585"/>
      <c r="DH43" s="585"/>
      <c r="DI43" s="585"/>
      <c r="DJ43" s="585"/>
      <c r="DK43" s="585"/>
      <c r="DL43" s="585"/>
      <c r="DM43" s="585"/>
      <c r="DN43" s="585"/>
      <c r="DO43" s="585"/>
      <c r="DP43" s="585"/>
      <c r="DQ43" s="585"/>
      <c r="DR43" s="585"/>
      <c r="DS43" s="585"/>
      <c r="DT43" s="585"/>
      <c r="DU43" s="585"/>
      <c r="DV43" s="585"/>
      <c r="DW43" s="585"/>
      <c r="DX43" s="585"/>
      <c r="DY43" s="585"/>
      <c r="DZ43" s="585"/>
      <c r="EA43" s="585"/>
      <c r="EB43" s="585"/>
      <c r="EC43" s="585"/>
      <c r="ED43" s="585"/>
      <c r="EE43" s="585"/>
      <c r="EF43" s="585"/>
      <c r="EG43" s="585"/>
      <c r="EH43" s="585"/>
      <c r="EI43" s="585"/>
      <c r="EJ43" s="585"/>
      <c r="EK43" s="585"/>
      <c r="EL43" s="585"/>
      <c r="EM43" s="585"/>
      <c r="EN43" s="585"/>
      <c r="EO43" s="585"/>
      <c r="EP43" s="585"/>
      <c r="EQ43" s="585"/>
      <c r="ER43" s="585"/>
      <c r="ES43" s="585"/>
      <c r="ET43" s="585"/>
      <c r="EU43" s="585"/>
      <c r="EV43" s="585"/>
      <c r="EW43" s="585"/>
      <c r="EX43" s="585"/>
      <c r="EY43" s="585"/>
      <c r="EZ43" s="585"/>
      <c r="FA43" s="585"/>
      <c r="FB43" s="585"/>
      <c r="FC43" s="585"/>
    </row>
    <row r="44" spans="1:159" x14ac:dyDescent="0.2">
      <c r="A44" s="514" t="str">
        <f>+'6. PEP Mensual'!A46</f>
        <v>2.2.5</v>
      </c>
      <c r="B44" s="515" t="str">
        <f>+'6. PEP Mensual'!B46</f>
        <v>Levantamiento de Línea de Base</v>
      </c>
      <c r="C44" s="525"/>
      <c r="D44" s="525"/>
      <c r="E44" s="526"/>
      <c r="F44" s="525"/>
      <c r="G44" s="527"/>
      <c r="H44" s="528"/>
      <c r="I44" s="529"/>
      <c r="J44" s="530"/>
      <c r="K44" s="517">
        <f>+'7. PEP Anual'!F43</f>
        <v>50000</v>
      </c>
      <c r="L44" s="531"/>
      <c r="M44" s="531"/>
      <c r="N44" s="531"/>
      <c r="O44" s="89"/>
      <c r="P44" s="89"/>
      <c r="Q44" s="90"/>
      <c r="R44" s="90"/>
      <c r="S44" s="90"/>
      <c r="T44" s="91">
        <v>1</v>
      </c>
      <c r="U44" s="91">
        <v>2</v>
      </c>
      <c r="V44" s="91">
        <v>3</v>
      </c>
      <c r="W44" s="91">
        <v>4</v>
      </c>
      <c r="X44" s="531"/>
      <c r="Y44" s="531"/>
      <c r="Z44" s="531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585"/>
      <c r="AR44" s="585"/>
      <c r="AS44" s="585"/>
      <c r="AT44" s="585"/>
      <c r="AU44" s="585"/>
      <c r="AV44" s="585"/>
      <c r="AW44" s="585"/>
      <c r="AX44" s="585"/>
      <c r="AY44" s="585"/>
      <c r="AZ44" s="585"/>
      <c r="BA44" s="585"/>
      <c r="BB44" s="585"/>
      <c r="BC44" s="585"/>
      <c r="BD44" s="585"/>
      <c r="BE44" s="585"/>
      <c r="BF44" s="585"/>
      <c r="BG44" s="585"/>
      <c r="BH44" s="585"/>
      <c r="BI44" s="585"/>
      <c r="BJ44" s="585"/>
      <c r="BK44" s="585"/>
      <c r="BL44" s="585"/>
      <c r="BM44" s="585"/>
      <c r="BN44" s="585"/>
      <c r="BO44" s="585"/>
      <c r="BP44" s="585"/>
      <c r="BQ44" s="585"/>
      <c r="BR44" s="585"/>
      <c r="BS44" s="585"/>
      <c r="BT44" s="585"/>
      <c r="BU44" s="585"/>
      <c r="BV44" s="585"/>
      <c r="BW44" s="585"/>
      <c r="BX44" s="585"/>
      <c r="BY44" s="585"/>
      <c r="BZ44" s="585"/>
      <c r="CA44" s="585"/>
      <c r="CB44" s="585"/>
      <c r="CC44" s="585"/>
      <c r="CD44" s="585"/>
      <c r="CE44" s="585"/>
      <c r="CF44" s="585"/>
      <c r="CG44" s="585"/>
      <c r="CH44" s="585"/>
      <c r="CI44" s="585"/>
      <c r="CJ44" s="585"/>
      <c r="CK44" s="585"/>
      <c r="CL44" s="585"/>
      <c r="CM44" s="585"/>
      <c r="CN44" s="585"/>
      <c r="CO44" s="585"/>
      <c r="CP44" s="585"/>
      <c r="CQ44" s="585"/>
      <c r="CR44" s="585"/>
      <c r="CS44" s="585"/>
      <c r="CT44" s="585"/>
      <c r="CU44" s="585"/>
      <c r="CV44" s="585"/>
      <c r="CW44" s="585"/>
      <c r="CX44" s="585"/>
      <c r="CY44" s="585"/>
      <c r="CZ44" s="585"/>
      <c r="DA44" s="585"/>
      <c r="DB44" s="585"/>
      <c r="DC44" s="585"/>
      <c r="DD44" s="585"/>
      <c r="DE44" s="585"/>
      <c r="DF44" s="585"/>
      <c r="DG44" s="585"/>
      <c r="DH44" s="585"/>
      <c r="DI44" s="585"/>
      <c r="DJ44" s="585"/>
      <c r="DK44" s="585"/>
      <c r="DL44" s="585"/>
      <c r="DM44" s="585"/>
      <c r="DN44" s="585"/>
      <c r="DO44" s="585"/>
      <c r="DP44" s="585"/>
      <c r="DQ44" s="585"/>
      <c r="DR44" s="585"/>
      <c r="DS44" s="585"/>
      <c r="DT44" s="585"/>
      <c r="DU44" s="585"/>
      <c r="DV44" s="585"/>
      <c r="DW44" s="585"/>
      <c r="DX44" s="585"/>
      <c r="DY44" s="585"/>
      <c r="DZ44" s="585"/>
      <c r="EA44" s="585"/>
      <c r="EB44" s="585"/>
      <c r="EC44" s="585"/>
      <c r="ED44" s="585"/>
      <c r="EE44" s="585"/>
      <c r="EF44" s="585"/>
      <c r="EG44" s="585"/>
      <c r="EH44" s="585"/>
      <c r="EI44" s="585"/>
      <c r="EJ44" s="585"/>
      <c r="EK44" s="585"/>
      <c r="EL44" s="585"/>
      <c r="EM44" s="585"/>
      <c r="EN44" s="585"/>
      <c r="EO44" s="585"/>
      <c r="EP44" s="585"/>
      <c r="EQ44" s="585"/>
      <c r="ER44" s="585"/>
      <c r="ES44" s="585"/>
      <c r="ET44" s="585"/>
      <c r="EU44" s="585"/>
      <c r="EV44" s="585"/>
      <c r="EW44" s="585"/>
      <c r="EX44" s="585"/>
      <c r="EY44" s="585"/>
      <c r="EZ44" s="585"/>
      <c r="FA44" s="585"/>
      <c r="FB44" s="585"/>
      <c r="FC44" s="585"/>
    </row>
    <row r="45" spans="1:159" ht="23.25" customHeight="1" x14ac:dyDescent="0.2">
      <c r="A45" s="532"/>
      <c r="B45" s="533" t="s">
        <v>452</v>
      </c>
      <c r="C45" s="534"/>
      <c r="D45" s="534"/>
      <c r="E45" s="535"/>
      <c r="F45" s="534"/>
      <c r="G45" s="536"/>
      <c r="H45" s="537"/>
      <c r="I45" s="538"/>
      <c r="J45" s="539"/>
      <c r="K45" s="540">
        <f>+K36+K10</f>
        <v>54940012.102786668</v>
      </c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92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5"/>
      <c r="AS45" s="585"/>
      <c r="AT45" s="585"/>
      <c r="AU45" s="585"/>
      <c r="AV45" s="585"/>
      <c r="AW45" s="585"/>
      <c r="AX45" s="585"/>
      <c r="AY45" s="585"/>
      <c r="AZ45" s="585"/>
      <c r="BA45" s="585"/>
      <c r="BB45" s="585"/>
      <c r="BC45" s="585"/>
      <c r="BD45" s="585"/>
      <c r="BE45" s="585"/>
      <c r="BF45" s="585"/>
      <c r="BG45" s="585"/>
      <c r="BH45" s="585"/>
      <c r="BI45" s="585"/>
      <c r="BJ45" s="585"/>
      <c r="BK45" s="585"/>
      <c r="BL45" s="585"/>
      <c r="BM45" s="585"/>
      <c r="BN45" s="585"/>
      <c r="BO45" s="585"/>
      <c r="BP45" s="585"/>
      <c r="BQ45" s="585"/>
      <c r="BR45" s="585"/>
      <c r="BS45" s="585"/>
      <c r="BT45" s="585"/>
      <c r="BU45" s="585"/>
      <c r="BV45" s="585"/>
      <c r="BW45" s="585"/>
      <c r="BX45" s="585"/>
      <c r="BY45" s="585"/>
      <c r="BZ45" s="585"/>
      <c r="CA45" s="585"/>
      <c r="CB45" s="585"/>
      <c r="CC45" s="585"/>
      <c r="CD45" s="585"/>
      <c r="CE45" s="585"/>
      <c r="CF45" s="585"/>
      <c r="CG45" s="585"/>
      <c r="CH45" s="585"/>
      <c r="CI45" s="585"/>
      <c r="CJ45" s="585"/>
      <c r="CK45" s="585"/>
      <c r="CL45" s="585"/>
      <c r="CM45" s="585"/>
      <c r="CN45" s="585"/>
      <c r="CO45" s="585"/>
      <c r="CP45" s="585"/>
      <c r="CQ45" s="585"/>
      <c r="CR45" s="585"/>
      <c r="CS45" s="585"/>
      <c r="CT45" s="585"/>
      <c r="CU45" s="585"/>
      <c r="CV45" s="585"/>
      <c r="CW45" s="585"/>
      <c r="CX45" s="585"/>
      <c r="CY45" s="585"/>
      <c r="CZ45" s="585"/>
      <c r="DA45" s="585"/>
      <c r="DB45" s="585"/>
      <c r="DC45" s="585"/>
      <c r="DD45" s="585"/>
      <c r="DE45" s="585"/>
      <c r="DF45" s="585"/>
      <c r="DG45" s="585"/>
      <c r="DH45" s="585"/>
      <c r="DI45" s="585"/>
      <c r="DJ45" s="585"/>
      <c r="DK45" s="585"/>
      <c r="DL45" s="585"/>
      <c r="DM45" s="585"/>
      <c r="DN45" s="585"/>
      <c r="DO45" s="585"/>
      <c r="DP45" s="585"/>
      <c r="DQ45" s="585"/>
      <c r="DR45" s="585"/>
      <c r="DS45" s="585"/>
      <c r="DT45" s="585"/>
      <c r="DU45" s="585"/>
      <c r="DV45" s="585"/>
      <c r="DW45" s="585"/>
      <c r="DX45" s="585"/>
      <c r="DY45" s="585"/>
      <c r="DZ45" s="585"/>
      <c r="EA45" s="585"/>
      <c r="EB45" s="585"/>
      <c r="EC45" s="585"/>
      <c r="ED45" s="585"/>
      <c r="EE45" s="585"/>
      <c r="EF45" s="585"/>
      <c r="EG45" s="585"/>
      <c r="EH45" s="585"/>
      <c r="EI45" s="585"/>
      <c r="EJ45" s="585"/>
      <c r="EK45" s="585"/>
      <c r="EL45" s="585"/>
      <c r="EM45" s="585"/>
      <c r="EN45" s="585"/>
      <c r="EO45" s="585"/>
      <c r="EP45" s="585"/>
      <c r="EQ45" s="585"/>
      <c r="ER45" s="585"/>
      <c r="ES45" s="585"/>
      <c r="ET45" s="585"/>
      <c r="EU45" s="585"/>
      <c r="EV45" s="585"/>
      <c r="EW45" s="585"/>
      <c r="EX45" s="585"/>
      <c r="EY45" s="585"/>
      <c r="EZ45" s="585"/>
      <c r="FA45" s="585"/>
      <c r="FB45" s="585"/>
      <c r="FC45" s="585"/>
    </row>
  </sheetData>
  <mergeCells count="8">
    <mergeCell ref="U8:W8"/>
    <mergeCell ref="X8:Z8"/>
    <mergeCell ref="C8:F8"/>
    <mergeCell ref="G8:K8"/>
    <mergeCell ref="L8:M8"/>
    <mergeCell ref="N8:N9"/>
    <mergeCell ref="O8:Q8"/>
    <mergeCell ref="R8:T8"/>
  </mergeCells>
  <pageMargins left="0.31496062992125984" right="0.35433070866141736" top="0.31496062992125984" bottom="0.23622047244094491" header="0.31496062992125984" footer="0.31496062992125984"/>
  <pageSetup paperSize="9" scale="79" orientation="landscape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Y79"/>
  <sheetViews>
    <sheetView tabSelected="1" topLeftCell="B16" zoomScale="80" zoomScaleNormal="80" workbookViewId="0">
      <selection activeCell="C42" sqref="C42"/>
    </sheetView>
  </sheetViews>
  <sheetFormatPr defaultColWidth="9.140625" defaultRowHeight="12.75" x14ac:dyDescent="0.2"/>
  <cols>
    <col min="1" max="1" width="6" style="283" hidden="1" customWidth="1"/>
    <col min="2" max="2" width="15.5703125" style="283" customWidth="1"/>
    <col min="3" max="3" width="59.85546875" style="285" bestFit="1" customWidth="1"/>
    <col min="4" max="4" width="15.140625" style="286" customWidth="1"/>
    <col min="5" max="5" width="18" style="283" customWidth="1"/>
    <col min="6" max="6" width="9.42578125" style="283" customWidth="1"/>
    <col min="7" max="7" width="17" style="287" customWidth="1"/>
    <col min="8" max="8" width="16.140625" style="283" customWidth="1"/>
    <col min="9" max="10" width="11" style="283" customWidth="1"/>
    <col min="11" max="11" width="14.5703125" style="283" customWidth="1"/>
    <col min="12" max="12" width="17.85546875" style="288" customWidth="1"/>
    <col min="13" max="13" width="18.140625" style="288" customWidth="1"/>
    <col min="14" max="14" width="18.42578125" style="286" customWidth="1"/>
    <col min="15" max="15" width="34.28515625" style="283" customWidth="1"/>
    <col min="16" max="16" width="21" style="283" customWidth="1"/>
    <col min="17" max="17" width="27" style="289" customWidth="1"/>
    <col min="18" max="18" width="68.5703125" style="289" hidden="1" customWidth="1"/>
    <col min="19" max="19" width="57.42578125" style="289" hidden="1" customWidth="1"/>
    <col min="20" max="207" width="9.140625" style="289"/>
    <col min="208" max="16384" width="9.140625" style="283"/>
  </cols>
  <sheetData>
    <row r="1" spans="1:207" x14ac:dyDescent="0.2">
      <c r="B1" s="284" t="s">
        <v>235</v>
      </c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283"/>
      <c r="EQ1" s="283"/>
      <c r="ER1" s="283"/>
      <c r="ES1" s="283"/>
      <c r="ET1" s="283"/>
      <c r="EU1" s="283"/>
      <c r="EV1" s="283"/>
      <c r="EW1" s="283"/>
      <c r="EX1" s="283"/>
      <c r="EY1" s="283"/>
      <c r="EZ1" s="283"/>
      <c r="FA1" s="283"/>
      <c r="FB1" s="283"/>
      <c r="FC1" s="283"/>
      <c r="FD1" s="283"/>
      <c r="FE1" s="283"/>
      <c r="FF1" s="283"/>
      <c r="FG1" s="283"/>
      <c r="FH1" s="283"/>
      <c r="FI1" s="283"/>
      <c r="FJ1" s="283"/>
      <c r="FK1" s="283"/>
      <c r="FL1" s="283"/>
      <c r="FM1" s="283"/>
      <c r="FN1" s="283"/>
      <c r="FO1" s="283"/>
      <c r="FP1" s="283"/>
      <c r="FQ1" s="283"/>
      <c r="FR1" s="283"/>
      <c r="FS1" s="283"/>
      <c r="FT1" s="283"/>
      <c r="FU1" s="283"/>
      <c r="FV1" s="283"/>
      <c r="FW1" s="283"/>
      <c r="FX1" s="283"/>
      <c r="FY1" s="283"/>
      <c r="FZ1" s="283"/>
      <c r="GA1" s="283"/>
      <c r="GB1" s="283"/>
      <c r="GC1" s="283"/>
      <c r="GD1" s="283"/>
      <c r="GE1" s="283"/>
      <c r="GF1" s="283"/>
      <c r="GG1" s="283"/>
      <c r="GH1" s="283"/>
      <c r="GI1" s="283"/>
      <c r="GJ1" s="283"/>
      <c r="GK1" s="283"/>
      <c r="GL1" s="283"/>
      <c r="GM1" s="283"/>
      <c r="GN1" s="283"/>
      <c r="GO1" s="283"/>
      <c r="GP1" s="283"/>
      <c r="GQ1" s="283"/>
      <c r="GR1" s="283"/>
      <c r="GS1" s="283"/>
      <c r="GT1" s="283"/>
      <c r="GU1" s="283"/>
      <c r="GV1" s="283"/>
      <c r="GW1" s="283"/>
      <c r="GX1" s="283"/>
      <c r="GY1" s="283"/>
    </row>
    <row r="2" spans="1:207" x14ac:dyDescent="0.2">
      <c r="B2" s="284" t="s">
        <v>8</v>
      </c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283"/>
      <c r="EG2" s="283"/>
      <c r="EH2" s="283"/>
      <c r="EI2" s="283"/>
      <c r="EJ2" s="283"/>
      <c r="EK2" s="283"/>
      <c r="EL2" s="283"/>
      <c r="EM2" s="283"/>
      <c r="EN2" s="283"/>
      <c r="EO2" s="283"/>
      <c r="EP2" s="283"/>
      <c r="EQ2" s="283"/>
      <c r="ER2" s="283"/>
      <c r="ES2" s="283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3"/>
      <c r="FF2" s="283"/>
      <c r="FG2" s="283"/>
      <c r="FH2" s="283"/>
      <c r="FI2" s="283"/>
      <c r="FJ2" s="283"/>
      <c r="FK2" s="283"/>
      <c r="FL2" s="283"/>
      <c r="FM2" s="283"/>
      <c r="FN2" s="283"/>
      <c r="FO2" s="283"/>
      <c r="FP2" s="283"/>
      <c r="FQ2" s="283"/>
      <c r="FR2" s="283"/>
      <c r="FS2" s="283"/>
      <c r="FT2" s="283"/>
      <c r="FU2" s="283"/>
      <c r="FV2" s="283"/>
      <c r="FW2" s="283"/>
      <c r="FX2" s="283"/>
      <c r="FY2" s="283"/>
      <c r="FZ2" s="283"/>
      <c r="GA2" s="283"/>
      <c r="GB2" s="283"/>
      <c r="GC2" s="283"/>
      <c r="GD2" s="283"/>
      <c r="GE2" s="283"/>
      <c r="GF2" s="283"/>
      <c r="GG2" s="283"/>
      <c r="GH2" s="283"/>
      <c r="GI2" s="283"/>
      <c r="GJ2" s="283"/>
      <c r="GK2" s="283"/>
      <c r="GL2" s="283"/>
      <c r="GM2" s="283"/>
      <c r="GN2" s="283"/>
      <c r="GO2" s="283"/>
      <c r="GP2" s="283"/>
      <c r="GQ2" s="283"/>
      <c r="GR2" s="283"/>
      <c r="GS2" s="283"/>
      <c r="GT2" s="283"/>
      <c r="GU2" s="283"/>
      <c r="GV2" s="283"/>
      <c r="GW2" s="283"/>
      <c r="GX2" s="283"/>
      <c r="GY2" s="283"/>
    </row>
    <row r="3" spans="1:207" x14ac:dyDescent="0.2">
      <c r="B3" s="290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3"/>
      <c r="FK3" s="283"/>
      <c r="FL3" s="283"/>
      <c r="FM3" s="283"/>
      <c r="FN3" s="283"/>
      <c r="FO3" s="283"/>
      <c r="FP3" s="283"/>
      <c r="FQ3" s="283"/>
      <c r="FR3" s="283"/>
      <c r="FS3" s="283"/>
      <c r="FT3" s="283"/>
      <c r="FU3" s="283"/>
      <c r="FV3" s="283"/>
      <c r="FW3" s="283"/>
      <c r="FX3" s="283"/>
      <c r="FY3" s="283"/>
      <c r="FZ3" s="283"/>
      <c r="GA3" s="283"/>
      <c r="GB3" s="283"/>
      <c r="GC3" s="283"/>
      <c r="GD3" s="283"/>
      <c r="GE3" s="283"/>
      <c r="GF3" s="283"/>
      <c r="GG3" s="283"/>
      <c r="GH3" s="283"/>
      <c r="GI3" s="283"/>
      <c r="GJ3" s="283"/>
      <c r="GK3" s="283"/>
      <c r="GL3" s="283"/>
      <c r="GM3" s="283"/>
      <c r="GN3" s="283"/>
      <c r="GO3" s="283"/>
      <c r="GP3" s="283"/>
      <c r="GQ3" s="283"/>
      <c r="GR3" s="283"/>
      <c r="GS3" s="283"/>
      <c r="GT3" s="283"/>
      <c r="GU3" s="283"/>
      <c r="GV3" s="283"/>
      <c r="GW3" s="283"/>
      <c r="GX3" s="283"/>
      <c r="GY3" s="283"/>
    </row>
    <row r="4" spans="1:207" x14ac:dyDescent="0.2">
      <c r="B4" s="401" t="str">
        <f>'4. CC D'!A4</f>
        <v>Operación: Programa de Mejoramiento y conservación de corredores agroindustriales</v>
      </c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3"/>
      <c r="FM4" s="283"/>
      <c r="FN4" s="283"/>
      <c r="FO4" s="283"/>
      <c r="FP4" s="283"/>
      <c r="FQ4" s="283"/>
      <c r="FR4" s="283"/>
      <c r="FS4" s="283"/>
      <c r="FT4" s="283"/>
      <c r="FU4" s="283"/>
      <c r="FV4" s="283"/>
      <c r="FW4" s="283"/>
      <c r="FX4" s="283"/>
      <c r="FY4" s="283"/>
      <c r="FZ4" s="283"/>
      <c r="GA4" s="283"/>
      <c r="GB4" s="283"/>
      <c r="GC4" s="283"/>
      <c r="GD4" s="283"/>
      <c r="GE4" s="283"/>
      <c r="GF4" s="283"/>
      <c r="GG4" s="283"/>
      <c r="GH4" s="283"/>
      <c r="GI4" s="283"/>
      <c r="GJ4" s="283"/>
      <c r="GK4" s="283"/>
      <c r="GL4" s="283"/>
      <c r="GM4" s="283"/>
      <c r="GN4" s="283"/>
      <c r="GO4" s="283"/>
      <c r="GP4" s="283"/>
      <c r="GQ4" s="283"/>
      <c r="GR4" s="283"/>
      <c r="GS4" s="283"/>
      <c r="GT4" s="283"/>
      <c r="GU4" s="283"/>
      <c r="GV4" s="283"/>
      <c r="GW4" s="283"/>
      <c r="GX4" s="283"/>
      <c r="GY4" s="283"/>
    </row>
    <row r="5" spans="1:207" x14ac:dyDescent="0.2">
      <c r="B5" s="290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283"/>
      <c r="ES5" s="283"/>
      <c r="ET5" s="283"/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3"/>
      <c r="FL5" s="283"/>
      <c r="FM5" s="283"/>
      <c r="FN5" s="283"/>
      <c r="FO5" s="283"/>
      <c r="FP5" s="283"/>
      <c r="FQ5" s="283"/>
      <c r="FR5" s="283"/>
      <c r="FS5" s="283"/>
      <c r="FT5" s="283"/>
      <c r="FU5" s="283"/>
      <c r="FV5" s="283"/>
      <c r="FW5" s="283"/>
      <c r="FX5" s="283"/>
      <c r="FY5" s="283"/>
      <c r="FZ5" s="283"/>
      <c r="GA5" s="283"/>
      <c r="GB5" s="283"/>
      <c r="GC5" s="283"/>
      <c r="GD5" s="283"/>
      <c r="GE5" s="283"/>
      <c r="GF5" s="283"/>
      <c r="GG5" s="283"/>
      <c r="GH5" s="283"/>
      <c r="GI5" s="283"/>
      <c r="GJ5" s="283"/>
      <c r="GK5" s="283"/>
      <c r="GL5" s="283"/>
      <c r="GM5" s="283"/>
      <c r="GN5" s="283"/>
      <c r="GO5" s="283"/>
      <c r="GP5" s="283"/>
      <c r="GQ5" s="283"/>
      <c r="GR5" s="283"/>
      <c r="GS5" s="283"/>
      <c r="GT5" s="283"/>
      <c r="GU5" s="283"/>
      <c r="GV5" s="283"/>
      <c r="GW5" s="283"/>
      <c r="GX5" s="283"/>
      <c r="GY5" s="283"/>
    </row>
    <row r="6" spans="1:207" x14ac:dyDescent="0.2">
      <c r="B6" s="284" t="s">
        <v>9</v>
      </c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3"/>
      <c r="DM6" s="283"/>
      <c r="DN6" s="283"/>
      <c r="DO6" s="283"/>
      <c r="DP6" s="283"/>
      <c r="DQ6" s="283"/>
      <c r="DR6" s="283"/>
      <c r="DS6" s="283"/>
      <c r="DT6" s="283"/>
      <c r="DU6" s="283"/>
      <c r="DV6" s="283"/>
      <c r="DW6" s="283"/>
      <c r="DX6" s="283"/>
      <c r="DY6" s="283"/>
      <c r="DZ6" s="283"/>
      <c r="EA6" s="283"/>
      <c r="EB6" s="283"/>
      <c r="EC6" s="283"/>
      <c r="ED6" s="283"/>
      <c r="EE6" s="283"/>
      <c r="EF6" s="283"/>
      <c r="EG6" s="283"/>
      <c r="EH6" s="283"/>
      <c r="EI6" s="283"/>
      <c r="EJ6" s="283"/>
      <c r="EK6" s="283"/>
      <c r="EL6" s="283"/>
      <c r="EM6" s="283"/>
      <c r="EN6" s="283"/>
      <c r="EO6" s="283"/>
      <c r="EP6" s="283"/>
      <c r="EQ6" s="283"/>
      <c r="ER6" s="283"/>
      <c r="ES6" s="283"/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3"/>
      <c r="FI6" s="283"/>
      <c r="FJ6" s="283"/>
      <c r="FK6" s="283"/>
      <c r="FL6" s="283"/>
      <c r="FM6" s="283"/>
      <c r="FN6" s="283"/>
      <c r="FO6" s="283"/>
      <c r="FP6" s="283"/>
      <c r="FQ6" s="283"/>
      <c r="FR6" s="283"/>
      <c r="FS6" s="283"/>
      <c r="FT6" s="283"/>
      <c r="FU6" s="283"/>
      <c r="FV6" s="283"/>
      <c r="FW6" s="283"/>
      <c r="FX6" s="283"/>
      <c r="FY6" s="283"/>
      <c r="FZ6" s="283"/>
      <c r="GA6" s="283"/>
      <c r="GB6" s="283"/>
      <c r="GC6" s="283"/>
      <c r="GD6" s="283"/>
      <c r="GE6" s="283"/>
      <c r="GF6" s="283"/>
      <c r="GG6" s="283"/>
      <c r="GH6" s="283"/>
      <c r="GI6" s="283"/>
      <c r="GJ6" s="283"/>
      <c r="GK6" s="283"/>
      <c r="GL6" s="283"/>
      <c r="GM6" s="283"/>
      <c r="GN6" s="283"/>
      <c r="GO6" s="283"/>
      <c r="GP6" s="283"/>
      <c r="GQ6" s="283"/>
      <c r="GR6" s="283"/>
      <c r="GS6" s="283"/>
      <c r="GT6" s="283"/>
      <c r="GU6" s="283"/>
      <c r="GV6" s="283"/>
      <c r="GW6" s="283"/>
      <c r="GX6" s="283"/>
      <c r="GY6" s="283"/>
    </row>
    <row r="7" spans="1:207" x14ac:dyDescent="0.2">
      <c r="B7" s="284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3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3"/>
      <c r="FL7" s="283"/>
      <c r="FM7" s="283"/>
      <c r="FN7" s="283"/>
      <c r="FO7" s="283"/>
      <c r="FP7" s="283"/>
      <c r="FQ7" s="283"/>
      <c r="FR7" s="283"/>
      <c r="FS7" s="283"/>
      <c r="FT7" s="283"/>
      <c r="FU7" s="283"/>
      <c r="FV7" s="283"/>
      <c r="FW7" s="283"/>
      <c r="FX7" s="283"/>
      <c r="FY7" s="283"/>
      <c r="FZ7" s="283"/>
      <c r="GA7" s="283"/>
      <c r="GB7" s="283"/>
      <c r="GC7" s="283"/>
      <c r="GD7" s="283"/>
      <c r="GE7" s="283"/>
      <c r="GF7" s="283"/>
      <c r="GG7" s="283"/>
      <c r="GH7" s="283"/>
      <c r="GI7" s="283"/>
      <c r="GJ7" s="283"/>
      <c r="GK7" s="283"/>
      <c r="GL7" s="283"/>
      <c r="GM7" s="283"/>
      <c r="GN7" s="283"/>
      <c r="GO7" s="283"/>
      <c r="GP7" s="283"/>
      <c r="GQ7" s="283"/>
      <c r="GR7" s="283"/>
      <c r="GS7" s="283"/>
      <c r="GT7" s="283"/>
      <c r="GU7" s="283"/>
      <c r="GV7" s="283"/>
      <c r="GW7" s="283"/>
      <c r="GX7" s="283"/>
      <c r="GY7" s="283"/>
    </row>
    <row r="8" spans="1:207" s="289" customFormat="1" x14ac:dyDescent="0.2">
      <c r="A8" s="283"/>
      <c r="B8" s="692" t="s">
        <v>236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4"/>
      <c r="P8" s="291"/>
      <c r="Q8" s="292"/>
      <c r="R8" s="293"/>
      <c r="S8" s="292"/>
      <c r="T8" s="292"/>
      <c r="U8" s="292"/>
    </row>
    <row r="9" spans="1:207" s="289" customFormat="1" x14ac:dyDescent="0.2">
      <c r="A9" s="283"/>
      <c r="B9" s="686" t="s">
        <v>237</v>
      </c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291"/>
      <c r="Q9" s="292"/>
      <c r="R9" s="293"/>
      <c r="S9" s="292"/>
      <c r="T9" s="292"/>
      <c r="U9" s="292"/>
    </row>
    <row r="10" spans="1:207" s="289" customFormat="1" x14ac:dyDescent="0.2">
      <c r="A10" s="283"/>
      <c r="B10" s="665" t="s">
        <v>238</v>
      </c>
      <c r="C10" s="666" t="s">
        <v>239</v>
      </c>
      <c r="D10" s="666" t="s">
        <v>240</v>
      </c>
      <c r="E10" s="665" t="s">
        <v>241</v>
      </c>
      <c r="F10" s="665" t="s">
        <v>242</v>
      </c>
      <c r="G10" s="690" t="s">
        <v>243</v>
      </c>
      <c r="H10" s="667" t="s">
        <v>244</v>
      </c>
      <c r="I10" s="667"/>
      <c r="J10" s="667"/>
      <c r="K10" s="665" t="s">
        <v>245</v>
      </c>
      <c r="L10" s="678" t="s">
        <v>246</v>
      </c>
      <c r="M10" s="665" t="s">
        <v>247</v>
      </c>
      <c r="N10" s="665"/>
      <c r="O10" s="665" t="s">
        <v>248</v>
      </c>
      <c r="P10" s="291"/>
      <c r="Q10" s="292"/>
      <c r="R10" s="294" t="s">
        <v>249</v>
      </c>
      <c r="S10" s="292"/>
      <c r="T10" s="292"/>
      <c r="U10" s="292"/>
    </row>
    <row r="11" spans="1:207" s="289" customFormat="1" ht="38.25" x14ac:dyDescent="0.2">
      <c r="A11" s="283"/>
      <c r="B11" s="665"/>
      <c r="C11" s="666"/>
      <c r="D11" s="666"/>
      <c r="E11" s="667"/>
      <c r="F11" s="665"/>
      <c r="G11" s="672"/>
      <c r="H11" s="295" t="s">
        <v>250</v>
      </c>
      <c r="I11" s="295" t="s">
        <v>251</v>
      </c>
      <c r="J11" s="461" t="s">
        <v>447</v>
      </c>
      <c r="K11" s="665"/>
      <c r="L11" s="667"/>
      <c r="M11" s="296" t="s">
        <v>253</v>
      </c>
      <c r="N11" s="297" t="s">
        <v>254</v>
      </c>
      <c r="O11" s="665"/>
      <c r="P11" s="291"/>
      <c r="Q11" s="292"/>
      <c r="R11" s="294" t="s">
        <v>255</v>
      </c>
      <c r="S11" s="292"/>
      <c r="T11" s="292"/>
      <c r="U11" s="292"/>
    </row>
    <row r="12" spans="1:207" s="289" customFormat="1" ht="51" customHeight="1" x14ac:dyDescent="0.2">
      <c r="A12" s="283"/>
      <c r="B12" s="298" t="str">
        <f>+'4. CC D'!G10</f>
        <v>ECATEF/DV</v>
      </c>
      <c r="C12" s="299" t="str">
        <f>+'4. CC D'!B11</f>
        <v>Contratación de Empresa Constructora para la Pavimentación  y mantenimiento del Tramo Cruce Pioneros (Ruta Nacional N° 9) – Paratodo, y accesos– Región Occidental (104 Km)</v>
      </c>
      <c r="D12" s="300"/>
      <c r="E12" s="301" t="s">
        <v>256</v>
      </c>
      <c r="F12" s="302">
        <v>1</v>
      </c>
      <c r="G12" s="302">
        <v>1</v>
      </c>
      <c r="H12" s="302">
        <f>+'3. PEP'!I28</f>
        <v>99155965</v>
      </c>
      <c r="I12" s="303">
        <v>0.79</v>
      </c>
      <c r="J12" s="303">
        <v>0.21</v>
      </c>
      <c r="K12" s="301" t="s">
        <v>257</v>
      </c>
      <c r="L12" s="304" t="s">
        <v>255</v>
      </c>
      <c r="M12" s="458" t="str">
        <f>+'3. PEP'!D28</f>
        <v>T1-Año 1</v>
      </c>
      <c r="N12" s="458" t="str">
        <f>+'3. PEP'!E28</f>
        <v>T3-A1</v>
      </c>
      <c r="O12" s="305"/>
      <c r="P12" s="291"/>
      <c r="Q12" s="292"/>
      <c r="R12" s="294" t="s">
        <v>258</v>
      </c>
      <c r="S12" s="292"/>
      <c r="T12" s="292"/>
      <c r="U12" s="292"/>
    </row>
    <row r="13" spans="1:207" s="289" customFormat="1" ht="54" customHeight="1" x14ac:dyDescent="0.2">
      <c r="A13" s="283"/>
      <c r="B13" s="298" t="s">
        <v>307</v>
      </c>
      <c r="C13" s="299" t="str">
        <f>+'4. CC D'!B12</f>
        <v>Contratación de Empresa Constructora para la Pavimentación y mantenimiento del Tramo Villa del Rosario - Volendam - San Pablo - Ruta 11, y accesos– Región Oriental (80,36 Km)</v>
      </c>
      <c r="D13" s="300"/>
      <c r="E13" s="301" t="s">
        <v>256</v>
      </c>
      <c r="F13" s="302">
        <v>1</v>
      </c>
      <c r="G13" s="302">
        <v>2</v>
      </c>
      <c r="H13" s="302">
        <f>+'3. PEP'!I29</f>
        <v>60300000.000000007</v>
      </c>
      <c r="I13" s="303">
        <v>0.79</v>
      </c>
      <c r="J13" s="303">
        <v>0.21</v>
      </c>
      <c r="K13" s="301" t="s">
        <v>257</v>
      </c>
      <c r="L13" s="304" t="s">
        <v>255</v>
      </c>
      <c r="M13" s="458" t="str">
        <f>+'3. PEP'!D29</f>
        <v>T1-Año 1</v>
      </c>
      <c r="N13" s="458" t="str">
        <f>+'3. PEP'!E29</f>
        <v>T3-A1</v>
      </c>
      <c r="O13" s="305"/>
      <c r="P13" s="291">
        <f>+H13*I13</f>
        <v>47637000.000000007</v>
      </c>
      <c r="Q13" s="292" t="e">
        <f>+H13*#REF!</f>
        <v>#REF!</v>
      </c>
      <c r="R13" s="294"/>
      <c r="S13" s="292"/>
      <c r="T13" s="292"/>
      <c r="U13" s="292"/>
    </row>
    <row r="14" spans="1:207" s="289" customFormat="1" ht="51" x14ac:dyDescent="0.2">
      <c r="A14" s="283"/>
      <c r="B14" s="298" t="s">
        <v>307</v>
      </c>
      <c r="C14" s="299" t="str">
        <f>+'4. CC D'!B13</f>
        <v xml:space="preserve">Contratación de Empresa Constructora para la Pavimentación y mantenimiento del Tramo Campo Aceval – Cruce Jordán (35 km) </v>
      </c>
      <c r="D14" s="300"/>
      <c r="E14" s="301" t="s">
        <v>256</v>
      </c>
      <c r="F14" s="302">
        <v>1</v>
      </c>
      <c r="G14" s="302">
        <v>3</v>
      </c>
      <c r="H14" s="302">
        <f>+'3. PEP'!I30</f>
        <v>24034162.000000004</v>
      </c>
      <c r="I14" s="303">
        <v>0.79</v>
      </c>
      <c r="J14" s="303">
        <v>0.21</v>
      </c>
      <c r="K14" s="301" t="s">
        <v>257</v>
      </c>
      <c r="L14" s="304" t="s">
        <v>255</v>
      </c>
      <c r="M14" s="458" t="str">
        <f>+'3. PEP'!D30</f>
        <v>T1-Año 3</v>
      </c>
      <c r="N14" s="458" t="str">
        <f>+'3. PEP'!E30</f>
        <v>T1-A3</v>
      </c>
      <c r="O14" s="305"/>
      <c r="P14" s="291"/>
      <c r="Q14" s="292"/>
      <c r="R14" s="294"/>
      <c r="S14" s="292"/>
      <c r="T14" s="292"/>
      <c r="U14" s="292"/>
    </row>
    <row r="15" spans="1:207" s="289" customFormat="1" ht="38.25" x14ac:dyDescent="0.2">
      <c r="A15" s="283"/>
      <c r="B15" s="298" t="s">
        <v>307</v>
      </c>
      <c r="C15" s="299" t="str">
        <f>+'4. CC D'!B14</f>
        <v xml:space="preserve">Contratación de Empresa Constructora para realización de Obras básicas de mejoramiento y mantenimiento de tramos críticos en la Región Occidental (51 km) - (Cruce Jordan – Avalos Sanchez; y  Paratodo – Cruce Douglas.) </v>
      </c>
      <c r="D15" s="300"/>
      <c r="E15" s="301" t="s">
        <v>256</v>
      </c>
      <c r="F15" s="302">
        <v>1</v>
      </c>
      <c r="G15" s="302">
        <v>4</v>
      </c>
      <c r="H15" s="302">
        <f>+'3. PEP'!I31</f>
        <v>14950258</v>
      </c>
      <c r="I15" s="303">
        <v>0.79</v>
      </c>
      <c r="J15" s="303">
        <v>0.21</v>
      </c>
      <c r="K15" s="301" t="s">
        <v>448</v>
      </c>
      <c r="L15" s="304" t="s">
        <v>255</v>
      </c>
      <c r="M15" s="458" t="str">
        <f>+'3. PEP'!D31</f>
        <v>T1-Año 3</v>
      </c>
      <c r="N15" s="458" t="str">
        <f>+'3. PEP'!E31</f>
        <v>T1-A3</v>
      </c>
      <c r="O15" s="305"/>
      <c r="P15" s="291"/>
      <c r="Q15" s="292"/>
      <c r="R15" s="294"/>
      <c r="S15" s="292"/>
      <c r="T15" s="292"/>
      <c r="U15" s="292"/>
    </row>
    <row r="16" spans="1:207" s="289" customFormat="1" x14ac:dyDescent="0.2">
      <c r="A16" s="283"/>
      <c r="B16" s="687" t="s">
        <v>259</v>
      </c>
      <c r="C16" s="687"/>
      <c r="D16" s="687"/>
      <c r="E16" s="687"/>
      <c r="F16" s="687"/>
      <c r="G16" s="687"/>
      <c r="H16" s="306">
        <f>SUM(H12:H15)</f>
        <v>198440385</v>
      </c>
      <c r="I16" s="307"/>
      <c r="J16" s="307"/>
      <c r="K16" s="307"/>
      <c r="L16" s="308"/>
      <c r="M16" s="308"/>
      <c r="N16" s="309"/>
      <c r="O16" s="307"/>
      <c r="P16" s="291"/>
      <c r="Q16" s="292"/>
      <c r="R16" s="294" t="s">
        <v>260</v>
      </c>
      <c r="S16" s="292"/>
      <c r="T16" s="292"/>
      <c r="U16" s="292"/>
    </row>
    <row r="17" spans="1:207" s="289" customFormat="1" x14ac:dyDescent="0.2">
      <c r="A17" s="283"/>
      <c r="B17" s="283"/>
      <c r="C17" s="285"/>
      <c r="D17" s="286"/>
      <c r="E17" s="283"/>
      <c r="F17" s="283"/>
      <c r="G17" s="287"/>
      <c r="H17" s="283"/>
      <c r="I17" s="283"/>
      <c r="J17" s="283"/>
      <c r="K17" s="283"/>
      <c r="L17" s="288"/>
      <c r="M17" s="288"/>
      <c r="N17" s="286"/>
      <c r="O17" s="283"/>
      <c r="P17" s="291"/>
      <c r="R17" s="294" t="s">
        <v>261</v>
      </c>
    </row>
    <row r="18" spans="1:207" s="289" customFormat="1" x14ac:dyDescent="0.2">
      <c r="A18" s="283"/>
      <c r="B18" s="665" t="s">
        <v>262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291"/>
      <c r="Q18" s="292"/>
      <c r="R18" s="294" t="s">
        <v>263</v>
      </c>
      <c r="S18" s="292"/>
      <c r="T18" s="292"/>
      <c r="U18" s="292"/>
    </row>
    <row r="19" spans="1:207" s="289" customFormat="1" x14ac:dyDescent="0.2">
      <c r="A19" s="283"/>
      <c r="B19" s="665" t="s">
        <v>238</v>
      </c>
      <c r="C19" s="666" t="s">
        <v>239</v>
      </c>
      <c r="D19" s="666" t="s">
        <v>240</v>
      </c>
      <c r="E19" s="665" t="s">
        <v>264</v>
      </c>
      <c r="F19" s="665" t="s">
        <v>242</v>
      </c>
      <c r="G19" s="690" t="s">
        <v>243</v>
      </c>
      <c r="H19" s="667" t="s">
        <v>244</v>
      </c>
      <c r="I19" s="667"/>
      <c r="J19" s="667"/>
      <c r="K19" s="665" t="s">
        <v>245</v>
      </c>
      <c r="L19" s="678" t="s">
        <v>246</v>
      </c>
      <c r="M19" s="665" t="s">
        <v>247</v>
      </c>
      <c r="N19" s="665"/>
      <c r="O19" s="665" t="s">
        <v>248</v>
      </c>
      <c r="P19" s="291"/>
      <c r="Q19" s="292"/>
      <c r="R19" s="294" t="s">
        <v>265</v>
      </c>
      <c r="S19" s="292"/>
      <c r="T19" s="292"/>
      <c r="U19" s="292"/>
    </row>
    <row r="20" spans="1:207" s="289" customFormat="1" ht="38.25" x14ac:dyDescent="0.2">
      <c r="A20" s="283"/>
      <c r="B20" s="665"/>
      <c r="C20" s="666"/>
      <c r="D20" s="666"/>
      <c r="E20" s="667"/>
      <c r="F20" s="665"/>
      <c r="G20" s="672"/>
      <c r="H20" s="295" t="s">
        <v>250</v>
      </c>
      <c r="I20" s="295" t="s">
        <v>251</v>
      </c>
      <c r="J20" s="461" t="s">
        <v>447</v>
      </c>
      <c r="K20" s="665"/>
      <c r="L20" s="667"/>
      <c r="M20" s="310" t="s">
        <v>253</v>
      </c>
      <c r="N20" s="311" t="s">
        <v>254</v>
      </c>
      <c r="O20" s="665"/>
      <c r="P20" s="291"/>
      <c r="Q20" s="292"/>
      <c r="R20" s="293"/>
      <c r="S20" s="292"/>
      <c r="T20" s="292"/>
      <c r="U20" s="292"/>
    </row>
    <row r="21" spans="1:207" s="312" customFormat="1" x14ac:dyDescent="0.2">
      <c r="B21" s="313"/>
      <c r="C21" s="314"/>
      <c r="D21" s="315"/>
      <c r="E21" s="298"/>
      <c r="F21" s="316"/>
      <c r="H21" s="58"/>
      <c r="I21" s="317"/>
      <c r="J21" s="317"/>
      <c r="K21" s="318"/>
      <c r="L21" s="319"/>
      <c r="M21" s="320"/>
      <c r="N21" s="320"/>
      <c r="O21" s="321"/>
      <c r="P21" s="289"/>
      <c r="Q21" s="289"/>
      <c r="R21" s="294"/>
      <c r="S21" s="294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289"/>
      <c r="FN21" s="289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289"/>
      <c r="GH21" s="289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</row>
    <row r="22" spans="1:207" s="289" customFormat="1" x14ac:dyDescent="0.2">
      <c r="A22" s="283"/>
      <c r="B22" s="687" t="s">
        <v>266</v>
      </c>
      <c r="C22" s="687"/>
      <c r="D22" s="687"/>
      <c r="E22" s="687"/>
      <c r="F22" s="687"/>
      <c r="G22" s="687"/>
      <c r="H22" s="306">
        <f>SUM(H21:H21)</f>
        <v>0</v>
      </c>
      <c r="I22" s="307"/>
      <c r="J22" s="307"/>
      <c r="K22" s="307"/>
      <c r="L22" s="308"/>
      <c r="M22" s="322"/>
      <c r="N22" s="323"/>
      <c r="O22" s="324"/>
      <c r="P22" s="291"/>
      <c r="Q22" s="292"/>
      <c r="R22" s="294" t="s">
        <v>260</v>
      </c>
      <c r="S22" s="292"/>
      <c r="T22" s="292"/>
      <c r="U22" s="292"/>
    </row>
    <row r="23" spans="1:207" s="289" customFormat="1" x14ac:dyDescent="0.2">
      <c r="A23" s="283"/>
      <c r="B23" s="283"/>
      <c r="C23" s="285"/>
      <c r="D23" s="286"/>
      <c r="E23" s="283"/>
      <c r="F23" s="283"/>
      <c r="G23" s="287"/>
      <c r="H23" s="283"/>
      <c r="I23" s="283"/>
      <c r="J23" s="283"/>
      <c r="K23" s="283"/>
      <c r="L23" s="288"/>
      <c r="M23" s="288"/>
      <c r="N23" s="286"/>
      <c r="O23" s="283"/>
      <c r="P23" s="283"/>
      <c r="R23" s="294" t="s">
        <v>256</v>
      </c>
    </row>
    <row r="24" spans="1:207" s="289" customFormat="1" x14ac:dyDescent="0.2">
      <c r="A24" s="283"/>
      <c r="B24" s="665" t="s">
        <v>267</v>
      </c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283"/>
      <c r="R24" s="294" t="s">
        <v>268</v>
      </c>
    </row>
    <row r="25" spans="1:207" s="289" customFormat="1" x14ac:dyDescent="0.2">
      <c r="A25" s="283"/>
      <c r="B25" s="665" t="s">
        <v>238</v>
      </c>
      <c r="C25" s="666" t="s">
        <v>239</v>
      </c>
      <c r="D25" s="666" t="s">
        <v>240</v>
      </c>
      <c r="E25" s="665" t="s">
        <v>264</v>
      </c>
      <c r="F25" s="665" t="s">
        <v>242</v>
      </c>
      <c r="G25" s="690" t="s">
        <v>243</v>
      </c>
      <c r="H25" s="667" t="s">
        <v>244</v>
      </c>
      <c r="I25" s="667"/>
      <c r="J25" s="667"/>
      <c r="K25" s="665" t="s">
        <v>245</v>
      </c>
      <c r="L25" s="678" t="s">
        <v>246</v>
      </c>
      <c r="M25" s="665" t="s">
        <v>247</v>
      </c>
      <c r="N25" s="665"/>
      <c r="O25" s="665" t="s">
        <v>248</v>
      </c>
      <c r="P25" s="283"/>
      <c r="R25" s="294" t="s">
        <v>269</v>
      </c>
    </row>
    <row r="26" spans="1:207" s="289" customFormat="1" ht="38.25" x14ac:dyDescent="0.2">
      <c r="A26" s="283"/>
      <c r="B26" s="685"/>
      <c r="C26" s="688"/>
      <c r="D26" s="688"/>
      <c r="E26" s="689"/>
      <c r="F26" s="685"/>
      <c r="G26" s="691"/>
      <c r="H26" s="325" t="s">
        <v>250</v>
      </c>
      <c r="I26" s="325" t="s">
        <v>251</v>
      </c>
      <c r="J26" s="461" t="s">
        <v>447</v>
      </c>
      <c r="K26" s="685"/>
      <c r="L26" s="689"/>
      <c r="M26" s="310" t="s">
        <v>270</v>
      </c>
      <c r="N26" s="311" t="s">
        <v>254</v>
      </c>
      <c r="O26" s="685"/>
      <c r="P26" s="283"/>
      <c r="R26" s="294" t="s">
        <v>271</v>
      </c>
    </row>
    <row r="27" spans="1:207" s="289" customFormat="1" x14ac:dyDescent="0.2">
      <c r="A27" s="326"/>
      <c r="B27" s="313"/>
      <c r="C27" s="327"/>
      <c r="D27" s="328"/>
      <c r="E27" s="298"/>
      <c r="F27" s="316"/>
      <c r="G27" s="329"/>
      <c r="H27" s="330"/>
      <c r="I27" s="331"/>
      <c r="J27" s="331"/>
      <c r="K27" s="332"/>
      <c r="L27" s="319"/>
      <c r="M27" s="320"/>
      <c r="N27" s="320"/>
      <c r="O27" s="333"/>
      <c r="P27" s="334"/>
      <c r="R27" s="294"/>
      <c r="S27" s="294"/>
    </row>
    <row r="28" spans="1:207" s="289" customFormat="1" x14ac:dyDescent="0.2">
      <c r="A28" s="283"/>
      <c r="B28" s="682" t="s">
        <v>272</v>
      </c>
      <c r="C28" s="682"/>
      <c r="D28" s="682"/>
      <c r="E28" s="682"/>
      <c r="F28" s="682"/>
      <c r="G28" s="682"/>
      <c r="H28" s="335">
        <f>SUM(H27:H27)</f>
        <v>0</v>
      </c>
      <c r="I28" s="324"/>
      <c r="J28" s="324"/>
      <c r="K28" s="324"/>
      <c r="L28" s="322"/>
      <c r="M28" s="322"/>
      <c r="N28" s="323"/>
      <c r="O28" s="304"/>
      <c r="P28" s="336"/>
      <c r="Q28" s="292"/>
      <c r="R28" s="294" t="s">
        <v>260</v>
      </c>
      <c r="S28" s="292"/>
      <c r="T28" s="292"/>
      <c r="U28" s="292"/>
    </row>
    <row r="29" spans="1:207" s="289" customFormat="1" x14ac:dyDescent="0.2">
      <c r="A29" s="283"/>
      <c r="B29" s="337"/>
      <c r="C29" s="338"/>
      <c r="D29" s="338"/>
      <c r="E29" s="339"/>
      <c r="F29" s="339"/>
      <c r="G29" s="340"/>
      <c r="H29" s="339"/>
      <c r="I29" s="339"/>
      <c r="J29" s="339"/>
      <c r="K29" s="339"/>
      <c r="L29" s="341"/>
      <c r="M29" s="341"/>
      <c r="N29" s="338"/>
      <c r="O29" s="339"/>
      <c r="P29" s="283"/>
      <c r="R29" s="294"/>
    </row>
    <row r="30" spans="1:207" s="289" customFormat="1" x14ac:dyDescent="0.2">
      <c r="A30" s="283"/>
      <c r="B30" s="683" t="s">
        <v>273</v>
      </c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283"/>
      <c r="R30" s="294" t="s">
        <v>274</v>
      </c>
    </row>
    <row r="31" spans="1:207" s="289" customFormat="1" x14ac:dyDescent="0.2">
      <c r="A31" s="283"/>
      <c r="B31" s="665" t="s">
        <v>238</v>
      </c>
      <c r="C31" s="666" t="s">
        <v>239</v>
      </c>
      <c r="D31" s="685" t="s">
        <v>275</v>
      </c>
      <c r="E31" s="665" t="s">
        <v>264</v>
      </c>
      <c r="F31" s="665" t="s">
        <v>243</v>
      </c>
      <c r="G31" s="679" t="s">
        <v>244</v>
      </c>
      <c r="H31" s="680"/>
      <c r="I31" s="680"/>
      <c r="J31" s="681"/>
      <c r="K31" s="665" t="s">
        <v>246</v>
      </c>
      <c r="L31" s="665" t="s">
        <v>247</v>
      </c>
      <c r="M31" s="673"/>
      <c r="N31" s="674" t="s">
        <v>248</v>
      </c>
      <c r="O31" s="675"/>
      <c r="P31" s="283"/>
      <c r="R31" s="294" t="s">
        <v>276</v>
      </c>
    </row>
    <row r="32" spans="1:207" s="289" customFormat="1" ht="51" x14ac:dyDescent="0.2">
      <c r="A32" s="283"/>
      <c r="B32" s="665"/>
      <c r="C32" s="666"/>
      <c r="D32" s="686"/>
      <c r="E32" s="667"/>
      <c r="F32" s="665"/>
      <c r="G32" s="342" t="s">
        <v>250</v>
      </c>
      <c r="H32" s="295" t="s">
        <v>251</v>
      </c>
      <c r="I32" s="461" t="s">
        <v>447</v>
      </c>
      <c r="J32" s="295" t="s">
        <v>252</v>
      </c>
      <c r="K32" s="672"/>
      <c r="L32" s="296" t="s">
        <v>277</v>
      </c>
      <c r="M32" s="343" t="s">
        <v>254</v>
      </c>
      <c r="N32" s="676"/>
      <c r="O32" s="677"/>
      <c r="P32" s="283"/>
      <c r="R32" s="294" t="s">
        <v>278</v>
      </c>
    </row>
    <row r="33" spans="1:19" s="289" customFormat="1" ht="38.25" x14ac:dyDescent="0.2">
      <c r="A33" s="326"/>
      <c r="B33" s="298" t="s">
        <v>307</v>
      </c>
      <c r="C33" s="327" t="str">
        <f>+'3. PEP'!B32</f>
        <v>Contratación de Firma Consultora para Fiscalización de obras de   Mejoramiento y Conservación de Tramo Cruce Pioneros (Ruta Nacional N° 9) – Paratodo, y accesos – Región Occidental (104 Km)</v>
      </c>
      <c r="D33" s="329"/>
      <c r="E33" s="298" t="str">
        <f>+'4. CC D'!F15</f>
        <v>SBCC</v>
      </c>
      <c r="F33" s="329">
        <v>5</v>
      </c>
      <c r="G33" s="330">
        <f>+'3. PEP'!I32</f>
        <v>6940917.7500000019</v>
      </c>
      <c r="H33" s="303">
        <v>0.79</v>
      </c>
      <c r="I33" s="303">
        <v>0.21</v>
      </c>
      <c r="J33" s="344">
        <v>0</v>
      </c>
      <c r="K33" s="345" t="s">
        <v>279</v>
      </c>
      <c r="L33" s="320" t="str">
        <f>+'3. PEP'!D32</f>
        <v>T1-Año 1</v>
      </c>
      <c r="M33" s="320" t="str">
        <f>+'3. PEP'!E32</f>
        <v>T3-A1</v>
      </c>
      <c r="N33" s="462"/>
      <c r="O33" s="463"/>
      <c r="P33" s="283"/>
      <c r="R33" s="294"/>
      <c r="S33" s="294"/>
    </row>
    <row r="34" spans="1:19" s="289" customFormat="1" ht="76.900000000000006" customHeight="1" x14ac:dyDescent="0.2">
      <c r="A34" s="326"/>
      <c r="B34" s="298" t="s">
        <v>307</v>
      </c>
      <c r="C34" s="327" t="str">
        <f>+'3. PEP'!B33</f>
        <v>Contratación de Firma Consultora para Fiscalización de las Obras de Mejoramiento y Conservación del tramo Villa del Rosario - Volendam - San Pablo - Ruta 11, y accesos– Región Oriental (80,36 Km)</v>
      </c>
      <c r="D34" s="329"/>
      <c r="E34" s="298" t="str">
        <f>+'4. CC D'!F16</f>
        <v>SBCC</v>
      </c>
      <c r="F34" s="329">
        <v>6</v>
      </c>
      <c r="G34" s="330">
        <f>+'3. PEP'!I33</f>
        <v>5903391.3400000008</v>
      </c>
      <c r="H34" s="303">
        <v>0.79</v>
      </c>
      <c r="I34" s="303">
        <v>0.21</v>
      </c>
      <c r="J34" s="344">
        <v>0</v>
      </c>
      <c r="K34" s="345" t="s">
        <v>279</v>
      </c>
      <c r="L34" s="320" t="str">
        <f>+'3. PEP'!D33</f>
        <v>T1-Año 1</v>
      </c>
      <c r="M34" s="320" t="str">
        <f>+'3. PEP'!E33</f>
        <v>T3-A1</v>
      </c>
      <c r="N34" s="462"/>
      <c r="O34" s="463"/>
      <c r="P34" s="283">
        <f>+G34*H34</f>
        <v>4663679.1586000007</v>
      </c>
      <c r="Q34" s="289">
        <f>+G34*J34</f>
        <v>0</v>
      </c>
      <c r="R34" s="294"/>
      <c r="S34" s="294"/>
    </row>
    <row r="35" spans="1:19" s="289" customFormat="1" ht="89.25" customHeight="1" x14ac:dyDescent="0.2">
      <c r="A35" s="326"/>
      <c r="B35" s="298" t="s">
        <v>307</v>
      </c>
      <c r="C35" s="327" t="str">
        <f>+'3. PEP'!B34</f>
        <v>Contratación de Firma Consultora para Fiscalización de las Obras básicas de Mejoramiento y Conservación de caminos complementarios tramos Paratodo-Cruce Douglas y Campo Aceval – Avalos Sanchez – Región Occidental (86 Km)</v>
      </c>
      <c r="D35" s="329"/>
      <c r="E35" s="298" t="str">
        <f>+'4. CC D'!F17</f>
        <v>SBCC</v>
      </c>
      <c r="F35" s="329">
        <v>7</v>
      </c>
      <c r="G35" s="330">
        <f>+'3. PEP'!I34</f>
        <v>1046518.06</v>
      </c>
      <c r="H35" s="303">
        <v>0.79</v>
      </c>
      <c r="I35" s="303">
        <v>0.21</v>
      </c>
      <c r="J35" s="344">
        <v>0</v>
      </c>
      <c r="K35" s="345" t="s">
        <v>279</v>
      </c>
      <c r="L35" s="320" t="str">
        <f>+'3. PEP'!D34</f>
        <v>T1-Año 2</v>
      </c>
      <c r="M35" s="320" t="str">
        <f>+'3. PEP'!E34</f>
        <v>T1-A2</v>
      </c>
      <c r="N35" s="462"/>
      <c r="O35" s="463"/>
      <c r="P35" s="283"/>
      <c r="R35" s="294"/>
      <c r="S35" s="294"/>
    </row>
    <row r="36" spans="1:19" s="289" customFormat="1" x14ac:dyDescent="0.2">
      <c r="A36" s="326"/>
      <c r="B36" s="298" t="s">
        <v>307</v>
      </c>
      <c r="C36" s="327" t="str">
        <f>+'3. PEP'!B37</f>
        <v>PGAS obras del Chaco</v>
      </c>
      <c r="D36" s="329"/>
      <c r="E36" s="298" t="str">
        <f>+'4. CC D'!F37</f>
        <v>SBCC</v>
      </c>
      <c r="F36" s="329">
        <v>8</v>
      </c>
      <c r="G36" s="330">
        <f>+'3. PEP'!I37</f>
        <v>422000</v>
      </c>
      <c r="H36" s="303">
        <v>0.79</v>
      </c>
      <c r="I36" s="303">
        <v>0.21</v>
      </c>
      <c r="J36" s="344">
        <v>0</v>
      </c>
      <c r="K36" s="345" t="s">
        <v>279</v>
      </c>
      <c r="L36" s="320" t="str">
        <f>+'3. PEP'!D37</f>
        <v>T1-Año 3</v>
      </c>
      <c r="M36" s="320" t="str">
        <f>+'3. PEP'!E37</f>
        <v>T3-A3</v>
      </c>
      <c r="N36" s="462"/>
      <c r="O36" s="463"/>
      <c r="P36" s="283"/>
      <c r="R36" s="294"/>
      <c r="S36" s="294"/>
    </row>
    <row r="37" spans="1:19" s="289" customFormat="1" x14ac:dyDescent="0.2">
      <c r="A37" s="326"/>
      <c r="B37" s="298" t="s">
        <v>307</v>
      </c>
      <c r="C37" s="327" t="str">
        <f>+'3. PEP'!B38</f>
        <v>Reposición Forestal</v>
      </c>
      <c r="D37" s="329"/>
      <c r="E37" s="298" t="str">
        <f>+'4. CC D'!F39</f>
        <v>SBCC</v>
      </c>
      <c r="F37" s="329">
        <v>9</v>
      </c>
      <c r="G37" s="330">
        <f>+'3. PEP'!I38</f>
        <v>93000</v>
      </c>
      <c r="H37" s="303">
        <v>0.79</v>
      </c>
      <c r="I37" s="303">
        <v>0.21</v>
      </c>
      <c r="J37" s="344">
        <v>0</v>
      </c>
      <c r="K37" s="345" t="s">
        <v>279</v>
      </c>
      <c r="L37" s="320" t="str">
        <f>+'3. PEP'!D38</f>
        <v>T3-Año 1</v>
      </c>
      <c r="M37" s="320" t="str">
        <f>+'3. PEP'!E38</f>
        <v>T1-A2</v>
      </c>
      <c r="N37" s="462"/>
      <c r="O37" s="463"/>
      <c r="P37" s="283"/>
      <c r="R37" s="294"/>
      <c r="S37" s="294"/>
    </row>
    <row r="38" spans="1:19" s="289" customFormat="1" x14ac:dyDescent="0.2">
      <c r="A38" s="339"/>
      <c r="B38" s="298" t="s">
        <v>307</v>
      </c>
      <c r="C38" s="327" t="str">
        <f>+'3. PEP'!B39</f>
        <v>Monitoreo de Fauna</v>
      </c>
      <c r="D38" s="329"/>
      <c r="E38" s="298" t="str">
        <f>+'4. CC D'!F40</f>
        <v>SCC</v>
      </c>
      <c r="F38" s="329">
        <v>10</v>
      </c>
      <c r="G38" s="330">
        <f>+'3. PEP'!I39</f>
        <v>140000</v>
      </c>
      <c r="H38" s="303">
        <v>0.79</v>
      </c>
      <c r="I38" s="303">
        <v>0.21</v>
      </c>
      <c r="J38" s="344">
        <v>0</v>
      </c>
      <c r="K38" s="345" t="s">
        <v>279</v>
      </c>
      <c r="L38" s="320" t="str">
        <f>+'3. PEP'!D39</f>
        <v>T1-Año 2</v>
      </c>
      <c r="M38" s="320" t="str">
        <f>+'3. PEP'!E39</f>
        <v>T2-A2</v>
      </c>
      <c r="N38" s="462"/>
      <c r="O38" s="463"/>
      <c r="P38" s="283"/>
      <c r="R38" s="294"/>
      <c r="S38" s="294"/>
    </row>
    <row r="39" spans="1:19" s="289" customFormat="1" ht="35.25" customHeight="1" x14ac:dyDescent="0.2">
      <c r="A39" s="339"/>
      <c r="B39" s="298" t="s">
        <v>307</v>
      </c>
      <c r="C39" s="327" t="str">
        <f>+'3. PEP'!B41</f>
        <v>PGAS otras obras de pavimentación y mantenimiento</v>
      </c>
      <c r="D39" s="329"/>
      <c r="E39" s="298" t="str">
        <f>+'4. CC D'!F42</f>
        <v>SCC</v>
      </c>
      <c r="F39" s="329">
        <v>11</v>
      </c>
      <c r="G39" s="330">
        <f>+'3. PEP'!I41</f>
        <v>200000</v>
      </c>
      <c r="H39" s="303">
        <v>0.79</v>
      </c>
      <c r="I39" s="303">
        <v>0.21</v>
      </c>
      <c r="J39" s="344">
        <v>0</v>
      </c>
      <c r="K39" s="345" t="s">
        <v>279</v>
      </c>
      <c r="L39" s="320" t="str">
        <f>+'3. PEP'!D41</f>
        <v>T1-Año 3</v>
      </c>
      <c r="M39" s="320" t="str">
        <f>+'3. PEP'!E41</f>
        <v>T3-A3</v>
      </c>
      <c r="N39" s="462"/>
      <c r="O39" s="463"/>
      <c r="P39" s="283"/>
      <c r="R39" s="294"/>
      <c r="S39" s="294"/>
    </row>
    <row r="40" spans="1:19" s="289" customFormat="1" x14ac:dyDescent="0.2">
      <c r="A40" s="339"/>
      <c r="B40" s="298" t="s">
        <v>307</v>
      </c>
      <c r="C40" s="327" t="str">
        <f>+'3. PEP'!B42</f>
        <v>Plan de reposición forestal</v>
      </c>
      <c r="D40" s="329"/>
      <c r="E40" s="298" t="str">
        <f>+'4. CC D'!F20</f>
        <v>SCC</v>
      </c>
      <c r="F40" s="329">
        <v>12</v>
      </c>
      <c r="G40" s="330">
        <f>+'3. PEP'!I42</f>
        <v>90000</v>
      </c>
      <c r="H40" s="303">
        <v>0.79</v>
      </c>
      <c r="I40" s="303">
        <v>0.21</v>
      </c>
      <c r="J40" s="344">
        <v>0</v>
      </c>
      <c r="K40" s="345" t="s">
        <v>279</v>
      </c>
      <c r="L40" s="320" t="str">
        <f>+'3. PEP'!D42</f>
        <v>T3-Año 1</v>
      </c>
      <c r="M40" s="320" t="str">
        <f>+'3. PEP'!E42</f>
        <v>T1-A2</v>
      </c>
      <c r="N40" s="462"/>
      <c r="O40" s="463"/>
      <c r="P40" s="283"/>
      <c r="R40" s="294"/>
      <c r="S40" s="294"/>
    </row>
    <row r="41" spans="1:19" s="289" customFormat="1" x14ac:dyDescent="0.2">
      <c r="A41" s="339"/>
      <c r="B41" s="298" t="s">
        <v>307</v>
      </c>
      <c r="C41" s="327" t="str">
        <f>+'3. PEP'!B43</f>
        <v>Caracterización y monitoreo de fauna</v>
      </c>
      <c r="D41" s="329"/>
      <c r="E41" s="298" t="str">
        <f>+'4. CC D'!F21</f>
        <v>SCC</v>
      </c>
      <c r="F41" s="329">
        <v>13</v>
      </c>
      <c r="G41" s="330">
        <f>+'3. PEP'!I43</f>
        <v>70000</v>
      </c>
      <c r="H41" s="303">
        <v>0.79</v>
      </c>
      <c r="I41" s="303">
        <v>0.21</v>
      </c>
      <c r="J41" s="344">
        <v>0</v>
      </c>
      <c r="K41" s="345" t="s">
        <v>279</v>
      </c>
      <c r="L41" s="320" t="str">
        <f>+'3. PEP'!D43</f>
        <v>T3-Año 1</v>
      </c>
      <c r="M41" s="320" t="str">
        <f>+'3. PEP'!E43</f>
        <v>T1-A2</v>
      </c>
      <c r="N41" s="462"/>
      <c r="O41" s="463"/>
      <c r="P41" s="283"/>
      <c r="R41" s="294"/>
      <c r="S41" s="294"/>
    </row>
    <row r="42" spans="1:19" s="289" customFormat="1" ht="32.25" customHeight="1" x14ac:dyDescent="0.2">
      <c r="A42" s="339"/>
      <c r="B42" s="298" t="s">
        <v>307</v>
      </c>
      <c r="C42" s="327" t="str">
        <f>+'3. PEP'!B44</f>
        <v>Monitoreo de Recursos Hídricos</v>
      </c>
      <c r="D42" s="329"/>
      <c r="E42" s="298" t="str">
        <f>+'4. CC D'!F22</f>
        <v>SCC</v>
      </c>
      <c r="F42" s="329">
        <v>14</v>
      </c>
      <c r="G42" s="330">
        <f>+'3. PEP'!I44</f>
        <v>385000</v>
      </c>
      <c r="H42" s="303">
        <v>0.79</v>
      </c>
      <c r="I42" s="303">
        <v>0.21</v>
      </c>
      <c r="J42" s="344">
        <v>0</v>
      </c>
      <c r="K42" s="345" t="s">
        <v>279</v>
      </c>
      <c r="L42" s="320" t="str">
        <f>+'3. PEP'!D44</f>
        <v>T1-Año 2</v>
      </c>
      <c r="M42" s="320" t="str">
        <f>+'3. PEP'!E44</f>
        <v>T2-A2</v>
      </c>
      <c r="N42" s="462"/>
      <c r="O42" s="463"/>
      <c r="P42" s="283"/>
      <c r="R42" s="294"/>
      <c r="S42" s="294"/>
    </row>
    <row r="43" spans="1:19" s="289" customFormat="1" x14ac:dyDescent="0.2">
      <c r="A43" s="339"/>
      <c r="B43" s="298" t="s">
        <v>307</v>
      </c>
      <c r="C43" s="327" t="str">
        <f>+'3. PEP'!B54</f>
        <v xml:space="preserve">Contratación de la ECATEF para apoyo en la ejecución del Programa </v>
      </c>
      <c r="D43" s="329"/>
      <c r="E43" s="298">
        <f>+'4. CC D'!F23</f>
        <v>0</v>
      </c>
      <c r="F43" s="329">
        <v>15</v>
      </c>
      <c r="G43" s="330">
        <f>+'3. PEP'!I54</f>
        <v>4500000</v>
      </c>
      <c r="H43" s="303">
        <v>0.79</v>
      </c>
      <c r="I43" s="303">
        <v>0.21</v>
      </c>
      <c r="J43" s="344">
        <v>0</v>
      </c>
      <c r="K43" s="345" t="s">
        <v>279</v>
      </c>
      <c r="L43" s="320" t="str">
        <f>+'3. PEP'!D54</f>
        <v>T1-Año 3</v>
      </c>
      <c r="M43" s="320" t="str">
        <f>+'3. PEP'!E54</f>
        <v>T2-A3</v>
      </c>
      <c r="N43" s="462"/>
      <c r="O43" s="463"/>
      <c r="P43" s="283"/>
      <c r="R43" s="294"/>
      <c r="S43" s="294"/>
    </row>
    <row r="44" spans="1:19" s="289" customFormat="1" ht="42" customHeight="1" x14ac:dyDescent="0.2">
      <c r="A44" s="339"/>
      <c r="B44" s="298" t="s">
        <v>307</v>
      </c>
      <c r="C44" s="327" t="str">
        <f>+'3. PEP'!B56</f>
        <v>Auditoría financiera</v>
      </c>
      <c r="D44" s="329"/>
      <c r="E44" s="298" t="str">
        <f>+'4. CC D'!F24</f>
        <v>SCC</v>
      </c>
      <c r="F44" s="329">
        <v>16</v>
      </c>
      <c r="G44" s="330">
        <f>+'3. PEP'!I56</f>
        <v>350000</v>
      </c>
      <c r="H44" s="303">
        <v>0.79</v>
      </c>
      <c r="I44" s="303">
        <v>0.21</v>
      </c>
      <c r="J44" s="344">
        <v>0</v>
      </c>
      <c r="K44" s="345" t="s">
        <v>279</v>
      </c>
      <c r="L44" s="320" t="str">
        <f>+'3. PEP'!D56</f>
        <v>T2 - Año 1</v>
      </c>
      <c r="M44" s="320" t="str">
        <f>+'3. PEP'!E56</f>
        <v>T1-A2</v>
      </c>
      <c r="N44" s="462"/>
      <c r="O44" s="463"/>
      <c r="P44" s="283"/>
      <c r="R44" s="294"/>
      <c r="S44" s="294"/>
    </row>
    <row r="45" spans="1:19" s="289" customFormat="1" x14ac:dyDescent="0.2">
      <c r="A45" s="339"/>
      <c r="B45" s="298" t="s">
        <v>307</v>
      </c>
      <c r="C45" s="327" t="str">
        <f>+'3. PEP'!B57</f>
        <v xml:space="preserve">Estudios de pre inversión y diseños de ingeniería </v>
      </c>
      <c r="D45" s="329"/>
      <c r="E45" s="298" t="str">
        <f>+'4. CC D'!F25</f>
        <v>SCC</v>
      </c>
      <c r="F45" s="329">
        <v>17</v>
      </c>
      <c r="G45" s="330">
        <f>+'3. PEP'!I57</f>
        <v>300000</v>
      </c>
      <c r="H45" s="303">
        <v>0.79</v>
      </c>
      <c r="I45" s="303">
        <v>0.21</v>
      </c>
      <c r="J45" s="344">
        <v>0</v>
      </c>
      <c r="K45" s="345" t="s">
        <v>279</v>
      </c>
      <c r="L45" s="320" t="str">
        <f>+'3. PEP'!D57</f>
        <v>T4-Año 1</v>
      </c>
      <c r="M45" s="320" t="str">
        <f>+'3. PEP'!E57</f>
        <v>T1-A2</v>
      </c>
      <c r="N45" s="462"/>
      <c r="O45" s="463"/>
      <c r="P45" s="283"/>
      <c r="R45" s="294"/>
      <c r="S45" s="294"/>
    </row>
    <row r="46" spans="1:19" s="289" customFormat="1" ht="25.5" x14ac:dyDescent="0.2">
      <c r="A46" s="339"/>
      <c r="B46" s="298" t="s">
        <v>307</v>
      </c>
      <c r="C46" s="327" t="str">
        <f>+'3. PEP'!B58</f>
        <v>Fortalecimiento de departamentos de conservación vial y gobiernos locales para implementación del plan de mantenimiento</v>
      </c>
      <c r="D46" s="329"/>
      <c r="E46" s="298" t="str">
        <f>+'4. CC D'!F26</f>
        <v>SCC</v>
      </c>
      <c r="F46" s="329">
        <v>18</v>
      </c>
      <c r="G46" s="330">
        <f>+'3. PEP'!I58</f>
        <v>150000</v>
      </c>
      <c r="H46" s="303">
        <v>0.79</v>
      </c>
      <c r="I46" s="303">
        <v>0.21</v>
      </c>
      <c r="J46" s="344">
        <v>0</v>
      </c>
      <c r="K46" s="345" t="s">
        <v>279</v>
      </c>
      <c r="L46" s="320" t="str">
        <f>+'3. PEP'!D58</f>
        <v>T1-Año 3</v>
      </c>
      <c r="M46" s="320" t="str">
        <f>+'3. PEP'!E58</f>
        <v>T3-A3</v>
      </c>
      <c r="N46" s="462"/>
      <c r="O46" s="463"/>
      <c r="P46" s="283"/>
      <c r="R46" s="294"/>
      <c r="S46" s="294"/>
    </row>
    <row r="47" spans="1:19" s="289" customFormat="1" x14ac:dyDescent="0.2">
      <c r="A47" s="339"/>
      <c r="B47" s="298" t="s">
        <v>307</v>
      </c>
      <c r="C47" s="327" t="str">
        <f>+'3. PEP'!B59</f>
        <v>Evaluación final del programa, incluyendo evaluación de impacto</v>
      </c>
      <c r="D47" s="329"/>
      <c r="E47" s="298" t="str">
        <f>+'4. CC D'!F27</f>
        <v>SCC</v>
      </c>
      <c r="F47" s="329">
        <v>19</v>
      </c>
      <c r="G47" s="330">
        <f>+'3. PEP'!I59</f>
        <v>150000</v>
      </c>
      <c r="H47" s="303">
        <v>0.79</v>
      </c>
      <c r="I47" s="303">
        <v>0.21</v>
      </c>
      <c r="J47" s="344">
        <v>0</v>
      </c>
      <c r="K47" s="345" t="s">
        <v>279</v>
      </c>
      <c r="L47" s="320" t="str">
        <f>+'3. PEP'!D59</f>
        <v>T3-Año 6</v>
      </c>
      <c r="M47" s="320" t="str">
        <f>+'3. PEP'!E59</f>
        <v>T1-A7</v>
      </c>
      <c r="N47" s="462"/>
      <c r="O47" s="463"/>
      <c r="P47" s="283"/>
      <c r="R47" s="294"/>
      <c r="S47" s="294"/>
    </row>
    <row r="48" spans="1:19" s="289" customFormat="1" x14ac:dyDescent="0.2">
      <c r="A48" s="339"/>
      <c r="B48" s="298" t="s">
        <v>307</v>
      </c>
      <c r="C48" s="327" t="str">
        <f>+'3. PEP'!B60</f>
        <v>Levantamiento de Línea de Base</v>
      </c>
      <c r="D48" s="329"/>
      <c r="E48" s="298" t="str">
        <f>+'4. CC D'!F43</f>
        <v>SCC</v>
      </c>
      <c r="F48" s="329">
        <v>20</v>
      </c>
      <c r="G48" s="330">
        <f>+'3. PEP'!I60</f>
        <v>50000</v>
      </c>
      <c r="H48" s="303">
        <v>0.79</v>
      </c>
      <c r="I48" s="303">
        <v>0.21</v>
      </c>
      <c r="J48" s="344">
        <v>0</v>
      </c>
      <c r="K48" s="345" t="s">
        <v>279</v>
      </c>
      <c r="L48" s="320" t="str">
        <f>+'3. PEP'!D60</f>
        <v>T1-Año1</v>
      </c>
      <c r="M48" s="320" t="str">
        <f>+'3. PEP'!F60</f>
        <v>T3-A1</v>
      </c>
      <c r="N48" s="462"/>
      <c r="O48" s="463"/>
      <c r="P48" s="283"/>
      <c r="R48" s="294"/>
      <c r="S48" s="294"/>
    </row>
    <row r="49" spans="1:207" s="289" customFormat="1" x14ac:dyDescent="0.2">
      <c r="A49" s="283"/>
      <c r="B49" s="664" t="s">
        <v>280</v>
      </c>
      <c r="C49" s="664"/>
      <c r="D49" s="664"/>
      <c r="E49" s="664"/>
      <c r="F49" s="664"/>
      <c r="G49" s="351">
        <f>SUM(G33:G48)</f>
        <v>20790827.150000006</v>
      </c>
      <c r="H49" s="352"/>
      <c r="I49" s="352"/>
      <c r="J49" s="352"/>
      <c r="K49" s="352"/>
      <c r="L49" s="353"/>
      <c r="M49" s="354"/>
      <c r="N49" s="670"/>
      <c r="O49" s="671"/>
      <c r="P49" s="291"/>
      <c r="Q49" s="292"/>
      <c r="R49" s="294" t="s">
        <v>260</v>
      </c>
      <c r="S49" s="292"/>
      <c r="T49" s="292"/>
      <c r="U49" s="292"/>
    </row>
    <row r="50" spans="1:207" x14ac:dyDescent="0.2">
      <c r="A50" s="339"/>
      <c r="B50" s="337"/>
      <c r="C50" s="355"/>
      <c r="D50" s="356"/>
      <c r="E50" s="339"/>
      <c r="F50" s="339"/>
      <c r="G50" s="340"/>
      <c r="H50" s="357"/>
      <c r="I50" s="357"/>
      <c r="J50" s="357"/>
      <c r="K50" s="339"/>
      <c r="L50" s="341"/>
      <c r="M50" s="358"/>
      <c r="O50" s="359"/>
      <c r="R50" s="294"/>
      <c r="S50" s="294"/>
    </row>
    <row r="51" spans="1:207" x14ac:dyDescent="0.2">
      <c r="B51" s="665" t="s">
        <v>281</v>
      </c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72"/>
      <c r="O51" s="672"/>
      <c r="R51" s="294" t="s">
        <v>282</v>
      </c>
      <c r="S51" s="294" t="s">
        <v>283</v>
      </c>
    </row>
    <row r="52" spans="1:207" x14ac:dyDescent="0.2">
      <c r="B52" s="665" t="s">
        <v>238</v>
      </c>
      <c r="C52" s="666" t="s">
        <v>239</v>
      </c>
      <c r="D52" s="666" t="s">
        <v>240</v>
      </c>
      <c r="E52" s="665" t="s">
        <v>264</v>
      </c>
      <c r="F52" s="665" t="s">
        <v>243</v>
      </c>
      <c r="G52" s="679" t="s">
        <v>244</v>
      </c>
      <c r="H52" s="680"/>
      <c r="I52" s="680"/>
      <c r="J52" s="681"/>
      <c r="K52" s="665" t="s">
        <v>245</v>
      </c>
      <c r="L52" s="678" t="s">
        <v>246</v>
      </c>
      <c r="M52" s="665" t="s">
        <v>247</v>
      </c>
      <c r="N52" s="665"/>
      <c r="O52" s="665" t="s">
        <v>248</v>
      </c>
      <c r="R52" s="294" t="s">
        <v>284</v>
      </c>
      <c r="S52" s="294" t="s">
        <v>285</v>
      </c>
    </row>
    <row r="53" spans="1:207" ht="51" x14ac:dyDescent="0.2">
      <c r="B53" s="665"/>
      <c r="C53" s="666"/>
      <c r="D53" s="666"/>
      <c r="E53" s="667"/>
      <c r="F53" s="665"/>
      <c r="G53" s="342" t="s">
        <v>250</v>
      </c>
      <c r="H53" s="295" t="s">
        <v>251</v>
      </c>
      <c r="I53" s="461" t="s">
        <v>447</v>
      </c>
      <c r="J53" s="461" t="s">
        <v>252</v>
      </c>
      <c r="K53" s="665"/>
      <c r="L53" s="667"/>
      <c r="M53" s="296" t="s">
        <v>286</v>
      </c>
      <c r="N53" s="295" t="s">
        <v>287</v>
      </c>
      <c r="O53" s="665"/>
      <c r="R53" s="294" t="s">
        <v>288</v>
      </c>
      <c r="S53" s="294" t="s">
        <v>285</v>
      </c>
    </row>
    <row r="54" spans="1:207" x14ac:dyDescent="0.2">
      <c r="B54" s="346"/>
      <c r="C54" s="347"/>
      <c r="D54" s="329"/>
      <c r="E54" s="348"/>
      <c r="F54" s="360"/>
      <c r="G54" s="349"/>
      <c r="H54" s="361"/>
      <c r="I54" s="362"/>
      <c r="J54" s="362"/>
      <c r="K54" s="364"/>
      <c r="L54" s="365"/>
      <c r="M54" s="366"/>
      <c r="N54" s="366"/>
      <c r="O54" s="301"/>
      <c r="R54" s="294"/>
      <c r="S54" s="294"/>
    </row>
    <row r="55" spans="1:207" s="368" customFormat="1" x14ac:dyDescent="0.2">
      <c r="A55" s="283"/>
      <c r="B55" s="346"/>
      <c r="C55" s="347"/>
      <c r="D55" s="329"/>
      <c r="E55" s="348"/>
      <c r="F55" s="360"/>
      <c r="G55" s="349"/>
      <c r="H55" s="361"/>
      <c r="I55" s="362"/>
      <c r="J55" s="362"/>
      <c r="K55" s="363"/>
      <c r="L55" s="367"/>
      <c r="M55" s="350"/>
      <c r="N55" s="350"/>
      <c r="O55" s="301"/>
      <c r="P55" s="283"/>
      <c r="Q55" s="289"/>
      <c r="R55" s="294"/>
      <c r="S55" s="294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89"/>
      <c r="EB55" s="289"/>
      <c r="EC55" s="289"/>
      <c r="ED55" s="289"/>
      <c r="EE55" s="289"/>
      <c r="EF55" s="289"/>
      <c r="EG55" s="289"/>
      <c r="EH55" s="289"/>
      <c r="EI55" s="289"/>
      <c r="EJ55" s="289"/>
      <c r="EK55" s="289"/>
      <c r="EL55" s="289"/>
      <c r="EM55" s="289"/>
      <c r="EN55" s="289"/>
      <c r="EO55" s="289"/>
      <c r="EP55" s="289"/>
      <c r="EQ55" s="289"/>
      <c r="ER55" s="289"/>
      <c r="ES55" s="289"/>
      <c r="ET55" s="289"/>
      <c r="EU55" s="289"/>
      <c r="EV55" s="289"/>
      <c r="EW55" s="289"/>
      <c r="EX55" s="289"/>
      <c r="EY55" s="289"/>
      <c r="EZ55" s="289"/>
      <c r="FA55" s="289"/>
      <c r="FB55" s="289"/>
      <c r="FC55" s="289"/>
      <c r="FD55" s="289"/>
      <c r="FE55" s="289"/>
      <c r="FF55" s="289"/>
      <c r="FG55" s="289"/>
      <c r="FH55" s="289"/>
      <c r="FI55" s="289"/>
      <c r="FJ55" s="289"/>
      <c r="FK55" s="289"/>
      <c r="FL55" s="289"/>
      <c r="FM55" s="289"/>
      <c r="FN55" s="289"/>
      <c r="FO55" s="289"/>
      <c r="FP55" s="289"/>
      <c r="FQ55" s="289"/>
      <c r="FR55" s="289"/>
      <c r="FS55" s="289"/>
      <c r="FT55" s="289"/>
      <c r="FU55" s="289"/>
      <c r="FV55" s="289"/>
      <c r="FW55" s="289"/>
      <c r="FX55" s="289"/>
      <c r="FY55" s="289"/>
      <c r="FZ55" s="289"/>
      <c r="GA55" s="289"/>
      <c r="GB55" s="289"/>
      <c r="GC55" s="289"/>
      <c r="GD55" s="289"/>
      <c r="GE55" s="289"/>
      <c r="GF55" s="289"/>
      <c r="GG55" s="289"/>
      <c r="GH55" s="289"/>
      <c r="GI55" s="289"/>
      <c r="GJ55" s="289"/>
      <c r="GK55" s="289"/>
      <c r="GL55" s="289"/>
      <c r="GM55" s="289"/>
      <c r="GN55" s="289"/>
      <c r="GO55" s="289"/>
      <c r="GP55" s="289"/>
      <c r="GQ55" s="289"/>
      <c r="GR55" s="289"/>
      <c r="GS55" s="289"/>
      <c r="GT55" s="289"/>
      <c r="GU55" s="289"/>
      <c r="GV55" s="289"/>
      <c r="GW55" s="289"/>
      <c r="GX55" s="289"/>
      <c r="GY55" s="289"/>
    </row>
    <row r="56" spans="1:207" x14ac:dyDescent="0.2">
      <c r="B56" s="664" t="s">
        <v>289</v>
      </c>
      <c r="C56" s="664"/>
      <c r="D56" s="664"/>
      <c r="E56" s="664"/>
      <c r="F56" s="664"/>
      <c r="G56" s="351">
        <f>SUM(G54:G55)</f>
        <v>0</v>
      </c>
      <c r="H56" s="352"/>
      <c r="I56" s="352"/>
      <c r="J56" s="352"/>
      <c r="K56" s="352"/>
      <c r="L56" s="353"/>
      <c r="M56" s="353"/>
      <c r="N56" s="353"/>
      <c r="O56" s="353"/>
      <c r="R56" s="294" t="s">
        <v>290</v>
      </c>
      <c r="S56" s="294" t="s">
        <v>291</v>
      </c>
    </row>
    <row r="57" spans="1:207" x14ac:dyDescent="0.2">
      <c r="B57" s="359"/>
      <c r="C57" s="369"/>
      <c r="D57" s="370"/>
      <c r="E57" s="359"/>
      <c r="F57" s="359"/>
      <c r="G57" s="29"/>
      <c r="H57" s="359"/>
      <c r="I57" s="359"/>
      <c r="J57" s="359"/>
      <c r="K57" s="359"/>
      <c r="L57" s="371"/>
      <c r="M57" s="371"/>
      <c r="N57" s="370"/>
      <c r="O57" s="359"/>
      <c r="R57" s="294" t="s">
        <v>292</v>
      </c>
      <c r="S57" s="294" t="s">
        <v>293</v>
      </c>
    </row>
    <row r="58" spans="1:207" x14ac:dyDescent="0.2">
      <c r="B58" s="656" t="s">
        <v>311</v>
      </c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6"/>
      <c r="O58" s="656"/>
      <c r="R58" s="294" t="s">
        <v>294</v>
      </c>
      <c r="S58" s="294" t="s">
        <v>293</v>
      </c>
    </row>
    <row r="59" spans="1:207" x14ac:dyDescent="0.2">
      <c r="B59" s="656" t="s">
        <v>238</v>
      </c>
      <c r="C59" s="660" t="s">
        <v>239</v>
      </c>
      <c r="D59" s="660" t="s">
        <v>240</v>
      </c>
      <c r="E59" s="656" t="s">
        <v>264</v>
      </c>
      <c r="F59" s="656" t="s">
        <v>243</v>
      </c>
      <c r="G59" s="661" t="s">
        <v>244</v>
      </c>
      <c r="H59" s="662"/>
      <c r="I59" s="662"/>
      <c r="J59" s="663"/>
      <c r="K59" s="656" t="s">
        <v>246</v>
      </c>
      <c r="L59" s="656" t="s">
        <v>247</v>
      </c>
      <c r="M59" s="656"/>
      <c r="N59" s="656" t="s">
        <v>248</v>
      </c>
      <c r="O59" s="656"/>
      <c r="R59" s="294"/>
      <c r="S59" s="294" t="s">
        <v>295</v>
      </c>
    </row>
    <row r="60" spans="1:207" ht="51" x14ac:dyDescent="0.2">
      <c r="B60" s="656"/>
      <c r="C60" s="660"/>
      <c r="D60" s="660"/>
      <c r="E60" s="668"/>
      <c r="F60" s="656"/>
      <c r="G60" s="372" t="s">
        <v>250</v>
      </c>
      <c r="H60" s="373" t="s">
        <v>251</v>
      </c>
      <c r="I60" s="461" t="s">
        <v>447</v>
      </c>
      <c r="J60" s="464" t="s">
        <v>252</v>
      </c>
      <c r="K60" s="669"/>
      <c r="L60" s="403" t="s">
        <v>277</v>
      </c>
      <c r="M60" s="343" t="s">
        <v>254</v>
      </c>
      <c r="N60" s="656"/>
      <c r="O60" s="656"/>
      <c r="R60" s="294"/>
      <c r="S60" s="294" t="s">
        <v>295</v>
      </c>
    </row>
    <row r="61" spans="1:207" s="289" customFormat="1" x14ac:dyDescent="0.2">
      <c r="A61" s="375"/>
      <c r="B61" s="298" t="s">
        <v>307</v>
      </c>
      <c r="C61" s="314" t="str">
        <f>+'3. PEP'!B46</f>
        <v>Servicios Ambientales</v>
      </c>
      <c r="D61" s="376"/>
      <c r="E61" s="377" t="s">
        <v>449</v>
      </c>
      <c r="F61" s="329">
        <v>21</v>
      </c>
      <c r="G61" s="378">
        <f>+'3. PEP'!I46</f>
        <v>1984403.8500000003</v>
      </c>
      <c r="H61" s="379">
        <v>0.79</v>
      </c>
      <c r="I61" s="380">
        <v>0.21</v>
      </c>
      <c r="J61" s="380">
        <v>0.18</v>
      </c>
      <c r="K61" s="345" t="s">
        <v>279</v>
      </c>
      <c r="L61" s="381" t="s">
        <v>233</v>
      </c>
      <c r="M61" s="381" t="s">
        <v>233</v>
      </c>
      <c r="N61" s="657"/>
      <c r="O61" s="658"/>
      <c r="P61" s="312"/>
      <c r="R61" s="294"/>
      <c r="S61" s="294"/>
    </row>
    <row r="62" spans="1:207" x14ac:dyDescent="0.2">
      <c r="A62" s="382"/>
      <c r="B62" s="654" t="s">
        <v>310</v>
      </c>
      <c r="C62" s="654"/>
      <c r="D62" s="654"/>
      <c r="E62" s="654"/>
      <c r="F62" s="654"/>
      <c r="G62" s="383">
        <f>SUM(G61:G61)</f>
        <v>1984403.8500000003</v>
      </c>
      <c r="H62" s="384"/>
      <c r="I62" s="384"/>
      <c r="J62" s="384"/>
      <c r="K62" s="384"/>
      <c r="L62" s="385"/>
      <c r="M62" s="385"/>
      <c r="N62" s="659"/>
      <c r="O62" s="659"/>
      <c r="R62" s="294" t="s">
        <v>297</v>
      </c>
      <c r="S62" s="294" t="s">
        <v>283</v>
      </c>
    </row>
    <row r="63" spans="1:207" x14ac:dyDescent="0.2">
      <c r="B63" s="359"/>
      <c r="C63" s="369"/>
      <c r="D63" s="370"/>
      <c r="E63" s="359"/>
      <c r="F63" s="359"/>
      <c r="G63" s="29"/>
      <c r="H63" s="359"/>
      <c r="I63" s="359"/>
      <c r="J63" s="359"/>
      <c r="K63" s="359"/>
      <c r="L63" s="371"/>
      <c r="M63" s="371"/>
      <c r="N63" s="370"/>
      <c r="O63" s="359"/>
      <c r="R63" s="294" t="s">
        <v>298</v>
      </c>
      <c r="S63" s="294" t="s">
        <v>283</v>
      </c>
    </row>
    <row r="64" spans="1:207" x14ac:dyDescent="0.2">
      <c r="B64" s="656" t="s">
        <v>299</v>
      </c>
      <c r="C64" s="656"/>
      <c r="D64" s="656"/>
      <c r="E64" s="656"/>
      <c r="F64" s="656"/>
      <c r="G64" s="656"/>
      <c r="H64" s="656"/>
      <c r="I64" s="656"/>
      <c r="J64" s="656"/>
      <c r="K64" s="656"/>
      <c r="L64" s="656"/>
      <c r="M64" s="656"/>
      <c r="N64" s="656"/>
      <c r="O64" s="656"/>
      <c r="R64" s="294" t="s">
        <v>300</v>
      </c>
      <c r="S64" s="294" t="s">
        <v>283</v>
      </c>
    </row>
    <row r="65" spans="1:207" ht="38.25" x14ac:dyDescent="0.2">
      <c r="B65" s="656" t="s">
        <v>238</v>
      </c>
      <c r="C65" s="660" t="s">
        <v>301</v>
      </c>
      <c r="D65" s="660" t="s">
        <v>240</v>
      </c>
      <c r="E65" s="656" t="s">
        <v>243</v>
      </c>
      <c r="F65" s="656"/>
      <c r="G65" s="661" t="s">
        <v>244</v>
      </c>
      <c r="H65" s="662"/>
      <c r="I65" s="662"/>
      <c r="J65" s="663"/>
      <c r="K65" s="373" t="s">
        <v>302</v>
      </c>
      <c r="L65" s="656" t="s">
        <v>247</v>
      </c>
      <c r="M65" s="656"/>
      <c r="N65" s="653" t="s">
        <v>248</v>
      </c>
      <c r="O65" s="653"/>
      <c r="R65" s="294" t="s">
        <v>303</v>
      </c>
      <c r="S65" s="294" t="s">
        <v>283</v>
      </c>
    </row>
    <row r="66" spans="1:207" s="386" customFormat="1" ht="51" x14ac:dyDescent="0.2">
      <c r="A66" s="283"/>
      <c r="B66" s="656"/>
      <c r="C66" s="660"/>
      <c r="D66" s="660"/>
      <c r="E66" s="656"/>
      <c r="F66" s="656"/>
      <c r="G66" s="373" t="s">
        <v>250</v>
      </c>
      <c r="H66" s="372" t="s">
        <v>251</v>
      </c>
      <c r="I66" s="461" t="s">
        <v>447</v>
      </c>
      <c r="J66" s="464" t="s">
        <v>252</v>
      </c>
      <c r="K66" s="373"/>
      <c r="L66" s="373" t="s">
        <v>304</v>
      </c>
      <c r="M66" s="374" t="s">
        <v>305</v>
      </c>
      <c r="N66" s="653"/>
      <c r="O66" s="653"/>
      <c r="Q66" s="289"/>
      <c r="R66" s="293"/>
      <c r="S66" s="293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  <c r="DP66" s="289"/>
      <c r="DQ66" s="289"/>
      <c r="DR66" s="289"/>
      <c r="DS66" s="289"/>
      <c r="DT66" s="289"/>
      <c r="DU66" s="289"/>
      <c r="DV66" s="289"/>
      <c r="DW66" s="289"/>
      <c r="DX66" s="289"/>
      <c r="DY66" s="289"/>
      <c r="DZ66" s="289"/>
      <c r="EA66" s="289"/>
      <c r="EB66" s="289"/>
      <c r="EC66" s="289"/>
      <c r="ED66" s="289"/>
      <c r="EE66" s="289"/>
      <c r="EF66" s="289"/>
      <c r="EG66" s="289"/>
      <c r="EH66" s="289"/>
      <c r="EI66" s="289"/>
      <c r="EJ66" s="289"/>
      <c r="EK66" s="289"/>
      <c r="EL66" s="289"/>
      <c r="EM66" s="289"/>
      <c r="EN66" s="289"/>
      <c r="EO66" s="289"/>
      <c r="EP66" s="289"/>
      <c r="EQ66" s="289"/>
      <c r="ER66" s="289"/>
      <c r="ES66" s="289"/>
      <c r="ET66" s="289"/>
      <c r="EU66" s="289"/>
      <c r="EV66" s="289"/>
      <c r="EW66" s="289"/>
      <c r="EX66" s="289"/>
      <c r="EY66" s="289"/>
      <c r="EZ66" s="289"/>
      <c r="FA66" s="289"/>
      <c r="FB66" s="289"/>
      <c r="FC66" s="289"/>
      <c r="FD66" s="289"/>
      <c r="FE66" s="289"/>
      <c r="FF66" s="289"/>
      <c r="FG66" s="289"/>
      <c r="FH66" s="289"/>
      <c r="FI66" s="289"/>
      <c r="FJ66" s="289"/>
      <c r="FK66" s="289"/>
      <c r="FL66" s="289"/>
      <c r="FM66" s="289"/>
      <c r="FN66" s="289"/>
      <c r="FO66" s="289"/>
      <c r="FP66" s="289"/>
      <c r="FQ66" s="289"/>
      <c r="FR66" s="289"/>
      <c r="FS66" s="289"/>
      <c r="FT66" s="289"/>
      <c r="FU66" s="289"/>
      <c r="FV66" s="289"/>
      <c r="FW66" s="289"/>
      <c r="FX66" s="289"/>
      <c r="FY66" s="289"/>
      <c r="FZ66" s="289"/>
      <c r="GA66" s="289"/>
      <c r="GB66" s="289"/>
      <c r="GC66" s="289"/>
      <c r="GD66" s="289"/>
      <c r="GE66" s="289"/>
      <c r="GF66" s="289"/>
      <c r="GG66" s="289"/>
      <c r="GH66" s="289"/>
      <c r="GI66" s="289"/>
      <c r="GJ66" s="289"/>
      <c r="GK66" s="289"/>
      <c r="GL66" s="289"/>
      <c r="GM66" s="289"/>
      <c r="GN66" s="289"/>
      <c r="GO66" s="289"/>
      <c r="GP66" s="289"/>
      <c r="GQ66" s="289"/>
      <c r="GR66" s="289"/>
      <c r="GS66" s="289"/>
      <c r="GT66" s="289"/>
      <c r="GU66" s="289"/>
      <c r="GV66" s="289"/>
      <c r="GW66" s="289"/>
      <c r="GX66" s="289"/>
      <c r="GY66" s="289"/>
    </row>
    <row r="67" spans="1:207" s="312" customFormat="1" x14ac:dyDescent="0.2">
      <c r="B67" s="387"/>
      <c r="C67" s="314"/>
      <c r="D67" s="377"/>
      <c r="E67" s="388"/>
      <c r="F67" s="389"/>
      <c r="G67" s="390"/>
      <c r="H67" s="391"/>
      <c r="I67" s="392"/>
      <c r="J67" s="392"/>
      <c r="K67" s="393"/>
      <c r="L67" s="394"/>
      <c r="M67" s="394"/>
      <c r="N67" s="395"/>
      <c r="O67" s="396"/>
      <c r="P67" s="289"/>
      <c r="Q67" s="289"/>
      <c r="R67" s="294"/>
      <c r="S67" s="294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89"/>
      <c r="DK67" s="289"/>
      <c r="DL67" s="289"/>
      <c r="DM67" s="289"/>
      <c r="DN67" s="289"/>
      <c r="DO67" s="289"/>
      <c r="DP67" s="289"/>
      <c r="DQ67" s="289"/>
      <c r="DR67" s="289"/>
      <c r="DS67" s="289"/>
      <c r="DT67" s="289"/>
      <c r="DU67" s="289"/>
      <c r="DV67" s="289"/>
      <c r="DW67" s="289"/>
      <c r="DX67" s="289"/>
      <c r="DY67" s="289"/>
      <c r="DZ67" s="289"/>
      <c r="EA67" s="289"/>
      <c r="EB67" s="289"/>
      <c r="EC67" s="289"/>
      <c r="ED67" s="289"/>
      <c r="EE67" s="289"/>
      <c r="EF67" s="289"/>
      <c r="EG67" s="289"/>
      <c r="EH67" s="289"/>
      <c r="EI67" s="289"/>
      <c r="EJ67" s="289"/>
      <c r="EK67" s="289"/>
      <c r="EL67" s="289"/>
      <c r="EM67" s="289"/>
      <c r="EN67" s="289"/>
      <c r="EO67" s="289"/>
      <c r="EP67" s="289"/>
      <c r="EQ67" s="289"/>
      <c r="ER67" s="289"/>
      <c r="ES67" s="289"/>
      <c r="ET67" s="289"/>
      <c r="EU67" s="289"/>
      <c r="EV67" s="289"/>
      <c r="EW67" s="289"/>
      <c r="EX67" s="289"/>
      <c r="EY67" s="289"/>
      <c r="EZ67" s="289"/>
      <c r="FA67" s="289"/>
      <c r="FB67" s="289"/>
      <c r="FC67" s="289"/>
      <c r="FD67" s="289"/>
      <c r="FE67" s="289"/>
      <c r="FF67" s="289"/>
      <c r="FG67" s="289"/>
      <c r="FH67" s="289"/>
      <c r="FI67" s="289"/>
      <c r="FJ67" s="289"/>
      <c r="FK67" s="289"/>
      <c r="FL67" s="289"/>
      <c r="FM67" s="289"/>
      <c r="FN67" s="289"/>
      <c r="FO67" s="289"/>
      <c r="FP67" s="289"/>
      <c r="FQ67" s="289"/>
      <c r="FR67" s="289"/>
      <c r="FS67" s="289"/>
      <c r="FT67" s="289"/>
      <c r="FU67" s="289"/>
      <c r="FV67" s="289"/>
      <c r="FW67" s="289"/>
      <c r="FX67" s="289"/>
      <c r="FY67" s="289"/>
      <c r="FZ67" s="289"/>
      <c r="GA67" s="289"/>
      <c r="GB67" s="289"/>
      <c r="GC67" s="289"/>
      <c r="GD67" s="289"/>
      <c r="GE67" s="289"/>
      <c r="GF67" s="289"/>
      <c r="GG67" s="289"/>
      <c r="GH67" s="289"/>
      <c r="GI67" s="289"/>
      <c r="GJ67" s="289"/>
      <c r="GK67" s="289"/>
      <c r="GL67" s="289"/>
      <c r="GM67" s="289"/>
      <c r="GN67" s="289"/>
      <c r="GO67" s="289"/>
      <c r="GP67" s="289"/>
      <c r="GQ67" s="289"/>
      <c r="GR67" s="289"/>
      <c r="GS67" s="289"/>
      <c r="GT67" s="289"/>
      <c r="GU67" s="289"/>
      <c r="GV67" s="289"/>
      <c r="GW67" s="289"/>
      <c r="GX67" s="289"/>
      <c r="GY67" s="289"/>
    </row>
    <row r="68" spans="1:207" x14ac:dyDescent="0.2">
      <c r="B68" s="654" t="s">
        <v>306</v>
      </c>
      <c r="C68" s="654"/>
      <c r="D68" s="654"/>
      <c r="E68" s="654"/>
      <c r="F68" s="654"/>
      <c r="G68" s="397">
        <f>SUM(G67:G67)</f>
        <v>0</v>
      </c>
      <c r="H68" s="384"/>
      <c r="I68" s="384"/>
      <c r="J68" s="384"/>
      <c r="K68" s="384"/>
      <c r="L68" s="385"/>
      <c r="M68" s="385"/>
      <c r="N68" s="655"/>
      <c r="O68" s="655"/>
      <c r="R68" s="293"/>
      <c r="S68" s="294"/>
    </row>
    <row r="69" spans="1:207" x14ac:dyDescent="0.2">
      <c r="R69" s="293"/>
      <c r="S69" s="293"/>
    </row>
    <row r="70" spans="1:207" x14ac:dyDescent="0.2">
      <c r="L70" s="283"/>
      <c r="M70" s="283"/>
      <c r="N70" s="283"/>
      <c r="Q70" s="283"/>
      <c r="R70" s="283"/>
      <c r="S70" s="283"/>
      <c r="T70" s="283"/>
      <c r="U70" s="283"/>
      <c r="V70" s="283"/>
      <c r="W70" s="283"/>
      <c r="X70" s="283"/>
      <c r="Y70" s="283"/>
    </row>
    <row r="71" spans="1:207" x14ac:dyDescent="0.2">
      <c r="L71" s="283"/>
      <c r="M71" s="283"/>
      <c r="N71" s="283"/>
      <c r="Q71" s="283"/>
      <c r="R71" s="283"/>
      <c r="S71" s="283"/>
      <c r="T71" s="283"/>
      <c r="U71" s="283"/>
      <c r="V71" s="283"/>
      <c r="W71" s="283"/>
      <c r="X71" s="283"/>
      <c r="Y71" s="283"/>
    </row>
    <row r="72" spans="1:207" s="289" customFormat="1" x14ac:dyDescent="0.2">
      <c r="A72" s="283"/>
      <c r="C72" s="285"/>
      <c r="D72" s="652" t="s">
        <v>259</v>
      </c>
      <c r="E72" s="652"/>
      <c r="F72" s="652"/>
      <c r="G72" s="398">
        <f>H16</f>
        <v>198440385</v>
      </c>
      <c r="H72" s="453">
        <f>G72/$G$79</f>
        <v>0.89704510281950434</v>
      </c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</row>
    <row r="73" spans="1:207" s="289" customFormat="1" x14ac:dyDescent="0.2">
      <c r="A73" s="283"/>
      <c r="C73" s="285"/>
      <c r="D73" s="652" t="s">
        <v>266</v>
      </c>
      <c r="E73" s="652"/>
      <c r="F73" s="652"/>
      <c r="G73" s="398">
        <f>H22</f>
        <v>0</v>
      </c>
      <c r="H73" s="453">
        <f t="shared" ref="H73:H78" si="0">G73/$G$79</f>
        <v>0</v>
      </c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</row>
    <row r="74" spans="1:207" s="289" customFormat="1" ht="12.75" customHeight="1" x14ac:dyDescent="0.2">
      <c r="A74" s="283"/>
      <c r="C74" s="285"/>
      <c r="D74" s="652" t="s">
        <v>272</v>
      </c>
      <c r="E74" s="652"/>
      <c r="F74" s="652"/>
      <c r="G74" s="398">
        <f>H28</f>
        <v>0</v>
      </c>
      <c r="H74" s="453">
        <f t="shared" si="0"/>
        <v>0</v>
      </c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</row>
    <row r="75" spans="1:207" s="289" customFormat="1" x14ac:dyDescent="0.2">
      <c r="A75" s="283"/>
      <c r="C75" s="285"/>
      <c r="D75" s="652" t="s">
        <v>280</v>
      </c>
      <c r="E75" s="652"/>
      <c r="F75" s="652"/>
      <c r="G75" s="398">
        <f>G49</f>
        <v>20790827.150000006</v>
      </c>
      <c r="H75" s="453">
        <f t="shared" si="0"/>
        <v>9.3984446152300602E-2</v>
      </c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</row>
    <row r="76" spans="1:207" x14ac:dyDescent="0.2">
      <c r="D76" s="652" t="s">
        <v>289</v>
      </c>
      <c r="E76" s="652"/>
      <c r="F76" s="652"/>
      <c r="G76" s="398">
        <f>G56</f>
        <v>0</v>
      </c>
      <c r="H76" s="453">
        <f t="shared" si="0"/>
        <v>0</v>
      </c>
      <c r="L76" s="283"/>
      <c r="M76" s="283"/>
      <c r="N76" s="283"/>
      <c r="Q76" s="283"/>
      <c r="R76" s="283"/>
      <c r="S76" s="283"/>
      <c r="T76" s="283"/>
      <c r="U76" s="283"/>
      <c r="V76" s="283"/>
      <c r="W76" s="283"/>
      <c r="X76" s="283"/>
      <c r="Y76" s="283"/>
    </row>
    <row r="77" spans="1:207" x14ac:dyDescent="0.2">
      <c r="A77" s="382"/>
      <c r="D77" s="652" t="s">
        <v>296</v>
      </c>
      <c r="E77" s="652"/>
      <c r="F77" s="652"/>
      <c r="G77" s="398"/>
      <c r="H77" s="453">
        <f t="shared" si="0"/>
        <v>0</v>
      </c>
      <c r="L77" s="283"/>
      <c r="M77" s="283"/>
      <c r="N77" s="283"/>
      <c r="Q77" s="283"/>
      <c r="R77" s="283"/>
      <c r="S77" s="283"/>
      <c r="T77" s="283"/>
      <c r="U77" s="283"/>
      <c r="V77" s="283"/>
      <c r="W77" s="283"/>
      <c r="X77" s="283"/>
      <c r="Y77" s="283"/>
    </row>
    <row r="78" spans="1:207" x14ac:dyDescent="0.2">
      <c r="D78" s="652" t="s">
        <v>309</v>
      </c>
      <c r="E78" s="652"/>
      <c r="F78" s="652"/>
      <c r="G78" s="398">
        <f>+G62</f>
        <v>1984403.8500000003</v>
      </c>
      <c r="H78" s="453">
        <f t="shared" si="0"/>
        <v>8.9704510281950461E-3</v>
      </c>
      <c r="L78" s="283"/>
      <c r="M78" s="283"/>
      <c r="N78" s="283"/>
      <c r="Q78" s="283"/>
      <c r="R78" s="283"/>
      <c r="S78" s="283"/>
      <c r="T78" s="283"/>
      <c r="U78" s="283"/>
      <c r="V78" s="283"/>
      <c r="W78" s="283"/>
      <c r="X78" s="283"/>
      <c r="Y78" s="283"/>
    </row>
    <row r="79" spans="1:207" x14ac:dyDescent="0.2">
      <c r="D79" s="651"/>
      <c r="E79" s="651"/>
      <c r="F79" s="651"/>
      <c r="G79" s="399">
        <f>SUM(G72:G78)</f>
        <v>221215616</v>
      </c>
      <c r="H79" s="400">
        <f>SUM(H72:H78)</f>
        <v>1</v>
      </c>
      <c r="L79" s="283"/>
      <c r="M79" s="283"/>
      <c r="N79" s="283"/>
      <c r="Q79" s="283"/>
      <c r="R79" s="283"/>
      <c r="S79" s="283"/>
      <c r="T79" s="283"/>
      <c r="U79" s="283"/>
      <c r="V79" s="283"/>
      <c r="W79" s="283"/>
      <c r="X79" s="283"/>
      <c r="Y79" s="283"/>
    </row>
  </sheetData>
  <mergeCells count="95">
    <mergeCell ref="B8:O8"/>
    <mergeCell ref="B9:O9"/>
    <mergeCell ref="B10:B11"/>
    <mergeCell ref="C10:C11"/>
    <mergeCell ref="D10:D11"/>
    <mergeCell ref="E10:E11"/>
    <mergeCell ref="F10:F11"/>
    <mergeCell ref="G10:G11"/>
    <mergeCell ref="H10:J10"/>
    <mergeCell ref="K10:K11"/>
    <mergeCell ref="O19:O20"/>
    <mergeCell ref="L10:L11"/>
    <mergeCell ref="M10:N10"/>
    <mergeCell ref="O10:O11"/>
    <mergeCell ref="B16:G16"/>
    <mergeCell ref="B18:O18"/>
    <mergeCell ref="B19:B20"/>
    <mergeCell ref="C19:C20"/>
    <mergeCell ref="D19:D20"/>
    <mergeCell ref="E19:E20"/>
    <mergeCell ref="F19:F20"/>
    <mergeCell ref="G19:G20"/>
    <mergeCell ref="H19:J19"/>
    <mergeCell ref="K19:K20"/>
    <mergeCell ref="L19:L20"/>
    <mergeCell ref="M19:N19"/>
    <mergeCell ref="B22:G22"/>
    <mergeCell ref="B24:O24"/>
    <mergeCell ref="B25:B26"/>
    <mergeCell ref="C25:C26"/>
    <mergeCell ref="D25:D26"/>
    <mergeCell ref="E25:E26"/>
    <mergeCell ref="F25:F26"/>
    <mergeCell ref="G25:G26"/>
    <mergeCell ref="H25:J25"/>
    <mergeCell ref="K25:K26"/>
    <mergeCell ref="L25:L26"/>
    <mergeCell ref="M25:N25"/>
    <mergeCell ref="O25:O26"/>
    <mergeCell ref="B28:G28"/>
    <mergeCell ref="B30:O30"/>
    <mergeCell ref="B31:B32"/>
    <mergeCell ref="C31:C32"/>
    <mergeCell ref="D31:D32"/>
    <mergeCell ref="E31:E32"/>
    <mergeCell ref="F31:F32"/>
    <mergeCell ref="G31:J31"/>
    <mergeCell ref="O52:O53"/>
    <mergeCell ref="B49:F49"/>
    <mergeCell ref="N49:O49"/>
    <mergeCell ref="B51:O51"/>
    <mergeCell ref="K31:K32"/>
    <mergeCell ref="L31:M31"/>
    <mergeCell ref="N31:O32"/>
    <mergeCell ref="F52:F53"/>
    <mergeCell ref="K52:K53"/>
    <mergeCell ref="L52:L53"/>
    <mergeCell ref="M52:N52"/>
    <mergeCell ref="G52:J52"/>
    <mergeCell ref="B58:O58"/>
    <mergeCell ref="B59:B60"/>
    <mergeCell ref="C59:C60"/>
    <mergeCell ref="D59:D60"/>
    <mergeCell ref="E59:E60"/>
    <mergeCell ref="F59:F60"/>
    <mergeCell ref="K59:K60"/>
    <mergeCell ref="L59:M59"/>
    <mergeCell ref="G59:J59"/>
    <mergeCell ref="B56:F56"/>
    <mergeCell ref="B52:B53"/>
    <mergeCell ref="C52:C53"/>
    <mergeCell ref="D52:D53"/>
    <mergeCell ref="E52:E53"/>
    <mergeCell ref="N65:O66"/>
    <mergeCell ref="B68:F68"/>
    <mergeCell ref="N68:O68"/>
    <mergeCell ref="D72:F72"/>
    <mergeCell ref="N59:O60"/>
    <mergeCell ref="N61:O61"/>
    <mergeCell ref="B62:F62"/>
    <mergeCell ref="N62:O62"/>
    <mergeCell ref="B64:O64"/>
    <mergeCell ref="B65:B66"/>
    <mergeCell ref="C65:C66"/>
    <mergeCell ref="D65:D66"/>
    <mergeCell ref="E65:F66"/>
    <mergeCell ref="G65:J65"/>
    <mergeCell ref="L65:M65"/>
    <mergeCell ref="D79:F79"/>
    <mergeCell ref="D73:F73"/>
    <mergeCell ref="D74:F74"/>
    <mergeCell ref="D75:F75"/>
    <mergeCell ref="D76:F76"/>
    <mergeCell ref="D77:F77"/>
    <mergeCell ref="D78:F78"/>
  </mergeCells>
  <phoneticPr fontId="63" type="noConversion"/>
  <dataValidations count="4">
    <dataValidation type="list" allowBlank="1" showInputMessage="1" showErrorMessage="1" sqref="E29 E12:E15" xr:uid="{00000000-0002-0000-0600-000000000000}">
      <formula1>$R$21:$R$26</formula1>
    </dataValidation>
    <dataValidation type="list" allowBlank="1" showInputMessage="1" showErrorMessage="1" sqref="E50" xr:uid="{00000000-0002-0000-0600-000001000000}">
      <formula1>$R$29:$R$32</formula1>
    </dataValidation>
    <dataValidation type="list" allowBlank="1" showInputMessage="1" showErrorMessage="1" sqref="L56 L12:L16 K50 L49 L22 L28:L29 K62" xr:uid="{00000000-0002-0000-0600-000002000000}">
      <formula1>$R$10:$R$11</formula1>
    </dataValidation>
    <dataValidation type="list" allowBlank="1" showInputMessage="1" showErrorMessage="1" sqref="E54:E55" xr:uid="{00000000-0002-0000-0600-000003000000}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79DE491F78F7E543A0D6BB92BE249658" ma:contentTypeVersion="222" ma:contentTypeDescription="The base project type from which other project content types inherit their information." ma:contentTypeScope="" ma:versionID="dda27803c2b30c5196e1cd1c3f11561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8f651783cfe384d70c92a095132f2c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79DE491F78F7E543A0D6BB92BE249658" ma:contentTypeVersion="227" ma:contentTypeDescription="The base project type from which other project content types inherit their information." ma:contentTypeScope="" ma:versionID="8b4541bd9be937ade8db5e8bc176c0f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8f651783cfe384d70c92a095132f2c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Key_x0020_Document xmlns="cdc7663a-08f0-4737-9e8c-148ce897a09c">false</Key_x0020_Document>
    <Division_x0020_or_x0020_Unit xmlns="cdc7663a-08f0-4737-9e8c-148ce897a09c">INE/TSP</Division_x0020_or_x0020_Unit>
    <Document_x0020_Author xmlns="cdc7663a-08f0-4737-9e8c-148ce897a09c">Taveras Marte,Alba</Document_x0020_Author>
    <_dlc_DocId xmlns="cdc7663a-08f0-4737-9e8c-148ce897a09c">EZSHARE-1835775826-14</_dlc_DocId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Paraguay</TermName>
          <TermId xmlns="http://schemas.microsoft.com/office/infopath/2007/PartnerControls">50282442-27e7-4526-9d04-55bf5da33a10</TermId>
        </TermInfo>
      </Terms>
    </ic46d7e087fd4a108fb86518ca413cc6>
    <Operation_x0020_Type xmlns="cdc7663a-08f0-4737-9e8c-148ce897a09c">LON</Operation_x0020_Type>
    <TaxCatchAll xmlns="cdc7663a-08f0-4737-9e8c-148ce897a09c">
      <Value>38</Value>
      <Value>41</Value>
      <Value>24</Value>
      <Value>29</Value>
      <Value>1</Value>
    </TaxCatchAll>
    <Fiscal_x0020_Year_x0020_IDB xmlns="cdc7663a-08f0-4737-9e8c-148ce897a09c">2019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PR-L1164</Project_x0020_Number>
    <Package_x0020_Code xmlns="cdc7663a-08f0-4737-9e8c-148ce897a09c" xsi:nil="true"/>
    <Migration_x0020_Info xmlns="cdc7663a-08f0-4737-9e8c-148ce897a09c" xsi:nil="true"/>
    <Related_x0020_SisCor_x0020_Number xmlns="cdc7663a-08f0-4737-9e8c-148ce897a09c" xsi:nil="true"/>
    <Approval_x0020_Number xmlns="cdc7663a-08f0-4737-9e8c-148ce897a09c" xsi:nil="true"/>
    <Business_x0020_Area xmlns="cdc7663a-08f0-4737-9e8c-148ce897a09c">Life Cycle</Business_x0020_Area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ccess_x0020_to_x0020_Information_x00a0_Policy xmlns="cdc7663a-08f0-4737-9e8c-148ce897a09c">Public - Simultaneous Disclosure</Access_x0020_to_x0020_Information_x00a0_Policy>
    <SISCOR_x0020_Number xmlns="cdc7663a-08f0-4737-9e8c-148ce897a09c" xsi:nil="true"/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 NETWORKS CONNECTIVITY</TermName>
          <TermId xmlns="http://schemas.microsoft.com/office/infopath/2007/PartnerControls">8ac6e18a-47fc-496c-8842-4870f8aa7a8e</TermId>
        </TermInfo>
      </Terms>
    </b2ec7cfb18674cb8803df6b262e8b107>
    <Document_x0020_Language_x0020_IDB xmlns="cdc7663a-08f0-4737-9e8c-148ce897a09c">Spanish</Document_x0020_Language_x0020_IDB>
    <_dlc_DocIdUrl xmlns="cdc7663a-08f0-4737-9e8c-148ce897a09c">
      <Url>https://idbg.sharepoint.com/teams/EZ-PR-LON/PR-L1164/_layouts/15/DocIdRedir.aspx?ID=EZSHARE-1835775826-14</Url>
      <Description>EZSHARE-1835775826-14</Description>
    </_dlc_DocIdUrl>
    <Phase xmlns="cdc7663a-08f0-4737-9e8c-148ce897a09c">ACTIVE</Phase>
    <Other_x0020_Author xmlns="cdc7663a-08f0-4737-9e8c-148ce897a09c" xsi:nil="true"/>
    <IDBDocs_x0020_Number xmlns="cdc7663a-08f0-4737-9e8c-148ce897a09c" xsi:nil="true"/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96A16888B0A956498B8C0A5AB2ADC4B5" ma:contentTypeVersion="228" ma:contentTypeDescription="A content type to manage public (operations) IDB documents" ma:contentTypeScope="" ma:versionID="bed67fd27961a20a12dc0d3c94600ea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d6c7bf6aa4c0f55b5fc02b7f099a77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5ACD4957-9A36-4FF7-BA04-F8DAA23518D7}"/>
</file>

<file path=customXml/itemProps2.xml><?xml version="1.0" encoding="utf-8"?>
<ds:datastoreItem xmlns:ds="http://schemas.openxmlformats.org/officeDocument/2006/customXml" ds:itemID="{2DC11E2A-A2B2-4E63-9145-4664C1D233C6}"/>
</file>

<file path=customXml/itemProps3.xml><?xml version="1.0" encoding="utf-8"?>
<ds:datastoreItem xmlns:ds="http://schemas.openxmlformats.org/officeDocument/2006/customXml" ds:itemID="{1E9FEDAE-DAFA-4FCA-99B0-CF406D9B54A3}"/>
</file>

<file path=customXml/itemProps4.xml><?xml version="1.0" encoding="utf-8"?>
<ds:datastoreItem xmlns:ds="http://schemas.openxmlformats.org/officeDocument/2006/customXml" ds:itemID="{52AEB736-4AA2-4968-9A15-03F4EC2E1A81}"/>
</file>

<file path=customXml/itemProps5.xml><?xml version="1.0" encoding="utf-8"?>
<ds:datastoreItem xmlns:ds="http://schemas.openxmlformats.org/officeDocument/2006/customXml" ds:itemID="{3371DCEE-74F1-4E31-8A22-8DB7BB2D403A}"/>
</file>

<file path=customXml/itemProps6.xml><?xml version="1.0" encoding="utf-8"?>
<ds:datastoreItem xmlns:ds="http://schemas.openxmlformats.org/officeDocument/2006/customXml" ds:itemID="{D4D26E8A-96D9-434B-BDAE-5B8DEEE89B5C}"/>
</file>

<file path=customXml/itemProps7.xml><?xml version="1.0" encoding="utf-8"?>
<ds:datastoreItem xmlns:ds="http://schemas.openxmlformats.org/officeDocument/2006/customXml" ds:itemID="{4202B97D-0EAF-4AD3-AC38-6D9DB5C820D4}"/>
</file>

<file path=customXml/itemProps8.xml><?xml version="1.0" encoding="utf-8"?>
<ds:datastoreItem xmlns:ds="http://schemas.openxmlformats.org/officeDocument/2006/customXml" ds:itemID="{1FFB35A9-1570-4606-8A84-EE4C34784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12</vt:i4>
      </vt:variant>
    </vt:vector>
  </HeadingPairs>
  <TitlesOfParts>
    <vt:vector size="31" baseType="lpstr">
      <vt:lpstr> Cuadro de Costos Detallado</vt:lpstr>
      <vt:lpstr>Sheet2</vt:lpstr>
      <vt:lpstr>Cuadro de Costos</vt:lpstr>
      <vt:lpstr>3. PEP</vt:lpstr>
      <vt:lpstr>6. PEP Mensual</vt:lpstr>
      <vt:lpstr>4. CC D</vt:lpstr>
      <vt:lpstr>7. PEP Anual</vt:lpstr>
      <vt:lpstr>12. POA año 1 (2)</vt:lpstr>
      <vt:lpstr>PA</vt:lpstr>
      <vt:lpstr>Costos por producto (PME)</vt:lpstr>
      <vt:lpstr>Sheet1</vt:lpstr>
      <vt:lpstr>Paratodo-Douglas</vt:lpstr>
      <vt:lpstr>Oriental1</vt:lpstr>
      <vt:lpstr>Obras Complementarias</vt:lpstr>
      <vt:lpstr>tramos criticos</vt:lpstr>
      <vt:lpstr>ER6-frt-ECE</vt:lpstr>
      <vt:lpstr>Fisc Paratodo-Douglas</vt:lpstr>
      <vt:lpstr>Fisc Oriental</vt:lpstr>
      <vt:lpstr>Fisc Complementarias</vt:lpstr>
      <vt:lpstr>' Cuadro de Costos Detallado'!Print_Area</vt:lpstr>
      <vt:lpstr>'4. CC D'!Print_Area</vt:lpstr>
      <vt:lpstr>'6. PEP Mensual'!Print_Area</vt:lpstr>
      <vt:lpstr>'ER6-frt-ECE'!Print_Area</vt:lpstr>
      <vt:lpstr>'Obras Complementarias'!Print_Area</vt:lpstr>
      <vt:lpstr>Oriental1!Print_Area</vt:lpstr>
      <vt:lpstr>'Paratodo-Douglas'!Print_Area</vt:lpstr>
      <vt:lpstr>'tramos criticos'!Print_Area</vt:lpstr>
      <vt:lpstr>'3. PEP'!Print_Titles</vt:lpstr>
      <vt:lpstr>'4. CC D'!Print_Titles</vt:lpstr>
      <vt:lpstr>'6. PEP Mensual'!Print_Titles</vt:lpstr>
      <vt:lpstr>'7. PEP Anual'!Print_Titles</vt:lpstr>
    </vt:vector>
  </TitlesOfParts>
  <Company>Piratas Unidos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PGODOY</dc:creator>
  <cp:keywords/>
  <cp:lastModifiedBy>Caldo, Alejandra Anahi</cp:lastModifiedBy>
  <cp:revision/>
  <cp:lastPrinted>2016-07-31T20:48:57Z</cp:lastPrinted>
  <dcterms:created xsi:type="dcterms:W3CDTF">2012-11-30T15:52:30Z</dcterms:created>
  <dcterms:modified xsi:type="dcterms:W3CDTF">2019-08-26T22:26:34Z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>41;#TRANSPORT NETWORKS CONNECTIVITY|8ac6e18a-47fc-496c-8842-4870f8aa7a8e</vt:lpwstr>
  </property>
  <property fmtid="{D5CDD505-2E9C-101B-9397-08002B2CF9AE}" pid="4" name="Function_x0020_Operations_x0020_IDB">
    <vt:lpwstr>1;#Project Preparation, Planning and Design|29ca0c72-1fc4-435f-a09c-28585cb5eac9</vt:lpwstr>
  </property>
  <property fmtid="{D5CDD505-2E9C-101B-9397-08002B2CF9AE}" pid="6" name="TaxKeywordTaxHTField">
    <vt:lpwstr/>
  </property>
  <property fmtid="{D5CDD505-2E9C-101B-9397-08002B2CF9AE}" pid="8" name="Sub-Sector">
    <vt:lpwstr>41;#TRANSPORT NETWORKS CONNECTIVITY|8ac6e18a-47fc-496c-8842-4870f8aa7a8e</vt:lpwstr>
  </property>
  <property fmtid="{D5CDD505-2E9C-101B-9397-08002B2CF9AE}" pid="9" name="Country">
    <vt:lpwstr>24;#Paraguay|50282442-27e7-4526-9d04-55bf5da33a10</vt:lpwstr>
  </property>
  <property fmtid="{D5CDD505-2E9C-101B-9397-08002B2CF9AE}" pid="10" name="Fund IDB">
    <vt:lpwstr>29;#ORC|c028a4b2-ad8b-4cf4-9cac-a2ae6a778e23</vt:lpwstr>
  </property>
  <property fmtid="{D5CDD505-2E9C-101B-9397-08002B2CF9AE}" pid="11" name="_dlc_DocIdItemGuid">
    <vt:lpwstr>7354221e-6d22-4945-bce8-29be47a834ce</vt:lpwstr>
  </property>
  <property fmtid="{D5CDD505-2E9C-101B-9397-08002B2CF9AE}" pid="12" name="Fund_x0020_IDB">
    <vt:lpwstr>29;#ORC|c028a4b2-ad8b-4cf4-9cac-a2ae6a778e23</vt:lpwstr>
  </property>
  <property fmtid="{D5CDD505-2E9C-101B-9397-08002B2CF9AE}" pid="13" name="Series_x0020_Operations_x0020_IDB">
    <vt:lpwstr/>
  </property>
  <property fmtid="{D5CDD505-2E9C-101B-9397-08002B2CF9AE}" pid="14" name="Sector IDB">
    <vt:lpwstr>38;#TRANSPORT|5a25d1a8-4baf-41a8-9e3b-e167accda6ea</vt:lpwstr>
  </property>
  <property fmtid="{D5CDD505-2E9C-101B-9397-08002B2CF9AE}" pid="15" name="Function Operations IDB">
    <vt:lpwstr>1;#Project Preparation, Planning and Design|29ca0c72-1fc4-435f-a09c-28585cb5eac9</vt:lpwstr>
  </property>
  <property fmtid="{D5CDD505-2E9C-101B-9397-08002B2CF9AE}" pid="16" name="Sector_x0020_IDB">
    <vt:lpwstr>38;#TRANSPORT|5a25d1a8-4baf-41a8-9e3b-e167accda6ea</vt:lpwstr>
  </property>
  <property fmtid="{D5CDD505-2E9C-101B-9397-08002B2CF9AE}" pid="18" name="Disclosure Activity">
    <vt:lpwstr>Loan Proposal</vt:lpwstr>
  </property>
  <property fmtid="{D5CDD505-2E9C-101B-9397-08002B2CF9AE}" pid="19" name="ContentTypeId">
    <vt:lpwstr>0x0101001A458A224826124E8B45B1D613300CFC0096A16888B0A956498B8C0A5AB2ADC4B5</vt:lpwstr>
  </property>
  <property fmtid="{D5CDD505-2E9C-101B-9397-08002B2CF9AE}" pid="20" name="Series Operations IDB">
    <vt:lpwstr/>
  </property>
</Properties>
</file>